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seedacc.sharepoint.com/sites/Arquivos/Documentos Compartilhados/Contabil/2024/236_PRO_CRIANÇA/Análises/12.DEZ/"/>
    </mc:Choice>
  </mc:AlternateContent>
  <xr:revisionPtr revIDLastSave="0" documentId="8_{A5BA8D45-739D-49BF-9C98-BF451CD0969C}" xr6:coauthVersionLast="47" xr6:coauthVersionMax="47" xr10:uidLastSave="{00000000-0000-0000-0000-000000000000}"/>
  <bookViews>
    <workbookView xWindow="-108" yWindow="-108" windowWidth="23256" windowHeight="12456" tabRatio="928" firstSheet="1" activeTab="1" xr2:uid="{D6FB647C-0862-4524-8A6C-7D539CE5BBCC}"/>
  </bookViews>
  <sheets>
    <sheet name="INDICADORES" sheetId="31" r:id="rId1"/>
    <sheet name="BALANÇO" sheetId="25" r:id="rId2"/>
    <sheet name="EBITDA" sheetId="30" r:id="rId3"/>
    <sheet name="ATIVO" sheetId="18" r:id="rId4"/>
    <sheet name="PASSIVO" sheetId="23" r:id="rId5"/>
    <sheet name="DRE" sheetId="32" r:id="rId6"/>
    <sheet name="DRE - MOVTO" sheetId="29" r:id="rId7"/>
    <sheet name="2023" sheetId="27" r:id="rId8"/>
    <sheet name="2024" sheetId="1" r:id="rId9"/>
    <sheet name="MOVTO" sheetId="28" r:id="rId10"/>
    <sheet name="Indices" sheetId="33" r:id="rId11"/>
    <sheet name="JAN" sheetId="2" r:id="rId12"/>
    <sheet name="FEV" sheetId="7" r:id="rId13"/>
    <sheet name="MAR" sheetId="8" r:id="rId14"/>
    <sheet name="ABR" sheetId="9" r:id="rId15"/>
    <sheet name="MAI" sheetId="10" r:id="rId16"/>
    <sheet name="JUN" sheetId="11" r:id="rId17"/>
    <sheet name="JUL" sheetId="12" r:id="rId18"/>
    <sheet name="AGO" sheetId="13" r:id="rId19"/>
    <sheet name="SET" sheetId="14" r:id="rId20"/>
    <sheet name="OUT" sheetId="15" r:id="rId21"/>
    <sheet name="NOV" sheetId="16" r:id="rId22"/>
    <sheet name="DEZ" sheetId="17" r:id="rId23"/>
  </sheets>
  <definedNames>
    <definedName name="_xlnm.Print_Area" localSheetId="1">BALANÇO!$B$3:$X$56</definedName>
    <definedName name="int_Data" localSheetId="5">Tab_Data[DATA]</definedName>
    <definedName name="int_Data">Tab_Data[DATA]</definedName>
    <definedName name="par_01.LL">DRE!$D$224</definedName>
    <definedName name="par_02.LL">DRE!$F$224</definedName>
    <definedName name="par_03.LL">DRE!$I$224</definedName>
    <definedName name="par_04.LL">DRE!$L$224</definedName>
    <definedName name="par_05.LL">DRE!$O$224</definedName>
    <definedName name="par_06.LL">DRE!$R$224</definedName>
    <definedName name="par_07.LL">DRE!$U$224</definedName>
    <definedName name="par_08.LL">DRE!$X$224</definedName>
    <definedName name="par_09.LL">DRE!$AA$224</definedName>
    <definedName name="par_10.LL">DRE!$AD$224</definedName>
    <definedName name="par_11.LL">DRE!$AG$224</definedName>
    <definedName name="par_12.LL">DRE!$AJ$224</definedName>
    <definedName name="par_99.LL">'2023'!$S$8</definedName>
    <definedName name="par_Ajuste.Trial">MOVTO!$F$12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2" i="18" l="1"/>
  <c r="C36" i="1"/>
  <c r="D36" i="1"/>
  <c r="E36" i="1"/>
  <c r="H36" i="1"/>
  <c r="I36" i="1"/>
  <c r="J36" i="1"/>
  <c r="K36" i="1"/>
  <c r="L36" i="1"/>
  <c r="M36" i="1"/>
  <c r="N36" i="1"/>
  <c r="O36" i="1"/>
  <c r="P36" i="1"/>
  <c r="Q36" i="1"/>
  <c r="R36" i="1"/>
  <c r="S36" i="1"/>
  <c r="C37" i="1"/>
  <c r="D37" i="1"/>
  <c r="E37" i="1"/>
  <c r="H37" i="1"/>
  <c r="I37" i="1"/>
  <c r="J37" i="1"/>
  <c r="K37" i="1"/>
  <c r="L37" i="1"/>
  <c r="M37" i="1"/>
  <c r="N37" i="1"/>
  <c r="O37" i="1"/>
  <c r="P37" i="1"/>
  <c r="Q37" i="1"/>
  <c r="R37" i="1"/>
  <c r="S37" i="1"/>
  <c r="C36" i="28"/>
  <c r="D36" i="28"/>
  <c r="E36" i="28"/>
  <c r="H36" i="28"/>
  <c r="I36" i="28"/>
  <c r="K36" i="28"/>
  <c r="L36" i="28"/>
  <c r="M36" i="28"/>
  <c r="N36" i="28"/>
  <c r="O36" i="28"/>
  <c r="P36" i="28"/>
  <c r="Q36" i="28"/>
  <c r="C37" i="28"/>
  <c r="D37" i="28"/>
  <c r="E37" i="28"/>
  <c r="H37" i="28"/>
  <c r="I37" i="28"/>
  <c r="K37" i="28"/>
  <c r="L37" i="28"/>
  <c r="M37" i="28"/>
  <c r="N37" i="28"/>
  <c r="O37" i="28"/>
  <c r="P37" i="28"/>
  <c r="Q37" i="28"/>
  <c r="C45" i="1"/>
  <c r="D45" i="1"/>
  <c r="E45" i="1"/>
  <c r="H45" i="1"/>
  <c r="I45" i="1"/>
  <c r="J45" i="1"/>
  <c r="K45" i="1"/>
  <c r="L45" i="1"/>
  <c r="M45" i="1"/>
  <c r="N45" i="1"/>
  <c r="O45" i="1"/>
  <c r="P45" i="1"/>
  <c r="Q45" i="1"/>
  <c r="R45" i="1"/>
  <c r="S45" i="1"/>
  <c r="C45" i="28"/>
  <c r="D45" i="28"/>
  <c r="E45" i="28"/>
  <c r="H45" i="28"/>
  <c r="I45" i="28"/>
  <c r="K45" i="28"/>
  <c r="L45" i="28"/>
  <c r="M45" i="28"/>
  <c r="N45" i="28"/>
  <c r="O45" i="28"/>
  <c r="P45" i="28"/>
  <c r="C173" i="1"/>
  <c r="B149" i="11" s="1"/>
  <c r="D173" i="1"/>
  <c r="E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C174" i="1"/>
  <c r="D174" i="1"/>
  <c r="E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C173" i="28"/>
  <c r="D173" i="28"/>
  <c r="E173" i="28"/>
  <c r="H173" i="28"/>
  <c r="I173" i="28"/>
  <c r="K173" i="28"/>
  <c r="L173" i="28"/>
  <c r="C174" i="28"/>
  <c r="D174" i="28"/>
  <c r="E174" i="28"/>
  <c r="H174" i="28"/>
  <c r="I174" i="28"/>
  <c r="K174" i="28"/>
  <c r="L174" i="28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F275" i="12"/>
  <c r="G275" i="12" s="1"/>
  <c r="F276" i="12"/>
  <c r="G276" i="12" s="1"/>
  <c r="F277" i="12"/>
  <c r="G277" i="12" s="1"/>
  <c r="F278" i="12"/>
  <c r="F279" i="12"/>
  <c r="G279" i="12" s="1"/>
  <c r="F280" i="12"/>
  <c r="F281" i="12"/>
  <c r="F282" i="12"/>
  <c r="G282" i="12" s="1"/>
  <c r="F283" i="12"/>
  <c r="G283" i="12" s="1"/>
  <c r="F284" i="12"/>
  <c r="G284" i="12" s="1"/>
  <c r="F285" i="12"/>
  <c r="G285" i="12" s="1"/>
  <c r="F286" i="12"/>
  <c r="G286" i="12" s="1"/>
  <c r="F287" i="12"/>
  <c r="G287" i="12" s="1"/>
  <c r="F288" i="12"/>
  <c r="G278" i="12"/>
  <c r="G280" i="12"/>
  <c r="G281" i="12"/>
  <c r="G288" i="12"/>
  <c r="O275" i="12"/>
  <c r="O276" i="12"/>
  <c r="O277" i="12"/>
  <c r="O278" i="12"/>
  <c r="O279" i="12"/>
  <c r="O280" i="12"/>
  <c r="O281" i="12"/>
  <c r="O282" i="12"/>
  <c r="O283" i="12"/>
  <c r="O284" i="12"/>
  <c r="O285" i="12"/>
  <c r="O286" i="12"/>
  <c r="O287" i="12"/>
  <c r="O288" i="12"/>
  <c r="E281" i="11"/>
  <c r="E282" i="11"/>
  <c r="E283" i="11"/>
  <c r="E284" i="11"/>
  <c r="E285" i="11"/>
  <c r="E286" i="11"/>
  <c r="E287" i="11"/>
  <c r="E288" i="11"/>
  <c r="F281" i="11"/>
  <c r="F282" i="11"/>
  <c r="F283" i="11"/>
  <c r="F284" i="11"/>
  <c r="F285" i="11"/>
  <c r="F286" i="11"/>
  <c r="F287" i="11"/>
  <c r="F288" i="11"/>
  <c r="G288" i="11" s="1"/>
  <c r="G281" i="11"/>
  <c r="G282" i="11"/>
  <c r="G283" i="11"/>
  <c r="G284" i="11"/>
  <c r="G285" i="11"/>
  <c r="G286" i="11"/>
  <c r="G287" i="11"/>
  <c r="O281" i="11"/>
  <c r="O282" i="11"/>
  <c r="O283" i="11"/>
  <c r="O284" i="11"/>
  <c r="O285" i="11"/>
  <c r="O286" i="11"/>
  <c r="O287" i="11"/>
  <c r="O288" i="11"/>
  <c r="E276" i="10"/>
  <c r="E277" i="10"/>
  <c r="E278" i="10"/>
  <c r="E279" i="10"/>
  <c r="E280" i="10"/>
  <c r="E281" i="10"/>
  <c r="F276" i="10"/>
  <c r="F277" i="10"/>
  <c r="F278" i="10"/>
  <c r="F279" i="10"/>
  <c r="F280" i="10"/>
  <c r="F281" i="10"/>
  <c r="G276" i="10"/>
  <c r="G277" i="10"/>
  <c r="G278" i="10"/>
  <c r="G279" i="10"/>
  <c r="G280" i="10"/>
  <c r="G281" i="10"/>
  <c r="O276" i="10"/>
  <c r="O277" i="10"/>
  <c r="O278" i="10"/>
  <c r="O279" i="10"/>
  <c r="O280" i="10"/>
  <c r="O281" i="10"/>
  <c r="J6" i="33"/>
  <c r="E275" i="11"/>
  <c r="E276" i="11"/>
  <c r="E277" i="11"/>
  <c r="E278" i="11"/>
  <c r="E279" i="11"/>
  <c r="E280" i="11"/>
  <c r="F275" i="11"/>
  <c r="G275" i="11" s="1"/>
  <c r="F276" i="11"/>
  <c r="G276" i="11" s="1"/>
  <c r="F277" i="11"/>
  <c r="G277" i="11" s="1"/>
  <c r="F278" i="11"/>
  <c r="G278" i="11" s="1"/>
  <c r="F279" i="11"/>
  <c r="G279" i="11" s="1"/>
  <c r="F280" i="11"/>
  <c r="G280" i="11" s="1"/>
  <c r="O275" i="11"/>
  <c r="O276" i="11"/>
  <c r="O277" i="11"/>
  <c r="O278" i="11"/>
  <c r="O279" i="11"/>
  <c r="O280" i="11"/>
  <c r="C153" i="1"/>
  <c r="B141" i="11" s="1"/>
  <c r="D153" i="1"/>
  <c r="E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C153" i="28"/>
  <c r="D153" i="28"/>
  <c r="E153" i="28"/>
  <c r="H153" i="28"/>
  <c r="I153" i="28"/>
  <c r="K153" i="28"/>
  <c r="L153" i="28"/>
  <c r="C48" i="1"/>
  <c r="B35" i="11" s="1"/>
  <c r="D48" i="1"/>
  <c r="E48" i="1"/>
  <c r="H48" i="1"/>
  <c r="I48" i="1"/>
  <c r="J48" i="1"/>
  <c r="K48" i="1"/>
  <c r="L48" i="1"/>
  <c r="M48" i="1"/>
  <c r="N48" i="1"/>
  <c r="O48" i="1"/>
  <c r="P48" i="1"/>
  <c r="Q48" i="1"/>
  <c r="R48" i="1"/>
  <c r="S48" i="1"/>
  <c r="C49" i="1"/>
  <c r="B36" i="11" s="1"/>
  <c r="D49" i="1"/>
  <c r="E49" i="1"/>
  <c r="H49" i="1"/>
  <c r="I49" i="1"/>
  <c r="J49" i="1"/>
  <c r="K49" i="1"/>
  <c r="L49" i="1"/>
  <c r="M49" i="1"/>
  <c r="N49" i="1"/>
  <c r="O49" i="1"/>
  <c r="P49" i="1"/>
  <c r="Q49" i="1"/>
  <c r="R49" i="1"/>
  <c r="S49" i="1"/>
  <c r="C50" i="1"/>
  <c r="B37" i="11" s="1"/>
  <c r="D50" i="1"/>
  <c r="E50" i="1"/>
  <c r="H50" i="1"/>
  <c r="I50" i="1"/>
  <c r="J50" i="1"/>
  <c r="K50" i="1"/>
  <c r="L50" i="1"/>
  <c r="M50" i="1"/>
  <c r="N50" i="1"/>
  <c r="O50" i="1"/>
  <c r="P50" i="1"/>
  <c r="Q50" i="1"/>
  <c r="R50" i="1"/>
  <c r="S50" i="1"/>
  <c r="C48" i="28"/>
  <c r="D48" i="28"/>
  <c r="E48" i="28"/>
  <c r="H48" i="28"/>
  <c r="I48" i="28"/>
  <c r="C49" i="28"/>
  <c r="D49" i="28"/>
  <c r="E49" i="28"/>
  <c r="H49" i="28"/>
  <c r="I49" i="28"/>
  <c r="L49" i="28"/>
  <c r="C50" i="28"/>
  <c r="D50" i="28"/>
  <c r="E50" i="28"/>
  <c r="H50" i="28"/>
  <c r="I50" i="28"/>
  <c r="E277" i="9"/>
  <c r="E278" i="9"/>
  <c r="E279" i="9"/>
  <c r="E280" i="9"/>
  <c r="E281" i="9"/>
  <c r="E282" i="9"/>
  <c r="F277" i="9"/>
  <c r="G277" i="9" s="1"/>
  <c r="F278" i="9"/>
  <c r="G278" i="9" s="1"/>
  <c r="F279" i="9"/>
  <c r="G279" i="9" s="1"/>
  <c r="F280" i="9"/>
  <c r="G280" i="9" s="1"/>
  <c r="F281" i="9"/>
  <c r="G281" i="9" s="1"/>
  <c r="F282" i="9"/>
  <c r="G282" i="9" s="1"/>
  <c r="O277" i="9"/>
  <c r="O278" i="9"/>
  <c r="O279" i="9"/>
  <c r="O280" i="9"/>
  <c r="K350" i="28" s="1"/>
  <c r="O281" i="9"/>
  <c r="K351" i="28" s="1"/>
  <c r="O282" i="9"/>
  <c r="I6" i="33"/>
  <c r="E273" i="8"/>
  <c r="E274" i="8"/>
  <c r="F273" i="8"/>
  <c r="G273" i="8" s="1"/>
  <c r="F274" i="8"/>
  <c r="G274" i="8" s="1"/>
  <c r="O273" i="8"/>
  <c r="O274" i="8"/>
  <c r="C281" i="1"/>
  <c r="B239" i="11" s="1"/>
  <c r="D281" i="1"/>
  <c r="E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C281" i="28"/>
  <c r="D281" i="28"/>
  <c r="E281" i="28"/>
  <c r="C289" i="1"/>
  <c r="B289" i="2" s="1"/>
  <c r="D289" i="1"/>
  <c r="D289" i="2" s="1"/>
  <c r="E289" i="1"/>
  <c r="C289" i="2" s="1"/>
  <c r="H289" i="1"/>
  <c r="I289" i="1"/>
  <c r="J289" i="1"/>
  <c r="K289" i="1"/>
  <c r="L289" i="1"/>
  <c r="M289" i="1"/>
  <c r="N289" i="1"/>
  <c r="O289" i="1"/>
  <c r="P289" i="1"/>
  <c r="Q289" i="1"/>
  <c r="R289" i="1"/>
  <c r="S289" i="1"/>
  <c r="C47" i="28"/>
  <c r="D47" i="28"/>
  <c r="E47" i="28"/>
  <c r="L47" i="28"/>
  <c r="D146" i="18"/>
  <c r="C47" i="1"/>
  <c r="B34" i="11" s="1"/>
  <c r="D47" i="1"/>
  <c r="E47" i="1"/>
  <c r="H47" i="1"/>
  <c r="I47" i="1"/>
  <c r="J47" i="1"/>
  <c r="K47" i="1"/>
  <c r="L47" i="1"/>
  <c r="M47" i="1"/>
  <c r="N47" i="1"/>
  <c r="O47" i="1"/>
  <c r="P47" i="1"/>
  <c r="Q47" i="1"/>
  <c r="R47" i="1"/>
  <c r="S47" i="1"/>
  <c r="E270" i="12"/>
  <c r="E271" i="12"/>
  <c r="E272" i="12"/>
  <c r="E273" i="12"/>
  <c r="E274" i="12"/>
  <c r="F270" i="12"/>
  <c r="G270" i="12" s="1"/>
  <c r="F271" i="12"/>
  <c r="G271" i="12" s="1"/>
  <c r="F272" i="12"/>
  <c r="G272" i="12" s="1"/>
  <c r="F273" i="12"/>
  <c r="G273" i="12" s="1"/>
  <c r="F274" i="12"/>
  <c r="G274" i="12" s="1"/>
  <c r="O270" i="12"/>
  <c r="O271" i="12"/>
  <c r="N348" i="28" s="1"/>
  <c r="O272" i="12"/>
  <c r="O273" i="12"/>
  <c r="O274" i="12"/>
  <c r="N352" i="28" s="1"/>
  <c r="E270" i="11"/>
  <c r="E271" i="11"/>
  <c r="E272" i="11"/>
  <c r="E273" i="11"/>
  <c r="E274" i="11"/>
  <c r="F270" i="11"/>
  <c r="G270" i="11" s="1"/>
  <c r="F271" i="11"/>
  <c r="G271" i="11" s="1"/>
  <c r="F272" i="11"/>
  <c r="G272" i="11" s="1"/>
  <c r="F273" i="11"/>
  <c r="G273" i="11" s="1"/>
  <c r="F274" i="11"/>
  <c r="G274" i="11" s="1"/>
  <c r="O270" i="11"/>
  <c r="O271" i="11"/>
  <c r="O272" i="11"/>
  <c r="O273" i="11"/>
  <c r="O274" i="11"/>
  <c r="E271" i="10"/>
  <c r="E272" i="10"/>
  <c r="E273" i="10"/>
  <c r="E274" i="10"/>
  <c r="E275" i="10"/>
  <c r="F271" i="10"/>
  <c r="G271" i="10" s="1"/>
  <c r="F272" i="10"/>
  <c r="G272" i="10" s="1"/>
  <c r="F273" i="10"/>
  <c r="G273" i="10" s="1"/>
  <c r="F274" i="10"/>
  <c r="G274" i="10" s="1"/>
  <c r="F275" i="10"/>
  <c r="G275" i="10" s="1"/>
  <c r="O271" i="10"/>
  <c r="L345" i="28" s="1"/>
  <c r="O272" i="10"/>
  <c r="L348" i="28" s="1"/>
  <c r="O273" i="10"/>
  <c r="O274" i="10"/>
  <c r="L351" i="28" s="1"/>
  <c r="O275" i="10"/>
  <c r="E271" i="9"/>
  <c r="E272" i="9"/>
  <c r="E273" i="9"/>
  <c r="E274" i="9"/>
  <c r="E275" i="9"/>
  <c r="E276" i="9"/>
  <c r="F271" i="9"/>
  <c r="G271" i="9" s="1"/>
  <c r="F272" i="9"/>
  <c r="G272" i="9" s="1"/>
  <c r="F273" i="9"/>
  <c r="G273" i="9" s="1"/>
  <c r="F274" i="9"/>
  <c r="G274" i="9" s="1"/>
  <c r="F275" i="9"/>
  <c r="G275" i="9" s="1"/>
  <c r="F276" i="9"/>
  <c r="G276" i="9" s="1"/>
  <c r="O271" i="9"/>
  <c r="O272" i="9"/>
  <c r="K345" i="28" s="1"/>
  <c r="O273" i="9"/>
  <c r="K348" i="28" s="1"/>
  <c r="O274" i="9"/>
  <c r="O275" i="9"/>
  <c r="O276" i="9"/>
  <c r="E268" i="8"/>
  <c r="E269" i="8"/>
  <c r="E270" i="8"/>
  <c r="E271" i="8"/>
  <c r="E272" i="8"/>
  <c r="F268" i="8"/>
  <c r="G268" i="8" s="1"/>
  <c r="F269" i="8"/>
  <c r="G269" i="8" s="1"/>
  <c r="F270" i="8"/>
  <c r="G270" i="8" s="1"/>
  <c r="F271" i="8"/>
  <c r="G271" i="8" s="1"/>
  <c r="F272" i="8"/>
  <c r="G272" i="8" s="1"/>
  <c r="O268" i="8"/>
  <c r="O269" i="8"/>
  <c r="O270" i="8"/>
  <c r="J343" i="28" s="1"/>
  <c r="O271" i="8"/>
  <c r="J351" i="28" s="1"/>
  <c r="O272" i="8"/>
  <c r="J352" i="28" s="1"/>
  <c r="E269" i="7"/>
  <c r="E270" i="7"/>
  <c r="E271" i="7"/>
  <c r="F269" i="7"/>
  <c r="G269" i="7" s="1"/>
  <c r="F270" i="7"/>
  <c r="G270" i="7" s="1"/>
  <c r="F271" i="7"/>
  <c r="G271" i="7" s="1"/>
  <c r="O269" i="7"/>
  <c r="I350" i="28" s="1"/>
  <c r="O270" i="7"/>
  <c r="I351" i="28" s="1"/>
  <c r="O271" i="7"/>
  <c r="I352" i="28"/>
  <c r="G6" i="33"/>
  <c r="C348" i="28"/>
  <c r="C349" i="28"/>
  <c r="C350" i="28"/>
  <c r="C351" i="28"/>
  <c r="C352" i="28"/>
  <c r="D348" i="28"/>
  <c r="D349" i="28"/>
  <c r="D350" i="28"/>
  <c r="D351" i="28"/>
  <c r="D352" i="28"/>
  <c r="E348" i="28"/>
  <c r="E349" i="28"/>
  <c r="E350" i="28"/>
  <c r="E351" i="28"/>
  <c r="E352" i="28"/>
  <c r="I348" i="28"/>
  <c r="I349" i="28"/>
  <c r="J348" i="28"/>
  <c r="J349" i="28"/>
  <c r="J350" i="28"/>
  <c r="K349" i="28"/>
  <c r="L349" i="28"/>
  <c r="L352" i="28"/>
  <c r="M348" i="28"/>
  <c r="M349" i="28"/>
  <c r="M350" i="28"/>
  <c r="N349" i="28"/>
  <c r="O349" i="28"/>
  <c r="P349" i="28"/>
  <c r="Q349" i="28"/>
  <c r="R349" i="28"/>
  <c r="C351" i="1"/>
  <c r="B280" i="9" s="1"/>
  <c r="C352" i="1"/>
  <c r="B280" i="10" s="1"/>
  <c r="C353" i="1"/>
  <c r="B281" i="10" s="1"/>
  <c r="D351" i="1"/>
  <c r="D280" i="9" s="1"/>
  <c r="D352" i="1"/>
  <c r="D281" i="9" s="1"/>
  <c r="D353" i="1"/>
  <c r="D281" i="10" s="1"/>
  <c r="E351" i="1"/>
  <c r="C280" i="9" s="1"/>
  <c r="E352" i="1"/>
  <c r="C281" i="9" s="1"/>
  <c r="E353" i="1"/>
  <c r="C282" i="9" s="1"/>
  <c r="H351" i="1"/>
  <c r="H352" i="1"/>
  <c r="H353" i="1"/>
  <c r="I351" i="1"/>
  <c r="I352" i="1"/>
  <c r="I353" i="1"/>
  <c r="J351" i="1"/>
  <c r="J352" i="1"/>
  <c r="J353" i="1"/>
  <c r="K351" i="1"/>
  <c r="K352" i="1"/>
  <c r="K353" i="1"/>
  <c r="L351" i="1"/>
  <c r="L352" i="1"/>
  <c r="L353" i="1"/>
  <c r="M351" i="1"/>
  <c r="M352" i="1"/>
  <c r="M353" i="1"/>
  <c r="N351" i="1"/>
  <c r="N352" i="1"/>
  <c r="N353" i="1"/>
  <c r="O351" i="1"/>
  <c r="O352" i="1"/>
  <c r="O353" i="1"/>
  <c r="P351" i="1"/>
  <c r="P352" i="1"/>
  <c r="P353" i="1"/>
  <c r="Q351" i="1"/>
  <c r="Q352" i="1"/>
  <c r="Q353" i="1"/>
  <c r="R351" i="1"/>
  <c r="R352" i="1"/>
  <c r="R353" i="1"/>
  <c r="S351" i="1"/>
  <c r="S352" i="1"/>
  <c r="S353" i="1"/>
  <c r="C347" i="1"/>
  <c r="D347" i="1"/>
  <c r="E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C348" i="1"/>
  <c r="D348" i="1"/>
  <c r="E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O259" i="2"/>
  <c r="O260" i="2"/>
  <c r="O261" i="2"/>
  <c r="H348" i="28" s="1"/>
  <c r="O262" i="2"/>
  <c r="H349" i="28" s="1"/>
  <c r="O263" i="2"/>
  <c r="O264" i="2"/>
  <c r="O265" i="2"/>
  <c r="O266" i="2"/>
  <c r="O267" i="2"/>
  <c r="O268" i="2"/>
  <c r="O269" i="2"/>
  <c r="O270" i="2"/>
  <c r="O271" i="2"/>
  <c r="O272" i="2"/>
  <c r="H324" i="28" s="1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H345" i="28" s="1"/>
  <c r="O287" i="2"/>
  <c r="O288" i="2"/>
  <c r="O289" i="2"/>
  <c r="O290" i="2"/>
  <c r="O291" i="2"/>
  <c r="F6" i="33"/>
  <c r="C41" i="28"/>
  <c r="D41" i="28"/>
  <c r="E41" i="28"/>
  <c r="I41" i="28"/>
  <c r="J41" i="28"/>
  <c r="K41" i="28"/>
  <c r="L41" i="28"/>
  <c r="M41" i="28"/>
  <c r="N41" i="28"/>
  <c r="O41" i="28"/>
  <c r="P41" i="28"/>
  <c r="Q41" i="28"/>
  <c r="R41" i="28"/>
  <c r="C42" i="28"/>
  <c r="D42" i="28"/>
  <c r="E42" i="28"/>
  <c r="I42" i="28"/>
  <c r="K42" i="28"/>
  <c r="L42" i="28"/>
  <c r="M42" i="28"/>
  <c r="N42" i="28"/>
  <c r="O42" i="28"/>
  <c r="P42" i="28"/>
  <c r="C42" i="1"/>
  <c r="D42" i="1"/>
  <c r="E42" i="1"/>
  <c r="H42" i="1"/>
  <c r="I42" i="1"/>
  <c r="J42" i="1"/>
  <c r="K42" i="1"/>
  <c r="L42" i="1"/>
  <c r="M42" i="1"/>
  <c r="N42" i="1"/>
  <c r="O42" i="1"/>
  <c r="P42" i="1"/>
  <c r="Q42" i="1"/>
  <c r="R42" i="1"/>
  <c r="S42" i="1"/>
  <c r="C41" i="1"/>
  <c r="D41" i="1"/>
  <c r="E41" i="1"/>
  <c r="H41" i="1"/>
  <c r="I41" i="1"/>
  <c r="J41" i="1"/>
  <c r="K41" i="1"/>
  <c r="L41" i="1"/>
  <c r="M41" i="1"/>
  <c r="N41" i="1"/>
  <c r="O41" i="1"/>
  <c r="P41" i="1"/>
  <c r="Q41" i="1"/>
  <c r="R41" i="1"/>
  <c r="S41" i="1"/>
  <c r="C32" i="28"/>
  <c r="D32" i="28"/>
  <c r="E32" i="28"/>
  <c r="H32" i="28"/>
  <c r="I32" i="28"/>
  <c r="K32" i="28"/>
  <c r="L32" i="28"/>
  <c r="M32" i="28"/>
  <c r="N32" i="28"/>
  <c r="O32" i="28"/>
  <c r="P32" i="28"/>
  <c r="Q32" i="28"/>
  <c r="R32" i="28"/>
  <c r="C32" i="1"/>
  <c r="D32" i="1"/>
  <c r="E32" i="1"/>
  <c r="H32" i="1"/>
  <c r="I32" i="1"/>
  <c r="J32" i="1"/>
  <c r="K32" i="1"/>
  <c r="L32" i="1"/>
  <c r="M32" i="1"/>
  <c r="N32" i="1"/>
  <c r="O32" i="1"/>
  <c r="P32" i="1"/>
  <c r="Q32" i="1"/>
  <c r="R32" i="1"/>
  <c r="S32" i="1"/>
  <c r="B7" i="25"/>
  <c r="E265" i="8"/>
  <c r="E266" i="8"/>
  <c r="E267" i="8"/>
  <c r="F265" i="8"/>
  <c r="G265" i="8" s="1"/>
  <c r="F266" i="8"/>
  <c r="G266" i="8" s="1"/>
  <c r="F267" i="8"/>
  <c r="G267" i="8" s="1"/>
  <c r="O265" i="8"/>
  <c r="O266" i="8"/>
  <c r="O267" i="8"/>
  <c r="E266" i="7"/>
  <c r="E267" i="7"/>
  <c r="E268" i="7"/>
  <c r="F266" i="7"/>
  <c r="G266" i="7" s="1"/>
  <c r="F267" i="7"/>
  <c r="G267" i="7" s="1"/>
  <c r="F268" i="7"/>
  <c r="G268" i="7" s="1"/>
  <c r="O266" i="7"/>
  <c r="O267" i="7"/>
  <c r="I343" i="28" s="1"/>
  <c r="O268" i="7"/>
  <c r="I344" i="28" s="1"/>
  <c r="E256" i="2"/>
  <c r="E257" i="2"/>
  <c r="E258" i="2"/>
  <c r="F256" i="2"/>
  <c r="F257" i="2"/>
  <c r="F258" i="2"/>
  <c r="G256" i="2"/>
  <c r="G257" i="2"/>
  <c r="G258" i="2"/>
  <c r="O256" i="2"/>
  <c r="H330" i="28" s="1"/>
  <c r="O257" i="2"/>
  <c r="H332" i="28" s="1"/>
  <c r="O258" i="2"/>
  <c r="H334" i="28" s="1"/>
  <c r="C330" i="28"/>
  <c r="C331" i="28"/>
  <c r="C332" i="28"/>
  <c r="C333" i="28"/>
  <c r="C334" i="28"/>
  <c r="C335" i="28"/>
  <c r="C336" i="28"/>
  <c r="C337" i="28"/>
  <c r="C338" i="28"/>
  <c r="C339" i="28"/>
  <c r="C340" i="28"/>
  <c r="C341" i="28"/>
  <c r="C342" i="28"/>
  <c r="C343" i="28"/>
  <c r="C344" i="28"/>
  <c r="C345" i="28"/>
  <c r="C346" i="28"/>
  <c r="C347" i="28"/>
  <c r="D330" i="28"/>
  <c r="D331" i="28"/>
  <c r="D332" i="28"/>
  <c r="D333" i="28"/>
  <c r="D334" i="28"/>
  <c r="D335" i="28"/>
  <c r="D336" i="28"/>
  <c r="D337" i="28"/>
  <c r="D338" i="28"/>
  <c r="D339" i="28"/>
  <c r="D340" i="28"/>
  <c r="D341" i="28"/>
  <c r="D342" i="28"/>
  <c r="D343" i="28"/>
  <c r="D344" i="28"/>
  <c r="D345" i="28"/>
  <c r="D346" i="28"/>
  <c r="D347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H331" i="28"/>
  <c r="H333" i="28"/>
  <c r="H335" i="28"/>
  <c r="H336" i="28"/>
  <c r="H337" i="28"/>
  <c r="H338" i="28"/>
  <c r="H339" i="28"/>
  <c r="H340" i="28"/>
  <c r="H341" i="28"/>
  <c r="H342" i="28"/>
  <c r="H343" i="28"/>
  <c r="H346" i="28"/>
  <c r="H347" i="28"/>
  <c r="I331" i="28"/>
  <c r="I335" i="28"/>
  <c r="I336" i="28"/>
  <c r="I337" i="28"/>
  <c r="I340" i="28"/>
  <c r="I341" i="28"/>
  <c r="I345" i="28"/>
  <c r="I346" i="28"/>
  <c r="I347" i="28"/>
  <c r="J331" i="28"/>
  <c r="J335" i="28"/>
  <c r="J336" i="28"/>
  <c r="J337" i="28"/>
  <c r="J340" i="28"/>
  <c r="J341" i="28"/>
  <c r="J345" i="28"/>
  <c r="J346" i="28"/>
  <c r="J347" i="28"/>
  <c r="K331" i="28"/>
  <c r="K335" i="28"/>
  <c r="K336" i="28"/>
  <c r="K337" i="28"/>
  <c r="K340" i="28"/>
  <c r="K341" i="28"/>
  <c r="K344" i="28"/>
  <c r="K346" i="28"/>
  <c r="K347" i="28"/>
  <c r="L331" i="28"/>
  <c r="L335" i="28"/>
  <c r="L336" i="28"/>
  <c r="L337" i="28"/>
  <c r="L340" i="28"/>
  <c r="L341" i="28"/>
  <c r="L346" i="28"/>
  <c r="L347" i="28"/>
  <c r="M331" i="28"/>
  <c r="M335" i="28"/>
  <c r="M336" i="28"/>
  <c r="M337" i="28"/>
  <c r="M340" i="28"/>
  <c r="M341" i="28"/>
  <c r="M345" i="28"/>
  <c r="M346" i="28"/>
  <c r="M347" i="28"/>
  <c r="N331" i="28"/>
  <c r="N335" i="28"/>
  <c r="N336" i="28"/>
  <c r="N337" i="28"/>
  <c r="N340" i="28"/>
  <c r="N341" i="28"/>
  <c r="N345" i="28"/>
  <c r="N346" i="28"/>
  <c r="N347" i="28"/>
  <c r="O331" i="28"/>
  <c r="O335" i="28"/>
  <c r="O336" i="28"/>
  <c r="O337" i="28"/>
  <c r="O340" i="28"/>
  <c r="O341" i="28"/>
  <c r="O346" i="28"/>
  <c r="O347" i="28"/>
  <c r="P331" i="28"/>
  <c r="P335" i="28"/>
  <c r="P336" i="28"/>
  <c r="P337" i="28"/>
  <c r="P340" i="28"/>
  <c r="P341" i="28"/>
  <c r="P346" i="28"/>
  <c r="P347" i="28"/>
  <c r="Q331" i="28"/>
  <c r="Q335" i="28"/>
  <c r="Q336" i="28"/>
  <c r="Q337" i="28"/>
  <c r="Q340" i="28"/>
  <c r="Q341" i="28"/>
  <c r="Q346" i="28"/>
  <c r="Q347" i="28"/>
  <c r="R331" i="28"/>
  <c r="R335" i="28"/>
  <c r="R336" i="28"/>
  <c r="R337" i="28"/>
  <c r="R340" i="28"/>
  <c r="R341" i="28"/>
  <c r="R346" i="28"/>
  <c r="R347" i="28"/>
  <c r="S331" i="28"/>
  <c r="S335" i="28"/>
  <c r="S336" i="28"/>
  <c r="S337" i="28"/>
  <c r="S340" i="28"/>
  <c r="S341" i="28"/>
  <c r="S346" i="28"/>
  <c r="S347" i="28"/>
  <c r="C248" i="1"/>
  <c r="C249" i="1"/>
  <c r="B212" i="11" s="1"/>
  <c r="C250" i="1"/>
  <c r="B213" i="11" s="1"/>
  <c r="C251" i="1"/>
  <c r="B214" i="11" s="1"/>
  <c r="C252" i="1"/>
  <c r="B215" i="11" s="1"/>
  <c r="C253" i="1"/>
  <c r="B216" i="11" s="1"/>
  <c r="D248" i="1"/>
  <c r="D249" i="1"/>
  <c r="D250" i="1"/>
  <c r="D251" i="1"/>
  <c r="D252" i="1"/>
  <c r="D253" i="1"/>
  <c r="E248" i="1"/>
  <c r="E249" i="1"/>
  <c r="E250" i="1"/>
  <c r="E251" i="1"/>
  <c r="E252" i="1"/>
  <c r="E253" i="1"/>
  <c r="H248" i="1"/>
  <c r="H249" i="1"/>
  <c r="H250" i="1"/>
  <c r="H251" i="1"/>
  <c r="H252" i="1"/>
  <c r="H253" i="1"/>
  <c r="I248" i="1"/>
  <c r="I249" i="1"/>
  <c r="I250" i="1"/>
  <c r="I251" i="1"/>
  <c r="I252" i="1"/>
  <c r="I253" i="1"/>
  <c r="J248" i="1"/>
  <c r="J249" i="1"/>
  <c r="J250" i="1"/>
  <c r="J251" i="1"/>
  <c r="J252" i="1"/>
  <c r="J253" i="1"/>
  <c r="K248" i="1"/>
  <c r="K249" i="1"/>
  <c r="K250" i="1"/>
  <c r="K251" i="1"/>
  <c r="K252" i="1"/>
  <c r="K253" i="1"/>
  <c r="L248" i="1"/>
  <c r="L249" i="1"/>
  <c r="L250" i="1"/>
  <c r="L251" i="1"/>
  <c r="L252" i="1"/>
  <c r="L253" i="1"/>
  <c r="M248" i="1"/>
  <c r="M249" i="1"/>
  <c r="M250" i="1"/>
  <c r="M251" i="1"/>
  <c r="M252" i="1"/>
  <c r="M253" i="1"/>
  <c r="N248" i="1"/>
  <c r="N249" i="1"/>
  <c r="N250" i="1"/>
  <c r="N251" i="1"/>
  <c r="N252" i="1"/>
  <c r="N253" i="1"/>
  <c r="O248" i="1"/>
  <c r="O249" i="1"/>
  <c r="O250" i="1"/>
  <c r="O251" i="1"/>
  <c r="O252" i="1"/>
  <c r="O253" i="1"/>
  <c r="P248" i="1"/>
  <c r="P249" i="1"/>
  <c r="P250" i="1"/>
  <c r="P251" i="1"/>
  <c r="P252" i="1"/>
  <c r="P253" i="1"/>
  <c r="Q248" i="1"/>
  <c r="Q249" i="1"/>
  <c r="Q250" i="1"/>
  <c r="Q251" i="1"/>
  <c r="Q252" i="1"/>
  <c r="Q253" i="1"/>
  <c r="R248" i="1"/>
  <c r="R249" i="1"/>
  <c r="R250" i="1"/>
  <c r="R251" i="1"/>
  <c r="R252" i="1"/>
  <c r="R253" i="1"/>
  <c r="S248" i="1"/>
  <c r="S249" i="1"/>
  <c r="S250" i="1"/>
  <c r="S251" i="1"/>
  <c r="S252" i="1"/>
  <c r="S253" i="1"/>
  <c r="C198" i="1"/>
  <c r="C199" i="1"/>
  <c r="B174" i="11" s="1"/>
  <c r="C200" i="1"/>
  <c r="B175" i="11" s="1"/>
  <c r="C201" i="1"/>
  <c r="B176" i="11" s="1"/>
  <c r="C202" i="1"/>
  <c r="B177" i="11" s="1"/>
  <c r="C203" i="1"/>
  <c r="B178" i="11" s="1"/>
  <c r="D198" i="1"/>
  <c r="D199" i="1"/>
  <c r="D200" i="1"/>
  <c r="D201" i="1"/>
  <c r="D202" i="1"/>
  <c r="D203" i="1"/>
  <c r="E198" i="1"/>
  <c r="E199" i="1"/>
  <c r="E200" i="1"/>
  <c r="E201" i="1"/>
  <c r="E202" i="1"/>
  <c r="E203" i="1"/>
  <c r="H198" i="1"/>
  <c r="H199" i="1"/>
  <c r="H200" i="1"/>
  <c r="H201" i="1"/>
  <c r="H202" i="1"/>
  <c r="H203" i="1"/>
  <c r="I198" i="1"/>
  <c r="I199" i="1"/>
  <c r="I200" i="1"/>
  <c r="I201" i="1"/>
  <c r="I202" i="1"/>
  <c r="I203" i="1"/>
  <c r="J198" i="1"/>
  <c r="J199" i="1"/>
  <c r="J200" i="1"/>
  <c r="J201" i="1"/>
  <c r="J202" i="1"/>
  <c r="J203" i="1"/>
  <c r="K198" i="1"/>
  <c r="K199" i="1"/>
  <c r="K200" i="1"/>
  <c r="K201" i="1"/>
  <c r="K202" i="1"/>
  <c r="K203" i="1"/>
  <c r="L198" i="1"/>
  <c r="L199" i="1"/>
  <c r="L200" i="1"/>
  <c r="L201" i="1"/>
  <c r="L202" i="1"/>
  <c r="L203" i="1"/>
  <c r="M198" i="1"/>
  <c r="M199" i="1"/>
  <c r="M200" i="1"/>
  <c r="M201" i="1"/>
  <c r="M202" i="1"/>
  <c r="M203" i="1"/>
  <c r="N198" i="1"/>
  <c r="N199" i="1"/>
  <c r="N200" i="1"/>
  <c r="N201" i="1"/>
  <c r="N202" i="1"/>
  <c r="N203" i="1"/>
  <c r="O198" i="1"/>
  <c r="O199" i="1"/>
  <c r="O200" i="1"/>
  <c r="O201" i="1"/>
  <c r="O202" i="1"/>
  <c r="O203" i="1"/>
  <c r="P198" i="1"/>
  <c r="P199" i="1"/>
  <c r="P200" i="1"/>
  <c r="P201" i="1"/>
  <c r="P202" i="1"/>
  <c r="P203" i="1"/>
  <c r="Q198" i="1"/>
  <c r="Q199" i="1"/>
  <c r="Q200" i="1"/>
  <c r="Q201" i="1"/>
  <c r="Q202" i="1"/>
  <c r="Q203" i="1"/>
  <c r="R198" i="1"/>
  <c r="R199" i="1"/>
  <c r="R200" i="1"/>
  <c r="R201" i="1"/>
  <c r="R202" i="1"/>
  <c r="R203" i="1"/>
  <c r="S198" i="1"/>
  <c r="S199" i="1"/>
  <c r="S200" i="1"/>
  <c r="S201" i="1"/>
  <c r="S202" i="1"/>
  <c r="S203" i="1"/>
  <c r="C100" i="1"/>
  <c r="B86" i="11" s="1"/>
  <c r="D100" i="1"/>
  <c r="E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C101" i="1"/>
  <c r="B87" i="11" s="1"/>
  <c r="D101" i="1"/>
  <c r="E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C102" i="1"/>
  <c r="B88" i="11" s="1"/>
  <c r="D102" i="1"/>
  <c r="E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D37" i="23"/>
  <c r="D36" i="23"/>
  <c r="D35" i="23"/>
  <c r="C95" i="1"/>
  <c r="B81" i="11" s="1"/>
  <c r="D95" i="1"/>
  <c r="E95" i="1"/>
  <c r="H95" i="1"/>
  <c r="I95" i="1"/>
  <c r="J95" i="1"/>
  <c r="K95" i="1"/>
  <c r="L95" i="1"/>
  <c r="M95" i="1"/>
  <c r="N95" i="1"/>
  <c r="O95" i="1"/>
  <c r="P95" i="1"/>
  <c r="Q95" i="1"/>
  <c r="R95" i="1"/>
  <c r="S95" i="1"/>
  <c r="C96" i="1"/>
  <c r="B82" i="11" s="1"/>
  <c r="D96" i="1"/>
  <c r="E96" i="1"/>
  <c r="H96" i="1"/>
  <c r="I96" i="1"/>
  <c r="J96" i="1"/>
  <c r="K96" i="1"/>
  <c r="L96" i="1"/>
  <c r="M96" i="1"/>
  <c r="N96" i="1"/>
  <c r="O96" i="1"/>
  <c r="P96" i="1"/>
  <c r="Q96" i="1"/>
  <c r="R96" i="1"/>
  <c r="S96" i="1"/>
  <c r="C97" i="1"/>
  <c r="B83" i="11" s="1"/>
  <c r="D97" i="1"/>
  <c r="E97" i="1"/>
  <c r="H97" i="1"/>
  <c r="I97" i="1"/>
  <c r="J97" i="1"/>
  <c r="K97" i="1"/>
  <c r="L97" i="1"/>
  <c r="M97" i="1"/>
  <c r="N97" i="1"/>
  <c r="O97" i="1"/>
  <c r="P97" i="1"/>
  <c r="Q97" i="1"/>
  <c r="R97" i="1"/>
  <c r="S97" i="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F242" i="11"/>
  <c r="G242" i="11" s="1"/>
  <c r="F243" i="11"/>
  <c r="G243" i="11" s="1"/>
  <c r="F244" i="11"/>
  <c r="G244" i="11" s="1"/>
  <c r="F245" i="11"/>
  <c r="G245" i="11" s="1"/>
  <c r="F246" i="11"/>
  <c r="G246" i="11" s="1"/>
  <c r="F247" i="11"/>
  <c r="G247" i="11" s="1"/>
  <c r="F248" i="11"/>
  <c r="G248" i="11" s="1"/>
  <c r="F249" i="11"/>
  <c r="G249" i="11" s="1"/>
  <c r="F250" i="11"/>
  <c r="G250" i="11" s="1"/>
  <c r="F251" i="11"/>
  <c r="G251" i="11" s="1"/>
  <c r="F252" i="11"/>
  <c r="G252" i="11" s="1"/>
  <c r="F253" i="11"/>
  <c r="G253" i="11" s="1"/>
  <c r="F254" i="11"/>
  <c r="G254" i="11" s="1"/>
  <c r="F255" i="11"/>
  <c r="G255" i="11" s="1"/>
  <c r="F256" i="11"/>
  <c r="G256" i="11" s="1"/>
  <c r="F257" i="11"/>
  <c r="G257" i="11" s="1"/>
  <c r="F258" i="11"/>
  <c r="G258" i="11" s="1"/>
  <c r="F259" i="11"/>
  <c r="G259" i="11" s="1"/>
  <c r="F260" i="11"/>
  <c r="G260" i="11" s="1"/>
  <c r="F261" i="11"/>
  <c r="G261" i="11" s="1"/>
  <c r="F262" i="11"/>
  <c r="G262" i="11" s="1"/>
  <c r="F263" i="11"/>
  <c r="G263" i="11" s="1"/>
  <c r="F264" i="11"/>
  <c r="G264" i="11" s="1"/>
  <c r="F265" i="11"/>
  <c r="G265" i="11" s="1"/>
  <c r="F266" i="11"/>
  <c r="G266" i="11" s="1"/>
  <c r="F267" i="11"/>
  <c r="G267" i="11" s="1"/>
  <c r="F268" i="11"/>
  <c r="G268" i="11" s="1"/>
  <c r="F269" i="11"/>
  <c r="G269" i="11" s="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M339" i="28" s="1"/>
  <c r="O268" i="11"/>
  <c r="O269" i="11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F243" i="10"/>
  <c r="G243" i="10" s="1"/>
  <c r="F244" i="10"/>
  <c r="G244" i="10" s="1"/>
  <c r="F245" i="10"/>
  <c r="G245" i="10" s="1"/>
  <c r="F246" i="10"/>
  <c r="G246" i="10" s="1"/>
  <c r="F247" i="10"/>
  <c r="G247" i="10" s="1"/>
  <c r="F248" i="10"/>
  <c r="G248" i="10" s="1"/>
  <c r="F249" i="10"/>
  <c r="G249" i="10" s="1"/>
  <c r="F250" i="10"/>
  <c r="G250" i="10" s="1"/>
  <c r="F251" i="10"/>
  <c r="G251" i="10" s="1"/>
  <c r="F252" i="10"/>
  <c r="G252" i="10" s="1"/>
  <c r="F253" i="10"/>
  <c r="G253" i="10" s="1"/>
  <c r="F254" i="10"/>
  <c r="G254" i="10" s="1"/>
  <c r="F255" i="10"/>
  <c r="G255" i="10" s="1"/>
  <c r="F256" i="10"/>
  <c r="G256" i="10" s="1"/>
  <c r="F257" i="10"/>
  <c r="G257" i="10" s="1"/>
  <c r="F258" i="10"/>
  <c r="G258" i="10" s="1"/>
  <c r="F259" i="10"/>
  <c r="G259" i="10" s="1"/>
  <c r="F260" i="10"/>
  <c r="G260" i="10" s="1"/>
  <c r="F261" i="10"/>
  <c r="G261" i="10" s="1"/>
  <c r="F262" i="10"/>
  <c r="G262" i="10" s="1"/>
  <c r="F263" i="10"/>
  <c r="G263" i="10" s="1"/>
  <c r="F264" i="10"/>
  <c r="F265" i="10"/>
  <c r="G265" i="10" s="1"/>
  <c r="F266" i="10"/>
  <c r="G266" i="10" s="1"/>
  <c r="F267" i="10"/>
  <c r="G267" i="10" s="1"/>
  <c r="F268" i="10"/>
  <c r="G268" i="10" s="1"/>
  <c r="F269" i="10"/>
  <c r="G269" i="10" s="1"/>
  <c r="F270" i="10"/>
  <c r="G270" i="10" s="1"/>
  <c r="G264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L323" i="28" s="1"/>
  <c r="O259" i="10"/>
  <c r="O260" i="10"/>
  <c r="O261" i="10"/>
  <c r="O262" i="10"/>
  <c r="L329" i="28" s="1"/>
  <c r="O263" i="10"/>
  <c r="L330" i="28" s="1"/>
  <c r="O264" i="10"/>
  <c r="O265" i="10"/>
  <c r="L333" i="28" s="1"/>
  <c r="O266" i="10"/>
  <c r="L334" i="28" s="1"/>
  <c r="O267" i="10"/>
  <c r="L338" i="28" s="1"/>
  <c r="O268" i="10"/>
  <c r="L339" i="28" s="1"/>
  <c r="O269" i="10"/>
  <c r="O270" i="10"/>
  <c r="L343" i="28" s="1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F243" i="9"/>
  <c r="G243" i="9" s="1"/>
  <c r="F244" i="9"/>
  <c r="G244" i="9" s="1"/>
  <c r="F245" i="9"/>
  <c r="G245" i="9" s="1"/>
  <c r="F246" i="9"/>
  <c r="G246" i="9" s="1"/>
  <c r="F247" i="9"/>
  <c r="G247" i="9" s="1"/>
  <c r="F248" i="9"/>
  <c r="G248" i="9" s="1"/>
  <c r="F249" i="9"/>
  <c r="G249" i="9" s="1"/>
  <c r="F250" i="9"/>
  <c r="G250" i="9" s="1"/>
  <c r="F251" i="9"/>
  <c r="G251" i="9" s="1"/>
  <c r="F252" i="9"/>
  <c r="G252" i="9" s="1"/>
  <c r="F253" i="9"/>
  <c r="G253" i="9" s="1"/>
  <c r="F254" i="9"/>
  <c r="G254" i="9" s="1"/>
  <c r="F255" i="9"/>
  <c r="G255" i="9" s="1"/>
  <c r="F256" i="9"/>
  <c r="G256" i="9" s="1"/>
  <c r="F257" i="9"/>
  <c r="G257" i="9" s="1"/>
  <c r="F258" i="9"/>
  <c r="G258" i="9" s="1"/>
  <c r="F259" i="9"/>
  <c r="G259" i="9" s="1"/>
  <c r="F260" i="9"/>
  <c r="G260" i="9" s="1"/>
  <c r="F261" i="9"/>
  <c r="G261" i="9" s="1"/>
  <c r="F262" i="9"/>
  <c r="G262" i="9" s="1"/>
  <c r="F263" i="9"/>
  <c r="G263" i="9" s="1"/>
  <c r="F264" i="9"/>
  <c r="G264" i="9" s="1"/>
  <c r="F265" i="9"/>
  <c r="G265" i="9" s="1"/>
  <c r="F266" i="9"/>
  <c r="G266" i="9" s="1"/>
  <c r="F267" i="9"/>
  <c r="G267" i="9" s="1"/>
  <c r="F268" i="9"/>
  <c r="G268" i="9" s="1"/>
  <c r="F269" i="9"/>
  <c r="G269" i="9" s="1"/>
  <c r="F270" i="9"/>
  <c r="G270" i="9" s="1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K330" i="28" s="1"/>
  <c r="O264" i="9"/>
  <c r="O265" i="9"/>
  <c r="K333" i="28" s="1"/>
  <c r="O266" i="9"/>
  <c r="K334" i="28" s="1"/>
  <c r="O267" i="9"/>
  <c r="K338" i="28" s="1"/>
  <c r="O268" i="9"/>
  <c r="K339" i="28" s="1"/>
  <c r="O269" i="9"/>
  <c r="K342" i="28" s="1"/>
  <c r="O270" i="9"/>
  <c r="K343" i="28" s="1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F241" i="8"/>
  <c r="G241" i="8" s="1"/>
  <c r="F242" i="8"/>
  <c r="G242" i="8" s="1"/>
  <c r="F243" i="8"/>
  <c r="G243" i="8" s="1"/>
  <c r="F244" i="8"/>
  <c r="G244" i="8" s="1"/>
  <c r="F245" i="8"/>
  <c r="G245" i="8" s="1"/>
  <c r="F246" i="8"/>
  <c r="G246" i="8" s="1"/>
  <c r="F247" i="8"/>
  <c r="G247" i="8" s="1"/>
  <c r="F248" i="8"/>
  <c r="G248" i="8" s="1"/>
  <c r="F249" i="8"/>
  <c r="G249" i="8" s="1"/>
  <c r="F250" i="8"/>
  <c r="G250" i="8" s="1"/>
  <c r="F251" i="8"/>
  <c r="G251" i="8" s="1"/>
  <c r="F252" i="8"/>
  <c r="G252" i="8" s="1"/>
  <c r="F253" i="8"/>
  <c r="G253" i="8" s="1"/>
  <c r="F254" i="8"/>
  <c r="G254" i="8" s="1"/>
  <c r="F255" i="8"/>
  <c r="G255" i="8" s="1"/>
  <c r="F256" i="8"/>
  <c r="G256" i="8" s="1"/>
  <c r="F257" i="8"/>
  <c r="G257" i="8" s="1"/>
  <c r="F258" i="8"/>
  <c r="G258" i="8" s="1"/>
  <c r="F259" i="8"/>
  <c r="G259" i="8" s="1"/>
  <c r="F260" i="8"/>
  <c r="G260" i="8" s="1"/>
  <c r="F261" i="8"/>
  <c r="G261" i="8" s="1"/>
  <c r="F262" i="8"/>
  <c r="G262" i="8" s="1"/>
  <c r="F263" i="8"/>
  <c r="G263" i="8" s="1"/>
  <c r="F264" i="8"/>
  <c r="G264" i="8" s="1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J323" i="28" s="1"/>
  <c r="O259" i="8"/>
  <c r="O260" i="8"/>
  <c r="J326" i="28" s="1"/>
  <c r="O261" i="8"/>
  <c r="O262" i="8"/>
  <c r="J333" i="28" s="1"/>
  <c r="O263" i="8"/>
  <c r="O264" i="8"/>
  <c r="J325" i="28" s="1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F242" i="7"/>
  <c r="G242" i="7" s="1"/>
  <c r="F243" i="7"/>
  <c r="G243" i="7" s="1"/>
  <c r="F244" i="7"/>
  <c r="G244" i="7" s="1"/>
  <c r="F245" i="7"/>
  <c r="G245" i="7" s="1"/>
  <c r="F246" i="7"/>
  <c r="G246" i="7" s="1"/>
  <c r="F247" i="7"/>
  <c r="G247" i="7" s="1"/>
  <c r="F248" i="7"/>
  <c r="G248" i="7" s="1"/>
  <c r="F249" i="7"/>
  <c r="G249" i="7" s="1"/>
  <c r="F250" i="7"/>
  <c r="G250" i="7" s="1"/>
  <c r="F251" i="7"/>
  <c r="G251" i="7" s="1"/>
  <c r="F252" i="7"/>
  <c r="G252" i="7" s="1"/>
  <c r="F253" i="7"/>
  <c r="G253" i="7" s="1"/>
  <c r="F254" i="7"/>
  <c r="G254" i="7" s="1"/>
  <c r="F255" i="7"/>
  <c r="G255" i="7" s="1"/>
  <c r="F256" i="7"/>
  <c r="G256" i="7" s="1"/>
  <c r="F257" i="7"/>
  <c r="G257" i="7" s="1"/>
  <c r="F258" i="7"/>
  <c r="G258" i="7" s="1"/>
  <c r="F259" i="7"/>
  <c r="G259" i="7" s="1"/>
  <c r="F260" i="7"/>
  <c r="G260" i="7" s="1"/>
  <c r="F261" i="7"/>
  <c r="G261" i="7" s="1"/>
  <c r="F262" i="7"/>
  <c r="G262" i="7" s="1"/>
  <c r="F263" i="7"/>
  <c r="G263" i="7" s="1"/>
  <c r="F264" i="7"/>
  <c r="G264" i="7" s="1"/>
  <c r="F265" i="7"/>
  <c r="G265" i="7" s="1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I325" i="28" s="1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C329" i="28"/>
  <c r="D329" i="28"/>
  <c r="E329" i="28"/>
  <c r="C244" i="1"/>
  <c r="D244" i="1"/>
  <c r="E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H41" i="28" s="1"/>
  <c r="O36" i="2"/>
  <c r="H42" i="28" s="1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H281" i="28" s="1"/>
  <c r="O227" i="2"/>
  <c r="O228" i="2"/>
  <c r="O229" i="2"/>
  <c r="O230" i="2"/>
  <c r="O231" i="2"/>
  <c r="O15" i="2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I47" i="28" s="1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8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I281" i="28" s="1"/>
  <c r="O226" i="7"/>
  <c r="O227" i="7"/>
  <c r="O228" i="7"/>
  <c r="O229" i="7"/>
  <c r="O230" i="7"/>
  <c r="O231" i="7"/>
  <c r="O232" i="7"/>
  <c r="O233" i="7"/>
  <c r="O234" i="7"/>
  <c r="O235" i="7"/>
  <c r="O236" i="7"/>
  <c r="O237" i="7"/>
  <c r="O238" i="7"/>
  <c r="O239" i="7"/>
  <c r="O240" i="7"/>
  <c r="O241" i="7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J32" i="28" s="1"/>
  <c r="O28" i="8"/>
  <c r="O29" i="8"/>
  <c r="O30" i="8"/>
  <c r="O31" i="8"/>
  <c r="J36" i="28" s="1"/>
  <c r="O32" i="8"/>
  <c r="J37" i="28" s="1"/>
  <c r="O33" i="8"/>
  <c r="O34" i="8"/>
  <c r="O35" i="8"/>
  <c r="J42" i="28" s="1"/>
  <c r="O36" i="8"/>
  <c r="O37" i="8"/>
  <c r="O38" i="8"/>
  <c r="J45" i="28" s="1"/>
  <c r="O39" i="8"/>
  <c r="O40" i="8"/>
  <c r="J48" i="28" s="1"/>
  <c r="O41" i="8"/>
  <c r="J49" i="28" s="1"/>
  <c r="O42" i="8"/>
  <c r="J50" i="28" s="1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J153" i="28" s="1"/>
  <c r="O145" i="8"/>
  <c r="O146" i="8"/>
  <c r="O147" i="8"/>
  <c r="O148" i="8"/>
  <c r="O149" i="8"/>
  <c r="O150" i="8"/>
  <c r="O151" i="8"/>
  <c r="O152" i="8"/>
  <c r="J173" i="28" s="1"/>
  <c r="O153" i="8"/>
  <c r="J174" i="28" s="1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K47" i="28" s="1"/>
  <c r="O37" i="9"/>
  <c r="K48" i="28" s="1"/>
  <c r="O38" i="9"/>
  <c r="K49" i="28" s="1"/>
  <c r="O39" i="9"/>
  <c r="K50" i="28" s="1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K281" i="28" s="1"/>
  <c r="O235" i="9"/>
  <c r="O236" i="9"/>
  <c r="O237" i="9"/>
  <c r="O238" i="9"/>
  <c r="O239" i="9"/>
  <c r="O240" i="9"/>
  <c r="O241" i="9"/>
  <c r="O242" i="9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L48" i="28" s="1"/>
  <c r="O37" i="10"/>
  <c r="O38" i="10"/>
  <c r="L50" i="28" s="1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L281" i="28" s="1"/>
  <c r="O234" i="10"/>
  <c r="O235" i="10"/>
  <c r="O236" i="10"/>
  <c r="O237" i="10"/>
  <c r="O238" i="10"/>
  <c r="O239" i="10"/>
  <c r="O240" i="10"/>
  <c r="O241" i="10"/>
  <c r="O242" i="10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M173" i="28" s="1"/>
  <c r="O150" i="11"/>
  <c r="M174" i="28" s="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N47" i="28" s="1"/>
  <c r="O35" i="12"/>
  <c r="N48" i="28" s="1"/>
  <c r="O36" i="12"/>
  <c r="N49" i="28" s="1"/>
  <c r="O37" i="12"/>
  <c r="N50" i="28" s="1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N153" i="28" s="1"/>
  <c r="O142" i="12"/>
  <c r="O143" i="12"/>
  <c r="O144" i="12"/>
  <c r="O145" i="12"/>
  <c r="O146" i="12"/>
  <c r="O147" i="12"/>
  <c r="O148" i="12"/>
  <c r="O149" i="12"/>
  <c r="N173" i="28" s="1"/>
  <c r="O150" i="12"/>
  <c r="N174" i="28" s="1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O169" i="12"/>
  <c r="O170" i="12"/>
  <c r="O171" i="12"/>
  <c r="O172" i="12"/>
  <c r="O173" i="12"/>
  <c r="O174" i="12"/>
  <c r="O175" i="12"/>
  <c r="O176" i="12"/>
  <c r="O177" i="12"/>
  <c r="O178" i="12"/>
  <c r="O179" i="12"/>
  <c r="O180" i="12"/>
  <c r="O181" i="12"/>
  <c r="O182" i="12"/>
  <c r="O183" i="12"/>
  <c r="O184" i="12"/>
  <c r="O185" i="12"/>
  <c r="O186" i="12"/>
  <c r="O187" i="12"/>
  <c r="O188" i="12"/>
  <c r="O189" i="12"/>
  <c r="O190" i="12"/>
  <c r="O191" i="12"/>
  <c r="O192" i="12"/>
  <c r="O193" i="12"/>
  <c r="O194" i="12"/>
  <c r="O195" i="12"/>
  <c r="O196" i="12"/>
  <c r="O197" i="12"/>
  <c r="O198" i="12"/>
  <c r="O199" i="12"/>
  <c r="O200" i="12"/>
  <c r="O201" i="12"/>
  <c r="O202" i="12"/>
  <c r="O203" i="12"/>
  <c r="O204" i="12"/>
  <c r="O205" i="12"/>
  <c r="O206" i="12"/>
  <c r="O207" i="12"/>
  <c r="O208" i="12"/>
  <c r="O209" i="12"/>
  <c r="O210" i="12"/>
  <c r="O211" i="12"/>
  <c r="O212" i="12"/>
  <c r="O213" i="12"/>
  <c r="O214" i="12"/>
  <c r="O215" i="12"/>
  <c r="O216" i="12"/>
  <c r="O217" i="12"/>
  <c r="O218" i="12"/>
  <c r="O219" i="12"/>
  <c r="O220" i="12"/>
  <c r="O221" i="12"/>
  <c r="O222" i="12"/>
  <c r="O223" i="12"/>
  <c r="O224" i="12"/>
  <c r="O225" i="12"/>
  <c r="O226" i="12"/>
  <c r="O227" i="12"/>
  <c r="O228" i="12"/>
  <c r="O229" i="12"/>
  <c r="O230" i="12"/>
  <c r="O231" i="12"/>
  <c r="O232" i="12"/>
  <c r="O233" i="12"/>
  <c r="O234" i="12"/>
  <c r="O235" i="12"/>
  <c r="O236" i="12"/>
  <c r="O237" i="12"/>
  <c r="O238" i="12"/>
  <c r="O239" i="12"/>
  <c r="N281" i="28" s="1"/>
  <c r="O240" i="12"/>
  <c r="O241" i="12"/>
  <c r="O242" i="12"/>
  <c r="O243" i="12"/>
  <c r="O244" i="12"/>
  <c r="O245" i="12"/>
  <c r="O246" i="12"/>
  <c r="O247" i="12"/>
  <c r="O248" i="12"/>
  <c r="O249" i="12"/>
  <c r="O250" i="12"/>
  <c r="O251" i="12"/>
  <c r="O252" i="12"/>
  <c r="O253" i="12"/>
  <c r="O254" i="12"/>
  <c r="O255" i="12"/>
  <c r="O256" i="12"/>
  <c r="O257" i="12"/>
  <c r="N326" i="28" s="1"/>
  <c r="O258" i="12"/>
  <c r="N327" i="28" s="1"/>
  <c r="O259" i="12"/>
  <c r="N328" i="28" s="1"/>
  <c r="O260" i="12"/>
  <c r="O261" i="12"/>
  <c r="O262" i="12"/>
  <c r="N330" i="28" s="1"/>
  <c r="O263" i="12"/>
  <c r="N332" i="28" s="1"/>
  <c r="O264" i="12"/>
  <c r="O265" i="12"/>
  <c r="N334" i="28" s="1"/>
  <c r="O266" i="12"/>
  <c r="O267" i="12"/>
  <c r="O268" i="12"/>
  <c r="N342" i="28" s="1"/>
  <c r="O269" i="12"/>
  <c r="E241" i="11"/>
  <c r="F241" i="11"/>
  <c r="G241" i="11" s="1"/>
  <c r="E234" i="10"/>
  <c r="E235" i="10"/>
  <c r="E236" i="10"/>
  <c r="E237" i="10"/>
  <c r="E238" i="10"/>
  <c r="E239" i="10"/>
  <c r="E240" i="10"/>
  <c r="E241" i="10"/>
  <c r="E242" i="10"/>
  <c r="F234" i="10"/>
  <c r="G234" i="10" s="1"/>
  <c r="F235" i="10"/>
  <c r="G235" i="10" s="1"/>
  <c r="F236" i="10"/>
  <c r="G236" i="10" s="1"/>
  <c r="F237" i="10"/>
  <c r="G237" i="10" s="1"/>
  <c r="F238" i="10"/>
  <c r="G238" i="10" s="1"/>
  <c r="F239" i="10"/>
  <c r="G239" i="10" s="1"/>
  <c r="F240" i="10"/>
  <c r="G240" i="10" s="1"/>
  <c r="F241" i="10"/>
  <c r="G241" i="10" s="1"/>
  <c r="F242" i="10"/>
  <c r="G242" i="10" s="1"/>
  <c r="E234" i="9"/>
  <c r="E235" i="9"/>
  <c r="E236" i="9"/>
  <c r="E237" i="9"/>
  <c r="E238" i="9"/>
  <c r="E239" i="9"/>
  <c r="E240" i="9"/>
  <c r="E241" i="9"/>
  <c r="E242" i="9"/>
  <c r="F234" i="9"/>
  <c r="G234" i="9" s="1"/>
  <c r="F235" i="9"/>
  <c r="G235" i="9" s="1"/>
  <c r="F236" i="9"/>
  <c r="G236" i="9" s="1"/>
  <c r="F237" i="9"/>
  <c r="G237" i="9" s="1"/>
  <c r="F238" i="9"/>
  <c r="G238" i="9" s="1"/>
  <c r="F239" i="9"/>
  <c r="G239" i="9" s="1"/>
  <c r="F240" i="9"/>
  <c r="G240" i="9" s="1"/>
  <c r="F241" i="9"/>
  <c r="G241" i="9" s="1"/>
  <c r="F242" i="9"/>
  <c r="G242" i="9" s="1"/>
  <c r="E232" i="8"/>
  <c r="E233" i="8"/>
  <c r="E234" i="8"/>
  <c r="E235" i="8"/>
  <c r="E236" i="8"/>
  <c r="E237" i="8"/>
  <c r="E238" i="8"/>
  <c r="E239" i="8"/>
  <c r="E240" i="8"/>
  <c r="F232" i="8"/>
  <c r="G232" i="8" s="1"/>
  <c r="F233" i="8"/>
  <c r="G233" i="8" s="1"/>
  <c r="F234" i="8"/>
  <c r="G234" i="8" s="1"/>
  <c r="F235" i="8"/>
  <c r="G235" i="8" s="1"/>
  <c r="F236" i="8"/>
  <c r="G236" i="8" s="1"/>
  <c r="F237" i="8"/>
  <c r="G237" i="8" s="1"/>
  <c r="F238" i="8"/>
  <c r="G238" i="8" s="1"/>
  <c r="F239" i="8"/>
  <c r="G239" i="8" s="1"/>
  <c r="F240" i="8"/>
  <c r="G240" i="8" s="1"/>
  <c r="E233" i="7"/>
  <c r="E234" i="7"/>
  <c r="E235" i="7"/>
  <c r="E236" i="7"/>
  <c r="E237" i="7"/>
  <c r="E238" i="7"/>
  <c r="E239" i="7"/>
  <c r="E240" i="7"/>
  <c r="E241" i="7"/>
  <c r="F233" i="7"/>
  <c r="G233" i="7" s="1"/>
  <c r="F234" i="7"/>
  <c r="G234" i="7" s="1"/>
  <c r="F235" i="7"/>
  <c r="G235" i="7" s="1"/>
  <c r="F236" i="7"/>
  <c r="G236" i="7" s="1"/>
  <c r="F237" i="7"/>
  <c r="G237" i="7" s="1"/>
  <c r="F238" i="7"/>
  <c r="G238" i="7" s="1"/>
  <c r="F239" i="7"/>
  <c r="G239" i="7" s="1"/>
  <c r="F240" i="7"/>
  <c r="G240" i="7" s="1"/>
  <c r="F241" i="7"/>
  <c r="G241" i="7" s="1"/>
  <c r="E220" i="2"/>
  <c r="E221" i="2"/>
  <c r="E222" i="2"/>
  <c r="E223" i="2"/>
  <c r="E224" i="2"/>
  <c r="E225" i="2"/>
  <c r="E226" i="2"/>
  <c r="E227" i="2"/>
  <c r="E228" i="2"/>
  <c r="E229" i="2"/>
  <c r="E230" i="2"/>
  <c r="E231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C327" i="28"/>
  <c r="C328" i="28"/>
  <c r="D327" i="28"/>
  <c r="D328" i="28"/>
  <c r="E327" i="28"/>
  <c r="E328" i="28"/>
  <c r="H328" i="28"/>
  <c r="I328" i="28"/>
  <c r="J328" i="28"/>
  <c r="K328" i="28"/>
  <c r="L327" i="28"/>
  <c r="L328" i="28"/>
  <c r="C255" i="1"/>
  <c r="B218" i="11" s="1"/>
  <c r="D255" i="1"/>
  <c r="E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C256" i="1"/>
  <c r="B211" i="11" s="1"/>
  <c r="D256" i="1"/>
  <c r="E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C321" i="28"/>
  <c r="C322" i="28"/>
  <c r="C323" i="28"/>
  <c r="C324" i="28"/>
  <c r="C325" i="28"/>
  <c r="C326" i="28"/>
  <c r="D321" i="28"/>
  <c r="D322" i="28"/>
  <c r="D323" i="28"/>
  <c r="D324" i="28"/>
  <c r="D325" i="28"/>
  <c r="D326" i="28"/>
  <c r="E321" i="28"/>
  <c r="E322" i="28"/>
  <c r="E323" i="28"/>
  <c r="E324" i="28"/>
  <c r="E325" i="28"/>
  <c r="E326" i="28"/>
  <c r="H325" i="28"/>
  <c r="K325" i="28"/>
  <c r="K326" i="28"/>
  <c r="L325" i="28"/>
  <c r="M325" i="28"/>
  <c r="O325" i="28"/>
  <c r="P325" i="28"/>
  <c r="Q325" i="28"/>
  <c r="R325" i="28"/>
  <c r="S325" i="28"/>
  <c r="C285" i="1"/>
  <c r="B244" i="11" s="1"/>
  <c r="D285" i="1"/>
  <c r="E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C206" i="1"/>
  <c r="B181" i="11" s="1"/>
  <c r="D206" i="1"/>
  <c r="E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C197" i="1"/>
  <c r="D197" i="1"/>
  <c r="E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C141" i="1"/>
  <c r="D141" i="1"/>
  <c r="E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C142" i="1"/>
  <c r="D142" i="1"/>
  <c r="E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C139" i="1"/>
  <c r="D139" i="1"/>
  <c r="E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D69" i="18"/>
  <c r="C316" i="28"/>
  <c r="C317" i="28"/>
  <c r="C318" i="28"/>
  <c r="C319" i="28"/>
  <c r="C320" i="28"/>
  <c r="D316" i="28"/>
  <c r="D317" i="28"/>
  <c r="D318" i="28"/>
  <c r="D319" i="28"/>
  <c r="D320" i="28"/>
  <c r="E316" i="28"/>
  <c r="E317" i="28"/>
  <c r="E318" i="28"/>
  <c r="E319" i="28"/>
  <c r="E320" i="28"/>
  <c r="K319" i="28"/>
  <c r="K320" i="28"/>
  <c r="N318" i="28"/>
  <c r="C280" i="1"/>
  <c r="D280" i="1"/>
  <c r="E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C308" i="1"/>
  <c r="D308" i="1"/>
  <c r="E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C230" i="1"/>
  <c r="D230" i="1"/>
  <c r="E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C161" i="1"/>
  <c r="B134" i="11" s="1"/>
  <c r="D161" i="1"/>
  <c r="E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C162" i="1"/>
  <c r="D162" i="1"/>
  <c r="E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E299" i="17"/>
  <c r="E300" i="17"/>
  <c r="E301" i="17"/>
  <c r="E302" i="17"/>
  <c r="F299" i="17"/>
  <c r="G299" i="17" s="1"/>
  <c r="F300" i="17"/>
  <c r="G300" i="17" s="1"/>
  <c r="F301" i="17"/>
  <c r="G301" i="17" s="1"/>
  <c r="F302" i="17"/>
  <c r="G302" i="17" s="1"/>
  <c r="O299" i="17"/>
  <c r="O300" i="17"/>
  <c r="O301" i="17"/>
  <c r="O302" i="17"/>
  <c r="E299" i="16"/>
  <c r="E300" i="16"/>
  <c r="E301" i="16"/>
  <c r="E302" i="16"/>
  <c r="F299" i="16"/>
  <c r="G299" i="16" s="1"/>
  <c r="F300" i="16"/>
  <c r="G300" i="16" s="1"/>
  <c r="F301" i="16"/>
  <c r="G301" i="16" s="1"/>
  <c r="F302" i="16"/>
  <c r="G302" i="16" s="1"/>
  <c r="O299" i="16"/>
  <c r="O300" i="16"/>
  <c r="O301" i="16"/>
  <c r="O302" i="16"/>
  <c r="D95" i="18"/>
  <c r="D126" i="18"/>
  <c r="D125" i="18"/>
  <c r="D124" i="18"/>
  <c r="D123" i="18"/>
  <c r="D122" i="18"/>
  <c r="D121" i="18"/>
  <c r="C15" i="1"/>
  <c r="B15" i="11" s="1"/>
  <c r="C16" i="1"/>
  <c r="B16" i="11" s="1"/>
  <c r="C17" i="1"/>
  <c r="B17" i="11" s="1"/>
  <c r="C18" i="1"/>
  <c r="B18" i="11" s="1"/>
  <c r="C19" i="1"/>
  <c r="C20" i="1"/>
  <c r="B19" i="11" s="1"/>
  <c r="C21" i="1"/>
  <c r="C22" i="1"/>
  <c r="B20" i="11" s="1"/>
  <c r="C23" i="1"/>
  <c r="B21" i="11" s="1"/>
  <c r="C24" i="1"/>
  <c r="B22" i="11" s="1"/>
  <c r="C25" i="1"/>
  <c r="B23" i="11" s="1"/>
  <c r="C26" i="1"/>
  <c r="C27" i="1"/>
  <c r="B24" i="11" s="1"/>
  <c r="C28" i="1"/>
  <c r="B25" i="11" s="1"/>
  <c r="C29" i="1"/>
  <c r="C30" i="1"/>
  <c r="B26" i="11" s="1"/>
  <c r="C31" i="1"/>
  <c r="C33" i="1"/>
  <c r="B27" i="11" s="1"/>
  <c r="C34" i="1"/>
  <c r="B28" i="11" s="1"/>
  <c r="C35" i="1"/>
  <c r="B29" i="11" s="1"/>
  <c r="C38" i="1"/>
  <c r="B30" i="11" s="1"/>
  <c r="C39" i="1"/>
  <c r="B31" i="11" s="1"/>
  <c r="C40" i="1"/>
  <c r="C43" i="1"/>
  <c r="B32" i="11" s="1"/>
  <c r="C44" i="1"/>
  <c r="B33" i="11" s="1"/>
  <c r="C46" i="1"/>
  <c r="C51" i="1"/>
  <c r="B38" i="11" s="1"/>
  <c r="C52" i="1"/>
  <c r="B39" i="11" s="1"/>
  <c r="C53" i="1"/>
  <c r="B40" i="11" s="1"/>
  <c r="C54" i="1"/>
  <c r="B41" i="11" s="1"/>
  <c r="C55" i="1"/>
  <c r="B42" i="11" s="1"/>
  <c r="C56" i="1"/>
  <c r="B43" i="11" s="1"/>
  <c r="C57" i="1"/>
  <c r="B44" i="11" s="1"/>
  <c r="C58" i="1"/>
  <c r="B45" i="11" s="1"/>
  <c r="C59" i="1"/>
  <c r="B46" i="11" s="1"/>
  <c r="C60" i="1"/>
  <c r="B47" i="11" s="1"/>
  <c r="C61" i="1"/>
  <c r="B48" i="11" s="1"/>
  <c r="C62" i="1"/>
  <c r="B49" i="11" s="1"/>
  <c r="C63" i="1"/>
  <c r="B50" i="11" s="1"/>
  <c r="C64" i="1"/>
  <c r="B51" i="11" s="1"/>
  <c r="C65" i="1"/>
  <c r="B52" i="11" s="1"/>
  <c r="C66" i="1"/>
  <c r="B53" i="11" s="1"/>
  <c r="C67" i="1"/>
  <c r="B54" i="11" s="1"/>
  <c r="C68" i="1"/>
  <c r="B55" i="11" s="1"/>
  <c r="C69" i="1"/>
  <c r="B56" i="11" s="1"/>
  <c r="C70" i="1"/>
  <c r="B57" i="11" s="1"/>
  <c r="C71" i="1"/>
  <c r="B58" i="11" s="1"/>
  <c r="C72" i="1"/>
  <c r="B59" i="11" s="1"/>
  <c r="C73" i="1"/>
  <c r="B60" i="11" s="1"/>
  <c r="C74" i="1"/>
  <c r="B61" i="11" s="1"/>
  <c r="C75" i="1"/>
  <c r="B62" i="11" s="1"/>
  <c r="C76" i="1"/>
  <c r="B63" i="11" s="1"/>
  <c r="C77" i="1"/>
  <c r="B64" i="11" s="1"/>
  <c r="C78" i="1"/>
  <c r="B65" i="11" s="1"/>
  <c r="C79" i="1"/>
  <c r="B66" i="11" s="1"/>
  <c r="C80" i="1"/>
  <c r="B67" i="11" s="1"/>
  <c r="C81" i="1"/>
  <c r="B68" i="11" s="1"/>
  <c r="C82" i="1"/>
  <c r="B69" i="11" s="1"/>
  <c r="C83" i="1"/>
  <c r="B70" i="11" s="1"/>
  <c r="C84" i="1"/>
  <c r="B71" i="11" s="1"/>
  <c r="C85" i="1"/>
  <c r="B72" i="11" s="1"/>
  <c r="C86" i="1"/>
  <c r="B73" i="11" s="1"/>
  <c r="C87" i="1"/>
  <c r="B74" i="11" s="1"/>
  <c r="C88" i="1"/>
  <c r="B75" i="11" s="1"/>
  <c r="C89" i="1"/>
  <c r="B76" i="11" s="1"/>
  <c r="C90" i="1"/>
  <c r="B77" i="11" s="1"/>
  <c r="C91" i="1"/>
  <c r="C92" i="1"/>
  <c r="B78" i="11" s="1"/>
  <c r="C93" i="1"/>
  <c r="B79" i="11" s="1"/>
  <c r="C94" i="1"/>
  <c r="B80" i="11" s="1"/>
  <c r="C98" i="1"/>
  <c r="B84" i="11" s="1"/>
  <c r="C99" i="1"/>
  <c r="B85" i="11" s="1"/>
  <c r="C103" i="1"/>
  <c r="B89" i="11" s="1"/>
  <c r="C104" i="1"/>
  <c r="B90" i="11" s="1"/>
  <c r="C105" i="1"/>
  <c r="B91" i="11" s="1"/>
  <c r="C106" i="1"/>
  <c r="B92" i="11" s="1"/>
  <c r="C107" i="1"/>
  <c r="B93" i="11" s="1"/>
  <c r="C108" i="1"/>
  <c r="B94" i="11" s="1"/>
  <c r="C109" i="1"/>
  <c r="B95" i="11" s="1"/>
  <c r="C110" i="1"/>
  <c r="B96" i="11" s="1"/>
  <c r="C111" i="1"/>
  <c r="B97" i="11" s="1"/>
  <c r="C112" i="1"/>
  <c r="B98" i="11" s="1"/>
  <c r="C113" i="1"/>
  <c r="B99" i="11" s="1"/>
  <c r="C114" i="1"/>
  <c r="B100" i="11" s="1"/>
  <c r="C115" i="1"/>
  <c r="B101" i="11" s="1"/>
  <c r="C116" i="1"/>
  <c r="B102" i="11" s="1"/>
  <c r="C117" i="1"/>
  <c r="B103" i="11" s="1"/>
  <c r="C118" i="1"/>
  <c r="B104" i="11" s="1"/>
  <c r="C119" i="1"/>
  <c r="B105" i="11" s="1"/>
  <c r="C120" i="1"/>
  <c r="B106" i="11" s="1"/>
  <c r="C121" i="1"/>
  <c r="B107" i="11" s="1"/>
  <c r="C122" i="1"/>
  <c r="B108" i="11" s="1"/>
  <c r="C123" i="1"/>
  <c r="B109" i="11" s="1"/>
  <c r="C124" i="1"/>
  <c r="B110" i="11" s="1"/>
  <c r="C125" i="1"/>
  <c r="B111" i="11" s="1"/>
  <c r="C126" i="1"/>
  <c r="B112" i="11" s="1"/>
  <c r="C127" i="1"/>
  <c r="B113" i="11" s="1"/>
  <c r="C128" i="1"/>
  <c r="B114" i="11" s="1"/>
  <c r="C129" i="1"/>
  <c r="B115" i="11" s="1"/>
  <c r="C130" i="1"/>
  <c r="B116" i="11" s="1"/>
  <c r="C131" i="1"/>
  <c r="B117" i="11" s="1"/>
  <c r="C132" i="1"/>
  <c r="B118" i="11" s="1"/>
  <c r="C133" i="1"/>
  <c r="B119" i="11" s="1"/>
  <c r="C134" i="1"/>
  <c r="B120" i="11" s="1"/>
  <c r="C135" i="1"/>
  <c r="B121" i="11" s="1"/>
  <c r="C136" i="1"/>
  <c r="B122" i="11" s="1"/>
  <c r="C137" i="1"/>
  <c r="C138" i="1"/>
  <c r="B124" i="11" s="1"/>
  <c r="C140" i="1"/>
  <c r="C143" i="1"/>
  <c r="B129" i="11" s="1"/>
  <c r="C144" i="1"/>
  <c r="B130" i="11" s="1"/>
  <c r="C145" i="1"/>
  <c r="B131" i="11" s="1"/>
  <c r="C146" i="1"/>
  <c r="C147" i="1"/>
  <c r="C148" i="1"/>
  <c r="B136" i="11" s="1"/>
  <c r="C149" i="1"/>
  <c r="B137" i="11" s="1"/>
  <c r="C150" i="1"/>
  <c r="B138" i="11" s="1"/>
  <c r="C151" i="1"/>
  <c r="C152" i="1"/>
  <c r="B140" i="11" s="1"/>
  <c r="C154" i="1"/>
  <c r="C155" i="1"/>
  <c r="B142" i="11" s="1"/>
  <c r="C156" i="1"/>
  <c r="B143" i="11" s="1"/>
  <c r="C157" i="1"/>
  <c r="C158" i="1"/>
  <c r="C159" i="1"/>
  <c r="C160" i="1"/>
  <c r="C163" i="1"/>
  <c r="B144" i="11" s="1"/>
  <c r="C164" i="1"/>
  <c r="B145" i="11" s="1"/>
  <c r="C165" i="1"/>
  <c r="B146" i="11" s="1"/>
  <c r="C166" i="1"/>
  <c r="B147" i="11" s="1"/>
  <c r="C167" i="1"/>
  <c r="B148" i="11" s="1"/>
  <c r="C168" i="1"/>
  <c r="C169" i="1"/>
  <c r="C170" i="1"/>
  <c r="C171" i="1"/>
  <c r="C172" i="1"/>
  <c r="B151" i="11" s="1"/>
  <c r="C175" i="1"/>
  <c r="B152" i="11" s="1"/>
  <c r="C176" i="1"/>
  <c r="B153" i="11" s="1"/>
  <c r="C177" i="1"/>
  <c r="B154" i="11" s="1"/>
  <c r="C178" i="1"/>
  <c r="B155" i="11" s="1"/>
  <c r="C179" i="1"/>
  <c r="B156" i="11" s="1"/>
  <c r="C180" i="1"/>
  <c r="B157" i="11" s="1"/>
  <c r="C181" i="1"/>
  <c r="B158" i="11" s="1"/>
  <c r="C182" i="1"/>
  <c r="B159" i="11" s="1"/>
  <c r="C183" i="1"/>
  <c r="B160" i="11" s="1"/>
  <c r="C184" i="1"/>
  <c r="B161" i="11" s="1"/>
  <c r="C185" i="1"/>
  <c r="B162" i="11" s="1"/>
  <c r="C186" i="1"/>
  <c r="B163" i="11" s="1"/>
  <c r="C187" i="1"/>
  <c r="B164" i="11" s="1"/>
  <c r="C188" i="1"/>
  <c r="B165" i="11" s="1"/>
  <c r="C189" i="1"/>
  <c r="B166" i="11" s="1"/>
  <c r="C190" i="1"/>
  <c r="B167" i="11" s="1"/>
  <c r="C191" i="1"/>
  <c r="B168" i="11" s="1"/>
  <c r="C192" i="1"/>
  <c r="B169" i="11" s="1"/>
  <c r="C193" i="1"/>
  <c r="B170" i="11" s="1"/>
  <c r="C194" i="1"/>
  <c r="C195" i="1"/>
  <c r="B171" i="11" s="1"/>
  <c r="C196" i="1"/>
  <c r="B172" i="11" s="1"/>
  <c r="C204" i="1"/>
  <c r="B179" i="11" s="1"/>
  <c r="C205" i="1"/>
  <c r="B180" i="11" s="1"/>
  <c r="C207" i="1"/>
  <c r="B182" i="11" s="1"/>
  <c r="C208" i="1"/>
  <c r="B183" i="11" s="1"/>
  <c r="C209" i="1"/>
  <c r="B184" i="11" s="1"/>
  <c r="C210" i="1"/>
  <c r="B185" i="11" s="1"/>
  <c r="C211" i="1"/>
  <c r="B186" i="11" s="1"/>
  <c r="C212" i="1"/>
  <c r="B187" i="11" s="1"/>
  <c r="C213" i="1"/>
  <c r="C214" i="1"/>
  <c r="C215" i="1"/>
  <c r="B188" i="11" s="1"/>
  <c r="C216" i="1"/>
  <c r="B189" i="11" s="1"/>
  <c r="C217" i="1"/>
  <c r="B190" i="11" s="1"/>
  <c r="C218" i="1"/>
  <c r="B191" i="11" s="1"/>
  <c r="C219" i="1"/>
  <c r="C220" i="1"/>
  <c r="C221" i="1"/>
  <c r="B193" i="11" s="1"/>
  <c r="C222" i="1"/>
  <c r="B194" i="11" s="1"/>
  <c r="C223" i="1"/>
  <c r="C224" i="1"/>
  <c r="C225" i="1"/>
  <c r="B195" i="11" s="1"/>
  <c r="C226" i="1"/>
  <c r="B196" i="11" s="1"/>
  <c r="C227" i="1"/>
  <c r="B197" i="11" s="1"/>
  <c r="C228" i="1"/>
  <c r="B198" i="11" s="1"/>
  <c r="C229" i="1"/>
  <c r="B199" i="11" s="1"/>
  <c r="C231" i="1"/>
  <c r="C232" i="1"/>
  <c r="C233" i="1"/>
  <c r="C234" i="1"/>
  <c r="C235" i="1"/>
  <c r="C236" i="1"/>
  <c r="B202" i="11" s="1"/>
  <c r="C237" i="1"/>
  <c r="B203" i="11" s="1"/>
  <c r="C238" i="1"/>
  <c r="B204" i="11" s="1"/>
  <c r="C239" i="1"/>
  <c r="B205" i="11" s="1"/>
  <c r="C240" i="1"/>
  <c r="B206" i="11" s="1"/>
  <c r="C241" i="1"/>
  <c r="C242" i="1"/>
  <c r="B207" i="11" s="1"/>
  <c r="C243" i="1"/>
  <c r="B208" i="11" s="1"/>
  <c r="C245" i="1"/>
  <c r="C246" i="1"/>
  <c r="C247" i="1"/>
  <c r="C254" i="1"/>
  <c r="B217" i="11" s="1"/>
  <c r="C257" i="1"/>
  <c r="B220" i="11" s="1"/>
  <c r="C258" i="1"/>
  <c r="B221" i="11" s="1"/>
  <c r="C259" i="1"/>
  <c r="B222" i="11" s="1"/>
  <c r="C260" i="1"/>
  <c r="B223" i="11" s="1"/>
  <c r="C261" i="1"/>
  <c r="B224" i="11" s="1"/>
  <c r="C262" i="1"/>
  <c r="B225" i="11" s="1"/>
  <c r="C263" i="1"/>
  <c r="B226" i="11" s="1"/>
  <c r="C264" i="1"/>
  <c r="B227" i="11" s="1"/>
  <c r="C265" i="1"/>
  <c r="B228" i="11" s="1"/>
  <c r="C266" i="1"/>
  <c r="B229" i="11" s="1"/>
  <c r="C267" i="1"/>
  <c r="C268" i="1"/>
  <c r="C269" i="1"/>
  <c r="B232" i="11" s="1"/>
  <c r="C270" i="1"/>
  <c r="B233" i="11" s="1"/>
  <c r="C271" i="1"/>
  <c r="B234" i="11" s="1"/>
  <c r="C272" i="1"/>
  <c r="C273" i="1"/>
  <c r="B235" i="11" s="1"/>
  <c r="C274" i="1"/>
  <c r="C275" i="1"/>
  <c r="C276" i="1"/>
  <c r="C277" i="1"/>
  <c r="C278" i="1"/>
  <c r="B237" i="11" s="1"/>
  <c r="C279" i="1"/>
  <c r="B240" i="11" s="1"/>
  <c r="C282" i="1"/>
  <c r="B241" i="11" s="1"/>
  <c r="C283" i="1"/>
  <c r="B242" i="11" s="1"/>
  <c r="C284" i="1"/>
  <c r="B243" i="11" s="1"/>
  <c r="C286" i="1"/>
  <c r="B245" i="11" s="1"/>
  <c r="C287" i="1"/>
  <c r="C288" i="1"/>
  <c r="C290" i="1"/>
  <c r="C291" i="1"/>
  <c r="C292" i="1"/>
  <c r="B246" i="11" s="1"/>
  <c r="C293" i="1"/>
  <c r="B247" i="11" s="1"/>
  <c r="C294" i="1"/>
  <c r="B248" i="11" s="1"/>
  <c r="C295" i="1"/>
  <c r="B249" i="11" s="1"/>
  <c r="C296" i="1"/>
  <c r="C297" i="1"/>
  <c r="B251" i="11" s="1"/>
  <c r="C298" i="1"/>
  <c r="B252" i="11" s="1"/>
  <c r="C299" i="1"/>
  <c r="B253" i="11" s="1"/>
  <c r="C300" i="1"/>
  <c r="B254" i="11" s="1"/>
  <c r="C301" i="1"/>
  <c r="B255" i="11" s="1"/>
  <c r="C302" i="1"/>
  <c r="C303" i="1"/>
  <c r="B256" i="11" s="1"/>
  <c r="C304" i="1"/>
  <c r="C305" i="1"/>
  <c r="C306" i="1"/>
  <c r="C307" i="1"/>
  <c r="C309" i="1"/>
  <c r="B259" i="11" s="1"/>
  <c r="C310" i="1"/>
  <c r="B260" i="11" s="1"/>
  <c r="C311" i="1"/>
  <c r="C312" i="1"/>
  <c r="B261" i="11" s="1"/>
  <c r="C313" i="1"/>
  <c r="B262" i="11" s="1"/>
  <c r="C314" i="1"/>
  <c r="C315" i="1"/>
  <c r="C316" i="1"/>
  <c r="B263" i="11" s="1"/>
  <c r="C317" i="1"/>
  <c r="B264" i="11" s="1"/>
  <c r="C318" i="1"/>
  <c r="B265" i="11" s="1"/>
  <c r="C319" i="1"/>
  <c r="B266" i="11" s="1"/>
  <c r="C320" i="1"/>
  <c r="C321" i="1"/>
  <c r="C322" i="1"/>
  <c r="C323" i="1"/>
  <c r="C324" i="1"/>
  <c r="B271" i="11" s="1"/>
  <c r="C325" i="1"/>
  <c r="C326" i="1"/>
  <c r="C327" i="1"/>
  <c r="C328" i="1"/>
  <c r="B274" i="11" s="1"/>
  <c r="C329" i="1"/>
  <c r="B275" i="11" s="1"/>
  <c r="C330" i="1"/>
  <c r="B276" i="11" s="1"/>
  <c r="C331" i="1"/>
  <c r="B277" i="11" s="1"/>
  <c r="C332" i="1"/>
  <c r="C333" i="1"/>
  <c r="B278" i="12" s="1"/>
  <c r="C334" i="1"/>
  <c r="B279" i="12" s="1"/>
  <c r="C335" i="1"/>
  <c r="B280" i="12" s="1"/>
  <c r="C336" i="1"/>
  <c r="C337" i="1"/>
  <c r="C338" i="1"/>
  <c r="C339" i="1"/>
  <c r="C340" i="1"/>
  <c r="C341" i="1"/>
  <c r="C342" i="1"/>
  <c r="C343" i="1"/>
  <c r="B277" i="9" s="1"/>
  <c r="C344" i="1"/>
  <c r="C345" i="1"/>
  <c r="C346" i="1"/>
  <c r="C349" i="1"/>
  <c r="C350" i="1"/>
  <c r="E298" i="16"/>
  <c r="F298" i="16"/>
  <c r="G298" i="16" s="1"/>
  <c r="O298" i="16"/>
  <c r="D349" i="1"/>
  <c r="S14" i="25"/>
  <c r="U91" i="29"/>
  <c r="R92" i="29"/>
  <c r="X92" i="29"/>
  <c r="D97" i="32"/>
  <c r="F143" i="29"/>
  <c r="F168" i="29"/>
  <c r="L146" i="18"/>
  <c r="R22" i="32"/>
  <c r="AA98" i="32"/>
  <c r="AJ94" i="32"/>
  <c r="R91" i="29"/>
  <c r="R143" i="29"/>
  <c r="O186" i="32"/>
  <c r="R97" i="32"/>
  <c r="AD138" i="32"/>
  <c r="X143" i="29"/>
  <c r="F32" i="18"/>
  <c r="F138" i="32"/>
  <c r="AD97" i="32"/>
  <c r="X37" i="23"/>
  <c r="D143" i="29"/>
  <c r="D91" i="29"/>
  <c r="X168" i="29"/>
  <c r="AA143" i="29"/>
  <c r="U168" i="29"/>
  <c r="I32" i="18"/>
  <c r="L97" i="32"/>
  <c r="AJ96" i="32"/>
  <c r="AA186" i="32"/>
  <c r="AG91" i="29"/>
  <c r="X138" i="32"/>
  <c r="U92" i="29"/>
  <c r="L98" i="32"/>
  <c r="X98" i="32"/>
  <c r="U143" i="29"/>
  <c r="O91" i="29"/>
  <c r="I92" i="29"/>
  <c r="AD94" i="32"/>
  <c r="AD92" i="29"/>
  <c r="O98" i="32"/>
  <c r="D94" i="32"/>
  <c r="X91" i="29"/>
  <c r="AJ143" i="29"/>
  <c r="AA92" i="29"/>
  <c r="AJ98" i="32"/>
  <c r="D138" i="32"/>
  <c r="AG138" i="32"/>
  <c r="U13" i="25"/>
  <c r="AJ138" i="32"/>
  <c r="AJ32" i="18"/>
  <c r="L138" i="32"/>
  <c r="X96" i="32"/>
  <c r="F94" i="32"/>
  <c r="U98" i="32"/>
  <c r="AA94" i="32"/>
  <c r="U146" i="18"/>
  <c r="D92" i="29"/>
  <c r="AA146" i="18"/>
  <c r="F91" i="29"/>
  <c r="AG94" i="32"/>
  <c r="X32" i="18"/>
  <c r="AG98" i="32"/>
  <c r="L168" i="29"/>
  <c r="AD37" i="23"/>
  <c r="R146" i="18"/>
  <c r="R186" i="32"/>
  <c r="D186" i="32"/>
  <c r="O143" i="29"/>
  <c r="U22" i="32"/>
  <c r="AG92" i="29"/>
  <c r="AD143" i="29"/>
  <c r="D98" i="32"/>
  <c r="AA22" i="32"/>
  <c r="I94" i="32"/>
  <c r="F98" i="32"/>
  <c r="R94" i="32"/>
  <c r="AD91" i="29"/>
  <c r="F146" i="18"/>
  <c r="AA37" i="23"/>
  <c r="L37" i="23"/>
  <c r="AA96" i="32"/>
  <c r="AA91" i="29"/>
  <c r="AJ37" i="23"/>
  <c r="I143" i="29"/>
  <c r="L22" i="32"/>
  <c r="O22" i="32"/>
  <c r="I186" i="32"/>
  <c r="L94" i="32"/>
  <c r="AD96" i="32"/>
  <c r="I146" i="18"/>
  <c r="F92" i="29"/>
  <c r="AG22" i="32"/>
  <c r="U32" i="18"/>
  <c r="X22" i="32"/>
  <c r="U97" i="32"/>
  <c r="R98" i="32"/>
  <c r="O37" i="23"/>
  <c r="D96" i="32"/>
  <c r="R96" i="32"/>
  <c r="F186" i="32"/>
  <c r="F96" i="32"/>
  <c r="I96" i="32"/>
  <c r="U94" i="32"/>
  <c r="AA32" i="18"/>
  <c r="L186" i="32"/>
  <c r="AD22" i="32"/>
  <c r="AJ186" i="32"/>
  <c r="D168" i="29"/>
  <c r="AD98" i="32"/>
  <c r="R138" i="32"/>
  <c r="L32" i="18"/>
  <c r="AG97" i="32"/>
  <c r="AD168" i="29"/>
  <c r="F97" i="32"/>
  <c r="X186" i="32"/>
  <c r="I22" i="32"/>
  <c r="AG32" i="18"/>
  <c r="AA168" i="29"/>
  <c r="U37" i="23"/>
  <c r="D22" i="32"/>
  <c r="L91" i="29"/>
  <c r="AJ22" i="32"/>
  <c r="AA138" i="32"/>
  <c r="AM146" i="18"/>
  <c r="AJ91" i="29"/>
  <c r="R37" i="23"/>
  <c r="I97" i="32"/>
  <c r="O168" i="29"/>
  <c r="R32" i="18"/>
  <c r="AG186" i="32"/>
  <c r="AJ92" i="29"/>
  <c r="U138" i="32"/>
  <c r="L92" i="29"/>
  <c r="AG37" i="23"/>
  <c r="O92" i="29"/>
  <c r="AJ97" i="32"/>
  <c r="U186" i="32"/>
  <c r="AM37" i="23"/>
  <c r="AG146" i="18"/>
  <c r="I168" i="29"/>
  <c r="O146" i="18"/>
  <c r="L143" i="29"/>
  <c r="L96" i="32"/>
  <c r="O138" i="32"/>
  <c r="AM32" i="18"/>
  <c r="AG168" i="29"/>
  <c r="O94" i="32"/>
  <c r="O96" i="32"/>
  <c r="I98" i="32"/>
  <c r="R168" i="29"/>
  <c r="I37" i="23"/>
  <c r="X146" i="18"/>
  <c r="AG96" i="32"/>
  <c r="O97" i="32"/>
  <c r="AA97" i="32"/>
  <c r="X94" i="32"/>
  <c r="AD32" i="18"/>
  <c r="I138" i="32"/>
  <c r="AJ146" i="18"/>
  <c r="X97" i="32"/>
  <c r="O32" i="18"/>
  <c r="AG143" i="29"/>
  <c r="AD186" i="32"/>
  <c r="F22" i="32"/>
  <c r="F37" i="23"/>
  <c r="U96" i="32"/>
  <c r="I91" i="29"/>
  <c r="AD146" i="18"/>
  <c r="J281" i="28" l="1"/>
  <c r="J47" i="28"/>
  <c r="I327" i="28"/>
  <c r="I330" i="28"/>
  <c r="I329" i="28"/>
  <c r="B282" i="2"/>
  <c r="B281" i="2"/>
  <c r="B302" i="17"/>
  <c r="B301" i="17"/>
  <c r="B270" i="2"/>
  <c r="B273" i="2"/>
  <c r="B300" i="17"/>
  <c r="B269" i="2"/>
  <c r="B299" i="16"/>
  <c r="B268" i="2"/>
  <c r="B298" i="16"/>
  <c r="B267" i="2"/>
  <c r="B287" i="2"/>
  <c r="B259" i="9"/>
  <c r="H351" i="28"/>
  <c r="T32" i="18"/>
  <c r="AC32" i="18"/>
  <c r="AL32" i="18"/>
  <c r="W32" i="18"/>
  <c r="H32" i="18"/>
  <c r="AF32" i="18"/>
  <c r="Q32" i="18"/>
  <c r="AO32" i="18"/>
  <c r="N32" i="18"/>
  <c r="Z32" i="18"/>
  <c r="K32" i="18"/>
  <c r="AI32" i="18"/>
  <c r="M332" i="28"/>
  <c r="B272" i="11"/>
  <c r="B125" i="11"/>
  <c r="B150" i="11"/>
  <c r="B281" i="11"/>
  <c r="B230" i="11"/>
  <c r="B201" i="11"/>
  <c r="D279" i="10"/>
  <c r="B192" i="11"/>
  <c r="C280" i="10"/>
  <c r="C288" i="12"/>
  <c r="B275" i="10"/>
  <c r="B250" i="11"/>
  <c r="B126" i="11"/>
  <c r="B279" i="11"/>
  <c r="B238" i="11"/>
  <c r="B219" i="11"/>
  <c r="B209" i="11"/>
  <c r="B200" i="11"/>
  <c r="D288" i="11"/>
  <c r="C288" i="11"/>
  <c r="B288" i="11"/>
  <c r="C287" i="12"/>
  <c r="B285" i="12"/>
  <c r="B277" i="12"/>
  <c r="B123" i="11"/>
  <c r="B231" i="11"/>
  <c r="B278" i="11"/>
  <c r="B270" i="11"/>
  <c r="D287" i="11"/>
  <c r="C287" i="11"/>
  <c r="B287" i="11"/>
  <c r="D288" i="12"/>
  <c r="C286" i="12"/>
  <c r="B284" i="12"/>
  <c r="B276" i="12"/>
  <c r="B280" i="11"/>
  <c r="B132" i="11"/>
  <c r="B269" i="11"/>
  <c r="D286" i="11"/>
  <c r="C286" i="11"/>
  <c r="B286" i="11"/>
  <c r="D287" i="12"/>
  <c r="B283" i="12"/>
  <c r="B275" i="12"/>
  <c r="B133" i="11"/>
  <c r="B288" i="2"/>
  <c r="C281" i="10"/>
  <c r="B279" i="10"/>
  <c r="B268" i="11"/>
  <c r="B128" i="11"/>
  <c r="B285" i="11"/>
  <c r="D286" i="12"/>
  <c r="B282" i="12"/>
  <c r="B278" i="10"/>
  <c r="B267" i="11"/>
  <c r="B127" i="11"/>
  <c r="B284" i="11"/>
  <c r="B281" i="12"/>
  <c r="B236" i="11"/>
  <c r="B173" i="11"/>
  <c r="B291" i="2"/>
  <c r="B139" i="11"/>
  <c r="C279" i="10"/>
  <c r="B277" i="10"/>
  <c r="B258" i="11"/>
  <c r="B283" i="11"/>
  <c r="B288" i="12"/>
  <c r="B210" i="11"/>
  <c r="B290" i="2"/>
  <c r="D280" i="10"/>
  <c r="B276" i="10"/>
  <c r="B273" i="11"/>
  <c r="B257" i="11"/>
  <c r="B135" i="11"/>
  <c r="B282" i="11"/>
  <c r="B287" i="12"/>
  <c r="B286" i="12"/>
  <c r="N317" i="28"/>
  <c r="N319" i="28"/>
  <c r="N343" i="28"/>
  <c r="N329" i="28"/>
  <c r="N339" i="28"/>
  <c r="N321" i="28"/>
  <c r="N316" i="28"/>
  <c r="N351" i="28"/>
  <c r="N322" i="28"/>
  <c r="N333" i="28"/>
  <c r="N323" i="28"/>
  <c r="N350" i="28"/>
  <c r="M334" i="28"/>
  <c r="M344" i="28"/>
  <c r="M333" i="28"/>
  <c r="M281" i="28"/>
  <c r="M352" i="28"/>
  <c r="M50" i="28"/>
  <c r="M326" i="28"/>
  <c r="M351" i="28"/>
  <c r="M48" i="28"/>
  <c r="L319" i="28"/>
  <c r="L350" i="28"/>
  <c r="M47" i="28"/>
  <c r="M342" i="28"/>
  <c r="M328" i="28"/>
  <c r="M327" i="28"/>
  <c r="M153" i="28"/>
  <c r="M49" i="28"/>
  <c r="M330" i="28"/>
  <c r="M338" i="28"/>
  <c r="B240" i="9"/>
  <c r="C291" i="2"/>
  <c r="C290" i="2"/>
  <c r="C287" i="2"/>
  <c r="C288" i="2"/>
  <c r="D288" i="2"/>
  <c r="D291" i="2"/>
  <c r="B281" i="9"/>
  <c r="D273" i="8"/>
  <c r="C274" i="8"/>
  <c r="C273" i="8"/>
  <c r="B279" i="9"/>
  <c r="B269" i="8"/>
  <c r="B274" i="8"/>
  <c r="D282" i="9"/>
  <c r="B278" i="9"/>
  <c r="B273" i="8"/>
  <c r="B271" i="9"/>
  <c r="D274" i="8"/>
  <c r="B282" i="9"/>
  <c r="K352" i="28"/>
  <c r="K332" i="28"/>
  <c r="K329" i="28"/>
  <c r="K327" i="28"/>
  <c r="K324" i="28"/>
  <c r="K323" i="28"/>
  <c r="J324" i="28"/>
  <c r="J334" i="28"/>
  <c r="J344" i="28"/>
  <c r="D290" i="2"/>
  <c r="J342" i="28"/>
  <c r="J329" i="28"/>
  <c r="J332" i="28"/>
  <c r="D287" i="2"/>
  <c r="I332" i="28"/>
  <c r="I320" i="28"/>
  <c r="I326" i="28"/>
  <c r="I324" i="28"/>
  <c r="I342" i="28"/>
  <c r="I334" i="28"/>
  <c r="I323" i="28"/>
  <c r="I339" i="28"/>
  <c r="I333" i="28"/>
  <c r="H352" i="28"/>
  <c r="Q138" i="32"/>
  <c r="K138" i="32"/>
  <c r="Z138" i="32"/>
  <c r="T138" i="32"/>
  <c r="AC138" i="32"/>
  <c r="N138" i="32"/>
  <c r="AL138" i="32"/>
  <c r="AI138" i="32"/>
  <c r="W138" i="32"/>
  <c r="H138" i="32"/>
  <c r="AF138" i="32"/>
  <c r="B270" i="12"/>
  <c r="B273" i="9"/>
  <c r="B266" i="8"/>
  <c r="B263" i="2"/>
  <c r="B272" i="10"/>
  <c r="H47" i="28"/>
  <c r="N146" i="18"/>
  <c r="AL146" i="18"/>
  <c r="W146" i="18"/>
  <c r="AC146" i="18"/>
  <c r="H146" i="18"/>
  <c r="AF146" i="18"/>
  <c r="Q146" i="18"/>
  <c r="AO146" i="18"/>
  <c r="Z146" i="18"/>
  <c r="T146" i="18"/>
  <c r="K146" i="18"/>
  <c r="AI146" i="18"/>
  <c r="B272" i="9"/>
  <c r="B271" i="10"/>
  <c r="B268" i="8"/>
  <c r="B266" i="2"/>
  <c r="B252" i="10"/>
  <c r="B270" i="7"/>
  <c r="B271" i="12"/>
  <c r="B271" i="8"/>
  <c r="B276" i="9"/>
  <c r="B270" i="8"/>
  <c r="B275" i="9"/>
  <c r="B274" i="9"/>
  <c r="B244" i="10"/>
  <c r="B274" i="10"/>
  <c r="B274" i="12"/>
  <c r="B273" i="10"/>
  <c r="B273" i="12"/>
  <c r="B269" i="7"/>
  <c r="B272" i="12"/>
  <c r="B243" i="9"/>
  <c r="B236" i="10"/>
  <c r="B272" i="8"/>
  <c r="H321" i="28"/>
  <c r="H320" i="28"/>
  <c r="H326" i="28"/>
  <c r="H318" i="28"/>
  <c r="H319" i="28"/>
  <c r="H317" i="28"/>
  <c r="H350" i="28"/>
  <c r="H323" i="28"/>
  <c r="H322" i="28"/>
  <c r="T168" i="29"/>
  <c r="AI168" i="29"/>
  <c r="Q168" i="29"/>
  <c r="AF168" i="29"/>
  <c r="W168" i="29"/>
  <c r="N168" i="29"/>
  <c r="Z168" i="29"/>
  <c r="AC168" i="29"/>
  <c r="H168" i="29"/>
  <c r="K168" i="29"/>
  <c r="AI186" i="32"/>
  <c r="AC186" i="32"/>
  <c r="T186" i="32"/>
  <c r="W186" i="32"/>
  <c r="Q186" i="32"/>
  <c r="AF186" i="32"/>
  <c r="N186" i="32"/>
  <c r="Z186" i="32"/>
  <c r="AL186" i="32"/>
  <c r="K186" i="32"/>
  <c r="H186" i="32"/>
  <c r="N344" i="28"/>
  <c r="M343" i="28"/>
  <c r="M329" i="28"/>
  <c r="L344" i="28"/>
  <c r="L332" i="28"/>
  <c r="L326" i="28"/>
  <c r="L320" i="28"/>
  <c r="C271" i="7"/>
  <c r="J319" i="28"/>
  <c r="J330" i="28"/>
  <c r="J339" i="28"/>
  <c r="B262" i="2"/>
  <c r="B261" i="2"/>
  <c r="J327" i="28"/>
  <c r="D271" i="7"/>
  <c r="B271" i="7"/>
  <c r="H344" i="28"/>
  <c r="I319" i="28"/>
  <c r="B256" i="2"/>
  <c r="B265" i="2"/>
  <c r="B264" i="2"/>
  <c r="B278" i="2"/>
  <c r="B279" i="2"/>
  <c r="B277" i="2"/>
  <c r="B276" i="2"/>
  <c r="B275" i="2"/>
  <c r="B274" i="2"/>
  <c r="B286" i="2"/>
  <c r="B272" i="2"/>
  <c r="B271" i="2"/>
  <c r="B285" i="2"/>
  <c r="B260" i="2"/>
  <c r="B284" i="2"/>
  <c r="B283" i="2"/>
  <c r="B259" i="2"/>
  <c r="B280" i="2"/>
  <c r="H329" i="28"/>
  <c r="H316" i="28"/>
  <c r="H327" i="28"/>
  <c r="L324" i="28"/>
  <c r="J320" i="28"/>
  <c r="B232" i="2"/>
  <c r="B224" i="2"/>
  <c r="B263" i="7"/>
  <c r="B245" i="7"/>
  <c r="B257" i="2"/>
  <c r="B265" i="8"/>
  <c r="B244" i="7"/>
  <c r="B239" i="2"/>
  <c r="B268" i="7"/>
  <c r="B267" i="7"/>
  <c r="B233" i="2"/>
  <c r="B266" i="7"/>
  <c r="B221" i="2"/>
  <c r="B267" i="8"/>
  <c r="B258" i="2"/>
  <c r="L342" i="28"/>
  <c r="J338" i="28"/>
  <c r="I338" i="28"/>
  <c r="N320" i="28"/>
  <c r="N338" i="28"/>
  <c r="N324" i="28"/>
  <c r="W94" i="32"/>
  <c r="Q96" i="32"/>
  <c r="N97" i="32"/>
  <c r="AL97" i="32"/>
  <c r="K98" i="32"/>
  <c r="AI98" i="32"/>
  <c r="AC94" i="32"/>
  <c r="Z98" i="32"/>
  <c r="H94" i="32"/>
  <c r="AF94" i="32"/>
  <c r="Z96" i="32"/>
  <c r="W97" i="32"/>
  <c r="T98" i="32"/>
  <c r="T97" i="32"/>
  <c r="N94" i="32"/>
  <c r="AF96" i="32"/>
  <c r="AC97" i="32"/>
  <c r="Q94" i="32"/>
  <c r="K96" i="32"/>
  <c r="AI96" i="32"/>
  <c r="H97" i="32"/>
  <c r="AF97" i="32"/>
  <c r="AC98" i="32"/>
  <c r="Q98" i="32"/>
  <c r="H96" i="32"/>
  <c r="Z94" i="32"/>
  <c r="T96" i="32"/>
  <c r="Q97" i="32"/>
  <c r="N98" i="32"/>
  <c r="AL98" i="32"/>
  <c r="W96" i="32"/>
  <c r="K94" i="32"/>
  <c r="AI94" i="32"/>
  <c r="AC96" i="32"/>
  <c r="Z97" i="32"/>
  <c r="W98" i="32"/>
  <c r="AL94" i="32"/>
  <c r="T94" i="32"/>
  <c r="N96" i="32"/>
  <c r="AL96" i="32"/>
  <c r="K97" i="32"/>
  <c r="AI97" i="32"/>
  <c r="H98" i="32"/>
  <c r="AF98" i="32"/>
  <c r="H91" i="29"/>
  <c r="AF91" i="29"/>
  <c r="N91" i="29"/>
  <c r="AL91" i="29"/>
  <c r="K92" i="29"/>
  <c r="AI92" i="29"/>
  <c r="W91" i="29"/>
  <c r="T92" i="29"/>
  <c r="Q91" i="29"/>
  <c r="N92" i="29"/>
  <c r="AL92" i="29"/>
  <c r="Z91" i="29"/>
  <c r="W92" i="29"/>
  <c r="AC92" i="29"/>
  <c r="K91" i="29"/>
  <c r="AI91" i="29"/>
  <c r="H92" i="29"/>
  <c r="AF92" i="29"/>
  <c r="T91" i="29"/>
  <c r="Q92" i="29"/>
  <c r="AC91" i="29"/>
  <c r="Z92" i="29"/>
  <c r="B234" i="9"/>
  <c r="B222" i="2"/>
  <c r="B235" i="9"/>
  <c r="B226" i="2"/>
  <c r="B223" i="2"/>
  <c r="B225" i="2"/>
  <c r="B241" i="9"/>
  <c r="B258" i="9"/>
  <c r="AC37" i="23"/>
  <c r="N37" i="23"/>
  <c r="AL37" i="23"/>
  <c r="T37" i="23"/>
  <c r="W37" i="23"/>
  <c r="H37" i="23"/>
  <c r="AF37" i="23"/>
  <c r="Q37" i="23"/>
  <c r="AO37" i="23"/>
  <c r="Z37" i="23"/>
  <c r="K37" i="23"/>
  <c r="AI37" i="23"/>
  <c r="B251" i="10"/>
  <c r="B237" i="8"/>
  <c r="B253" i="8"/>
  <c r="B259" i="7"/>
  <c r="B245" i="8"/>
  <c r="B266" i="9"/>
  <c r="B259" i="10"/>
  <c r="B243" i="7"/>
  <c r="B250" i="9"/>
  <c r="B243" i="10"/>
  <c r="B254" i="2"/>
  <c r="B238" i="2"/>
  <c r="B251" i="7"/>
  <c r="B261" i="8"/>
  <c r="B236" i="8"/>
  <c r="B253" i="2"/>
  <c r="B245" i="2"/>
  <c r="B237" i="2"/>
  <c r="B258" i="7"/>
  <c r="B250" i="7"/>
  <c r="B242" i="7"/>
  <c r="B260" i="8"/>
  <c r="B252" i="8"/>
  <c r="B244" i="8"/>
  <c r="B265" i="9"/>
  <c r="B257" i="9"/>
  <c r="B249" i="9"/>
  <c r="B266" i="10"/>
  <c r="B258" i="10"/>
  <c r="B250" i="10"/>
  <c r="B252" i="2"/>
  <c r="B244" i="2"/>
  <c r="B236" i="2"/>
  <c r="B265" i="7"/>
  <c r="B257" i="7"/>
  <c r="B249" i="7"/>
  <c r="B259" i="8"/>
  <c r="B251" i="8"/>
  <c r="B243" i="8"/>
  <c r="B264" i="9"/>
  <c r="B256" i="9"/>
  <c r="B248" i="9"/>
  <c r="B265" i="10"/>
  <c r="B257" i="10"/>
  <c r="B249" i="10"/>
  <c r="B251" i="2"/>
  <c r="B243" i="2"/>
  <c r="B235" i="2"/>
  <c r="B264" i="7"/>
  <c r="B256" i="7"/>
  <c r="B248" i="7"/>
  <c r="B258" i="8"/>
  <c r="B250" i="8"/>
  <c r="B242" i="8"/>
  <c r="B263" i="9"/>
  <c r="B255" i="9"/>
  <c r="B247" i="9"/>
  <c r="B264" i="10"/>
  <c r="B256" i="10"/>
  <c r="B248" i="10"/>
  <c r="B235" i="7"/>
  <c r="B220" i="2"/>
  <c r="B250" i="2"/>
  <c r="B242" i="2"/>
  <c r="B234" i="2"/>
  <c r="B255" i="7"/>
  <c r="B247" i="7"/>
  <c r="B257" i="8"/>
  <c r="B249" i="8"/>
  <c r="B241" i="8"/>
  <c r="B270" i="9"/>
  <c r="B262" i="9"/>
  <c r="B254" i="9"/>
  <c r="B246" i="9"/>
  <c r="B263" i="10"/>
  <c r="B255" i="10"/>
  <c r="B247" i="10"/>
  <c r="B246" i="2"/>
  <c r="B267" i="10"/>
  <c r="B238" i="10"/>
  <c r="B237" i="10"/>
  <c r="B238" i="8"/>
  <c r="B227" i="2"/>
  <c r="B240" i="7"/>
  <c r="B249" i="2"/>
  <c r="B241" i="2"/>
  <c r="B262" i="7"/>
  <c r="B254" i="7"/>
  <c r="B246" i="7"/>
  <c r="B264" i="8"/>
  <c r="B256" i="8"/>
  <c r="B248" i="8"/>
  <c r="B269" i="9"/>
  <c r="B261" i="9"/>
  <c r="B253" i="9"/>
  <c r="B245" i="9"/>
  <c r="B270" i="10"/>
  <c r="B262" i="10"/>
  <c r="B254" i="10"/>
  <c r="B246" i="10"/>
  <c r="B248" i="2"/>
  <c r="B240" i="2"/>
  <c r="B261" i="7"/>
  <c r="B253" i="7"/>
  <c r="B263" i="8"/>
  <c r="B255" i="8"/>
  <c r="B247" i="8"/>
  <c r="B268" i="9"/>
  <c r="B260" i="9"/>
  <c r="B252" i="9"/>
  <c r="B244" i="9"/>
  <c r="B269" i="10"/>
  <c r="B261" i="10"/>
  <c r="B253" i="10"/>
  <c r="B245" i="10"/>
  <c r="B255" i="2"/>
  <c r="B247" i="2"/>
  <c r="B260" i="7"/>
  <c r="B252" i="7"/>
  <c r="B262" i="8"/>
  <c r="B254" i="8"/>
  <c r="B246" i="8"/>
  <c r="B267" i="9"/>
  <c r="B251" i="9"/>
  <c r="B268" i="10"/>
  <c r="B260" i="10"/>
  <c r="N325" i="28"/>
  <c r="M316" i="28"/>
  <c r="B229" i="2"/>
  <c r="B228" i="2"/>
  <c r="B241" i="7"/>
  <c r="B233" i="7"/>
  <c r="B235" i="8"/>
  <c r="B239" i="9"/>
  <c r="B235" i="10"/>
  <c r="B234" i="8"/>
  <c r="B238" i="9"/>
  <c r="B242" i="10"/>
  <c r="B234" i="10"/>
  <c r="B239" i="7"/>
  <c r="B233" i="8"/>
  <c r="B237" i="9"/>
  <c r="B241" i="10"/>
  <c r="B238" i="7"/>
  <c r="B240" i="8"/>
  <c r="B232" i="8"/>
  <c r="B236" i="9"/>
  <c r="B240" i="10"/>
  <c r="B234" i="7"/>
  <c r="B237" i="7"/>
  <c r="B239" i="8"/>
  <c r="B239" i="10"/>
  <c r="B231" i="2"/>
  <c r="B236" i="7"/>
  <c r="B242" i="9"/>
  <c r="B230" i="2"/>
  <c r="Q143" i="29"/>
  <c r="Z143" i="29"/>
  <c r="AI143" i="29"/>
  <c r="T143" i="29"/>
  <c r="AC143" i="29"/>
  <c r="K143" i="29"/>
  <c r="N143" i="29"/>
  <c r="AL143" i="29"/>
  <c r="W143" i="29"/>
  <c r="H143" i="29"/>
  <c r="AF143" i="29"/>
  <c r="D301" i="17"/>
  <c r="Z22" i="32"/>
  <c r="K22" i="32"/>
  <c r="AI22" i="32"/>
  <c r="T22" i="32"/>
  <c r="Q22" i="32"/>
  <c r="AC22" i="32"/>
  <c r="N22" i="32"/>
  <c r="AL22" i="32"/>
  <c r="W22" i="32"/>
  <c r="H22" i="32"/>
  <c r="AF22" i="32"/>
  <c r="B299" i="17"/>
  <c r="B302" i="16"/>
  <c r="D301" i="16"/>
  <c r="B301" i="16"/>
  <c r="B300" i="16"/>
  <c r="D34" i="23"/>
  <c r="D33" i="23"/>
  <c r="D32" i="23"/>
  <c r="D31" i="23"/>
  <c r="D30" i="23"/>
  <c r="D29" i="23"/>
  <c r="D28" i="23"/>
  <c r="D27" i="23"/>
  <c r="D11" i="18"/>
  <c r="D12" i="18" l="1"/>
  <c r="AM125" i="18"/>
  <c r="F134" i="32"/>
  <c r="I124" i="18"/>
  <c r="O136" i="32"/>
  <c r="D55" i="32"/>
  <c r="AA125" i="18"/>
  <c r="L126" i="18"/>
  <c r="I121" i="18"/>
  <c r="R55" i="32"/>
  <c r="I123" i="18"/>
  <c r="O122" i="18"/>
  <c r="R153" i="32"/>
  <c r="AJ125" i="18"/>
  <c r="AG34" i="23"/>
  <c r="D134" i="32"/>
  <c r="O125" i="18"/>
  <c r="X55" i="32"/>
  <c r="AD124" i="18"/>
  <c r="U122" i="18"/>
  <c r="AJ153" i="32"/>
  <c r="X152" i="32"/>
  <c r="U126" i="18"/>
  <c r="AD134" i="32"/>
  <c r="AJ152" i="32"/>
  <c r="AG55" i="32"/>
  <c r="R151" i="32"/>
  <c r="U137" i="32"/>
  <c r="X151" i="32"/>
  <c r="AA153" i="32"/>
  <c r="AM34" i="23"/>
  <c r="F121" i="18"/>
  <c r="AA123" i="18"/>
  <c r="X153" i="32"/>
  <c r="R22" i="29"/>
  <c r="AD137" i="32"/>
  <c r="AJ124" i="18"/>
  <c r="F125" i="18"/>
  <c r="F55" i="32"/>
  <c r="AA151" i="32"/>
  <c r="U22" i="29"/>
  <c r="AA137" i="32"/>
  <c r="L123" i="18"/>
  <c r="AM124" i="18"/>
  <c r="O34" i="23"/>
  <c r="D137" i="32"/>
  <c r="R124" i="18"/>
  <c r="I134" i="32"/>
  <c r="AD123" i="18"/>
  <c r="R125" i="18"/>
  <c r="AD122" i="18"/>
  <c r="O124" i="18"/>
  <c r="AA134" i="32"/>
  <c r="F137" i="32"/>
  <c r="I125" i="18"/>
  <c r="AD136" i="32"/>
  <c r="U34" i="23"/>
  <c r="D151" i="32"/>
  <c r="AD152" i="32"/>
  <c r="AD125" i="18"/>
  <c r="X34" i="23"/>
  <c r="U151" i="32"/>
  <c r="AD22" i="29"/>
  <c r="X122" i="18"/>
  <c r="L152" i="32"/>
  <c r="L136" i="32"/>
  <c r="U125" i="18"/>
  <c r="AJ55" i="32"/>
  <c r="AD121" i="18"/>
  <c r="L55" i="32"/>
  <c r="U123" i="18"/>
  <c r="AA34" i="23"/>
  <c r="U136" i="32"/>
  <c r="L125" i="18"/>
  <c r="L151" i="32"/>
  <c r="AA55" i="32"/>
  <c r="I22" i="29"/>
  <c r="AJ137" i="32"/>
  <c r="I137" i="32"/>
  <c r="R123" i="18"/>
  <c r="AG123" i="18"/>
  <c r="AG152" i="32"/>
  <c r="AG122" i="18"/>
  <c r="F22" i="29"/>
  <c r="F151" i="32"/>
  <c r="U153" i="32"/>
  <c r="L137" i="32"/>
  <c r="L121" i="18"/>
  <c r="AD153" i="32"/>
  <c r="O134" i="32"/>
  <c r="D153" i="32"/>
  <c r="O137" i="32"/>
  <c r="R122" i="18"/>
  <c r="O152" i="32"/>
  <c r="R134" i="32"/>
  <c r="AG151" i="32"/>
  <c r="AD34" i="23"/>
  <c r="AG136" i="32"/>
  <c r="AJ151" i="32"/>
  <c r="X121" i="18"/>
  <c r="I152" i="32"/>
  <c r="U121" i="18"/>
  <c r="I151" i="32"/>
  <c r="D22" i="29"/>
  <c r="R34" i="23"/>
  <c r="L34" i="23"/>
  <c r="X126" i="18"/>
  <c r="I126" i="18"/>
  <c r="R152" i="32"/>
  <c r="F123" i="18"/>
  <c r="F122" i="18"/>
  <c r="AA124" i="18"/>
  <c r="U152" i="32"/>
  <c r="AJ134" i="32"/>
  <c r="X136" i="32"/>
  <c r="O121" i="18"/>
  <c r="I122" i="18"/>
  <c r="AJ123" i="18"/>
  <c r="AG153" i="32"/>
  <c r="AG137" i="32"/>
  <c r="AA121" i="18"/>
  <c r="AD55" i="32"/>
  <c r="X137" i="32"/>
  <c r="AA126" i="18"/>
  <c r="L134" i="32"/>
  <c r="U124" i="18"/>
  <c r="AA152" i="32"/>
  <c r="U134" i="32"/>
  <c r="R137" i="32"/>
  <c r="F126" i="18"/>
  <c r="AJ121" i="18"/>
  <c r="AD151" i="32"/>
  <c r="AA136" i="32"/>
  <c r="AA122" i="18"/>
  <c r="AG121" i="18"/>
  <c r="X123" i="18"/>
  <c r="AD126" i="18"/>
  <c r="F136" i="32"/>
  <c r="F34" i="23"/>
  <c r="I136" i="32"/>
  <c r="F153" i="32"/>
  <c r="O151" i="32"/>
  <c r="AJ126" i="18"/>
  <c r="AG125" i="18"/>
  <c r="L124" i="18"/>
  <c r="R121" i="18"/>
  <c r="O126" i="18"/>
  <c r="R126" i="18"/>
  <c r="D152" i="32"/>
  <c r="AM122" i="18"/>
  <c r="L122" i="18"/>
  <c r="X124" i="18"/>
  <c r="O123" i="18"/>
  <c r="R136" i="32"/>
  <c r="I34" i="23"/>
  <c r="O153" i="32"/>
  <c r="AJ22" i="29"/>
  <c r="AM123" i="18"/>
  <c r="AG134" i="32"/>
  <c r="AM121" i="18"/>
  <c r="AM126" i="18"/>
  <c r="X134" i="32"/>
  <c r="AJ122" i="18"/>
  <c r="D136" i="32"/>
  <c r="AG22" i="29"/>
  <c r="U55" i="32"/>
  <c r="AG126" i="18"/>
  <c r="AG124" i="18"/>
  <c r="I153" i="32"/>
  <c r="AA22" i="29"/>
  <c r="O55" i="32"/>
  <c r="I55" i="32"/>
  <c r="AJ34" i="23"/>
  <c r="X125" i="18"/>
  <c r="L153" i="32"/>
  <c r="O22" i="29"/>
  <c r="F124" i="18"/>
  <c r="AJ136" i="32"/>
  <c r="L22" i="29"/>
  <c r="X22" i="29"/>
  <c r="F152" i="32"/>
  <c r="AC152" i="32" l="1"/>
  <c r="K121" i="18"/>
  <c r="N55" i="32"/>
  <c r="K137" i="32"/>
  <c r="Z122" i="18"/>
  <c r="K55" i="32"/>
  <c r="T134" i="32"/>
  <c r="AI134" i="32"/>
  <c r="K123" i="18"/>
  <c r="Q152" i="32"/>
  <c r="W152" i="32"/>
  <c r="AF34" i="23"/>
  <c r="AI151" i="32"/>
  <c r="AF152" i="32"/>
  <c r="H34" i="23"/>
  <c r="AL153" i="32"/>
  <c r="AI152" i="32"/>
  <c r="K34" i="23"/>
  <c r="Z153" i="32"/>
  <c r="AC34" i="23"/>
  <c r="K152" i="32"/>
  <c r="T22" i="29"/>
  <c r="AI125" i="18"/>
  <c r="AL125" i="18"/>
  <c r="AO123" i="18"/>
  <c r="H123" i="18"/>
  <c r="Q137" i="32"/>
  <c r="N134" i="32"/>
  <c r="AC126" i="18"/>
  <c r="K151" i="32"/>
  <c r="AC153" i="32"/>
  <c r="W34" i="23"/>
  <c r="Q55" i="32"/>
  <c r="Z55" i="32"/>
  <c r="AC151" i="32"/>
  <c r="N153" i="32"/>
  <c r="Q22" i="29"/>
  <c r="T125" i="18"/>
  <c r="AF151" i="32"/>
  <c r="Q34" i="23"/>
  <c r="AI34" i="23"/>
  <c r="AI55" i="32"/>
  <c r="Z121" i="18"/>
  <c r="AI122" i="18"/>
  <c r="H121" i="18"/>
  <c r="T121" i="18"/>
  <c r="Q134" i="32"/>
  <c r="W121" i="18"/>
  <c r="W123" i="18"/>
  <c r="H124" i="18"/>
  <c r="K126" i="18"/>
  <c r="T137" i="32"/>
  <c r="W137" i="32"/>
  <c r="AI124" i="18"/>
  <c r="N136" i="32"/>
  <c r="H122" i="18"/>
  <c r="AI153" i="32"/>
  <c r="Z34" i="23"/>
  <c r="H151" i="32"/>
  <c r="AF153" i="32"/>
  <c r="W153" i="32"/>
  <c r="Q136" i="32"/>
  <c r="T126" i="18"/>
  <c r="AL22" i="29"/>
  <c r="N126" i="18"/>
  <c r="AC123" i="18"/>
  <c r="H134" i="32"/>
  <c r="W122" i="18"/>
  <c r="AF136" i="32"/>
  <c r="AO126" i="18"/>
  <c r="AC22" i="29"/>
  <c r="AL122" i="18"/>
  <c r="Z134" i="32"/>
  <c r="K134" i="32"/>
  <c r="Q124" i="18"/>
  <c r="AL121" i="18"/>
  <c r="AL134" i="32"/>
  <c r="K136" i="32"/>
  <c r="AI123" i="18"/>
  <c r="AF125" i="18"/>
  <c r="T124" i="18"/>
  <c r="N123" i="18"/>
  <c r="Q125" i="18"/>
  <c r="AF126" i="18"/>
  <c r="H22" i="29"/>
  <c r="W136" i="32"/>
  <c r="Z136" i="32"/>
  <c r="K124" i="18"/>
  <c r="H125" i="18"/>
  <c r="T122" i="18"/>
  <c r="K122" i="18"/>
  <c r="N151" i="32"/>
  <c r="W126" i="18"/>
  <c r="AC121" i="18"/>
  <c r="Z22" i="29"/>
  <c r="H136" i="32"/>
  <c r="AF137" i="32"/>
  <c r="Q126" i="18"/>
  <c r="AI137" i="32"/>
  <c r="AL137" i="32"/>
  <c r="AC122" i="18"/>
  <c r="K22" i="29"/>
  <c r="Q122" i="18"/>
  <c r="N121" i="18"/>
  <c r="AO121" i="18"/>
  <c r="W22" i="29"/>
  <c r="Z125" i="18"/>
  <c r="H153" i="32"/>
  <c r="T55" i="32"/>
  <c r="AF55" i="32"/>
  <c r="AC55" i="32"/>
  <c r="Z151" i="32"/>
  <c r="AO34" i="23"/>
  <c r="AF22" i="29"/>
  <c r="AF122" i="18"/>
  <c r="N125" i="18"/>
  <c r="AF121" i="18"/>
  <c r="N122" i="18"/>
  <c r="AI22" i="29"/>
  <c r="AC137" i="32"/>
  <c r="N124" i="18"/>
  <c r="AO122" i="18"/>
  <c r="W134" i="32"/>
  <c r="AF124" i="18"/>
  <c r="AI126" i="18"/>
  <c r="K125" i="18"/>
  <c r="Z152" i="32"/>
  <c r="N152" i="32"/>
  <c r="N34" i="23"/>
  <c r="AL34" i="23"/>
  <c r="T34" i="23"/>
  <c r="Q153" i="32"/>
  <c r="AL152" i="32"/>
  <c r="W151" i="32"/>
  <c r="Q151" i="32"/>
  <c r="AI136" i="32"/>
  <c r="AC124" i="18"/>
  <c r="Z123" i="18"/>
  <c r="AL126" i="18"/>
  <c r="W124" i="18"/>
  <c r="AC134" i="32"/>
  <c r="AF134" i="32"/>
  <c r="Q123" i="18"/>
  <c r="AL136" i="32"/>
  <c r="T123" i="18"/>
  <c r="AL124" i="18"/>
  <c r="T136" i="32"/>
  <c r="AO124" i="18"/>
  <c r="Z124" i="18"/>
  <c r="T153" i="32"/>
  <c r="AL151" i="32"/>
  <c r="H152" i="32"/>
  <c r="W55" i="32"/>
  <c r="T151" i="32"/>
  <c r="K153" i="32"/>
  <c r="AL55" i="32"/>
  <c r="H55" i="32"/>
  <c r="T152" i="32"/>
  <c r="N22" i="29"/>
  <c r="Z126" i="18"/>
  <c r="H137" i="32"/>
  <c r="W125" i="18"/>
  <c r="N137" i="32"/>
  <c r="AI121" i="18"/>
  <c r="AC136" i="32"/>
  <c r="Z137" i="32"/>
  <c r="H126" i="18"/>
  <c r="AL123" i="18"/>
  <c r="AO125" i="18"/>
  <c r="Q121" i="18"/>
  <c r="AF123" i="18"/>
  <c r="AC125" i="18"/>
  <c r="D13" i="18"/>
  <c r="D14" i="18" l="1"/>
  <c r="D15" i="18" l="1"/>
  <c r="F15" i="18"/>
  <c r="H15" i="18" l="1"/>
  <c r="D16" i="18"/>
  <c r="I15" i="18"/>
  <c r="AJ15" i="18"/>
  <c r="AD15" i="18"/>
  <c r="F16" i="18"/>
  <c r="O15" i="18"/>
  <c r="AG15" i="18"/>
  <c r="U15" i="18"/>
  <c r="L15" i="18"/>
  <c r="R15" i="18"/>
  <c r="AA15" i="18"/>
  <c r="X15" i="18"/>
  <c r="AM15" i="18"/>
  <c r="AL15" i="18" l="1"/>
  <c r="Z15" i="18"/>
  <c r="N15" i="18"/>
  <c r="K15" i="18"/>
  <c r="W15" i="18"/>
  <c r="T15" i="18"/>
  <c r="AF15" i="18"/>
  <c r="AI15" i="18"/>
  <c r="AO15" i="18"/>
  <c r="AC15" i="18"/>
  <c r="Q15" i="18"/>
  <c r="H16" i="18"/>
  <c r="E297" i="17"/>
  <c r="E298" i="17"/>
  <c r="F297" i="17"/>
  <c r="G297" i="17" s="1"/>
  <c r="F298" i="17"/>
  <c r="G298" i="17" s="1"/>
  <c r="O297" i="17"/>
  <c r="O298" i="17"/>
  <c r="D18" i="23"/>
  <c r="D187" i="1"/>
  <c r="E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D105" i="1"/>
  <c r="E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F219" i="17"/>
  <c r="G219" i="17" s="1"/>
  <c r="F220" i="17"/>
  <c r="G220" i="17" s="1"/>
  <c r="F221" i="17"/>
  <c r="G221" i="17" s="1"/>
  <c r="F222" i="17"/>
  <c r="G222" i="17" s="1"/>
  <c r="F223" i="17"/>
  <c r="G223" i="17" s="1"/>
  <c r="F224" i="17"/>
  <c r="G224" i="17" s="1"/>
  <c r="F225" i="17"/>
  <c r="G225" i="17" s="1"/>
  <c r="F226" i="17"/>
  <c r="G226" i="17" s="1"/>
  <c r="F227" i="17"/>
  <c r="G227" i="17" s="1"/>
  <c r="F228" i="17"/>
  <c r="G228" i="17" s="1"/>
  <c r="F229" i="17"/>
  <c r="G229" i="17" s="1"/>
  <c r="F230" i="17"/>
  <c r="G230" i="17" s="1"/>
  <c r="F231" i="17"/>
  <c r="G231" i="17" s="1"/>
  <c r="F232" i="17"/>
  <c r="G232" i="17" s="1"/>
  <c r="F233" i="17"/>
  <c r="G233" i="17" s="1"/>
  <c r="F234" i="17"/>
  <c r="G234" i="17" s="1"/>
  <c r="F235" i="17"/>
  <c r="G235" i="17" s="1"/>
  <c r="F236" i="17"/>
  <c r="G236" i="17" s="1"/>
  <c r="F237" i="17"/>
  <c r="G237" i="17" s="1"/>
  <c r="F238" i="17"/>
  <c r="G238" i="17" s="1"/>
  <c r="F239" i="17"/>
  <c r="G239" i="17" s="1"/>
  <c r="F240" i="17"/>
  <c r="G240" i="17" s="1"/>
  <c r="F241" i="17"/>
  <c r="G241" i="17" s="1"/>
  <c r="F242" i="17"/>
  <c r="G242" i="17" s="1"/>
  <c r="F243" i="17"/>
  <c r="G243" i="17" s="1"/>
  <c r="F244" i="17"/>
  <c r="G244" i="17" s="1"/>
  <c r="F245" i="17"/>
  <c r="G245" i="17" s="1"/>
  <c r="F246" i="17"/>
  <c r="G246" i="17" s="1"/>
  <c r="F247" i="17"/>
  <c r="G247" i="17" s="1"/>
  <c r="F248" i="17"/>
  <c r="G248" i="17" s="1"/>
  <c r="F249" i="17"/>
  <c r="G249" i="17" s="1"/>
  <c r="F250" i="17"/>
  <c r="G250" i="17" s="1"/>
  <c r="F251" i="17"/>
  <c r="G251" i="17" s="1"/>
  <c r="F252" i="17"/>
  <c r="G252" i="17" s="1"/>
  <c r="F253" i="17"/>
  <c r="G253" i="17" s="1"/>
  <c r="F254" i="17"/>
  <c r="G254" i="17" s="1"/>
  <c r="F255" i="17"/>
  <c r="G255" i="17" s="1"/>
  <c r="F256" i="17"/>
  <c r="G256" i="17" s="1"/>
  <c r="F257" i="17"/>
  <c r="G257" i="17" s="1"/>
  <c r="F258" i="17"/>
  <c r="G258" i="17" s="1"/>
  <c r="F259" i="17"/>
  <c r="G259" i="17" s="1"/>
  <c r="F260" i="17"/>
  <c r="G260" i="17" s="1"/>
  <c r="F261" i="17"/>
  <c r="G261" i="17" s="1"/>
  <c r="F262" i="17"/>
  <c r="G262" i="17" s="1"/>
  <c r="F263" i="17"/>
  <c r="G263" i="17" s="1"/>
  <c r="F264" i="17"/>
  <c r="G264" i="17" s="1"/>
  <c r="F265" i="17"/>
  <c r="G265" i="17" s="1"/>
  <c r="F266" i="17"/>
  <c r="G266" i="17" s="1"/>
  <c r="F267" i="17"/>
  <c r="G267" i="17" s="1"/>
  <c r="F268" i="17"/>
  <c r="G268" i="17" s="1"/>
  <c r="F269" i="17"/>
  <c r="G269" i="17" s="1"/>
  <c r="F270" i="17"/>
  <c r="G270" i="17" s="1"/>
  <c r="F271" i="17"/>
  <c r="G271" i="17" s="1"/>
  <c r="F272" i="17"/>
  <c r="G272" i="17" s="1"/>
  <c r="F273" i="17"/>
  <c r="G273" i="17" s="1"/>
  <c r="F274" i="17"/>
  <c r="G274" i="17" s="1"/>
  <c r="F275" i="17"/>
  <c r="G275" i="17" s="1"/>
  <c r="F276" i="17"/>
  <c r="G276" i="17" s="1"/>
  <c r="F277" i="17"/>
  <c r="G277" i="17" s="1"/>
  <c r="F278" i="17"/>
  <c r="G278" i="17" s="1"/>
  <c r="F279" i="17"/>
  <c r="G279" i="17" s="1"/>
  <c r="F280" i="17"/>
  <c r="G280" i="17" s="1"/>
  <c r="F281" i="17"/>
  <c r="G281" i="17" s="1"/>
  <c r="F282" i="17"/>
  <c r="G282" i="17" s="1"/>
  <c r="F283" i="17"/>
  <c r="G283" i="17" s="1"/>
  <c r="F284" i="17"/>
  <c r="G284" i="17" s="1"/>
  <c r="F285" i="17"/>
  <c r="G285" i="17" s="1"/>
  <c r="F286" i="17"/>
  <c r="G286" i="17" s="1"/>
  <c r="F287" i="17"/>
  <c r="G287" i="17" s="1"/>
  <c r="F288" i="17"/>
  <c r="G288" i="17" s="1"/>
  <c r="F289" i="17"/>
  <c r="G289" i="17" s="1"/>
  <c r="F290" i="17"/>
  <c r="G290" i="17" s="1"/>
  <c r="F291" i="17"/>
  <c r="G291" i="17" s="1"/>
  <c r="F292" i="17"/>
  <c r="G292" i="17" s="1"/>
  <c r="F293" i="17"/>
  <c r="G293" i="17" s="1"/>
  <c r="F294" i="17"/>
  <c r="G294" i="17" s="1"/>
  <c r="F295" i="17"/>
  <c r="G295" i="17" s="1"/>
  <c r="F296" i="17"/>
  <c r="G296" i="17" s="1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S281" i="28" s="1"/>
  <c r="O243" i="17"/>
  <c r="O244" i="17"/>
  <c r="O245" i="17"/>
  <c r="O246" i="17"/>
  <c r="O247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S323" i="28" s="1"/>
  <c r="O263" i="17"/>
  <c r="S324" i="28" s="1"/>
  <c r="O264" i="17"/>
  <c r="O265" i="17"/>
  <c r="O266" i="17"/>
  <c r="O267" i="17"/>
  <c r="O268" i="17"/>
  <c r="O269" i="17"/>
  <c r="O270" i="17"/>
  <c r="S333" i="28" s="1"/>
  <c r="O271" i="17"/>
  <c r="S334" i="28" s="1"/>
  <c r="O272" i="17"/>
  <c r="O273" i="17"/>
  <c r="O274" i="17"/>
  <c r="O275" i="17"/>
  <c r="O276" i="17"/>
  <c r="O277" i="17"/>
  <c r="S345" i="28" s="1"/>
  <c r="O278" i="17"/>
  <c r="S348" i="28" s="1"/>
  <c r="O279" i="17"/>
  <c r="S349" i="28" s="1"/>
  <c r="O280" i="17"/>
  <c r="S350" i="28" s="1"/>
  <c r="O281" i="17"/>
  <c r="S351" i="28" s="1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C232" i="27"/>
  <c r="C233" i="27"/>
  <c r="C234" i="27"/>
  <c r="C235" i="27"/>
  <c r="C236" i="27"/>
  <c r="C237" i="27"/>
  <c r="C238" i="27"/>
  <c r="C239" i="27"/>
  <c r="C240" i="27"/>
  <c r="C241" i="27"/>
  <c r="C242" i="27"/>
  <c r="C243" i="27"/>
  <c r="C244" i="27"/>
  <c r="C245" i="27"/>
  <c r="C246" i="27"/>
  <c r="C247" i="27"/>
  <c r="C248" i="27"/>
  <c r="C249" i="27"/>
  <c r="C250" i="27"/>
  <c r="C251" i="27"/>
  <c r="C252" i="27"/>
  <c r="C253" i="27"/>
  <c r="C254" i="27"/>
  <c r="C255" i="27"/>
  <c r="C256" i="27"/>
  <c r="C257" i="27"/>
  <c r="C258" i="27"/>
  <c r="C259" i="27"/>
  <c r="C260" i="27"/>
  <c r="C261" i="27"/>
  <c r="C262" i="27"/>
  <c r="C263" i="27"/>
  <c r="C264" i="27"/>
  <c r="C265" i="27"/>
  <c r="C266" i="27"/>
  <c r="C267" i="27"/>
  <c r="C268" i="27"/>
  <c r="C269" i="27"/>
  <c r="C270" i="27"/>
  <c r="C271" i="27"/>
  <c r="C272" i="27"/>
  <c r="C273" i="27"/>
  <c r="C274" i="27"/>
  <c r="C275" i="27"/>
  <c r="C276" i="27"/>
  <c r="C277" i="27"/>
  <c r="C278" i="27"/>
  <c r="C279" i="27"/>
  <c r="C280" i="27"/>
  <c r="C281" i="27"/>
  <c r="C282" i="27"/>
  <c r="C283" i="27"/>
  <c r="C284" i="27"/>
  <c r="C285" i="27"/>
  <c r="C286" i="27"/>
  <c r="C287" i="27"/>
  <c r="C288" i="27"/>
  <c r="C289" i="27"/>
  <c r="C290" i="27"/>
  <c r="C291" i="27"/>
  <c r="C292" i="27"/>
  <c r="C293" i="27"/>
  <c r="C294" i="27"/>
  <c r="C295" i="27"/>
  <c r="C296" i="27"/>
  <c r="C297" i="27"/>
  <c r="C298" i="27"/>
  <c r="C299" i="27"/>
  <c r="C300" i="27"/>
  <c r="C301" i="27"/>
  <c r="C302" i="27"/>
  <c r="C303" i="27"/>
  <c r="C304" i="27"/>
  <c r="C305" i="27"/>
  <c r="C306" i="27"/>
  <c r="C307" i="27"/>
  <c r="C308" i="27"/>
  <c r="C309" i="27"/>
  <c r="C310" i="27"/>
  <c r="C311" i="27"/>
  <c r="C312" i="27"/>
  <c r="C313" i="27"/>
  <c r="C314" i="27"/>
  <c r="C315" i="27"/>
  <c r="C316" i="27"/>
  <c r="C317" i="27"/>
  <c r="C318" i="27"/>
  <c r="C319" i="27"/>
  <c r="C320" i="27"/>
  <c r="C321" i="27"/>
  <c r="C322" i="27"/>
  <c r="C323" i="27"/>
  <c r="C324" i="27"/>
  <c r="C325" i="27"/>
  <c r="C326" i="27"/>
  <c r="C327" i="27"/>
  <c r="C328" i="27"/>
  <c r="C329" i="27"/>
  <c r="C330" i="27"/>
  <c r="C331" i="27"/>
  <c r="C332" i="27"/>
  <c r="C333" i="27"/>
  <c r="C334" i="27"/>
  <c r="C335" i="27"/>
  <c r="C336" i="27"/>
  <c r="C337" i="27"/>
  <c r="C338" i="27"/>
  <c r="C339" i="27"/>
  <c r="C340" i="27"/>
  <c r="C341" i="27"/>
  <c r="C342" i="27"/>
  <c r="C343" i="27"/>
  <c r="C344" i="27"/>
  <c r="C345" i="27"/>
  <c r="C346" i="27"/>
  <c r="C347" i="27"/>
  <c r="C348" i="27"/>
  <c r="C349" i="27"/>
  <c r="C350" i="27"/>
  <c r="C351" i="27"/>
  <c r="C352" i="27"/>
  <c r="C353" i="27"/>
  <c r="C354" i="27"/>
  <c r="C355" i="27"/>
  <c r="C356" i="27"/>
  <c r="C357" i="27"/>
  <c r="C358" i="27"/>
  <c r="C359" i="27"/>
  <c r="C360" i="27"/>
  <c r="C361" i="27"/>
  <c r="C362" i="27"/>
  <c r="C363" i="27"/>
  <c r="C364" i="27"/>
  <c r="C365" i="27"/>
  <c r="C366" i="27"/>
  <c r="C367" i="27"/>
  <c r="C368" i="27"/>
  <c r="C369" i="27"/>
  <c r="C370" i="27"/>
  <c r="C371" i="27"/>
  <c r="C372" i="27"/>
  <c r="C373" i="27"/>
  <c r="C374" i="27"/>
  <c r="C375" i="27"/>
  <c r="C376" i="27"/>
  <c r="C377" i="27"/>
  <c r="C378" i="27"/>
  <c r="C379" i="27"/>
  <c r="C380" i="27"/>
  <c r="C381" i="27"/>
  <c r="C382" i="27"/>
  <c r="C383" i="27"/>
  <c r="C384" i="27"/>
  <c r="C385" i="27"/>
  <c r="C386" i="27"/>
  <c r="C387" i="27"/>
  <c r="C388" i="27"/>
  <c r="C389" i="27"/>
  <c r="C390" i="27"/>
  <c r="C391" i="27"/>
  <c r="C392" i="27"/>
  <c r="C393" i="27"/>
  <c r="C394" i="27"/>
  <c r="C395" i="27"/>
  <c r="C396" i="27"/>
  <c r="C397" i="27"/>
  <c r="C398" i="27"/>
  <c r="C399" i="27"/>
  <c r="C400" i="27"/>
  <c r="C401" i="27"/>
  <c r="C402" i="27"/>
  <c r="C403" i="27"/>
  <c r="C404" i="27"/>
  <c r="C405" i="27"/>
  <c r="C406" i="27"/>
  <c r="C407" i="27"/>
  <c r="C408" i="27"/>
  <c r="C409" i="27"/>
  <c r="C410" i="27"/>
  <c r="C411" i="27"/>
  <c r="C412" i="27"/>
  <c r="C413" i="27"/>
  <c r="C414" i="27"/>
  <c r="C415" i="27"/>
  <c r="C416" i="27"/>
  <c r="C417" i="27"/>
  <c r="C418" i="27"/>
  <c r="C419" i="27"/>
  <c r="C420" i="27"/>
  <c r="C421" i="27"/>
  <c r="C422" i="27"/>
  <c r="C423" i="27"/>
  <c r="C424" i="27"/>
  <c r="C425" i="27"/>
  <c r="C426" i="27"/>
  <c r="C427" i="27"/>
  <c r="C428" i="27"/>
  <c r="C429" i="27"/>
  <c r="C430" i="27"/>
  <c r="C431" i="27"/>
  <c r="C432" i="27"/>
  <c r="C433" i="27"/>
  <c r="C434" i="27"/>
  <c r="C435" i="27"/>
  <c r="C436" i="27"/>
  <c r="C437" i="27"/>
  <c r="C438" i="27"/>
  <c r="C439" i="27"/>
  <c r="C440" i="27"/>
  <c r="C441" i="27"/>
  <c r="C442" i="27"/>
  <c r="C443" i="27"/>
  <c r="C444" i="27"/>
  <c r="C445" i="27"/>
  <c r="C446" i="27"/>
  <c r="C447" i="27"/>
  <c r="C448" i="27"/>
  <c r="C449" i="27"/>
  <c r="C450" i="27"/>
  <c r="C451" i="27"/>
  <c r="C452" i="27"/>
  <c r="C453" i="27"/>
  <c r="C454" i="27"/>
  <c r="C455" i="27"/>
  <c r="C456" i="27"/>
  <c r="C457" i="27"/>
  <c r="C458" i="27"/>
  <c r="C459" i="27"/>
  <c r="C460" i="27"/>
  <c r="C461" i="27"/>
  <c r="C462" i="27"/>
  <c r="C463" i="27"/>
  <c r="C464" i="27"/>
  <c r="C465" i="27"/>
  <c r="C466" i="27"/>
  <c r="C467" i="27"/>
  <c r="C468" i="27"/>
  <c r="C469" i="27"/>
  <c r="C470" i="27"/>
  <c r="C471" i="27"/>
  <c r="C472" i="27"/>
  <c r="C473" i="27"/>
  <c r="C474" i="27"/>
  <c r="C475" i="27"/>
  <c r="C476" i="27"/>
  <c r="C477" i="27"/>
  <c r="C478" i="27"/>
  <c r="C479" i="27"/>
  <c r="C480" i="27"/>
  <c r="C481" i="27"/>
  <c r="C482" i="27"/>
  <c r="C483" i="27"/>
  <c r="C484" i="27"/>
  <c r="C485" i="27"/>
  <c r="C486" i="27"/>
  <c r="C487" i="27"/>
  <c r="C488" i="27"/>
  <c r="C489" i="27"/>
  <c r="C490" i="27"/>
  <c r="C491" i="27"/>
  <c r="C492" i="27"/>
  <c r="C493" i="27"/>
  <c r="C494" i="27"/>
  <c r="C495" i="27"/>
  <c r="C496" i="27"/>
  <c r="C497" i="27"/>
  <c r="C498" i="27"/>
  <c r="C499" i="27"/>
  <c r="C500" i="27"/>
  <c r="C501" i="27"/>
  <c r="C502" i="27"/>
  <c r="C503" i="27"/>
  <c r="C504" i="27"/>
  <c r="C505" i="27"/>
  <c r="C506" i="27"/>
  <c r="C507" i="27"/>
  <c r="C508" i="27"/>
  <c r="C509" i="27"/>
  <c r="C510" i="27"/>
  <c r="C511" i="27"/>
  <c r="C512" i="27"/>
  <c r="C513" i="27"/>
  <c r="C514" i="27"/>
  <c r="C515" i="27"/>
  <c r="C516" i="27"/>
  <c r="C517" i="27"/>
  <c r="C518" i="27"/>
  <c r="C519" i="27"/>
  <c r="C520" i="27"/>
  <c r="C521" i="27"/>
  <c r="C522" i="27"/>
  <c r="C523" i="27"/>
  <c r="C524" i="27"/>
  <c r="C525" i="27"/>
  <c r="C526" i="27"/>
  <c r="C527" i="27"/>
  <c r="C528" i="27"/>
  <c r="C529" i="27"/>
  <c r="C530" i="27"/>
  <c r="C531" i="27"/>
  <c r="C532" i="27"/>
  <c r="C533" i="27"/>
  <c r="C534" i="27"/>
  <c r="C535" i="27"/>
  <c r="C536" i="27"/>
  <c r="C537" i="27"/>
  <c r="C538" i="27"/>
  <c r="C539" i="27"/>
  <c r="C540" i="27"/>
  <c r="C541" i="27"/>
  <c r="C542" i="27"/>
  <c r="C543" i="27"/>
  <c r="C544" i="27"/>
  <c r="C545" i="27"/>
  <c r="C546" i="27"/>
  <c r="C547" i="27"/>
  <c r="C548" i="27"/>
  <c r="C549" i="27"/>
  <c r="C550" i="27"/>
  <c r="C551" i="27"/>
  <c r="C552" i="27"/>
  <c r="C553" i="27"/>
  <c r="C554" i="27"/>
  <c r="C555" i="27"/>
  <c r="C556" i="27"/>
  <c r="C557" i="27"/>
  <c r="C558" i="27"/>
  <c r="C559" i="27"/>
  <c r="C560" i="27"/>
  <c r="C561" i="27"/>
  <c r="C562" i="27"/>
  <c r="C563" i="27"/>
  <c r="C564" i="27"/>
  <c r="C565" i="27"/>
  <c r="C566" i="27"/>
  <c r="C567" i="27"/>
  <c r="C568" i="27"/>
  <c r="C569" i="27"/>
  <c r="C570" i="27"/>
  <c r="C571" i="27"/>
  <c r="C572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E273" i="27"/>
  <c r="E274" i="27"/>
  <c r="E275" i="27"/>
  <c r="E276" i="27"/>
  <c r="E277" i="27"/>
  <c r="E278" i="27"/>
  <c r="E279" i="27"/>
  <c r="E280" i="27"/>
  <c r="E281" i="27"/>
  <c r="E282" i="27"/>
  <c r="E283" i="27"/>
  <c r="E284" i="27"/>
  <c r="E285" i="27"/>
  <c r="E286" i="27"/>
  <c r="E287" i="27"/>
  <c r="E288" i="27"/>
  <c r="E289" i="27"/>
  <c r="E290" i="27"/>
  <c r="E291" i="27"/>
  <c r="E292" i="27"/>
  <c r="E293" i="27"/>
  <c r="E294" i="27"/>
  <c r="E295" i="27"/>
  <c r="E296" i="27"/>
  <c r="E297" i="27"/>
  <c r="E298" i="27"/>
  <c r="E299" i="27"/>
  <c r="E300" i="27"/>
  <c r="E301" i="27"/>
  <c r="E302" i="27"/>
  <c r="E303" i="27"/>
  <c r="E304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8" i="27"/>
  <c r="E319" i="27"/>
  <c r="E320" i="27"/>
  <c r="E321" i="27"/>
  <c r="E322" i="27"/>
  <c r="E323" i="27"/>
  <c r="E324" i="27"/>
  <c r="E325" i="27"/>
  <c r="E326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4" i="27"/>
  <c r="E345" i="27"/>
  <c r="E346" i="27"/>
  <c r="E347" i="27"/>
  <c r="E348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1" i="27"/>
  <c r="E402" i="27"/>
  <c r="E403" i="27"/>
  <c r="E404" i="27"/>
  <c r="E405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E449" i="27"/>
  <c r="E450" i="27"/>
  <c r="E451" i="27"/>
  <c r="E452" i="27"/>
  <c r="E453" i="27"/>
  <c r="E454" i="27"/>
  <c r="E455" i="27"/>
  <c r="E456" i="27"/>
  <c r="E457" i="27"/>
  <c r="E458" i="27"/>
  <c r="E459" i="27"/>
  <c r="E460" i="27"/>
  <c r="E461" i="27"/>
  <c r="E462" i="27"/>
  <c r="E463" i="27"/>
  <c r="E464" i="27"/>
  <c r="E465" i="27"/>
  <c r="E466" i="27"/>
  <c r="E467" i="27"/>
  <c r="E468" i="27"/>
  <c r="E469" i="27"/>
  <c r="E470" i="27"/>
  <c r="E471" i="27"/>
  <c r="E472" i="27"/>
  <c r="E473" i="27"/>
  <c r="E474" i="27"/>
  <c r="E475" i="27"/>
  <c r="E476" i="27"/>
  <c r="E477" i="27"/>
  <c r="E478" i="27"/>
  <c r="E479" i="27"/>
  <c r="E480" i="27"/>
  <c r="E481" i="27"/>
  <c r="E482" i="27"/>
  <c r="E483" i="27"/>
  <c r="E484" i="27"/>
  <c r="E485" i="27"/>
  <c r="E486" i="27"/>
  <c r="E487" i="27"/>
  <c r="E488" i="27"/>
  <c r="E489" i="27"/>
  <c r="E490" i="27"/>
  <c r="E491" i="27"/>
  <c r="E492" i="27"/>
  <c r="E493" i="27"/>
  <c r="E494" i="27"/>
  <c r="E495" i="27"/>
  <c r="E496" i="27"/>
  <c r="E497" i="27"/>
  <c r="E498" i="27"/>
  <c r="E499" i="27"/>
  <c r="E500" i="27"/>
  <c r="E501" i="27"/>
  <c r="E502" i="27"/>
  <c r="E503" i="27"/>
  <c r="E504" i="27"/>
  <c r="E505" i="27"/>
  <c r="E506" i="27"/>
  <c r="E507" i="27"/>
  <c r="E508" i="27"/>
  <c r="E509" i="27"/>
  <c r="E510" i="27"/>
  <c r="E511" i="27"/>
  <c r="E512" i="27"/>
  <c r="E513" i="27"/>
  <c r="E514" i="27"/>
  <c r="E515" i="27"/>
  <c r="E516" i="27"/>
  <c r="E517" i="27"/>
  <c r="E518" i="27"/>
  <c r="E519" i="27"/>
  <c r="E520" i="27"/>
  <c r="E521" i="27"/>
  <c r="E522" i="27"/>
  <c r="E523" i="27"/>
  <c r="E524" i="27"/>
  <c r="E525" i="27"/>
  <c r="E526" i="27"/>
  <c r="E527" i="27"/>
  <c r="E528" i="27"/>
  <c r="E529" i="27"/>
  <c r="E530" i="27"/>
  <c r="E531" i="27"/>
  <c r="E532" i="27"/>
  <c r="E533" i="27"/>
  <c r="E534" i="27"/>
  <c r="E535" i="27"/>
  <c r="E536" i="27"/>
  <c r="E537" i="27"/>
  <c r="E538" i="27"/>
  <c r="E539" i="27"/>
  <c r="E540" i="27"/>
  <c r="E541" i="27"/>
  <c r="E542" i="27"/>
  <c r="E543" i="27"/>
  <c r="E544" i="27"/>
  <c r="E545" i="27"/>
  <c r="E546" i="27"/>
  <c r="E547" i="27"/>
  <c r="E548" i="27"/>
  <c r="E549" i="27"/>
  <c r="E550" i="27"/>
  <c r="E551" i="27"/>
  <c r="E552" i="27"/>
  <c r="E553" i="27"/>
  <c r="E554" i="27"/>
  <c r="E555" i="27"/>
  <c r="E556" i="27"/>
  <c r="E557" i="27"/>
  <c r="E558" i="27"/>
  <c r="E559" i="27"/>
  <c r="E560" i="27"/>
  <c r="E561" i="27"/>
  <c r="E562" i="27"/>
  <c r="E563" i="27"/>
  <c r="E564" i="27"/>
  <c r="E565" i="27"/>
  <c r="E566" i="27"/>
  <c r="E567" i="27"/>
  <c r="E568" i="27"/>
  <c r="E569" i="27"/>
  <c r="E570" i="27"/>
  <c r="E571" i="27"/>
  <c r="E572" i="27"/>
  <c r="AA27" i="32"/>
  <c r="L85" i="32"/>
  <c r="O30" i="32"/>
  <c r="U30" i="32"/>
  <c r="X85" i="32"/>
  <c r="AG27" i="32"/>
  <c r="AA16" i="18"/>
  <c r="R85" i="32"/>
  <c r="U27" i="23"/>
  <c r="I27" i="32"/>
  <c r="AD27" i="23"/>
  <c r="R16" i="18"/>
  <c r="U85" i="32"/>
  <c r="L16" i="18"/>
  <c r="O28" i="32"/>
  <c r="AJ28" i="32"/>
  <c r="AG30" i="32"/>
  <c r="X30" i="32"/>
  <c r="AJ16" i="18"/>
  <c r="AJ27" i="23"/>
  <c r="U28" i="32"/>
  <c r="R27" i="23"/>
  <c r="AJ168" i="29"/>
  <c r="F28" i="32"/>
  <c r="I85" i="32"/>
  <c r="O16" i="18"/>
  <c r="X28" i="32"/>
  <c r="U16" i="18"/>
  <c r="L28" i="32"/>
  <c r="F30" i="32"/>
  <c r="I30" i="32"/>
  <c r="I27" i="23"/>
  <c r="AA27" i="23"/>
  <c r="I16" i="18"/>
  <c r="D29" i="32"/>
  <c r="R28" i="32"/>
  <c r="AD16" i="18"/>
  <c r="AD28" i="32"/>
  <c r="AJ30" i="32"/>
  <c r="F27" i="23"/>
  <c r="AJ85" i="32"/>
  <c r="AA28" i="32"/>
  <c r="O85" i="32"/>
  <c r="AJ27" i="32"/>
  <c r="AA85" i="32"/>
  <c r="AA30" i="32"/>
  <c r="R29" i="32"/>
  <c r="X27" i="32"/>
  <c r="AA29" i="32"/>
  <c r="X27" i="23"/>
  <c r="D85" i="32"/>
  <c r="D28" i="32"/>
  <c r="L30" i="32"/>
  <c r="AD85" i="32"/>
  <c r="AM16" i="18"/>
  <c r="F29" i="32"/>
  <c r="R27" i="32"/>
  <c r="X16" i="18"/>
  <c r="O27" i="23"/>
  <c r="L27" i="23"/>
  <c r="L29" i="32"/>
  <c r="AM27" i="23"/>
  <c r="AJ29" i="32"/>
  <c r="O27" i="32"/>
  <c r="F85" i="32"/>
  <c r="AG29" i="32"/>
  <c r="O29" i="32"/>
  <c r="D27" i="32"/>
  <c r="AD30" i="32"/>
  <c r="I29" i="32"/>
  <c r="AG16" i="18"/>
  <c r="AD29" i="32"/>
  <c r="AD27" i="32"/>
  <c r="X29" i="32"/>
  <c r="R30" i="32"/>
  <c r="F27" i="32"/>
  <c r="AG28" i="32"/>
  <c r="D30" i="32"/>
  <c r="AG27" i="23"/>
  <c r="L27" i="32"/>
  <c r="U27" i="32"/>
  <c r="I28" i="32"/>
  <c r="AG85" i="32"/>
  <c r="U29" i="32"/>
  <c r="S332" i="28" l="1"/>
  <c r="S322" i="28"/>
  <c r="S344" i="28"/>
  <c r="S330" i="28"/>
  <c r="S321" i="28"/>
  <c r="S343" i="28"/>
  <c r="S329" i="28"/>
  <c r="S320" i="28"/>
  <c r="S352" i="28"/>
  <c r="S342" i="28"/>
  <c r="S328" i="28"/>
  <c r="S319" i="28"/>
  <c r="S339" i="28"/>
  <c r="S327" i="28"/>
  <c r="S318" i="28"/>
  <c r="S338" i="28"/>
  <c r="S326" i="28"/>
  <c r="S317" i="28"/>
  <c r="K85" i="32"/>
  <c r="AF85" i="32"/>
  <c r="H85" i="32"/>
  <c r="AI85" i="32"/>
  <c r="AC85" i="32"/>
  <c r="Z85" i="32"/>
  <c r="W85" i="32"/>
  <c r="T85" i="32"/>
  <c r="Q85" i="32"/>
  <c r="AL85" i="32"/>
  <c r="N85" i="32"/>
  <c r="AL168" i="29"/>
  <c r="S316" i="28"/>
  <c r="AF27" i="23"/>
  <c r="AC27" i="23"/>
  <c r="Z27" i="23"/>
  <c r="H27" i="23"/>
  <c r="W27" i="23"/>
  <c r="T27" i="23"/>
  <c r="AO27" i="23"/>
  <c r="Q27" i="23"/>
  <c r="AL27" i="23"/>
  <c r="N27" i="23"/>
  <c r="AI27" i="23"/>
  <c r="K27" i="23"/>
  <c r="AL29" i="32"/>
  <c r="W27" i="32"/>
  <c r="K27" i="32"/>
  <c r="AL30" i="32"/>
  <c r="Z30" i="32"/>
  <c r="N30" i="32"/>
  <c r="AI28" i="32"/>
  <c r="W28" i="32"/>
  <c r="K28" i="32"/>
  <c r="AL16" i="18"/>
  <c r="Z16" i="18"/>
  <c r="N16" i="18"/>
  <c r="AI30" i="32"/>
  <c r="W30" i="32"/>
  <c r="K30" i="32"/>
  <c r="AF28" i="32"/>
  <c r="T28" i="32"/>
  <c r="H28" i="32"/>
  <c r="AI16" i="18"/>
  <c r="W16" i="18"/>
  <c r="K16" i="18"/>
  <c r="Z29" i="32"/>
  <c r="AF29" i="32"/>
  <c r="T29" i="32"/>
  <c r="H29" i="32"/>
  <c r="AC27" i="32"/>
  <c r="Q27" i="32"/>
  <c r="N29" i="32"/>
  <c r="AI29" i="32"/>
  <c r="H27" i="32"/>
  <c r="AF30" i="32"/>
  <c r="T30" i="32"/>
  <c r="H30" i="32"/>
  <c r="AC28" i="32"/>
  <c r="Q28" i="32"/>
  <c r="AF16" i="18"/>
  <c r="T16" i="18"/>
  <c r="W29" i="32"/>
  <c r="AF27" i="32"/>
  <c r="AC29" i="32"/>
  <c r="Q29" i="32"/>
  <c r="AL27" i="32"/>
  <c r="Z27" i="32"/>
  <c r="N27" i="32"/>
  <c r="AI27" i="32"/>
  <c r="K29" i="32"/>
  <c r="T27" i="32"/>
  <c r="AC30" i="32"/>
  <c r="Q30" i="32"/>
  <c r="AL28" i="32"/>
  <c r="Z28" i="32"/>
  <c r="N28" i="32"/>
  <c r="AO16" i="18"/>
  <c r="AC16" i="18"/>
  <c r="Q16" i="18"/>
  <c r="D76" i="1"/>
  <c r="E76" i="1"/>
  <c r="H76" i="1"/>
  <c r="I76" i="1"/>
  <c r="J76" i="1"/>
  <c r="K76" i="1"/>
  <c r="L76" i="1"/>
  <c r="M76" i="1"/>
  <c r="N76" i="1"/>
  <c r="O76" i="1"/>
  <c r="P76" i="1"/>
  <c r="Q76" i="1"/>
  <c r="R76" i="1"/>
  <c r="S76" i="1"/>
  <c r="D103" i="1"/>
  <c r="E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D104" i="1"/>
  <c r="E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D62" i="1"/>
  <c r="E62" i="1"/>
  <c r="H62" i="1"/>
  <c r="I62" i="1"/>
  <c r="J62" i="1"/>
  <c r="K62" i="1"/>
  <c r="L62" i="1"/>
  <c r="M62" i="1"/>
  <c r="N62" i="1"/>
  <c r="O62" i="1"/>
  <c r="P62" i="1"/>
  <c r="Q62" i="1"/>
  <c r="R62" i="1"/>
  <c r="S62" i="1"/>
  <c r="D43" i="1"/>
  <c r="E43" i="1"/>
  <c r="H43" i="1"/>
  <c r="I43" i="1"/>
  <c r="J43" i="1"/>
  <c r="K43" i="1"/>
  <c r="L43" i="1"/>
  <c r="M43" i="1"/>
  <c r="N43" i="1"/>
  <c r="O43" i="1"/>
  <c r="P43" i="1"/>
  <c r="Q43" i="1"/>
  <c r="R43" i="1"/>
  <c r="S43" i="1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F214" i="16"/>
  <c r="G214" i="16" s="1"/>
  <c r="F215" i="16"/>
  <c r="G215" i="16" s="1"/>
  <c r="F216" i="16"/>
  <c r="G216" i="16" s="1"/>
  <c r="F217" i="16"/>
  <c r="G217" i="16" s="1"/>
  <c r="F218" i="16"/>
  <c r="G218" i="16" s="1"/>
  <c r="F219" i="16"/>
  <c r="G219" i="16" s="1"/>
  <c r="F220" i="16"/>
  <c r="G220" i="16" s="1"/>
  <c r="F221" i="16"/>
  <c r="G221" i="16" s="1"/>
  <c r="F222" i="16"/>
  <c r="G222" i="16" s="1"/>
  <c r="F223" i="16"/>
  <c r="G223" i="16" s="1"/>
  <c r="F224" i="16"/>
  <c r="G224" i="16" s="1"/>
  <c r="F225" i="16"/>
  <c r="G225" i="16" s="1"/>
  <c r="F226" i="16"/>
  <c r="G226" i="16" s="1"/>
  <c r="F227" i="16"/>
  <c r="G227" i="16" s="1"/>
  <c r="F228" i="16"/>
  <c r="G228" i="16" s="1"/>
  <c r="F229" i="16"/>
  <c r="G229" i="16" s="1"/>
  <c r="F230" i="16"/>
  <c r="G230" i="16" s="1"/>
  <c r="F231" i="16"/>
  <c r="G231" i="16" s="1"/>
  <c r="F232" i="16"/>
  <c r="G232" i="16" s="1"/>
  <c r="F233" i="16"/>
  <c r="G233" i="16" s="1"/>
  <c r="F234" i="16"/>
  <c r="G234" i="16" s="1"/>
  <c r="F235" i="16"/>
  <c r="G235" i="16" s="1"/>
  <c r="F236" i="16"/>
  <c r="G236" i="16" s="1"/>
  <c r="F237" i="16"/>
  <c r="G237" i="16" s="1"/>
  <c r="F238" i="16"/>
  <c r="G238" i="16" s="1"/>
  <c r="F239" i="16"/>
  <c r="G239" i="16" s="1"/>
  <c r="F240" i="16"/>
  <c r="G240" i="16" s="1"/>
  <c r="F241" i="16"/>
  <c r="G241" i="16" s="1"/>
  <c r="F242" i="16"/>
  <c r="G242" i="16" s="1"/>
  <c r="F243" i="16"/>
  <c r="G243" i="16" s="1"/>
  <c r="F244" i="16"/>
  <c r="G244" i="16" s="1"/>
  <c r="F245" i="16"/>
  <c r="G245" i="16" s="1"/>
  <c r="F246" i="16"/>
  <c r="G246" i="16" s="1"/>
  <c r="F247" i="16"/>
  <c r="G247" i="16" s="1"/>
  <c r="F248" i="16"/>
  <c r="G248" i="16" s="1"/>
  <c r="F249" i="16"/>
  <c r="G249" i="16" s="1"/>
  <c r="F250" i="16"/>
  <c r="G250" i="16" s="1"/>
  <c r="F251" i="16"/>
  <c r="G251" i="16" s="1"/>
  <c r="F252" i="16"/>
  <c r="G252" i="16" s="1"/>
  <c r="F253" i="16"/>
  <c r="G253" i="16" s="1"/>
  <c r="F254" i="16"/>
  <c r="G254" i="16" s="1"/>
  <c r="F255" i="16"/>
  <c r="G255" i="16" s="1"/>
  <c r="F256" i="16"/>
  <c r="G256" i="16" s="1"/>
  <c r="F257" i="16"/>
  <c r="G257" i="16" s="1"/>
  <c r="F258" i="16"/>
  <c r="G258" i="16" s="1"/>
  <c r="F259" i="16"/>
  <c r="G259" i="16" s="1"/>
  <c r="F260" i="16"/>
  <c r="G260" i="16" s="1"/>
  <c r="F261" i="16"/>
  <c r="G261" i="16" s="1"/>
  <c r="F262" i="16"/>
  <c r="G262" i="16" s="1"/>
  <c r="F263" i="16"/>
  <c r="G263" i="16" s="1"/>
  <c r="F264" i="16"/>
  <c r="G264" i="16" s="1"/>
  <c r="F265" i="16"/>
  <c r="G265" i="16" s="1"/>
  <c r="F266" i="16"/>
  <c r="G266" i="16" s="1"/>
  <c r="F267" i="16"/>
  <c r="G267" i="16" s="1"/>
  <c r="F268" i="16"/>
  <c r="G268" i="16" s="1"/>
  <c r="F269" i="16"/>
  <c r="G269" i="16" s="1"/>
  <c r="F270" i="16"/>
  <c r="G270" i="16" s="1"/>
  <c r="F271" i="16"/>
  <c r="G271" i="16" s="1"/>
  <c r="F272" i="16"/>
  <c r="G272" i="16" s="1"/>
  <c r="F273" i="16"/>
  <c r="G273" i="16" s="1"/>
  <c r="F274" i="16"/>
  <c r="G274" i="16" s="1"/>
  <c r="F275" i="16"/>
  <c r="G275" i="16" s="1"/>
  <c r="F276" i="16"/>
  <c r="G276" i="16" s="1"/>
  <c r="F277" i="16"/>
  <c r="G277" i="16" s="1"/>
  <c r="F278" i="16"/>
  <c r="G278" i="16" s="1"/>
  <c r="F279" i="16"/>
  <c r="G279" i="16" s="1"/>
  <c r="F280" i="16"/>
  <c r="G280" i="16" s="1"/>
  <c r="F281" i="16"/>
  <c r="G281" i="16" s="1"/>
  <c r="F282" i="16"/>
  <c r="G282" i="16" s="1"/>
  <c r="F283" i="16"/>
  <c r="G283" i="16" s="1"/>
  <c r="F284" i="16"/>
  <c r="G284" i="16" s="1"/>
  <c r="F285" i="16"/>
  <c r="G285" i="16" s="1"/>
  <c r="F286" i="16"/>
  <c r="G286" i="16" s="1"/>
  <c r="F287" i="16"/>
  <c r="G287" i="16" s="1"/>
  <c r="F288" i="16"/>
  <c r="G288" i="16" s="1"/>
  <c r="F289" i="16"/>
  <c r="G289" i="16" s="1"/>
  <c r="F290" i="16"/>
  <c r="G290" i="16" s="1"/>
  <c r="F291" i="16"/>
  <c r="G291" i="16" s="1"/>
  <c r="F292" i="16"/>
  <c r="G292" i="16" s="1"/>
  <c r="F293" i="16"/>
  <c r="G293" i="16" s="1"/>
  <c r="F294" i="16"/>
  <c r="G294" i="16" s="1"/>
  <c r="F295" i="16"/>
  <c r="G295" i="16" s="1"/>
  <c r="F296" i="16"/>
  <c r="G296" i="16" s="1"/>
  <c r="F297" i="16"/>
  <c r="G297" i="16" s="1"/>
  <c r="O214" i="16"/>
  <c r="O215" i="16"/>
  <c r="O216" i="16"/>
  <c r="O217" i="16"/>
  <c r="O218" i="16"/>
  <c r="O219" i="16"/>
  <c r="O220" i="16"/>
  <c r="O221" i="16"/>
  <c r="O222" i="16"/>
  <c r="O223" i="16"/>
  <c r="O224" i="16"/>
  <c r="O225" i="16"/>
  <c r="O226" i="16"/>
  <c r="O227" i="16"/>
  <c r="O228" i="16"/>
  <c r="O229" i="16"/>
  <c r="O230" i="16"/>
  <c r="O231" i="16"/>
  <c r="O232" i="16"/>
  <c r="O233" i="16"/>
  <c r="O234" i="16"/>
  <c r="O235" i="16"/>
  <c r="O236" i="16"/>
  <c r="O237" i="16"/>
  <c r="O238" i="16"/>
  <c r="O239" i="16"/>
  <c r="O240" i="16"/>
  <c r="O241" i="16"/>
  <c r="R281" i="28" s="1"/>
  <c r="O242" i="16"/>
  <c r="O243" i="16"/>
  <c r="O244" i="16"/>
  <c r="O245" i="16"/>
  <c r="O246" i="16"/>
  <c r="O247" i="16"/>
  <c r="O248" i="16"/>
  <c r="O249" i="16"/>
  <c r="O250" i="16"/>
  <c r="O251" i="16"/>
  <c r="O252" i="16"/>
  <c r="O253" i="16"/>
  <c r="O254" i="16"/>
  <c r="O255" i="16"/>
  <c r="O256" i="16"/>
  <c r="O257" i="16"/>
  <c r="O258" i="16"/>
  <c r="O259" i="16"/>
  <c r="O260" i="16"/>
  <c r="O261" i="16"/>
  <c r="O262" i="16"/>
  <c r="O263" i="16"/>
  <c r="O264" i="16"/>
  <c r="O265" i="16"/>
  <c r="O266" i="16"/>
  <c r="O267" i="16"/>
  <c r="O268" i="16"/>
  <c r="O269" i="16"/>
  <c r="O270" i="16"/>
  <c r="O271" i="16"/>
  <c r="O272" i="16"/>
  <c r="O273" i="16"/>
  <c r="O274" i="16"/>
  <c r="O275" i="16"/>
  <c r="R345" i="28" s="1"/>
  <c r="O276" i="16"/>
  <c r="R348" i="28" s="1"/>
  <c r="O277" i="16"/>
  <c r="R350" i="28" s="1"/>
  <c r="O278" i="16"/>
  <c r="O279" i="16"/>
  <c r="O280" i="16"/>
  <c r="O281" i="16"/>
  <c r="O282" i="16"/>
  <c r="O283" i="16"/>
  <c r="O284" i="16"/>
  <c r="O285" i="16"/>
  <c r="O286" i="16"/>
  <c r="O287" i="16"/>
  <c r="O288" i="16"/>
  <c r="O289" i="16"/>
  <c r="O290" i="16"/>
  <c r="O291" i="16"/>
  <c r="O292" i="16"/>
  <c r="O293" i="16"/>
  <c r="O294" i="16"/>
  <c r="O295" i="16"/>
  <c r="O296" i="16"/>
  <c r="O297" i="16"/>
  <c r="D133" i="1"/>
  <c r="E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D71" i="1"/>
  <c r="E71" i="1"/>
  <c r="H71" i="1"/>
  <c r="I71" i="1"/>
  <c r="J71" i="1"/>
  <c r="K71" i="1"/>
  <c r="L71" i="1"/>
  <c r="M71" i="1"/>
  <c r="N71" i="1"/>
  <c r="O71" i="1"/>
  <c r="P71" i="1"/>
  <c r="Q71" i="1"/>
  <c r="R71" i="1"/>
  <c r="S71" i="1"/>
  <c r="D72" i="1"/>
  <c r="E72" i="1"/>
  <c r="H72" i="1"/>
  <c r="I72" i="1"/>
  <c r="J72" i="1"/>
  <c r="K72" i="1"/>
  <c r="L72" i="1"/>
  <c r="M72" i="1"/>
  <c r="N72" i="1"/>
  <c r="O72" i="1"/>
  <c r="P72" i="1"/>
  <c r="Q72" i="1"/>
  <c r="R72" i="1"/>
  <c r="S72" i="1"/>
  <c r="L26" i="23"/>
  <c r="R351" i="28" l="1"/>
  <c r="R338" i="28"/>
  <c r="R343" i="28"/>
  <c r="R328" i="28"/>
  <c r="R352" i="28"/>
  <c r="R339" i="28"/>
  <c r="R327" i="28"/>
  <c r="R318" i="28"/>
  <c r="R326" i="28"/>
  <c r="R317" i="28"/>
  <c r="R334" i="28"/>
  <c r="R324" i="28"/>
  <c r="R316" i="28"/>
  <c r="R323" i="28"/>
  <c r="R333" i="28"/>
  <c r="R332" i="28"/>
  <c r="R322" i="28"/>
  <c r="R344" i="28"/>
  <c r="R330" i="28"/>
  <c r="R321" i="28"/>
  <c r="R329" i="28"/>
  <c r="R320" i="28"/>
  <c r="R342" i="28"/>
  <c r="R319" i="28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Q42" i="28" s="1"/>
  <c r="O33" i="15"/>
  <c r="O34" i="15"/>
  <c r="O35" i="15"/>
  <c r="Q45" i="28" s="1"/>
  <c r="O36" i="15"/>
  <c r="Q47" i="28" s="1"/>
  <c r="O37" i="15"/>
  <c r="Q48" i="28" s="1"/>
  <c r="O38" i="15"/>
  <c r="Q49" i="28" s="1"/>
  <c r="O39" i="15"/>
  <c r="Q50" i="28" s="1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Q153" i="28" s="1"/>
  <c r="O142" i="15"/>
  <c r="O143" i="15"/>
  <c r="O144" i="15"/>
  <c r="O145" i="15"/>
  <c r="O146" i="15"/>
  <c r="O147" i="15"/>
  <c r="O148" i="15"/>
  <c r="O149" i="15"/>
  <c r="Q173" i="28" s="1"/>
  <c r="O150" i="15"/>
  <c r="Q174" i="28" s="1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Q281" i="28" s="1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Q324" i="28" s="1"/>
  <c r="O262" i="15"/>
  <c r="Q326" i="28" s="1"/>
  <c r="O263" i="15"/>
  <c r="O264" i="15"/>
  <c r="O265" i="15"/>
  <c r="O266" i="15"/>
  <c r="O267" i="15"/>
  <c r="O268" i="15"/>
  <c r="O269" i="15"/>
  <c r="Q334" i="28" s="1"/>
  <c r="O270" i="15"/>
  <c r="Q338" i="28" s="1"/>
  <c r="O271" i="15"/>
  <c r="O272" i="15"/>
  <c r="O273" i="15"/>
  <c r="O274" i="15"/>
  <c r="O275" i="15"/>
  <c r="Q345" i="28" s="1"/>
  <c r="O276" i="15"/>
  <c r="Q348" i="28" s="1"/>
  <c r="O277" i="15"/>
  <c r="Q350" i="28" s="1"/>
  <c r="O278" i="15"/>
  <c r="Q351" i="28" s="1"/>
  <c r="O279" i="15"/>
  <c r="Q352" i="28" s="1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Q317" i="28" s="1"/>
  <c r="O296" i="15"/>
  <c r="O297" i="15"/>
  <c r="O298" i="15"/>
  <c r="O15" i="15"/>
  <c r="D75" i="1"/>
  <c r="E75" i="1"/>
  <c r="H75" i="1"/>
  <c r="I75" i="1"/>
  <c r="J75" i="1"/>
  <c r="K75" i="1"/>
  <c r="L75" i="1"/>
  <c r="M75" i="1"/>
  <c r="N75" i="1"/>
  <c r="O75" i="1"/>
  <c r="P75" i="1"/>
  <c r="Q75" i="1"/>
  <c r="R75" i="1"/>
  <c r="S75" i="1"/>
  <c r="E296" i="13"/>
  <c r="F296" i="13"/>
  <c r="G296" i="13" s="1"/>
  <c r="O296" i="13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F203" i="15"/>
  <c r="G203" i="15" s="1"/>
  <c r="F204" i="15"/>
  <c r="G204" i="15" s="1"/>
  <c r="F205" i="15"/>
  <c r="G205" i="15" s="1"/>
  <c r="F206" i="15"/>
  <c r="G206" i="15" s="1"/>
  <c r="F207" i="15"/>
  <c r="G207" i="15" s="1"/>
  <c r="F208" i="15"/>
  <c r="G208" i="15" s="1"/>
  <c r="F209" i="15"/>
  <c r="G209" i="15" s="1"/>
  <c r="F210" i="15"/>
  <c r="G210" i="15" s="1"/>
  <c r="F211" i="15"/>
  <c r="G211" i="15" s="1"/>
  <c r="F212" i="15"/>
  <c r="G212" i="15" s="1"/>
  <c r="F213" i="15"/>
  <c r="G213" i="15" s="1"/>
  <c r="F214" i="15"/>
  <c r="G214" i="15" s="1"/>
  <c r="F215" i="15"/>
  <c r="G215" i="15" s="1"/>
  <c r="F216" i="15"/>
  <c r="G216" i="15" s="1"/>
  <c r="F217" i="15"/>
  <c r="G217" i="15" s="1"/>
  <c r="F218" i="15"/>
  <c r="G218" i="15" s="1"/>
  <c r="F219" i="15"/>
  <c r="G219" i="15" s="1"/>
  <c r="F220" i="15"/>
  <c r="G220" i="15" s="1"/>
  <c r="F221" i="15"/>
  <c r="G221" i="15" s="1"/>
  <c r="F222" i="15"/>
  <c r="G222" i="15" s="1"/>
  <c r="F223" i="15"/>
  <c r="G223" i="15" s="1"/>
  <c r="F224" i="15"/>
  <c r="G224" i="15" s="1"/>
  <c r="F225" i="15"/>
  <c r="G225" i="15" s="1"/>
  <c r="F226" i="15"/>
  <c r="G226" i="15" s="1"/>
  <c r="F227" i="15"/>
  <c r="G227" i="15" s="1"/>
  <c r="F228" i="15"/>
  <c r="G228" i="15" s="1"/>
  <c r="F229" i="15"/>
  <c r="G229" i="15" s="1"/>
  <c r="F230" i="15"/>
  <c r="G230" i="15" s="1"/>
  <c r="F231" i="15"/>
  <c r="G231" i="15" s="1"/>
  <c r="F232" i="15"/>
  <c r="G232" i="15" s="1"/>
  <c r="F233" i="15"/>
  <c r="G233" i="15" s="1"/>
  <c r="F234" i="15"/>
  <c r="G234" i="15" s="1"/>
  <c r="F235" i="15"/>
  <c r="G235" i="15" s="1"/>
  <c r="F236" i="15"/>
  <c r="G236" i="15" s="1"/>
  <c r="F237" i="15"/>
  <c r="G237" i="15" s="1"/>
  <c r="F238" i="15"/>
  <c r="G238" i="15" s="1"/>
  <c r="F239" i="15"/>
  <c r="G239" i="15" s="1"/>
  <c r="F240" i="15"/>
  <c r="G240" i="15" s="1"/>
  <c r="F241" i="15"/>
  <c r="G241" i="15" s="1"/>
  <c r="F242" i="15"/>
  <c r="G242" i="15" s="1"/>
  <c r="F243" i="15"/>
  <c r="G243" i="15" s="1"/>
  <c r="F244" i="15"/>
  <c r="G244" i="15" s="1"/>
  <c r="F245" i="15"/>
  <c r="G245" i="15" s="1"/>
  <c r="F246" i="15"/>
  <c r="G246" i="15" s="1"/>
  <c r="F247" i="15"/>
  <c r="G247" i="15" s="1"/>
  <c r="F248" i="15"/>
  <c r="G248" i="15" s="1"/>
  <c r="F249" i="15"/>
  <c r="G249" i="15" s="1"/>
  <c r="F250" i="15"/>
  <c r="G250" i="15" s="1"/>
  <c r="F251" i="15"/>
  <c r="G251" i="15" s="1"/>
  <c r="F252" i="15"/>
  <c r="G252" i="15" s="1"/>
  <c r="F253" i="15"/>
  <c r="G253" i="15" s="1"/>
  <c r="F254" i="15"/>
  <c r="G254" i="15" s="1"/>
  <c r="F255" i="15"/>
  <c r="G255" i="15" s="1"/>
  <c r="F256" i="15"/>
  <c r="G256" i="15" s="1"/>
  <c r="F257" i="15"/>
  <c r="G257" i="15" s="1"/>
  <c r="F258" i="15"/>
  <c r="G258" i="15" s="1"/>
  <c r="F259" i="15"/>
  <c r="G259" i="15" s="1"/>
  <c r="F260" i="15"/>
  <c r="G260" i="15" s="1"/>
  <c r="F261" i="15"/>
  <c r="G261" i="15" s="1"/>
  <c r="F262" i="15"/>
  <c r="G262" i="15" s="1"/>
  <c r="F263" i="15"/>
  <c r="G263" i="15" s="1"/>
  <c r="F264" i="15"/>
  <c r="G264" i="15" s="1"/>
  <c r="F265" i="15"/>
  <c r="G265" i="15" s="1"/>
  <c r="F266" i="15"/>
  <c r="G266" i="15" s="1"/>
  <c r="F267" i="15"/>
  <c r="G267" i="15" s="1"/>
  <c r="F268" i="15"/>
  <c r="G268" i="15" s="1"/>
  <c r="F269" i="15"/>
  <c r="G269" i="15" s="1"/>
  <c r="F270" i="15"/>
  <c r="G270" i="15" s="1"/>
  <c r="F271" i="15"/>
  <c r="G271" i="15" s="1"/>
  <c r="F272" i="15"/>
  <c r="G272" i="15" s="1"/>
  <c r="F273" i="15"/>
  <c r="G273" i="15" s="1"/>
  <c r="F274" i="15"/>
  <c r="G274" i="15" s="1"/>
  <c r="F275" i="15"/>
  <c r="G275" i="15" s="1"/>
  <c r="F276" i="15"/>
  <c r="G276" i="15" s="1"/>
  <c r="F277" i="15"/>
  <c r="G277" i="15" s="1"/>
  <c r="F278" i="15"/>
  <c r="G278" i="15" s="1"/>
  <c r="F279" i="15"/>
  <c r="G279" i="15" s="1"/>
  <c r="F280" i="15"/>
  <c r="G280" i="15" s="1"/>
  <c r="F281" i="15"/>
  <c r="G281" i="15" s="1"/>
  <c r="F282" i="15"/>
  <c r="G282" i="15" s="1"/>
  <c r="F283" i="15"/>
  <c r="G283" i="15" s="1"/>
  <c r="F284" i="15"/>
  <c r="G284" i="15" s="1"/>
  <c r="F285" i="15"/>
  <c r="G285" i="15" s="1"/>
  <c r="F286" i="15"/>
  <c r="G286" i="15" s="1"/>
  <c r="F287" i="15"/>
  <c r="G287" i="15" s="1"/>
  <c r="F288" i="15"/>
  <c r="G288" i="15" s="1"/>
  <c r="F289" i="15"/>
  <c r="G289" i="15" s="1"/>
  <c r="F290" i="15"/>
  <c r="G290" i="15" s="1"/>
  <c r="F291" i="15"/>
  <c r="G291" i="15" s="1"/>
  <c r="F292" i="15"/>
  <c r="G292" i="15" s="1"/>
  <c r="F293" i="15"/>
  <c r="G293" i="15" s="1"/>
  <c r="F294" i="15"/>
  <c r="G294" i="15" s="1"/>
  <c r="F295" i="15"/>
  <c r="G295" i="15" s="1"/>
  <c r="F296" i="15"/>
  <c r="G296" i="15" s="1"/>
  <c r="F297" i="15"/>
  <c r="G297" i="15" s="1"/>
  <c r="F298" i="15"/>
  <c r="G298" i="15" s="1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P47" i="28" s="1"/>
  <c r="O35" i="14"/>
  <c r="P48" i="28" s="1"/>
  <c r="O36" i="14"/>
  <c r="P49" i="28" s="1"/>
  <c r="O37" i="14"/>
  <c r="P50" i="28" s="1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P153" i="28" s="1"/>
  <c r="O141" i="14"/>
  <c r="O142" i="14"/>
  <c r="O143" i="14"/>
  <c r="O144" i="14"/>
  <c r="O145" i="14"/>
  <c r="O146" i="14"/>
  <c r="O147" i="14"/>
  <c r="O148" i="14"/>
  <c r="P173" i="28" s="1"/>
  <c r="O149" i="14"/>
  <c r="P174" i="28" s="1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P281" i="28" s="1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P316" i="28" s="1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P345" i="28" s="1"/>
  <c r="O278" i="14"/>
  <c r="P348" i="28" s="1"/>
  <c r="O279" i="14"/>
  <c r="O280" i="14"/>
  <c r="P351" i="28" s="1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Q320" i="28" l="1"/>
  <c r="Q339" i="28"/>
  <c r="Q327" i="28"/>
  <c r="Q333" i="28"/>
  <c r="Q323" i="28"/>
  <c r="Q332" i="28"/>
  <c r="Q322" i="28"/>
  <c r="Q344" i="28"/>
  <c r="Q330" i="28"/>
  <c r="Q321" i="28"/>
  <c r="Q319" i="28"/>
  <c r="Q343" i="28"/>
  <c r="Q329" i="28"/>
  <c r="Q342" i="28"/>
  <c r="Q328" i="28"/>
  <c r="P352" i="28"/>
  <c r="P330" i="28"/>
  <c r="P329" i="28"/>
  <c r="P350" i="28"/>
  <c r="P328" i="28"/>
  <c r="P344" i="28"/>
  <c r="P317" i="28"/>
  <c r="Q318" i="28"/>
  <c r="Q316" i="28"/>
  <c r="P332" i="28"/>
  <c r="P318" i="28"/>
  <c r="P324" i="28"/>
  <c r="P327" i="28"/>
  <c r="P343" i="28"/>
  <c r="P338" i="28"/>
  <c r="P321" i="28"/>
  <c r="P342" i="28"/>
  <c r="P334" i="28"/>
  <c r="P320" i="28"/>
  <c r="P323" i="28"/>
  <c r="P339" i="28"/>
  <c r="P333" i="28"/>
  <c r="P319" i="28"/>
  <c r="P326" i="28"/>
  <c r="P322" i="28"/>
  <c r="D30" i="1"/>
  <c r="E30" i="1"/>
  <c r="H30" i="1"/>
  <c r="I30" i="1"/>
  <c r="J30" i="1"/>
  <c r="K30" i="1"/>
  <c r="L30" i="1"/>
  <c r="M30" i="1"/>
  <c r="N30" i="1"/>
  <c r="O30" i="1"/>
  <c r="P30" i="1"/>
  <c r="Q30" i="1"/>
  <c r="R30" i="1"/>
  <c r="S30" i="1"/>
  <c r="D31" i="1"/>
  <c r="E31" i="1"/>
  <c r="H31" i="1"/>
  <c r="I31" i="1"/>
  <c r="J31" i="1"/>
  <c r="K31" i="1"/>
  <c r="L31" i="1"/>
  <c r="M31" i="1"/>
  <c r="N31" i="1"/>
  <c r="O31" i="1"/>
  <c r="P31" i="1"/>
  <c r="Q31" i="1"/>
  <c r="R31" i="1"/>
  <c r="S31" i="1"/>
  <c r="D56" i="1"/>
  <c r="E56" i="1"/>
  <c r="H56" i="1"/>
  <c r="I56" i="1"/>
  <c r="J56" i="1"/>
  <c r="K56" i="1"/>
  <c r="L56" i="1"/>
  <c r="M56" i="1"/>
  <c r="N56" i="1"/>
  <c r="O56" i="1"/>
  <c r="P56" i="1"/>
  <c r="Q56" i="1"/>
  <c r="R56" i="1"/>
  <c r="S56" i="1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F202" i="14"/>
  <c r="G202" i="14" s="1"/>
  <c r="F203" i="14"/>
  <c r="G203" i="14" s="1"/>
  <c r="F204" i="14"/>
  <c r="G204" i="14" s="1"/>
  <c r="F205" i="14"/>
  <c r="G205" i="14" s="1"/>
  <c r="F206" i="14"/>
  <c r="G206" i="14" s="1"/>
  <c r="F207" i="14"/>
  <c r="G207" i="14" s="1"/>
  <c r="F208" i="14"/>
  <c r="G208" i="14" s="1"/>
  <c r="F209" i="14"/>
  <c r="G209" i="14" s="1"/>
  <c r="F210" i="14"/>
  <c r="G210" i="14" s="1"/>
  <c r="F211" i="14"/>
  <c r="G211" i="14" s="1"/>
  <c r="F212" i="14"/>
  <c r="G212" i="14" s="1"/>
  <c r="F213" i="14"/>
  <c r="G213" i="14" s="1"/>
  <c r="F214" i="14"/>
  <c r="G214" i="14" s="1"/>
  <c r="F215" i="14"/>
  <c r="G215" i="14" s="1"/>
  <c r="F216" i="14"/>
  <c r="G216" i="14" s="1"/>
  <c r="F217" i="14"/>
  <c r="G217" i="14" s="1"/>
  <c r="F218" i="14"/>
  <c r="G218" i="14" s="1"/>
  <c r="F219" i="14"/>
  <c r="G219" i="14" s="1"/>
  <c r="F220" i="14"/>
  <c r="G220" i="14" s="1"/>
  <c r="F221" i="14"/>
  <c r="G221" i="14" s="1"/>
  <c r="F222" i="14"/>
  <c r="G222" i="14" s="1"/>
  <c r="F223" i="14"/>
  <c r="G223" i="14" s="1"/>
  <c r="F224" i="14"/>
  <c r="G224" i="14" s="1"/>
  <c r="F225" i="14"/>
  <c r="G225" i="14" s="1"/>
  <c r="F226" i="14"/>
  <c r="G226" i="14" s="1"/>
  <c r="F227" i="14"/>
  <c r="G227" i="14" s="1"/>
  <c r="F228" i="14"/>
  <c r="G228" i="14" s="1"/>
  <c r="F229" i="14"/>
  <c r="G229" i="14" s="1"/>
  <c r="F230" i="14"/>
  <c r="G230" i="14" s="1"/>
  <c r="F231" i="14"/>
  <c r="G231" i="14" s="1"/>
  <c r="F232" i="14"/>
  <c r="G232" i="14" s="1"/>
  <c r="F233" i="14"/>
  <c r="G233" i="14" s="1"/>
  <c r="F234" i="14"/>
  <c r="G234" i="14" s="1"/>
  <c r="F235" i="14"/>
  <c r="G235" i="14" s="1"/>
  <c r="F236" i="14"/>
  <c r="G236" i="14" s="1"/>
  <c r="F237" i="14"/>
  <c r="G237" i="14" s="1"/>
  <c r="F238" i="14"/>
  <c r="G238" i="14" s="1"/>
  <c r="F239" i="14"/>
  <c r="G239" i="14" s="1"/>
  <c r="F240" i="14"/>
  <c r="G240" i="14" s="1"/>
  <c r="F241" i="14"/>
  <c r="G241" i="14" s="1"/>
  <c r="F242" i="14"/>
  <c r="G242" i="14" s="1"/>
  <c r="F243" i="14"/>
  <c r="G243" i="14" s="1"/>
  <c r="F244" i="14"/>
  <c r="G244" i="14" s="1"/>
  <c r="F245" i="14"/>
  <c r="G245" i="14" s="1"/>
  <c r="F246" i="14"/>
  <c r="G246" i="14" s="1"/>
  <c r="F247" i="14"/>
  <c r="G247" i="14" s="1"/>
  <c r="F248" i="14"/>
  <c r="G248" i="14" s="1"/>
  <c r="F249" i="14"/>
  <c r="G249" i="14" s="1"/>
  <c r="F250" i="14"/>
  <c r="G250" i="14" s="1"/>
  <c r="F251" i="14"/>
  <c r="G251" i="14" s="1"/>
  <c r="F252" i="14"/>
  <c r="G252" i="14" s="1"/>
  <c r="F253" i="14"/>
  <c r="G253" i="14" s="1"/>
  <c r="F254" i="14"/>
  <c r="G254" i="14" s="1"/>
  <c r="F255" i="14"/>
  <c r="G255" i="14" s="1"/>
  <c r="F256" i="14"/>
  <c r="G256" i="14" s="1"/>
  <c r="F257" i="14"/>
  <c r="G257" i="14" s="1"/>
  <c r="F258" i="14"/>
  <c r="G258" i="14" s="1"/>
  <c r="F259" i="14"/>
  <c r="G259" i="14" s="1"/>
  <c r="F260" i="14"/>
  <c r="G260" i="14" s="1"/>
  <c r="F261" i="14"/>
  <c r="G261" i="14" s="1"/>
  <c r="F262" i="14"/>
  <c r="G262" i="14" s="1"/>
  <c r="F263" i="14"/>
  <c r="G263" i="14" s="1"/>
  <c r="F264" i="14"/>
  <c r="G264" i="14" s="1"/>
  <c r="F265" i="14"/>
  <c r="G265" i="14" s="1"/>
  <c r="F266" i="14"/>
  <c r="G266" i="14" s="1"/>
  <c r="F267" i="14"/>
  <c r="G267" i="14" s="1"/>
  <c r="F268" i="14"/>
  <c r="G268" i="14" s="1"/>
  <c r="F269" i="14"/>
  <c r="G269" i="14" s="1"/>
  <c r="F270" i="14"/>
  <c r="G270" i="14" s="1"/>
  <c r="F271" i="14"/>
  <c r="G271" i="14" s="1"/>
  <c r="F272" i="14"/>
  <c r="G272" i="14" s="1"/>
  <c r="F273" i="14"/>
  <c r="G273" i="14" s="1"/>
  <c r="F274" i="14"/>
  <c r="G274" i="14" s="1"/>
  <c r="F275" i="14"/>
  <c r="G275" i="14" s="1"/>
  <c r="F276" i="14"/>
  <c r="G276" i="14" s="1"/>
  <c r="F277" i="14"/>
  <c r="G277" i="14" s="1"/>
  <c r="F278" i="14"/>
  <c r="G278" i="14" s="1"/>
  <c r="F279" i="14"/>
  <c r="G279" i="14" s="1"/>
  <c r="F280" i="14"/>
  <c r="G280" i="14" s="1"/>
  <c r="F281" i="14"/>
  <c r="G281" i="14" s="1"/>
  <c r="F282" i="14"/>
  <c r="G282" i="14" s="1"/>
  <c r="F283" i="14"/>
  <c r="G283" i="14" s="1"/>
  <c r="F284" i="14"/>
  <c r="G284" i="14" s="1"/>
  <c r="F285" i="14"/>
  <c r="G285" i="14" s="1"/>
  <c r="F286" i="14"/>
  <c r="G286" i="14" s="1"/>
  <c r="F287" i="14"/>
  <c r="G287" i="14" s="1"/>
  <c r="F288" i="14"/>
  <c r="G288" i="14" s="1"/>
  <c r="F289" i="14"/>
  <c r="G289" i="14" s="1"/>
  <c r="F290" i="14"/>
  <c r="G290" i="14" s="1"/>
  <c r="F291" i="14"/>
  <c r="G291" i="14" s="1"/>
  <c r="F292" i="14"/>
  <c r="G292" i="14" s="1"/>
  <c r="F293" i="14"/>
  <c r="G293" i="14" s="1"/>
  <c r="F294" i="14"/>
  <c r="G294" i="14" s="1"/>
  <c r="F295" i="14"/>
  <c r="G295" i="14" s="1"/>
  <c r="E290" i="13"/>
  <c r="E291" i="13"/>
  <c r="E292" i="13"/>
  <c r="E293" i="13"/>
  <c r="E294" i="13"/>
  <c r="E295" i="13"/>
  <c r="F290" i="13"/>
  <c r="G290" i="13" s="1"/>
  <c r="F291" i="13"/>
  <c r="G291" i="13" s="1"/>
  <c r="F292" i="13"/>
  <c r="G292" i="13" s="1"/>
  <c r="F293" i="13"/>
  <c r="G293" i="13" s="1"/>
  <c r="F294" i="13"/>
  <c r="G294" i="13" s="1"/>
  <c r="F295" i="13"/>
  <c r="G295" i="13" s="1"/>
  <c r="O290" i="13"/>
  <c r="O291" i="13"/>
  <c r="O292" i="13"/>
  <c r="O293" i="13"/>
  <c r="O294" i="13"/>
  <c r="O295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29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4" i="13"/>
  <c r="E245" i="13"/>
  <c r="E246" i="13"/>
  <c r="E247" i="13"/>
  <c r="E248" i="13"/>
  <c r="E249" i="13"/>
  <c r="E250" i="13"/>
  <c r="E251" i="13"/>
  <c r="E252" i="13"/>
  <c r="E253" i="13"/>
  <c r="E254" i="13"/>
  <c r="E255" i="13"/>
  <c r="E256" i="13"/>
  <c r="E257" i="13"/>
  <c r="E258" i="13"/>
  <c r="E259" i="13"/>
  <c r="E260" i="13"/>
  <c r="E261" i="13"/>
  <c r="E262" i="13"/>
  <c r="E263" i="13"/>
  <c r="E264" i="13"/>
  <c r="E265" i="13"/>
  <c r="E266" i="13"/>
  <c r="E267" i="13"/>
  <c r="E268" i="13"/>
  <c r="E269" i="13"/>
  <c r="E270" i="13"/>
  <c r="E271" i="13"/>
  <c r="E272" i="13"/>
  <c r="E273" i="13"/>
  <c r="E274" i="13"/>
  <c r="E275" i="13"/>
  <c r="E276" i="13"/>
  <c r="E277" i="13"/>
  <c r="E278" i="13"/>
  <c r="E279" i="13"/>
  <c r="E280" i="13"/>
  <c r="E281" i="13"/>
  <c r="E282" i="13"/>
  <c r="E283" i="13"/>
  <c r="E284" i="13"/>
  <c r="E285" i="13"/>
  <c r="E286" i="13"/>
  <c r="E287" i="13"/>
  <c r="E288" i="13"/>
  <c r="E289" i="13"/>
  <c r="F201" i="13"/>
  <c r="G201" i="13" s="1"/>
  <c r="F202" i="13"/>
  <c r="G202" i="13" s="1"/>
  <c r="F203" i="13"/>
  <c r="G203" i="13" s="1"/>
  <c r="F204" i="13"/>
  <c r="G204" i="13" s="1"/>
  <c r="F205" i="13"/>
  <c r="G205" i="13" s="1"/>
  <c r="F206" i="13"/>
  <c r="G206" i="13" s="1"/>
  <c r="F207" i="13"/>
  <c r="G207" i="13" s="1"/>
  <c r="F208" i="13"/>
  <c r="G208" i="13" s="1"/>
  <c r="F209" i="13"/>
  <c r="G209" i="13" s="1"/>
  <c r="F210" i="13"/>
  <c r="G210" i="13" s="1"/>
  <c r="F211" i="13"/>
  <c r="G211" i="13" s="1"/>
  <c r="F212" i="13"/>
  <c r="G212" i="13" s="1"/>
  <c r="F213" i="13"/>
  <c r="G213" i="13" s="1"/>
  <c r="F214" i="13"/>
  <c r="G214" i="13" s="1"/>
  <c r="F215" i="13"/>
  <c r="G215" i="13" s="1"/>
  <c r="F216" i="13"/>
  <c r="G216" i="13" s="1"/>
  <c r="F217" i="13"/>
  <c r="G217" i="13" s="1"/>
  <c r="F218" i="13"/>
  <c r="G218" i="13" s="1"/>
  <c r="F219" i="13"/>
  <c r="G219" i="13" s="1"/>
  <c r="F220" i="13"/>
  <c r="G220" i="13" s="1"/>
  <c r="F221" i="13"/>
  <c r="G221" i="13" s="1"/>
  <c r="F222" i="13"/>
  <c r="G222" i="13" s="1"/>
  <c r="F223" i="13"/>
  <c r="G223" i="13" s="1"/>
  <c r="F224" i="13"/>
  <c r="G224" i="13" s="1"/>
  <c r="F225" i="13"/>
  <c r="G225" i="13" s="1"/>
  <c r="F226" i="13"/>
  <c r="G226" i="13" s="1"/>
  <c r="F227" i="13"/>
  <c r="G227" i="13" s="1"/>
  <c r="F228" i="13"/>
  <c r="G228" i="13" s="1"/>
  <c r="F229" i="13"/>
  <c r="G229" i="13" s="1"/>
  <c r="F230" i="13"/>
  <c r="G230" i="13" s="1"/>
  <c r="F231" i="13"/>
  <c r="G231" i="13" s="1"/>
  <c r="F232" i="13"/>
  <c r="G232" i="13" s="1"/>
  <c r="F233" i="13"/>
  <c r="G233" i="13" s="1"/>
  <c r="F234" i="13"/>
  <c r="G234" i="13" s="1"/>
  <c r="F235" i="13"/>
  <c r="G235" i="13" s="1"/>
  <c r="F236" i="13"/>
  <c r="G236" i="13" s="1"/>
  <c r="F237" i="13"/>
  <c r="G237" i="13" s="1"/>
  <c r="F238" i="13"/>
  <c r="G238" i="13" s="1"/>
  <c r="F239" i="13"/>
  <c r="G239" i="13" s="1"/>
  <c r="F240" i="13"/>
  <c r="G240" i="13" s="1"/>
  <c r="F241" i="13"/>
  <c r="G241" i="13" s="1"/>
  <c r="F242" i="13"/>
  <c r="G242" i="13" s="1"/>
  <c r="F243" i="13"/>
  <c r="G243" i="13" s="1"/>
  <c r="F244" i="13"/>
  <c r="G244" i="13" s="1"/>
  <c r="F245" i="13"/>
  <c r="G245" i="13" s="1"/>
  <c r="F246" i="13"/>
  <c r="G246" i="13" s="1"/>
  <c r="F247" i="13"/>
  <c r="G247" i="13" s="1"/>
  <c r="F248" i="13"/>
  <c r="G248" i="13" s="1"/>
  <c r="F249" i="13"/>
  <c r="G249" i="13" s="1"/>
  <c r="F250" i="13"/>
  <c r="G250" i="13" s="1"/>
  <c r="F251" i="13"/>
  <c r="G251" i="13" s="1"/>
  <c r="F252" i="13"/>
  <c r="G252" i="13" s="1"/>
  <c r="F253" i="13"/>
  <c r="G253" i="13" s="1"/>
  <c r="F254" i="13"/>
  <c r="G254" i="13" s="1"/>
  <c r="F255" i="13"/>
  <c r="G255" i="13" s="1"/>
  <c r="F256" i="13"/>
  <c r="G256" i="13" s="1"/>
  <c r="F257" i="13"/>
  <c r="G257" i="13" s="1"/>
  <c r="F258" i="13"/>
  <c r="G258" i="13" s="1"/>
  <c r="F259" i="13"/>
  <c r="G259" i="13" s="1"/>
  <c r="F260" i="13"/>
  <c r="G260" i="13" s="1"/>
  <c r="F261" i="13"/>
  <c r="G261" i="13" s="1"/>
  <c r="F262" i="13"/>
  <c r="G262" i="13" s="1"/>
  <c r="F263" i="13"/>
  <c r="G263" i="13" s="1"/>
  <c r="F264" i="13"/>
  <c r="G264" i="13" s="1"/>
  <c r="F265" i="13"/>
  <c r="G265" i="13" s="1"/>
  <c r="F266" i="13"/>
  <c r="G266" i="13" s="1"/>
  <c r="F267" i="13"/>
  <c r="G267" i="13" s="1"/>
  <c r="F268" i="13"/>
  <c r="G268" i="13" s="1"/>
  <c r="F269" i="13"/>
  <c r="G269" i="13" s="1"/>
  <c r="F270" i="13"/>
  <c r="G270" i="13" s="1"/>
  <c r="F271" i="13"/>
  <c r="G271" i="13" s="1"/>
  <c r="F272" i="13"/>
  <c r="G272" i="13" s="1"/>
  <c r="F273" i="13"/>
  <c r="G273" i="13" s="1"/>
  <c r="F274" i="13"/>
  <c r="G274" i="13" s="1"/>
  <c r="F275" i="13"/>
  <c r="G275" i="13" s="1"/>
  <c r="F276" i="13"/>
  <c r="G276" i="13" s="1"/>
  <c r="F277" i="13"/>
  <c r="G277" i="13" s="1"/>
  <c r="F278" i="13"/>
  <c r="G278" i="13" s="1"/>
  <c r="F279" i="13"/>
  <c r="G279" i="13" s="1"/>
  <c r="F280" i="13"/>
  <c r="G280" i="13" s="1"/>
  <c r="F281" i="13"/>
  <c r="G281" i="13" s="1"/>
  <c r="F282" i="13"/>
  <c r="G282" i="13" s="1"/>
  <c r="F283" i="13"/>
  <c r="G283" i="13" s="1"/>
  <c r="F284" i="13"/>
  <c r="G284" i="13" s="1"/>
  <c r="F285" i="13"/>
  <c r="G285" i="13" s="1"/>
  <c r="F286" i="13"/>
  <c r="G286" i="13" s="1"/>
  <c r="F287" i="13"/>
  <c r="G287" i="13" s="1"/>
  <c r="F288" i="13"/>
  <c r="G288" i="13" s="1"/>
  <c r="F289" i="13"/>
  <c r="G289" i="13" s="1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81" i="28" s="1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319" i="28" s="1"/>
  <c r="O253" i="13"/>
  <c r="O254" i="13"/>
  <c r="O255" i="13"/>
  <c r="O256" i="13"/>
  <c r="O257" i="13"/>
  <c r="O258" i="13"/>
  <c r="O259" i="13"/>
  <c r="O260" i="13"/>
  <c r="O328" i="28" s="1"/>
  <c r="O261" i="13"/>
  <c r="O262" i="13"/>
  <c r="O330" i="28" s="1"/>
  <c r="O263" i="13"/>
  <c r="O332" i="28" s="1"/>
  <c r="O264" i="13"/>
  <c r="O333" i="28" s="1"/>
  <c r="O265" i="13"/>
  <c r="O266" i="13"/>
  <c r="O267" i="13"/>
  <c r="O268" i="13"/>
  <c r="O269" i="13"/>
  <c r="O270" i="13"/>
  <c r="O345" i="28" s="1"/>
  <c r="O271" i="13"/>
  <c r="O348" i="28" s="1"/>
  <c r="O272" i="13"/>
  <c r="O350" i="28" s="1"/>
  <c r="O273" i="13"/>
  <c r="O351" i="28" s="1"/>
  <c r="O274" i="13"/>
  <c r="O352" i="28" s="1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F201" i="12"/>
  <c r="G201" i="12" s="1"/>
  <c r="F202" i="12"/>
  <c r="G202" i="12" s="1"/>
  <c r="F203" i="12"/>
  <c r="G203" i="12" s="1"/>
  <c r="F204" i="12"/>
  <c r="G204" i="12" s="1"/>
  <c r="F205" i="12"/>
  <c r="G205" i="12" s="1"/>
  <c r="F206" i="12"/>
  <c r="G206" i="12" s="1"/>
  <c r="F207" i="12"/>
  <c r="G207" i="12" s="1"/>
  <c r="F208" i="12"/>
  <c r="G208" i="12" s="1"/>
  <c r="F209" i="12"/>
  <c r="G209" i="12" s="1"/>
  <c r="F210" i="12"/>
  <c r="G210" i="12" s="1"/>
  <c r="F211" i="12"/>
  <c r="G211" i="12" s="1"/>
  <c r="F212" i="12"/>
  <c r="G212" i="12" s="1"/>
  <c r="F213" i="12"/>
  <c r="G213" i="12" s="1"/>
  <c r="F214" i="12"/>
  <c r="G214" i="12" s="1"/>
  <c r="F215" i="12"/>
  <c r="G215" i="12" s="1"/>
  <c r="F216" i="12"/>
  <c r="G216" i="12" s="1"/>
  <c r="F217" i="12"/>
  <c r="G217" i="12" s="1"/>
  <c r="F218" i="12"/>
  <c r="G218" i="12" s="1"/>
  <c r="F219" i="12"/>
  <c r="G219" i="12" s="1"/>
  <c r="F220" i="12"/>
  <c r="G220" i="12" s="1"/>
  <c r="F221" i="12"/>
  <c r="G221" i="12" s="1"/>
  <c r="F222" i="12"/>
  <c r="G222" i="12" s="1"/>
  <c r="F223" i="12"/>
  <c r="G223" i="12" s="1"/>
  <c r="F224" i="12"/>
  <c r="G224" i="12" s="1"/>
  <c r="F225" i="12"/>
  <c r="G225" i="12" s="1"/>
  <c r="F226" i="12"/>
  <c r="G226" i="12" s="1"/>
  <c r="F227" i="12"/>
  <c r="G227" i="12" s="1"/>
  <c r="F228" i="12"/>
  <c r="G228" i="12" s="1"/>
  <c r="F229" i="12"/>
  <c r="G229" i="12" s="1"/>
  <c r="F230" i="12"/>
  <c r="G230" i="12" s="1"/>
  <c r="F231" i="12"/>
  <c r="G231" i="12" s="1"/>
  <c r="F232" i="12"/>
  <c r="G232" i="12" s="1"/>
  <c r="F233" i="12"/>
  <c r="G233" i="12" s="1"/>
  <c r="F234" i="12"/>
  <c r="G234" i="12" s="1"/>
  <c r="F235" i="12"/>
  <c r="G235" i="12" s="1"/>
  <c r="F236" i="12"/>
  <c r="G236" i="12" s="1"/>
  <c r="F237" i="12"/>
  <c r="G237" i="12" s="1"/>
  <c r="F238" i="12"/>
  <c r="G238" i="12" s="1"/>
  <c r="F239" i="12"/>
  <c r="G239" i="12" s="1"/>
  <c r="F240" i="12"/>
  <c r="G240" i="12" s="1"/>
  <c r="F241" i="12"/>
  <c r="G241" i="12" s="1"/>
  <c r="F242" i="12"/>
  <c r="G242" i="12" s="1"/>
  <c r="F243" i="12"/>
  <c r="G243" i="12" s="1"/>
  <c r="F244" i="12"/>
  <c r="G244" i="12" s="1"/>
  <c r="F245" i="12"/>
  <c r="G245" i="12" s="1"/>
  <c r="F246" i="12"/>
  <c r="G246" i="12" s="1"/>
  <c r="F247" i="12"/>
  <c r="G247" i="12" s="1"/>
  <c r="F248" i="12"/>
  <c r="G248" i="12" s="1"/>
  <c r="F249" i="12"/>
  <c r="G249" i="12" s="1"/>
  <c r="F250" i="12"/>
  <c r="G250" i="12" s="1"/>
  <c r="F251" i="12"/>
  <c r="G251" i="12" s="1"/>
  <c r="F252" i="12"/>
  <c r="G252" i="12" s="1"/>
  <c r="F253" i="12"/>
  <c r="G253" i="12" s="1"/>
  <c r="F254" i="12"/>
  <c r="G254" i="12" s="1"/>
  <c r="F255" i="12"/>
  <c r="G255" i="12" s="1"/>
  <c r="F256" i="12"/>
  <c r="G256" i="12" s="1"/>
  <c r="F257" i="12"/>
  <c r="G257" i="12" s="1"/>
  <c r="F258" i="12"/>
  <c r="G258" i="12" s="1"/>
  <c r="F259" i="12"/>
  <c r="G259" i="12" s="1"/>
  <c r="F260" i="12"/>
  <c r="G260" i="12" s="1"/>
  <c r="F261" i="12"/>
  <c r="G261" i="12" s="1"/>
  <c r="F262" i="12"/>
  <c r="G262" i="12" s="1"/>
  <c r="F263" i="12"/>
  <c r="G263" i="12" s="1"/>
  <c r="F264" i="12"/>
  <c r="G264" i="12" s="1"/>
  <c r="F265" i="12"/>
  <c r="G265" i="12" s="1"/>
  <c r="F266" i="12"/>
  <c r="G266" i="12" s="1"/>
  <c r="F267" i="12"/>
  <c r="G267" i="12" s="1"/>
  <c r="F268" i="12"/>
  <c r="G268" i="12" s="1"/>
  <c r="F269" i="12"/>
  <c r="G269" i="12" s="1"/>
  <c r="R66" i="18"/>
  <c r="AD140" i="32"/>
  <c r="F18" i="23"/>
  <c r="AG18" i="23"/>
  <c r="AA18" i="23"/>
  <c r="F66" i="18"/>
  <c r="X18" i="23"/>
  <c r="AM18" i="23"/>
  <c r="D139" i="32"/>
  <c r="L139" i="32"/>
  <c r="I140" i="32"/>
  <c r="L18" i="23"/>
  <c r="U18" i="23"/>
  <c r="R140" i="32"/>
  <c r="F139" i="32"/>
  <c r="O139" i="32"/>
  <c r="I139" i="32"/>
  <c r="R18" i="23"/>
  <c r="AD66" i="18"/>
  <c r="AG140" i="32"/>
  <c r="AA66" i="18"/>
  <c r="I87" i="18"/>
  <c r="I66" i="18"/>
  <c r="AJ140" i="32"/>
  <c r="AA139" i="32"/>
  <c r="X139" i="32"/>
  <c r="L140" i="32"/>
  <c r="O66" i="18"/>
  <c r="X66" i="18"/>
  <c r="O140" i="32"/>
  <c r="U66" i="18"/>
  <c r="AD139" i="32"/>
  <c r="AJ66" i="18"/>
  <c r="D140" i="32"/>
  <c r="U140" i="32"/>
  <c r="U139" i="32"/>
  <c r="AG66" i="18"/>
  <c r="F140" i="32"/>
  <c r="O18" i="23"/>
  <c r="X140" i="32"/>
  <c r="AJ18" i="23"/>
  <c r="L66" i="18"/>
  <c r="I18" i="23"/>
  <c r="R139" i="32"/>
  <c r="AD18" i="23"/>
  <c r="AM66" i="18"/>
  <c r="AA140" i="32"/>
  <c r="AJ139" i="32"/>
  <c r="AG139" i="32"/>
  <c r="O327" i="28" l="1"/>
  <c r="O318" i="28"/>
  <c r="O326" i="28"/>
  <c r="O317" i="28"/>
  <c r="O342" i="28"/>
  <c r="O323" i="28"/>
  <c r="O338" i="28"/>
  <c r="O321" i="28"/>
  <c r="O334" i="28"/>
  <c r="O320" i="28"/>
  <c r="O329" i="28"/>
  <c r="O316" i="28"/>
  <c r="O343" i="28"/>
  <c r="O344" i="28"/>
  <c r="O324" i="28"/>
  <c r="O339" i="28"/>
  <c r="O322" i="28"/>
  <c r="Z66" i="18"/>
  <c r="AF66" i="18"/>
  <c r="AL140" i="32"/>
  <c r="N66" i="18"/>
  <c r="T66" i="18"/>
  <c r="H66" i="18"/>
  <c r="Q139" i="32"/>
  <c r="W140" i="32"/>
  <c r="AL18" i="23"/>
  <c r="N18" i="23"/>
  <c r="H140" i="32"/>
  <c r="AC139" i="32"/>
  <c r="T18" i="23"/>
  <c r="AF139" i="32"/>
  <c r="Z139" i="32"/>
  <c r="Q140" i="32"/>
  <c r="AI66" i="18"/>
  <c r="N139" i="32"/>
  <c r="K139" i="32"/>
  <c r="AF140" i="32"/>
  <c r="AC66" i="18"/>
  <c r="W139" i="32"/>
  <c r="AI139" i="32"/>
  <c r="N140" i="32"/>
  <c r="Z140" i="32"/>
  <c r="AI18" i="23"/>
  <c r="AF18" i="23"/>
  <c r="T139" i="32"/>
  <c r="H18" i="23"/>
  <c r="AO18" i="23"/>
  <c r="AC140" i="32"/>
  <c r="H139" i="32"/>
  <c r="AI140" i="32"/>
  <c r="AO66" i="18"/>
  <c r="K66" i="18"/>
  <c r="Q66" i="18"/>
  <c r="AL66" i="18"/>
  <c r="T140" i="32"/>
  <c r="Z18" i="23"/>
  <c r="AL139" i="32"/>
  <c r="W66" i="18"/>
  <c r="W18" i="23"/>
  <c r="K140" i="32"/>
  <c r="Q18" i="23"/>
  <c r="K18" i="23"/>
  <c r="AC18" i="23"/>
  <c r="K6" i="33"/>
  <c r="R58" i="11" l="1"/>
  <c r="AD207" i="32"/>
  <c r="F207" i="32"/>
  <c r="AA207" i="32"/>
  <c r="O207" i="32"/>
  <c r="AG207" i="32"/>
  <c r="X207" i="32"/>
  <c r="L207" i="32"/>
  <c r="D207" i="32"/>
  <c r="I207" i="32"/>
  <c r="AJ207" i="32"/>
  <c r="R207" i="32"/>
  <c r="U207" i="32"/>
  <c r="AI207" i="32" l="1"/>
  <c r="AL207" i="32"/>
  <c r="AF207" i="32"/>
  <c r="K207" i="32"/>
  <c r="T207" i="32"/>
  <c r="AC207" i="32"/>
  <c r="N207" i="32"/>
  <c r="H207" i="32"/>
  <c r="W207" i="32"/>
  <c r="Q207" i="32"/>
  <c r="Z207" i="32"/>
  <c r="D114" i="18"/>
  <c r="D113" i="18"/>
  <c r="D112" i="18"/>
  <c r="D111" i="18"/>
  <c r="D110" i="18"/>
  <c r="D109" i="18"/>
  <c r="D108" i="18"/>
  <c r="L318" i="28"/>
  <c r="L321" i="28"/>
  <c r="L317" i="28" l="1"/>
  <c r="L316" i="28"/>
  <c r="L322" i="28"/>
  <c r="E200" i="11" l="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F200" i="11"/>
  <c r="G200" i="11" s="1"/>
  <c r="F201" i="11"/>
  <c r="G201" i="11" s="1"/>
  <c r="F202" i="11"/>
  <c r="G202" i="11" s="1"/>
  <c r="F203" i="11"/>
  <c r="G203" i="11" s="1"/>
  <c r="F204" i="11"/>
  <c r="G204" i="11" s="1"/>
  <c r="F205" i="11"/>
  <c r="G205" i="11" s="1"/>
  <c r="F206" i="11"/>
  <c r="G206" i="11" s="1"/>
  <c r="F207" i="11"/>
  <c r="G207" i="11" s="1"/>
  <c r="F208" i="11"/>
  <c r="G208" i="11" s="1"/>
  <c r="F209" i="11"/>
  <c r="G209" i="11" s="1"/>
  <c r="F210" i="11"/>
  <c r="G210" i="11" s="1"/>
  <c r="F211" i="11"/>
  <c r="G211" i="11" s="1"/>
  <c r="F212" i="11"/>
  <c r="G212" i="11" s="1"/>
  <c r="F213" i="11"/>
  <c r="G213" i="11" s="1"/>
  <c r="F214" i="11"/>
  <c r="G214" i="11" s="1"/>
  <c r="F215" i="11"/>
  <c r="G215" i="11" s="1"/>
  <c r="F216" i="11"/>
  <c r="G216" i="11" s="1"/>
  <c r="F217" i="11"/>
  <c r="G217" i="11" s="1"/>
  <c r="F218" i="11"/>
  <c r="G218" i="11" s="1"/>
  <c r="F219" i="11"/>
  <c r="G219" i="11" s="1"/>
  <c r="F220" i="11"/>
  <c r="G220" i="11" s="1"/>
  <c r="F221" i="11"/>
  <c r="G221" i="11" s="1"/>
  <c r="F222" i="11"/>
  <c r="G222" i="11" s="1"/>
  <c r="F223" i="11"/>
  <c r="G223" i="11" s="1"/>
  <c r="F224" i="11"/>
  <c r="G224" i="11" s="1"/>
  <c r="F225" i="11"/>
  <c r="G225" i="11" s="1"/>
  <c r="F226" i="11"/>
  <c r="G226" i="11" s="1"/>
  <c r="F227" i="11"/>
  <c r="G227" i="11" s="1"/>
  <c r="F228" i="11"/>
  <c r="G228" i="11" s="1"/>
  <c r="F229" i="11"/>
  <c r="G229" i="11" s="1"/>
  <c r="F230" i="11"/>
  <c r="G230" i="11" s="1"/>
  <c r="F231" i="11"/>
  <c r="G231" i="11" s="1"/>
  <c r="F232" i="11"/>
  <c r="G232" i="11" s="1"/>
  <c r="F233" i="11"/>
  <c r="G233" i="11" s="1"/>
  <c r="F234" i="11"/>
  <c r="G234" i="11" s="1"/>
  <c r="F235" i="11"/>
  <c r="G235" i="11" s="1"/>
  <c r="F236" i="11"/>
  <c r="G236" i="11" s="1"/>
  <c r="F237" i="11"/>
  <c r="G237" i="11" s="1"/>
  <c r="F238" i="11"/>
  <c r="G238" i="11" s="1"/>
  <c r="F239" i="11"/>
  <c r="G239" i="11" s="1"/>
  <c r="F240" i="11"/>
  <c r="G240" i="11" s="1"/>
  <c r="D54" i="1"/>
  <c r="E54" i="1"/>
  <c r="H54" i="1"/>
  <c r="I54" i="1"/>
  <c r="J54" i="1"/>
  <c r="K54" i="1"/>
  <c r="L54" i="1"/>
  <c r="M54" i="1"/>
  <c r="N54" i="1"/>
  <c r="O54" i="1"/>
  <c r="P54" i="1"/>
  <c r="Q54" i="1"/>
  <c r="R54" i="1"/>
  <c r="S54" i="1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F199" i="10"/>
  <c r="G199" i="10" s="1"/>
  <c r="F200" i="10"/>
  <c r="G200" i="10" s="1"/>
  <c r="F201" i="10"/>
  <c r="G201" i="10" s="1"/>
  <c r="F202" i="10"/>
  <c r="G202" i="10" s="1"/>
  <c r="F203" i="10"/>
  <c r="G203" i="10" s="1"/>
  <c r="F204" i="10"/>
  <c r="G204" i="10" s="1"/>
  <c r="F205" i="10"/>
  <c r="G205" i="10" s="1"/>
  <c r="F206" i="10"/>
  <c r="G206" i="10" s="1"/>
  <c r="F207" i="10"/>
  <c r="G207" i="10" s="1"/>
  <c r="F208" i="10"/>
  <c r="G208" i="10" s="1"/>
  <c r="F209" i="10"/>
  <c r="G209" i="10" s="1"/>
  <c r="F210" i="10"/>
  <c r="G210" i="10" s="1"/>
  <c r="F211" i="10"/>
  <c r="G211" i="10" s="1"/>
  <c r="F212" i="10"/>
  <c r="G212" i="10" s="1"/>
  <c r="F213" i="10"/>
  <c r="G213" i="10" s="1"/>
  <c r="F214" i="10"/>
  <c r="G214" i="10" s="1"/>
  <c r="F215" i="10"/>
  <c r="G215" i="10" s="1"/>
  <c r="F216" i="10"/>
  <c r="G216" i="10" s="1"/>
  <c r="F217" i="10"/>
  <c r="G217" i="10" s="1"/>
  <c r="F218" i="10"/>
  <c r="G218" i="10" s="1"/>
  <c r="F219" i="10"/>
  <c r="G219" i="10" s="1"/>
  <c r="F220" i="10"/>
  <c r="G220" i="10" s="1"/>
  <c r="F221" i="10"/>
  <c r="G221" i="10" s="1"/>
  <c r="F222" i="10"/>
  <c r="G222" i="10" s="1"/>
  <c r="F223" i="10"/>
  <c r="G223" i="10" s="1"/>
  <c r="F224" i="10"/>
  <c r="G224" i="10" s="1"/>
  <c r="F225" i="10"/>
  <c r="G225" i="10" s="1"/>
  <c r="F226" i="10"/>
  <c r="G226" i="10" s="1"/>
  <c r="F227" i="10"/>
  <c r="G227" i="10" s="1"/>
  <c r="F228" i="10"/>
  <c r="G228" i="10" s="1"/>
  <c r="F229" i="10"/>
  <c r="G229" i="10" s="1"/>
  <c r="F230" i="10"/>
  <c r="G230" i="10" s="1"/>
  <c r="F231" i="10"/>
  <c r="G231" i="10" s="1"/>
  <c r="F232" i="10"/>
  <c r="G232" i="10" s="1"/>
  <c r="F233" i="10"/>
  <c r="G233" i="10" s="1"/>
  <c r="M317" i="28" l="1"/>
  <c r="M319" i="28"/>
  <c r="M322" i="28"/>
  <c r="M324" i="28"/>
  <c r="M321" i="28"/>
  <c r="M323" i="28"/>
  <c r="M318" i="28"/>
  <c r="M320" i="28"/>
  <c r="D115" i="1"/>
  <c r="E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D70" i="1"/>
  <c r="E70" i="1"/>
  <c r="H70" i="1"/>
  <c r="I70" i="1"/>
  <c r="J70" i="1"/>
  <c r="K70" i="1"/>
  <c r="L70" i="1"/>
  <c r="M70" i="1"/>
  <c r="N70" i="1"/>
  <c r="O70" i="1"/>
  <c r="P70" i="1"/>
  <c r="Q70" i="1"/>
  <c r="R70" i="1"/>
  <c r="S70" i="1"/>
  <c r="D68" i="1"/>
  <c r="E68" i="1"/>
  <c r="H68" i="1"/>
  <c r="I68" i="1"/>
  <c r="J68" i="1"/>
  <c r="K68" i="1"/>
  <c r="L68" i="1"/>
  <c r="M68" i="1"/>
  <c r="N68" i="1"/>
  <c r="O68" i="1"/>
  <c r="P68" i="1"/>
  <c r="Q68" i="1"/>
  <c r="R68" i="1"/>
  <c r="S68" i="1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2" i="28"/>
  <c r="C283" i="28"/>
  <c r="C284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09" i="28"/>
  <c r="D310" i="28"/>
  <c r="D311" i="28"/>
  <c r="D312" i="28"/>
  <c r="D313" i="28"/>
  <c r="D314" i="28"/>
  <c r="D315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2" i="28"/>
  <c r="E283" i="28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L262" i="28"/>
  <c r="L263" i="28"/>
  <c r="L264" i="28"/>
  <c r="L265" i="28"/>
  <c r="L266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2" i="28"/>
  <c r="L283" i="28"/>
  <c r="L284" i="28"/>
  <c r="L285" i="28"/>
  <c r="L286" i="28"/>
  <c r="L287" i="28"/>
  <c r="L288" i="28"/>
  <c r="L289" i="28"/>
  <c r="L290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7" i="28"/>
  <c r="L308" i="28"/>
  <c r="L309" i="28"/>
  <c r="L310" i="28"/>
  <c r="L311" i="28"/>
  <c r="L312" i="28"/>
  <c r="L313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N262" i="28"/>
  <c r="N263" i="28"/>
  <c r="N264" i="28"/>
  <c r="N265" i="28"/>
  <c r="N266" i="28"/>
  <c r="N267" i="28"/>
  <c r="N268" i="28"/>
  <c r="N269" i="28"/>
  <c r="N270" i="28"/>
  <c r="N271" i="28"/>
  <c r="N272" i="28"/>
  <c r="N273" i="28"/>
  <c r="N274" i="28"/>
  <c r="N275" i="28"/>
  <c r="N276" i="28"/>
  <c r="N277" i="28"/>
  <c r="N278" i="28"/>
  <c r="N279" i="28"/>
  <c r="N280" i="28"/>
  <c r="N282" i="28"/>
  <c r="N283" i="28"/>
  <c r="N284" i="28"/>
  <c r="N285" i="28"/>
  <c r="N286" i="28"/>
  <c r="N287" i="28"/>
  <c r="N288" i="28"/>
  <c r="N289" i="28"/>
  <c r="N290" i="28"/>
  <c r="N291" i="28"/>
  <c r="N292" i="28"/>
  <c r="N293" i="28"/>
  <c r="N294" i="28"/>
  <c r="N295" i="28"/>
  <c r="N296" i="28"/>
  <c r="N297" i="28"/>
  <c r="N298" i="28"/>
  <c r="N299" i="28"/>
  <c r="N300" i="28"/>
  <c r="N301" i="28"/>
  <c r="N302" i="28"/>
  <c r="N303" i="28"/>
  <c r="N304" i="28"/>
  <c r="N305" i="28"/>
  <c r="N306" i="28"/>
  <c r="N307" i="28"/>
  <c r="N308" i="28"/>
  <c r="N309" i="28"/>
  <c r="N310" i="28"/>
  <c r="N311" i="28"/>
  <c r="N312" i="28"/>
  <c r="N313" i="28"/>
  <c r="N314" i="28"/>
  <c r="O262" i="28"/>
  <c r="O263" i="28"/>
  <c r="O264" i="28"/>
  <c r="O265" i="28"/>
  <c r="O266" i="28"/>
  <c r="O267" i="28"/>
  <c r="O268" i="28"/>
  <c r="O269" i="28"/>
  <c r="O270" i="28"/>
  <c r="O271" i="28"/>
  <c r="O272" i="28"/>
  <c r="O273" i="28"/>
  <c r="O274" i="28"/>
  <c r="O275" i="28"/>
  <c r="O276" i="28"/>
  <c r="O277" i="28"/>
  <c r="O278" i="28"/>
  <c r="O279" i="28"/>
  <c r="O280" i="28"/>
  <c r="O282" i="28"/>
  <c r="O283" i="28"/>
  <c r="O284" i="28"/>
  <c r="O285" i="28"/>
  <c r="O286" i="28"/>
  <c r="O287" i="28"/>
  <c r="O288" i="28"/>
  <c r="O289" i="28"/>
  <c r="O290" i="28"/>
  <c r="O291" i="28"/>
  <c r="O292" i="28"/>
  <c r="O293" i="28"/>
  <c r="O294" i="28"/>
  <c r="O295" i="28"/>
  <c r="O296" i="28"/>
  <c r="O297" i="28"/>
  <c r="O298" i="28"/>
  <c r="O299" i="28"/>
  <c r="O300" i="28"/>
  <c r="O301" i="28"/>
  <c r="O302" i="28"/>
  <c r="O303" i="28"/>
  <c r="O304" i="28"/>
  <c r="O305" i="28"/>
  <c r="O306" i="28"/>
  <c r="O307" i="28"/>
  <c r="O308" i="28"/>
  <c r="O309" i="28"/>
  <c r="O310" i="28"/>
  <c r="O311" i="28"/>
  <c r="O312" i="28"/>
  <c r="O313" i="28"/>
  <c r="O314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P278" i="28"/>
  <c r="P279" i="28"/>
  <c r="P280" i="28"/>
  <c r="P282" i="28"/>
  <c r="P283" i="28"/>
  <c r="P284" i="28"/>
  <c r="P285" i="28"/>
  <c r="P286" i="28"/>
  <c r="P287" i="28"/>
  <c r="P288" i="28"/>
  <c r="P289" i="28"/>
  <c r="P290" i="28"/>
  <c r="P291" i="28"/>
  <c r="P292" i="28"/>
  <c r="P293" i="28"/>
  <c r="P294" i="28"/>
  <c r="P295" i="28"/>
  <c r="P296" i="28"/>
  <c r="P297" i="28"/>
  <c r="P298" i="28"/>
  <c r="P299" i="28"/>
  <c r="P300" i="28"/>
  <c r="P301" i="28"/>
  <c r="P302" i="28"/>
  <c r="P303" i="28"/>
  <c r="P304" i="28"/>
  <c r="P305" i="28"/>
  <c r="P306" i="28"/>
  <c r="P307" i="28"/>
  <c r="P308" i="28"/>
  <c r="P309" i="28"/>
  <c r="P310" i="28"/>
  <c r="P311" i="28"/>
  <c r="P312" i="28"/>
  <c r="P313" i="28"/>
  <c r="P314" i="28"/>
  <c r="Q262" i="28"/>
  <c r="Q263" i="28"/>
  <c r="Q264" i="28"/>
  <c r="Q265" i="28"/>
  <c r="Q266" i="28"/>
  <c r="Q267" i="28"/>
  <c r="Q268" i="28"/>
  <c r="Q269" i="28"/>
  <c r="Q270" i="28"/>
  <c r="Q271" i="28"/>
  <c r="Q272" i="28"/>
  <c r="Q273" i="28"/>
  <c r="Q274" i="28"/>
  <c r="Q275" i="28"/>
  <c r="Q276" i="28"/>
  <c r="Q277" i="28"/>
  <c r="Q278" i="28"/>
  <c r="Q279" i="28"/>
  <c r="Q280" i="28"/>
  <c r="Q282" i="28"/>
  <c r="Q283" i="28"/>
  <c r="Q284" i="28"/>
  <c r="Q285" i="28"/>
  <c r="Q286" i="28"/>
  <c r="Q287" i="28"/>
  <c r="Q288" i="28"/>
  <c r="Q289" i="28"/>
  <c r="Q290" i="28"/>
  <c r="Q291" i="28"/>
  <c r="Q292" i="28"/>
  <c r="Q293" i="28"/>
  <c r="Q294" i="28"/>
  <c r="Q295" i="28"/>
  <c r="Q296" i="28"/>
  <c r="Q297" i="28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R263" i="28"/>
  <c r="R264" i="28"/>
  <c r="R265" i="28"/>
  <c r="R266" i="28"/>
  <c r="R267" i="28"/>
  <c r="R268" i="28"/>
  <c r="R269" i="28"/>
  <c r="R270" i="28"/>
  <c r="R271" i="28"/>
  <c r="R272" i="28"/>
  <c r="R273" i="28"/>
  <c r="R274" i="28"/>
  <c r="R275" i="28"/>
  <c r="R276" i="28"/>
  <c r="R277" i="28"/>
  <c r="R278" i="28"/>
  <c r="R279" i="28"/>
  <c r="R280" i="28"/>
  <c r="R282" i="28"/>
  <c r="R283" i="28"/>
  <c r="R284" i="28"/>
  <c r="R285" i="28"/>
  <c r="R286" i="28"/>
  <c r="R287" i="28"/>
  <c r="R288" i="28"/>
  <c r="R289" i="28"/>
  <c r="R290" i="28"/>
  <c r="R291" i="28"/>
  <c r="R292" i="28"/>
  <c r="R293" i="28"/>
  <c r="R294" i="28"/>
  <c r="R295" i="28"/>
  <c r="R296" i="28"/>
  <c r="R297" i="28"/>
  <c r="R298" i="28"/>
  <c r="R299" i="28"/>
  <c r="R300" i="28"/>
  <c r="R301" i="28"/>
  <c r="R302" i="28"/>
  <c r="R303" i="28"/>
  <c r="R304" i="28"/>
  <c r="R305" i="28"/>
  <c r="R306" i="28"/>
  <c r="R307" i="28"/>
  <c r="R308" i="28"/>
  <c r="R309" i="28"/>
  <c r="R310" i="28"/>
  <c r="R311" i="28"/>
  <c r="R312" i="28"/>
  <c r="R313" i="28"/>
  <c r="R314" i="28"/>
  <c r="R315" i="28"/>
  <c r="S266" i="28"/>
  <c r="S267" i="28"/>
  <c r="S268" i="28"/>
  <c r="S269" i="28"/>
  <c r="S270" i="28"/>
  <c r="S271" i="28"/>
  <c r="S272" i="28"/>
  <c r="S273" i="28"/>
  <c r="S274" i="28"/>
  <c r="S275" i="28"/>
  <c r="S276" i="28"/>
  <c r="S277" i="28"/>
  <c r="S278" i="28"/>
  <c r="S279" i="28"/>
  <c r="S280" i="28"/>
  <c r="S282" i="28"/>
  <c r="S283" i="28"/>
  <c r="S284" i="28"/>
  <c r="S285" i="28"/>
  <c r="S286" i="28"/>
  <c r="S287" i="28"/>
  <c r="S288" i="28"/>
  <c r="S289" i="28"/>
  <c r="S290" i="28"/>
  <c r="S291" i="28"/>
  <c r="S292" i="28"/>
  <c r="S293" i="28"/>
  <c r="S294" i="28"/>
  <c r="S295" i="28"/>
  <c r="S296" i="28"/>
  <c r="S297" i="28"/>
  <c r="S298" i="28"/>
  <c r="S299" i="28"/>
  <c r="S300" i="28"/>
  <c r="S301" i="28"/>
  <c r="S302" i="28"/>
  <c r="S303" i="28"/>
  <c r="S304" i="28"/>
  <c r="S305" i="28"/>
  <c r="S306" i="28"/>
  <c r="S307" i="28"/>
  <c r="S308" i="28"/>
  <c r="S309" i="28"/>
  <c r="S310" i="28"/>
  <c r="S311" i="28"/>
  <c r="S312" i="28"/>
  <c r="S313" i="28"/>
  <c r="S314" i="28"/>
  <c r="S315" i="28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F199" i="9"/>
  <c r="G199" i="9" s="1"/>
  <c r="F200" i="9"/>
  <c r="G200" i="9" s="1"/>
  <c r="F201" i="9"/>
  <c r="G201" i="9" s="1"/>
  <c r="F202" i="9"/>
  <c r="G202" i="9" s="1"/>
  <c r="F203" i="9"/>
  <c r="G203" i="9" s="1"/>
  <c r="F204" i="9"/>
  <c r="G204" i="9" s="1"/>
  <c r="F205" i="9"/>
  <c r="G205" i="9" s="1"/>
  <c r="F206" i="9"/>
  <c r="G206" i="9" s="1"/>
  <c r="F207" i="9"/>
  <c r="G207" i="9" s="1"/>
  <c r="F208" i="9"/>
  <c r="G208" i="9" s="1"/>
  <c r="F209" i="9"/>
  <c r="G209" i="9" s="1"/>
  <c r="F210" i="9"/>
  <c r="G210" i="9" s="1"/>
  <c r="F211" i="9"/>
  <c r="G211" i="9" s="1"/>
  <c r="F212" i="9"/>
  <c r="G212" i="9" s="1"/>
  <c r="F213" i="9"/>
  <c r="G213" i="9" s="1"/>
  <c r="F214" i="9"/>
  <c r="G214" i="9" s="1"/>
  <c r="F215" i="9"/>
  <c r="G215" i="9" s="1"/>
  <c r="F216" i="9"/>
  <c r="G216" i="9" s="1"/>
  <c r="F217" i="9"/>
  <c r="G217" i="9" s="1"/>
  <c r="F218" i="9"/>
  <c r="G218" i="9" s="1"/>
  <c r="F219" i="9"/>
  <c r="G219" i="9" s="1"/>
  <c r="F220" i="9"/>
  <c r="G220" i="9" s="1"/>
  <c r="F221" i="9"/>
  <c r="G221" i="9" s="1"/>
  <c r="F222" i="9"/>
  <c r="G222" i="9" s="1"/>
  <c r="F223" i="9"/>
  <c r="G223" i="9" s="1"/>
  <c r="F224" i="9"/>
  <c r="G224" i="9" s="1"/>
  <c r="F225" i="9"/>
  <c r="G225" i="9" s="1"/>
  <c r="F226" i="9"/>
  <c r="G226" i="9" s="1"/>
  <c r="F227" i="9"/>
  <c r="G227" i="9" s="1"/>
  <c r="F228" i="9"/>
  <c r="G228" i="9" s="1"/>
  <c r="F229" i="9"/>
  <c r="G229" i="9" s="1"/>
  <c r="F230" i="9"/>
  <c r="G230" i="9" s="1"/>
  <c r="F231" i="9"/>
  <c r="G231" i="9" s="1"/>
  <c r="F232" i="9"/>
  <c r="G232" i="9" s="1"/>
  <c r="F233" i="9"/>
  <c r="G233" i="9" s="1"/>
  <c r="K263" i="28"/>
  <c r="K264" i="28"/>
  <c r="K265" i="28"/>
  <c r="K276" i="28"/>
  <c r="K294" i="28"/>
  <c r="K292" i="28"/>
  <c r="K301" i="28"/>
  <c r="K302" i="28"/>
  <c r="K318" i="28"/>
  <c r="K267" i="28"/>
  <c r="K268" i="28"/>
  <c r="K275" i="28"/>
  <c r="K279" i="28"/>
  <c r="K280" i="28"/>
  <c r="K284" i="28"/>
  <c r="K285" i="28"/>
  <c r="K288" i="28"/>
  <c r="K305" i="28"/>
  <c r="K307" i="28"/>
  <c r="K309" i="28"/>
  <c r="K310" i="28"/>
  <c r="E229" i="8"/>
  <c r="E230" i="8"/>
  <c r="E231" i="8"/>
  <c r="F229" i="8"/>
  <c r="G229" i="8" s="1"/>
  <c r="F230" i="8"/>
  <c r="G230" i="8" s="1"/>
  <c r="F231" i="8"/>
  <c r="G231" i="8" s="1"/>
  <c r="J279" i="28"/>
  <c r="J283" i="28"/>
  <c r="J304" i="28"/>
  <c r="J308" i="28"/>
  <c r="E225" i="7"/>
  <c r="E226" i="7"/>
  <c r="E227" i="7"/>
  <c r="E228" i="7"/>
  <c r="E229" i="7"/>
  <c r="E230" i="7"/>
  <c r="E231" i="7"/>
  <c r="E232" i="7"/>
  <c r="F225" i="7"/>
  <c r="G225" i="7" s="1"/>
  <c r="F226" i="7"/>
  <c r="G226" i="7" s="1"/>
  <c r="F227" i="7"/>
  <c r="G227" i="7" s="1"/>
  <c r="F228" i="7"/>
  <c r="G228" i="7" s="1"/>
  <c r="F229" i="7"/>
  <c r="G229" i="7" s="1"/>
  <c r="F230" i="7"/>
  <c r="G230" i="7" s="1"/>
  <c r="F231" i="7"/>
  <c r="G231" i="7" s="1"/>
  <c r="F232" i="7"/>
  <c r="G232" i="7" s="1"/>
  <c r="I317" i="28"/>
  <c r="I321" i="28"/>
  <c r="I275" i="28"/>
  <c r="I286" i="28"/>
  <c r="B207" i="15"/>
  <c r="B215" i="16"/>
  <c r="B220" i="17"/>
  <c r="B221" i="17"/>
  <c r="B224" i="17"/>
  <c r="B226" i="17"/>
  <c r="B228" i="17"/>
  <c r="B229" i="17"/>
  <c r="B232" i="17"/>
  <c r="B234" i="17"/>
  <c r="B236" i="17"/>
  <c r="B237" i="17"/>
  <c r="B241" i="17"/>
  <c r="B243" i="17"/>
  <c r="B245" i="17"/>
  <c r="B246" i="17"/>
  <c r="B248" i="17"/>
  <c r="B249" i="17"/>
  <c r="B250" i="17"/>
  <c r="B251" i="17"/>
  <c r="B252" i="17"/>
  <c r="B253" i="17"/>
  <c r="B254" i="17"/>
  <c r="B255" i="17"/>
  <c r="B256" i="17"/>
  <c r="B257" i="17"/>
  <c r="B259" i="17"/>
  <c r="B260" i="17"/>
  <c r="B261" i="17"/>
  <c r="B262" i="17"/>
  <c r="B263" i="17"/>
  <c r="B264" i="17"/>
  <c r="B273" i="17"/>
  <c r="B274" i="17"/>
  <c r="B276" i="17"/>
  <c r="B277" i="17"/>
  <c r="B278" i="17"/>
  <c r="B280" i="17"/>
  <c r="B281" i="17"/>
  <c r="B283" i="17"/>
  <c r="B284" i="17"/>
  <c r="B285" i="17"/>
  <c r="B286" i="17"/>
  <c r="B288" i="17"/>
  <c r="B289" i="17"/>
  <c r="B291" i="17"/>
  <c r="B292" i="17"/>
  <c r="B293" i="17"/>
  <c r="B294" i="17"/>
  <c r="B295" i="17"/>
  <c r="B296" i="17"/>
  <c r="B297" i="17"/>
  <c r="B298" i="17"/>
  <c r="D316" i="1"/>
  <c r="D317" i="1"/>
  <c r="D318" i="1"/>
  <c r="D319" i="1"/>
  <c r="D320" i="1"/>
  <c r="D267" i="2" s="1"/>
  <c r="D321" i="1"/>
  <c r="D268" i="2" s="1"/>
  <c r="D322" i="1"/>
  <c r="D269" i="2" s="1"/>
  <c r="D323" i="1"/>
  <c r="D270" i="2" s="1"/>
  <c r="D324" i="1"/>
  <c r="D325" i="1"/>
  <c r="D272" i="2" s="1"/>
  <c r="D326" i="1"/>
  <c r="D327" i="1"/>
  <c r="D273" i="2" s="1"/>
  <c r="D328" i="1"/>
  <c r="D274" i="2" s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50" i="1"/>
  <c r="E316" i="1"/>
  <c r="E317" i="1"/>
  <c r="E318" i="1"/>
  <c r="E319" i="1"/>
  <c r="E320" i="1"/>
  <c r="C267" i="2" s="1"/>
  <c r="E321" i="1"/>
  <c r="C268" i="2" s="1"/>
  <c r="E322" i="1"/>
  <c r="C269" i="2" s="1"/>
  <c r="E323" i="1"/>
  <c r="C270" i="2" s="1"/>
  <c r="E324" i="1"/>
  <c r="E325" i="1"/>
  <c r="C272" i="2" s="1"/>
  <c r="E326" i="1"/>
  <c r="E327" i="1"/>
  <c r="C273" i="2" s="1"/>
  <c r="E328" i="1"/>
  <c r="C274" i="2" s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C295" i="17" s="1"/>
  <c r="E342" i="1"/>
  <c r="E343" i="1"/>
  <c r="E344" i="1"/>
  <c r="E345" i="1"/>
  <c r="E346" i="1"/>
  <c r="E349" i="1"/>
  <c r="E350" i="1"/>
  <c r="C294" i="17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9" i="1"/>
  <c r="H350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9" i="1"/>
  <c r="I350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9" i="1"/>
  <c r="J350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9" i="1"/>
  <c r="K350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9" i="1"/>
  <c r="L350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9" i="1"/>
  <c r="M350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9" i="1"/>
  <c r="N350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9" i="1"/>
  <c r="O350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9" i="1"/>
  <c r="P350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9" i="1"/>
  <c r="Q350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9" i="1"/>
  <c r="R350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9" i="1"/>
  <c r="S350" i="1"/>
  <c r="O114" i="29"/>
  <c r="AJ129" i="32"/>
  <c r="AG112" i="29"/>
  <c r="X188" i="29"/>
  <c r="U129" i="32"/>
  <c r="U112" i="29"/>
  <c r="U111" i="29"/>
  <c r="X111" i="29"/>
  <c r="O129" i="32"/>
  <c r="AD129" i="29"/>
  <c r="AJ111" i="29"/>
  <c r="AA112" i="29"/>
  <c r="O107" i="29"/>
  <c r="O129" i="29"/>
  <c r="AA113" i="29"/>
  <c r="AJ188" i="29"/>
  <c r="AG129" i="29"/>
  <c r="AG111" i="29"/>
  <c r="R110" i="29"/>
  <c r="R108" i="29"/>
  <c r="AJ110" i="29"/>
  <c r="AA129" i="29"/>
  <c r="AD109" i="29"/>
  <c r="X113" i="29"/>
  <c r="X109" i="29"/>
  <c r="AJ114" i="29"/>
  <c r="R107" i="29"/>
  <c r="AA108" i="29"/>
  <c r="R114" i="29"/>
  <c r="AJ112" i="29"/>
  <c r="AJ108" i="29"/>
  <c r="AG107" i="29"/>
  <c r="X107" i="29"/>
  <c r="AD114" i="29"/>
  <c r="AD112" i="29"/>
  <c r="AJ45" i="23"/>
  <c r="X110" i="29"/>
  <c r="AG114" i="29"/>
  <c r="R109" i="29"/>
  <c r="AG108" i="29"/>
  <c r="O112" i="29"/>
  <c r="AA107" i="29"/>
  <c r="X129" i="29"/>
  <c r="AJ129" i="29"/>
  <c r="AD113" i="29"/>
  <c r="U114" i="29"/>
  <c r="U107" i="29"/>
  <c r="R112" i="29"/>
  <c r="AG188" i="29"/>
  <c r="AD129" i="32"/>
  <c r="R129" i="32"/>
  <c r="U129" i="29"/>
  <c r="AA111" i="29"/>
  <c r="X108" i="29"/>
  <c r="U108" i="29"/>
  <c r="R188" i="29"/>
  <c r="I129" i="32"/>
  <c r="R111" i="29"/>
  <c r="X129" i="32"/>
  <c r="U110" i="29"/>
  <c r="U188" i="29"/>
  <c r="U113" i="29"/>
  <c r="O108" i="29"/>
  <c r="AA114" i="29"/>
  <c r="L114" i="29"/>
  <c r="L129" i="32"/>
  <c r="AG113" i="29"/>
  <c r="O188" i="29"/>
  <c r="AJ176" i="29"/>
  <c r="O113" i="29"/>
  <c r="AG110" i="29"/>
  <c r="R129" i="29"/>
  <c r="AA129" i="32"/>
  <c r="O109" i="29"/>
  <c r="O111" i="29"/>
  <c r="AD188" i="29"/>
  <c r="AJ113" i="29"/>
  <c r="AG129" i="32"/>
  <c r="AD107" i="29"/>
  <c r="X114" i="29"/>
  <c r="AD111" i="29"/>
  <c r="R113" i="29"/>
  <c r="O110" i="29"/>
  <c r="AJ109" i="29"/>
  <c r="AA110" i="29"/>
  <c r="AJ107" i="29"/>
  <c r="X112" i="29"/>
  <c r="AG109" i="29"/>
  <c r="AD110" i="29"/>
  <c r="AA188" i="29"/>
  <c r="AD108" i="29"/>
  <c r="F129" i="32"/>
  <c r="U109" i="29"/>
  <c r="D129" i="32"/>
  <c r="AA109" i="29"/>
  <c r="C290" i="17" l="1"/>
  <c r="C291" i="17"/>
  <c r="C286" i="17"/>
  <c r="D291" i="17"/>
  <c r="D290" i="17"/>
  <c r="C283" i="11"/>
  <c r="C283" i="12"/>
  <c r="C276" i="10"/>
  <c r="C280" i="12"/>
  <c r="C280" i="11"/>
  <c r="D283" i="12"/>
  <c r="D283" i="11"/>
  <c r="D276" i="10"/>
  <c r="D280" i="12"/>
  <c r="D280" i="11"/>
  <c r="C279" i="11"/>
  <c r="C279" i="12"/>
  <c r="C272" i="10"/>
  <c r="D279" i="12"/>
  <c r="D279" i="11"/>
  <c r="D272" i="10"/>
  <c r="C278" i="12"/>
  <c r="C278" i="11"/>
  <c r="D278" i="12"/>
  <c r="D278" i="11"/>
  <c r="C282" i="2"/>
  <c r="C282" i="11"/>
  <c r="C282" i="12"/>
  <c r="C271" i="2"/>
  <c r="C271" i="12"/>
  <c r="C271" i="11"/>
  <c r="D282" i="2"/>
  <c r="D282" i="12"/>
  <c r="D282" i="11"/>
  <c r="D271" i="2"/>
  <c r="D271" i="11"/>
  <c r="D271" i="12"/>
  <c r="C281" i="2"/>
  <c r="C281" i="11"/>
  <c r="C281" i="12"/>
  <c r="C277" i="12"/>
  <c r="C277" i="11"/>
  <c r="D281" i="2"/>
  <c r="D281" i="12"/>
  <c r="D281" i="11"/>
  <c r="D277" i="12"/>
  <c r="D277" i="11"/>
  <c r="C276" i="2"/>
  <c r="C276" i="12"/>
  <c r="C276" i="11"/>
  <c r="D276" i="2"/>
  <c r="D276" i="12"/>
  <c r="D276" i="11"/>
  <c r="C278" i="10"/>
  <c r="C285" i="11"/>
  <c r="C285" i="12"/>
  <c r="C275" i="2"/>
  <c r="C275" i="12"/>
  <c r="C275" i="11"/>
  <c r="D285" i="12"/>
  <c r="D285" i="11"/>
  <c r="D278" i="10"/>
  <c r="D275" i="2"/>
  <c r="D275" i="12"/>
  <c r="D275" i="11"/>
  <c r="C284" i="11"/>
  <c r="C284" i="12"/>
  <c r="C277" i="10"/>
  <c r="D284" i="12"/>
  <c r="D284" i="11"/>
  <c r="D277" i="10"/>
  <c r="D283" i="2"/>
  <c r="D277" i="9"/>
  <c r="D269" i="8"/>
  <c r="C279" i="2"/>
  <c r="C273" i="9"/>
  <c r="D279" i="2"/>
  <c r="D273" i="9"/>
  <c r="C283" i="2"/>
  <c r="C277" i="9"/>
  <c r="C269" i="8"/>
  <c r="C285" i="2"/>
  <c r="C279" i="9"/>
  <c r="D285" i="2"/>
  <c r="D279" i="9"/>
  <c r="C284" i="2"/>
  <c r="C278" i="9"/>
  <c r="D284" i="2"/>
  <c r="D278" i="9"/>
  <c r="C286" i="2"/>
  <c r="C271" i="10"/>
  <c r="C272" i="9"/>
  <c r="C270" i="12"/>
  <c r="C270" i="7"/>
  <c r="C270" i="11"/>
  <c r="C268" i="8"/>
  <c r="D286" i="2"/>
  <c r="D270" i="11"/>
  <c r="D271" i="10"/>
  <c r="D272" i="9"/>
  <c r="D270" i="12"/>
  <c r="D270" i="7"/>
  <c r="D268" i="8"/>
  <c r="C278" i="2"/>
  <c r="C277" i="2"/>
  <c r="D278" i="2"/>
  <c r="D280" i="2"/>
  <c r="C280" i="2"/>
  <c r="D277" i="2"/>
  <c r="AL114" i="29"/>
  <c r="AI114" i="29"/>
  <c r="AF114" i="29"/>
  <c r="AC114" i="29"/>
  <c r="Z114" i="29"/>
  <c r="W114" i="29"/>
  <c r="T114" i="29"/>
  <c r="Q114" i="29"/>
  <c r="C283" i="17"/>
  <c r="D283" i="17"/>
  <c r="C249" i="7"/>
  <c r="D249" i="7"/>
  <c r="C279" i="17"/>
  <c r="C253" i="7"/>
  <c r="D253" i="7"/>
  <c r="C251" i="8"/>
  <c r="D251" i="8"/>
  <c r="C298" i="16"/>
  <c r="D298" i="16"/>
  <c r="C297" i="17"/>
  <c r="D297" i="17"/>
  <c r="C288" i="17"/>
  <c r="C287" i="17"/>
  <c r="C278" i="17"/>
  <c r="C293" i="17"/>
  <c r="C285" i="17"/>
  <c r="K290" i="28"/>
  <c r="K273" i="28"/>
  <c r="K299" i="28"/>
  <c r="K322" i="28"/>
  <c r="K321" i="28"/>
  <c r="K272" i="28"/>
  <c r="K317" i="28"/>
  <c r="J318" i="28"/>
  <c r="J321" i="28"/>
  <c r="I318" i="28"/>
  <c r="K298" i="28"/>
  <c r="J316" i="28"/>
  <c r="J322" i="28"/>
  <c r="I316" i="28"/>
  <c r="I322" i="28"/>
  <c r="AF129" i="29"/>
  <c r="AI129" i="29"/>
  <c r="AC129" i="29"/>
  <c r="Z129" i="29"/>
  <c r="AL129" i="29"/>
  <c r="K293" i="28"/>
  <c r="K282" i="28"/>
  <c r="K306" i="28"/>
  <c r="K289" i="28"/>
  <c r="K297" i="28"/>
  <c r="K271" i="28"/>
  <c r="K316" i="28"/>
  <c r="C298" i="17"/>
  <c r="D298" i="17"/>
  <c r="C302" i="17"/>
  <c r="C302" i="16"/>
  <c r="D302" i="17"/>
  <c r="D302" i="16"/>
  <c r="C301" i="16"/>
  <c r="C301" i="17"/>
  <c r="D300" i="17"/>
  <c r="D300" i="16"/>
  <c r="C300" i="17"/>
  <c r="C300" i="16"/>
  <c r="D299" i="17"/>
  <c r="D299" i="16"/>
  <c r="C299" i="17"/>
  <c r="C299" i="16"/>
  <c r="AL129" i="32"/>
  <c r="AI111" i="29"/>
  <c r="AI113" i="29"/>
  <c r="AI110" i="29"/>
  <c r="AI109" i="29"/>
  <c r="AI112" i="29"/>
  <c r="AI108" i="29"/>
  <c r="AI129" i="32"/>
  <c r="AI107" i="29"/>
  <c r="AF107" i="29"/>
  <c r="AF108" i="29"/>
  <c r="AF111" i="29"/>
  <c r="AF113" i="29"/>
  <c r="AF110" i="29"/>
  <c r="AF129" i="32"/>
  <c r="AF109" i="29"/>
  <c r="AF112" i="29"/>
  <c r="AC113" i="29"/>
  <c r="AC110" i="29"/>
  <c r="AC111" i="29"/>
  <c r="AC109" i="29"/>
  <c r="AC112" i="29"/>
  <c r="AC108" i="29"/>
  <c r="AC107" i="29"/>
  <c r="AC129" i="32"/>
  <c r="Z107" i="29"/>
  <c r="Z129" i="32"/>
  <c r="Z111" i="29"/>
  <c r="Z108" i="29"/>
  <c r="Z113" i="29"/>
  <c r="Z110" i="29"/>
  <c r="Z109" i="29"/>
  <c r="Z112" i="29"/>
  <c r="W111" i="29"/>
  <c r="W110" i="29"/>
  <c r="W109" i="29"/>
  <c r="W112" i="29"/>
  <c r="W129" i="32"/>
  <c r="W108" i="29"/>
  <c r="W107" i="29"/>
  <c r="W113" i="29"/>
  <c r="T107" i="29"/>
  <c r="T111" i="29"/>
  <c r="T129" i="32"/>
  <c r="T113" i="29"/>
  <c r="T110" i="29"/>
  <c r="T109" i="29"/>
  <c r="T112" i="29"/>
  <c r="T108" i="29"/>
  <c r="Q129" i="32"/>
  <c r="K295" i="28"/>
  <c r="K269" i="28"/>
  <c r="K308" i="28"/>
  <c r="K300" i="28"/>
  <c r="K291" i="28"/>
  <c r="K283" i="28"/>
  <c r="K274" i="28"/>
  <c r="K266" i="28"/>
  <c r="K304" i="28"/>
  <c r="K296" i="28"/>
  <c r="K287" i="28"/>
  <c r="K278" i="28"/>
  <c r="K270" i="28"/>
  <c r="K303" i="28"/>
  <c r="K277" i="28"/>
  <c r="K286" i="28"/>
  <c r="N129" i="32"/>
  <c r="J286" i="28"/>
  <c r="J310" i="28"/>
  <c r="J275" i="28"/>
  <c r="I279" i="28"/>
  <c r="K129" i="32"/>
  <c r="I283" i="28"/>
  <c r="I306" i="28"/>
  <c r="H129" i="32"/>
  <c r="AL109" i="29"/>
  <c r="AL112" i="29"/>
  <c r="AL108" i="29"/>
  <c r="AL107" i="29"/>
  <c r="AL111" i="29"/>
  <c r="AL113" i="29"/>
  <c r="AL110" i="29"/>
  <c r="I310" i="28"/>
  <c r="I307" i="28"/>
  <c r="I304" i="28"/>
  <c r="D285" i="17"/>
  <c r="C277" i="17"/>
  <c r="D292" i="17"/>
  <c r="D296" i="17"/>
  <c r="D289" i="17"/>
  <c r="D277" i="17"/>
  <c r="D295" i="17"/>
  <c r="D288" i="17"/>
  <c r="C292" i="17"/>
  <c r="C284" i="17"/>
  <c r="D294" i="17"/>
  <c r="D287" i="17"/>
  <c r="B268" i="17"/>
  <c r="B267" i="17"/>
  <c r="B271" i="17"/>
  <c r="B266" i="17"/>
  <c r="D293" i="17"/>
  <c r="D286" i="17"/>
  <c r="D278" i="17"/>
  <c r="B272" i="17"/>
  <c r="B239" i="17"/>
  <c r="B240" i="17"/>
  <c r="B231" i="17"/>
  <c r="B223" i="17"/>
  <c r="B230" i="17"/>
  <c r="B222" i="17"/>
  <c r="B244" i="17"/>
  <c r="B235" i="17"/>
  <c r="B227" i="17"/>
  <c r="B219" i="17"/>
  <c r="B242" i="17"/>
  <c r="B233" i="17"/>
  <c r="B225" i="17"/>
  <c r="B268" i="16"/>
  <c r="B269" i="17"/>
  <c r="B271" i="16"/>
  <c r="B270" i="17"/>
  <c r="D280" i="16"/>
  <c r="D279" i="17"/>
  <c r="D276" i="16"/>
  <c r="B291" i="16"/>
  <c r="B290" i="17"/>
  <c r="B283" i="16"/>
  <c r="B282" i="17"/>
  <c r="B267" i="16"/>
  <c r="B265" i="17"/>
  <c r="B259" i="16"/>
  <c r="B258" i="17"/>
  <c r="B272" i="16"/>
  <c r="C296" i="17"/>
  <c r="C290" i="16"/>
  <c r="C289" i="17"/>
  <c r="C282" i="16"/>
  <c r="D285" i="16"/>
  <c r="D284" i="17"/>
  <c r="B288" i="16"/>
  <c r="B287" i="17"/>
  <c r="B280" i="16"/>
  <c r="B279" i="17"/>
  <c r="B276" i="16"/>
  <c r="B275" i="17"/>
  <c r="B249" i="16"/>
  <c r="B247" i="17"/>
  <c r="B240" i="16"/>
  <c r="B238" i="17"/>
  <c r="B217" i="16"/>
  <c r="B220" i="12"/>
  <c r="B241" i="16"/>
  <c r="B216" i="16"/>
  <c r="B264" i="16"/>
  <c r="B232" i="16"/>
  <c r="B224" i="16"/>
  <c r="B214" i="16"/>
  <c r="B253" i="16"/>
  <c r="B244" i="16"/>
  <c r="B235" i="16"/>
  <c r="B227" i="16"/>
  <c r="D289" i="16"/>
  <c r="D281" i="16"/>
  <c r="B260" i="16"/>
  <c r="B254" i="16"/>
  <c r="B245" i="16"/>
  <c r="B236" i="16"/>
  <c r="B228" i="16"/>
  <c r="C284" i="16"/>
  <c r="D287" i="16"/>
  <c r="D275" i="16"/>
  <c r="B297" i="16"/>
  <c r="B290" i="16"/>
  <c r="B282" i="16"/>
  <c r="B278" i="16"/>
  <c r="B266" i="16"/>
  <c r="B252" i="16"/>
  <c r="B234" i="16"/>
  <c r="B226" i="16"/>
  <c r="C289" i="16"/>
  <c r="C281" i="16"/>
  <c r="D284" i="16"/>
  <c r="B287" i="16"/>
  <c r="B279" i="16"/>
  <c r="B275" i="16"/>
  <c r="B263" i="16"/>
  <c r="B257" i="16"/>
  <c r="B248" i="16"/>
  <c r="B239" i="16"/>
  <c r="B231" i="16"/>
  <c r="B223" i="16"/>
  <c r="T129" i="29"/>
  <c r="W129" i="29"/>
  <c r="B243" i="16"/>
  <c r="B242" i="16"/>
  <c r="C291" i="16"/>
  <c r="C283" i="16"/>
  <c r="D286" i="16"/>
  <c r="B289" i="16"/>
  <c r="B281" i="16"/>
  <c r="B277" i="16"/>
  <c r="B265" i="16"/>
  <c r="B258" i="16"/>
  <c r="B251" i="16"/>
  <c r="B250" i="16"/>
  <c r="B233" i="16"/>
  <c r="B225" i="16"/>
  <c r="C288" i="16"/>
  <c r="C280" i="16"/>
  <c r="C276" i="16"/>
  <c r="D291" i="16"/>
  <c r="D283" i="16"/>
  <c r="B286" i="16"/>
  <c r="B274" i="16"/>
  <c r="B262" i="16"/>
  <c r="B256" i="16"/>
  <c r="B247" i="16"/>
  <c r="B238" i="16"/>
  <c r="B230" i="16"/>
  <c r="B222" i="16"/>
  <c r="C287" i="16"/>
  <c r="C275" i="16"/>
  <c r="D297" i="16"/>
  <c r="D290" i="16"/>
  <c r="D282" i="16"/>
  <c r="B285" i="16"/>
  <c r="B261" i="16"/>
  <c r="B255" i="16"/>
  <c r="B246" i="16"/>
  <c r="B237" i="16"/>
  <c r="B229" i="16"/>
  <c r="B221" i="16"/>
  <c r="B284" i="16"/>
  <c r="B270" i="16"/>
  <c r="B269" i="16"/>
  <c r="B220" i="16"/>
  <c r="B219" i="16"/>
  <c r="B273" i="16"/>
  <c r="D293" i="16"/>
  <c r="B295" i="16"/>
  <c r="C296" i="16"/>
  <c r="D292" i="16"/>
  <c r="B294" i="16"/>
  <c r="C295" i="16"/>
  <c r="C294" i="16"/>
  <c r="B293" i="16"/>
  <c r="C282" i="14"/>
  <c r="C286" i="16"/>
  <c r="D296" i="16"/>
  <c r="B292" i="16"/>
  <c r="C293" i="16"/>
  <c r="C285" i="16"/>
  <c r="C286" i="15"/>
  <c r="D295" i="16"/>
  <c r="D288" i="16"/>
  <c r="B220" i="14"/>
  <c r="B218" i="16"/>
  <c r="C292" i="16"/>
  <c r="D294" i="16"/>
  <c r="B296" i="16"/>
  <c r="B218" i="14"/>
  <c r="B282" i="14"/>
  <c r="B221" i="14"/>
  <c r="B222" i="12"/>
  <c r="B298" i="15"/>
  <c r="B268" i="15"/>
  <c r="B221" i="12"/>
  <c r="C285" i="15"/>
  <c r="B221" i="15"/>
  <c r="B208" i="13"/>
  <c r="B223" i="12"/>
  <c r="D282" i="14"/>
  <c r="B255" i="15"/>
  <c r="B205" i="13"/>
  <c r="B207" i="13"/>
  <c r="B206" i="13"/>
  <c r="B201" i="12"/>
  <c r="B219" i="14"/>
  <c r="B285" i="15"/>
  <c r="D295" i="15"/>
  <c r="B282" i="15"/>
  <c r="B243" i="15"/>
  <c r="B235" i="15"/>
  <c r="B229" i="15"/>
  <c r="B215" i="15"/>
  <c r="B227" i="14"/>
  <c r="B208" i="15"/>
  <c r="C276" i="15"/>
  <c r="D290" i="15"/>
  <c r="B274" i="15"/>
  <c r="B267" i="15"/>
  <c r="B258" i="15"/>
  <c r="B250" i="15"/>
  <c r="B228" i="15"/>
  <c r="B214" i="15"/>
  <c r="B212" i="15"/>
  <c r="D276" i="15"/>
  <c r="B248" i="15"/>
  <c r="B211" i="15"/>
  <c r="C295" i="15"/>
  <c r="C280" i="15"/>
  <c r="D298" i="15"/>
  <c r="B278" i="15"/>
  <c r="B262" i="15"/>
  <c r="B230" i="15"/>
  <c r="C298" i="15"/>
  <c r="D289" i="15"/>
  <c r="B296" i="15"/>
  <c r="B292" i="15"/>
  <c r="B281" i="15"/>
  <c r="B273" i="15"/>
  <c r="B213" i="15"/>
  <c r="C294" i="15"/>
  <c r="B277" i="15"/>
  <c r="B270" i="15"/>
  <c r="B254" i="15"/>
  <c r="B246" i="15"/>
  <c r="B238" i="15"/>
  <c r="B210" i="15"/>
  <c r="C289" i="15"/>
  <c r="D296" i="15"/>
  <c r="D292" i="15"/>
  <c r="D281" i="15"/>
  <c r="B276" i="15"/>
  <c r="B269" i="15"/>
  <c r="B260" i="15"/>
  <c r="B253" i="15"/>
  <c r="B245" i="15"/>
  <c r="B237" i="15"/>
  <c r="B231" i="15"/>
  <c r="B217" i="15"/>
  <c r="B209" i="15"/>
  <c r="B252" i="15"/>
  <c r="B244" i="15"/>
  <c r="B236" i="15"/>
  <c r="B216" i="15"/>
  <c r="B293" i="15"/>
  <c r="AL188" i="29"/>
  <c r="AC188" i="29"/>
  <c r="AF188" i="29"/>
  <c r="T188" i="29"/>
  <c r="Z188" i="29"/>
  <c r="W188" i="29"/>
  <c r="AI188" i="29"/>
  <c r="D291" i="15"/>
  <c r="D280" i="15"/>
  <c r="B275" i="15"/>
  <c r="B265" i="15"/>
  <c r="B259" i="15"/>
  <c r="B232" i="15"/>
  <c r="D288" i="15"/>
  <c r="D294" i="15"/>
  <c r="B297" i="15"/>
  <c r="B287" i="15"/>
  <c r="B251" i="15"/>
  <c r="B226" i="15"/>
  <c r="C275" i="15"/>
  <c r="B266" i="15"/>
  <c r="B257" i="15"/>
  <c r="B242" i="15"/>
  <c r="B234" i="15"/>
  <c r="B206" i="15"/>
  <c r="B223" i="15"/>
  <c r="B225" i="15"/>
  <c r="C297" i="15"/>
  <c r="C287" i="15"/>
  <c r="C293" i="15"/>
  <c r="C282" i="15"/>
  <c r="D286" i="15"/>
  <c r="B295" i="15"/>
  <c r="B291" i="15"/>
  <c r="B280" i="15"/>
  <c r="B264" i="15"/>
  <c r="B256" i="15"/>
  <c r="B249" i="15"/>
  <c r="B241" i="15"/>
  <c r="B233" i="15"/>
  <c r="B222" i="15"/>
  <c r="B227" i="15"/>
  <c r="B205" i="15"/>
  <c r="C296" i="15"/>
  <c r="C292" i="15"/>
  <c r="C281" i="15"/>
  <c r="D285" i="15"/>
  <c r="B294" i="15"/>
  <c r="B290" i="15"/>
  <c r="B279" i="15"/>
  <c r="B272" i="15"/>
  <c r="B263" i="15"/>
  <c r="B240" i="15"/>
  <c r="B220" i="15"/>
  <c r="C288" i="15"/>
  <c r="B224" i="15"/>
  <c r="C291" i="15"/>
  <c r="D275" i="15"/>
  <c r="B289" i="15"/>
  <c r="B271" i="15"/>
  <c r="B247" i="15"/>
  <c r="B239" i="15"/>
  <c r="B219" i="15"/>
  <c r="B288" i="15"/>
  <c r="C290" i="15"/>
  <c r="D297" i="15"/>
  <c r="D287" i="15"/>
  <c r="D293" i="15"/>
  <c r="D282" i="15"/>
  <c r="B286" i="15"/>
  <c r="B261" i="15"/>
  <c r="B218" i="15"/>
  <c r="B229" i="12"/>
  <c r="B296" i="13"/>
  <c r="B283" i="15"/>
  <c r="B284" i="15"/>
  <c r="C296" i="13"/>
  <c r="C284" i="15"/>
  <c r="C283" i="15"/>
  <c r="B269" i="13"/>
  <c r="B203" i="12"/>
  <c r="B204" i="15"/>
  <c r="D296" i="13"/>
  <c r="D283" i="15"/>
  <c r="D284" i="15"/>
  <c r="B202" i="12"/>
  <c r="B203" i="15"/>
  <c r="B214" i="13"/>
  <c r="C292" i="13"/>
  <c r="C290" i="14"/>
  <c r="C277" i="13"/>
  <c r="B290" i="13"/>
  <c r="B274" i="14"/>
  <c r="B261" i="13"/>
  <c r="B253" i="12"/>
  <c r="B251" i="14"/>
  <c r="B238" i="13"/>
  <c r="B219" i="12"/>
  <c r="B204" i="13"/>
  <c r="B217" i="14"/>
  <c r="C284" i="13"/>
  <c r="C285" i="14"/>
  <c r="D287" i="13"/>
  <c r="B295" i="14"/>
  <c r="B282" i="13"/>
  <c r="B283" i="14"/>
  <c r="B270" i="13"/>
  <c r="B268" i="12"/>
  <c r="B266" i="14"/>
  <c r="B253" i="13"/>
  <c r="B252" i="12"/>
  <c r="B237" i="13"/>
  <c r="B250" i="14"/>
  <c r="B236" i="12"/>
  <c r="B221" i="13"/>
  <c r="B234" i="14"/>
  <c r="B218" i="12"/>
  <c r="B216" i="14"/>
  <c r="B203" i="13"/>
  <c r="B211" i="12"/>
  <c r="B209" i="14"/>
  <c r="D293" i="14"/>
  <c r="D280" i="13"/>
  <c r="B284" i="14"/>
  <c r="B271" i="13"/>
  <c r="C290" i="13"/>
  <c r="C283" i="13"/>
  <c r="C288" i="14"/>
  <c r="C275" i="13"/>
  <c r="C271" i="13"/>
  <c r="C284" i="14"/>
  <c r="D293" i="13"/>
  <c r="D286" i="13"/>
  <c r="D291" i="14"/>
  <c r="D278" i="13"/>
  <c r="D287" i="14"/>
  <c r="D277" i="14"/>
  <c r="B289" i="13"/>
  <c r="B294" i="14"/>
  <c r="B281" i="13"/>
  <c r="B268" i="13"/>
  <c r="B281" i="14"/>
  <c r="B272" i="14"/>
  <c r="B259" i="13"/>
  <c r="B267" i="12"/>
  <c r="B265" i="14"/>
  <c r="B252" i="13"/>
  <c r="B259" i="12"/>
  <c r="B257" i="14"/>
  <c r="B244" i="13"/>
  <c r="B251" i="12"/>
  <c r="B249" i="14"/>
  <c r="B236" i="13"/>
  <c r="B243" i="12"/>
  <c r="B241" i="14"/>
  <c r="B228" i="13"/>
  <c r="B235" i="12"/>
  <c r="B233" i="14"/>
  <c r="B220" i="13"/>
  <c r="B215" i="14"/>
  <c r="B202" i="13"/>
  <c r="B209" i="12"/>
  <c r="B207" i="14"/>
  <c r="C295" i="14"/>
  <c r="C282" i="13"/>
  <c r="C283" i="14"/>
  <c r="C270" i="13"/>
  <c r="D292" i="13"/>
  <c r="D285" i="13"/>
  <c r="D290" i="14"/>
  <c r="D277" i="13"/>
  <c r="D286" i="14"/>
  <c r="B295" i="13"/>
  <c r="B288" i="13"/>
  <c r="B280" i="13"/>
  <c r="B293" i="14"/>
  <c r="B280" i="14"/>
  <c r="B267" i="13"/>
  <c r="B271" i="14"/>
  <c r="B258" i="13"/>
  <c r="B266" i="12"/>
  <c r="B264" i="14"/>
  <c r="B251" i="13"/>
  <c r="B258" i="12"/>
  <c r="B256" i="14"/>
  <c r="B243" i="13"/>
  <c r="B250" i="12"/>
  <c r="B248" i="14"/>
  <c r="B235" i="13"/>
  <c r="B242" i="12"/>
  <c r="B240" i="14"/>
  <c r="B227" i="13"/>
  <c r="B234" i="12"/>
  <c r="B232" i="14"/>
  <c r="B219" i="13"/>
  <c r="B228" i="12"/>
  <c r="B213" i="13"/>
  <c r="B226" i="14"/>
  <c r="B216" i="12"/>
  <c r="B214" i="14"/>
  <c r="B201" i="13"/>
  <c r="B208" i="12"/>
  <c r="B206" i="14"/>
  <c r="B288" i="14"/>
  <c r="B275" i="13"/>
  <c r="B261" i="12"/>
  <c r="B259" i="14"/>
  <c r="B246" i="13"/>
  <c r="B237" i="12"/>
  <c r="B235" i="14"/>
  <c r="B222" i="13"/>
  <c r="C291" i="13"/>
  <c r="C289" i="14"/>
  <c r="C276" i="13"/>
  <c r="D294" i="13"/>
  <c r="D292" i="14"/>
  <c r="D279" i="13"/>
  <c r="D278" i="14"/>
  <c r="B273" i="14"/>
  <c r="B260" i="13"/>
  <c r="B260" i="12"/>
  <c r="B258" i="14"/>
  <c r="B245" i="13"/>
  <c r="B244" i="12"/>
  <c r="B242" i="14"/>
  <c r="B229" i="13"/>
  <c r="C289" i="13"/>
  <c r="C294" i="14"/>
  <c r="C281" i="13"/>
  <c r="D291" i="13"/>
  <c r="D284" i="13"/>
  <c r="D289" i="14"/>
  <c r="D276" i="13"/>
  <c r="D285" i="14"/>
  <c r="B294" i="13"/>
  <c r="B287" i="13"/>
  <c r="B292" i="14"/>
  <c r="B279" i="13"/>
  <c r="B278" i="14"/>
  <c r="B279" i="14"/>
  <c r="B265" i="13"/>
  <c r="B266" i="13"/>
  <c r="B270" i="14"/>
  <c r="B257" i="13"/>
  <c r="B265" i="12"/>
  <c r="B263" i="14"/>
  <c r="B250" i="13"/>
  <c r="B257" i="12"/>
  <c r="B255" i="14"/>
  <c r="B242" i="13"/>
  <c r="B249" i="12"/>
  <c r="B247" i="14"/>
  <c r="B234" i="13"/>
  <c r="B241" i="12"/>
  <c r="B239" i="14"/>
  <c r="B226" i="13"/>
  <c r="B233" i="12"/>
  <c r="B231" i="14"/>
  <c r="B218" i="13"/>
  <c r="B227" i="12"/>
  <c r="B212" i="13"/>
  <c r="B225" i="14"/>
  <c r="B215" i="12"/>
  <c r="B213" i="14"/>
  <c r="B207" i="12"/>
  <c r="B205" i="14"/>
  <c r="C285" i="13"/>
  <c r="C286" i="14"/>
  <c r="D288" i="13"/>
  <c r="C295" i="13"/>
  <c r="C288" i="13"/>
  <c r="C293" i="14"/>
  <c r="C280" i="13"/>
  <c r="D290" i="13"/>
  <c r="D283" i="13"/>
  <c r="D288" i="14"/>
  <c r="D275" i="13"/>
  <c r="D284" i="14"/>
  <c r="D271" i="13"/>
  <c r="B293" i="13"/>
  <c r="B286" i="13"/>
  <c r="B291" i="14"/>
  <c r="B278" i="13"/>
  <c r="B287" i="14"/>
  <c r="B274" i="13"/>
  <c r="B264" i="13"/>
  <c r="B277" i="14"/>
  <c r="B256" i="13"/>
  <c r="B269" i="14"/>
  <c r="B264" i="12"/>
  <c r="B262" i="14"/>
  <c r="B249" i="13"/>
  <c r="B256" i="12"/>
  <c r="B254" i="14"/>
  <c r="B241" i="13"/>
  <c r="B248" i="12"/>
  <c r="B246" i="14"/>
  <c r="B233" i="13"/>
  <c r="B240" i="12"/>
  <c r="B238" i="14"/>
  <c r="B225" i="13"/>
  <c r="B230" i="14"/>
  <c r="B217" i="13"/>
  <c r="B226" i="12"/>
  <c r="B224" i="14"/>
  <c r="B211" i="13"/>
  <c r="B214" i="12"/>
  <c r="B212" i="14"/>
  <c r="B206" i="12"/>
  <c r="B204" i="14"/>
  <c r="D295" i="13"/>
  <c r="B283" i="13"/>
  <c r="B269" i="12"/>
  <c r="B267" i="14"/>
  <c r="B254" i="13"/>
  <c r="B245" i="12"/>
  <c r="B243" i="14"/>
  <c r="B230" i="13"/>
  <c r="B210" i="12"/>
  <c r="B208" i="14"/>
  <c r="C294" i="13"/>
  <c r="C287" i="13"/>
  <c r="C279" i="13"/>
  <c r="C292" i="14"/>
  <c r="C278" i="14"/>
  <c r="D295" i="14"/>
  <c r="D282" i="13"/>
  <c r="D270" i="13"/>
  <c r="D283" i="14"/>
  <c r="B292" i="13"/>
  <c r="B285" i="13"/>
  <c r="B277" i="13"/>
  <c r="B290" i="14"/>
  <c r="B286" i="14"/>
  <c r="B273" i="13"/>
  <c r="B276" i="14"/>
  <c r="B263" i="13"/>
  <c r="B268" i="14"/>
  <c r="B255" i="13"/>
  <c r="B263" i="12"/>
  <c r="B248" i="13"/>
  <c r="B261" i="14"/>
  <c r="B255" i="12"/>
  <c r="B240" i="13"/>
  <c r="B253" i="14"/>
  <c r="B247" i="12"/>
  <c r="B232" i="13"/>
  <c r="B245" i="14"/>
  <c r="B239" i="12"/>
  <c r="B224" i="13"/>
  <c r="B237" i="14"/>
  <c r="B231" i="12"/>
  <c r="B216" i="13"/>
  <c r="B229" i="14"/>
  <c r="B225" i="12"/>
  <c r="B223" i="14"/>
  <c r="B210" i="13"/>
  <c r="B213" i="12"/>
  <c r="B211" i="14"/>
  <c r="B205" i="12"/>
  <c r="B203" i="14"/>
  <c r="C293" i="13"/>
  <c r="C286" i="13"/>
  <c r="C291" i="14"/>
  <c r="C278" i="13"/>
  <c r="C287" i="14"/>
  <c r="C277" i="14"/>
  <c r="D289" i="13"/>
  <c r="D294" i="14"/>
  <c r="D281" i="13"/>
  <c r="B291" i="13"/>
  <c r="B284" i="13"/>
  <c r="B276" i="13"/>
  <c r="B289" i="14"/>
  <c r="B272" i="13"/>
  <c r="B285" i="14"/>
  <c r="B275" i="14"/>
  <c r="B262" i="13"/>
  <c r="B262" i="12"/>
  <c r="B260" i="14"/>
  <c r="B247" i="13"/>
  <c r="B254" i="12"/>
  <c r="B252" i="14"/>
  <c r="B239" i="13"/>
  <c r="B246" i="12"/>
  <c r="B244" i="14"/>
  <c r="B231" i="13"/>
  <c r="B238" i="12"/>
  <c r="B236" i="14"/>
  <c r="B223" i="13"/>
  <c r="B230" i="12"/>
  <c r="B228" i="14"/>
  <c r="B215" i="13"/>
  <c r="B224" i="12"/>
  <c r="B222" i="14"/>
  <c r="B209" i="13"/>
  <c r="B212" i="12"/>
  <c r="B210" i="14"/>
  <c r="B204" i="12"/>
  <c r="B202" i="14"/>
  <c r="I309" i="28"/>
  <c r="I308" i="28"/>
  <c r="B232" i="12"/>
  <c r="B217" i="12"/>
  <c r="B223" i="10"/>
  <c r="B215" i="10"/>
  <c r="B199" i="10"/>
  <c r="B222" i="10"/>
  <c r="B214" i="10"/>
  <c r="B206" i="10"/>
  <c r="B229" i="10"/>
  <c r="B221" i="10"/>
  <c r="B213" i="10"/>
  <c r="B205" i="10"/>
  <c r="B228" i="10"/>
  <c r="B220" i="10"/>
  <c r="B212" i="10"/>
  <c r="B204" i="10"/>
  <c r="B227" i="10"/>
  <c r="B219" i="10"/>
  <c r="B211" i="10"/>
  <c r="B203" i="10"/>
  <c r="B218" i="10"/>
  <c r="B210" i="10"/>
  <c r="B202" i="10"/>
  <c r="B225" i="10"/>
  <c r="B217" i="10"/>
  <c r="B209" i="10"/>
  <c r="B208" i="10"/>
  <c r="B201" i="10"/>
  <c r="B232" i="10"/>
  <c r="B216" i="10"/>
  <c r="B207" i="10"/>
  <c r="B200" i="10"/>
  <c r="B226" i="10"/>
  <c r="B233" i="10"/>
  <c r="B224" i="10"/>
  <c r="B231" i="10"/>
  <c r="B231" i="8"/>
  <c r="B230" i="10"/>
  <c r="H310" i="28"/>
  <c r="H302" i="28"/>
  <c r="H294" i="28"/>
  <c r="H286" i="28"/>
  <c r="H277" i="28"/>
  <c r="H269" i="28"/>
  <c r="H311" i="28"/>
  <c r="H303" i="28"/>
  <c r="H295" i="28"/>
  <c r="H287" i="28"/>
  <c r="H278" i="28"/>
  <c r="H270" i="28"/>
  <c r="H262" i="28"/>
  <c r="H315" i="28"/>
  <c r="H307" i="28"/>
  <c r="H299" i="28"/>
  <c r="H291" i="28"/>
  <c r="H283" i="28"/>
  <c r="H274" i="28"/>
  <c r="H266" i="28"/>
  <c r="H314" i="28"/>
  <c r="H306" i="28"/>
  <c r="H298" i="28"/>
  <c r="H290" i="28"/>
  <c r="H282" i="28"/>
  <c r="H273" i="28"/>
  <c r="H265" i="28"/>
  <c r="H312" i="28"/>
  <c r="H304" i="28"/>
  <c r="H296" i="28"/>
  <c r="H288" i="28"/>
  <c r="H279" i="28"/>
  <c r="H271" i="28"/>
  <c r="H263" i="28"/>
  <c r="H309" i="28"/>
  <c r="H301" i="28"/>
  <c r="H293" i="28"/>
  <c r="H285" i="28"/>
  <c r="H276" i="28"/>
  <c r="H268" i="28"/>
  <c r="H308" i="28"/>
  <c r="H300" i="28"/>
  <c r="H292" i="28"/>
  <c r="H284" i="28"/>
  <c r="H275" i="28"/>
  <c r="H267" i="28"/>
  <c r="H313" i="28"/>
  <c r="H305" i="28"/>
  <c r="H297" i="28"/>
  <c r="H289" i="28"/>
  <c r="H280" i="28"/>
  <c r="H272" i="28"/>
  <c r="H264" i="28"/>
  <c r="B212" i="9"/>
  <c r="B204" i="9"/>
  <c r="B211" i="9"/>
  <c r="B203" i="9"/>
  <c r="B216" i="9"/>
  <c r="B208" i="9"/>
  <c r="B200" i="9"/>
  <c r="B210" i="9"/>
  <c r="B209" i="9"/>
  <c r="B207" i="9"/>
  <c r="B223" i="9"/>
  <c r="B206" i="9"/>
  <c r="B213" i="9"/>
  <c r="B205" i="9"/>
  <c r="B228" i="9"/>
  <c r="B220" i="9"/>
  <c r="B231" i="7"/>
  <c r="B229" i="9"/>
  <c r="B229" i="8"/>
  <c r="B226" i="7"/>
  <c r="B232" i="9"/>
  <c r="B224" i="9"/>
  <c r="B215" i="9"/>
  <c r="B199" i="9"/>
  <c r="B230" i="7"/>
  <c r="B221" i="9"/>
  <c r="B225" i="7"/>
  <c r="B231" i="9"/>
  <c r="B214" i="9"/>
  <c r="B232" i="7"/>
  <c r="B230" i="9"/>
  <c r="B222" i="9"/>
  <c r="B230" i="8"/>
  <c r="B229" i="7"/>
  <c r="B227" i="9"/>
  <c r="B219" i="9"/>
  <c r="B202" i="9"/>
  <c r="B228" i="7"/>
  <c r="B226" i="9"/>
  <c r="B218" i="9"/>
  <c r="B201" i="9"/>
  <c r="B227" i="7"/>
  <c r="B233" i="9"/>
  <c r="B225" i="9"/>
  <c r="B217" i="9"/>
  <c r="L108" i="29"/>
  <c r="L111" i="29"/>
  <c r="D129" i="29"/>
  <c r="D188" i="29"/>
  <c r="D110" i="29"/>
  <c r="D114" i="29"/>
  <c r="D109" i="29"/>
  <c r="D108" i="29"/>
  <c r="L113" i="29"/>
  <c r="D107" i="29"/>
  <c r="D111" i="29"/>
  <c r="D112" i="29"/>
  <c r="D113" i="29"/>
  <c r="L109" i="29"/>
  <c r="L110" i="29"/>
  <c r="L188" i="29"/>
  <c r="F188" i="29"/>
  <c r="L112" i="29"/>
  <c r="L129" i="29"/>
  <c r="I188" i="29"/>
  <c r="F114" i="29"/>
  <c r="L107" i="29"/>
  <c r="H114" i="29" l="1"/>
  <c r="Q108" i="29"/>
  <c r="Q112" i="29"/>
  <c r="Q111" i="29"/>
  <c r="Q107" i="29"/>
  <c r="Q109" i="29"/>
  <c r="Q113" i="29"/>
  <c r="Q110" i="29"/>
  <c r="Q129" i="29"/>
  <c r="N188" i="29"/>
  <c r="Q188" i="29"/>
  <c r="H188" i="29"/>
  <c r="K188" i="29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26" i="23"/>
  <c r="D25" i="23"/>
  <c r="D16" i="23"/>
  <c r="D13" i="23"/>
  <c r="D12" i="23"/>
  <c r="D11" i="23"/>
  <c r="D10" i="23"/>
  <c r="D9" i="23"/>
  <c r="D145" i="18"/>
  <c r="D144" i="18"/>
  <c r="D143" i="18"/>
  <c r="D142" i="18"/>
  <c r="D135" i="18"/>
  <c r="D134" i="18"/>
  <c r="D133" i="18"/>
  <c r="D132" i="18"/>
  <c r="D141" i="18"/>
  <c r="D140" i="18"/>
  <c r="D139" i="18"/>
  <c r="D138" i="18"/>
  <c r="D137" i="18"/>
  <c r="D156" i="18" l="1"/>
  <c r="D155" i="18"/>
  <c r="D154" i="18"/>
  <c r="D120" i="18"/>
  <c r="D119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44" i="18"/>
  <c r="D43" i="18"/>
  <c r="D42" i="18"/>
  <c r="D41" i="18"/>
  <c r="D40" i="18"/>
  <c r="D39" i="18"/>
  <c r="D38" i="18"/>
  <c r="D37" i="18"/>
  <c r="D26" i="18"/>
  <c r="D25" i="18"/>
  <c r="D24" i="18"/>
  <c r="D23" i="18"/>
  <c r="D22" i="18"/>
  <c r="D21" i="18"/>
  <c r="D17" i="18"/>
  <c r="D275" i="1"/>
  <c r="E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E227" i="8"/>
  <c r="E228" i="8"/>
  <c r="F227" i="8"/>
  <c r="G227" i="8" s="1"/>
  <c r="F228" i="8"/>
  <c r="G228" i="8" s="1"/>
  <c r="J306" i="28"/>
  <c r="E219" i="2"/>
  <c r="F219" i="2"/>
  <c r="G219" i="2" s="1"/>
  <c r="H255" i="28"/>
  <c r="H256" i="28"/>
  <c r="D61" i="23"/>
  <c r="D167" i="1"/>
  <c r="E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F195" i="8"/>
  <c r="G195" i="8" s="1"/>
  <c r="F196" i="8"/>
  <c r="G196" i="8" s="1"/>
  <c r="F197" i="8"/>
  <c r="G197" i="8" s="1"/>
  <c r="F198" i="8"/>
  <c r="G198" i="8" s="1"/>
  <c r="F199" i="8"/>
  <c r="G199" i="8" s="1"/>
  <c r="F200" i="8"/>
  <c r="G200" i="8" s="1"/>
  <c r="F201" i="8"/>
  <c r="G201" i="8" s="1"/>
  <c r="F202" i="8"/>
  <c r="G202" i="8" s="1"/>
  <c r="F203" i="8"/>
  <c r="G203" i="8" s="1"/>
  <c r="F204" i="8"/>
  <c r="G204" i="8" s="1"/>
  <c r="F205" i="8"/>
  <c r="G205" i="8" s="1"/>
  <c r="F206" i="8"/>
  <c r="G206" i="8" s="1"/>
  <c r="F207" i="8"/>
  <c r="G207" i="8" s="1"/>
  <c r="F208" i="8"/>
  <c r="G208" i="8" s="1"/>
  <c r="F209" i="8"/>
  <c r="G209" i="8" s="1"/>
  <c r="F210" i="8"/>
  <c r="G210" i="8" s="1"/>
  <c r="F211" i="8"/>
  <c r="G211" i="8" s="1"/>
  <c r="F212" i="8"/>
  <c r="G212" i="8" s="1"/>
  <c r="F213" i="8"/>
  <c r="G213" i="8" s="1"/>
  <c r="F214" i="8"/>
  <c r="G214" i="8" s="1"/>
  <c r="F215" i="8"/>
  <c r="G215" i="8" s="1"/>
  <c r="F216" i="8"/>
  <c r="G216" i="8" s="1"/>
  <c r="F217" i="8"/>
  <c r="G217" i="8" s="1"/>
  <c r="F218" i="8"/>
  <c r="G218" i="8" s="1"/>
  <c r="F219" i="8"/>
  <c r="G219" i="8" s="1"/>
  <c r="F220" i="8"/>
  <c r="G220" i="8" s="1"/>
  <c r="F221" i="8"/>
  <c r="G221" i="8" s="1"/>
  <c r="F222" i="8"/>
  <c r="G222" i="8" s="1"/>
  <c r="F223" i="8"/>
  <c r="G223" i="8" s="1"/>
  <c r="F224" i="8"/>
  <c r="G224" i="8" s="1"/>
  <c r="F225" i="8"/>
  <c r="G225" i="8" s="1"/>
  <c r="F226" i="8"/>
  <c r="G226" i="8" s="1"/>
  <c r="J264" i="28"/>
  <c r="J265" i="28"/>
  <c r="J266" i="28"/>
  <c r="J268" i="28"/>
  <c r="J274" i="28"/>
  <c r="J282" i="28"/>
  <c r="J284" i="28"/>
  <c r="J285" i="28"/>
  <c r="J289" i="28"/>
  <c r="J291" i="28"/>
  <c r="J293" i="28"/>
  <c r="C260" i="28"/>
  <c r="C261" i="28"/>
  <c r="D260" i="28"/>
  <c r="D261" i="28"/>
  <c r="E260" i="28"/>
  <c r="E261" i="28"/>
  <c r="H260" i="28"/>
  <c r="H261" i="28"/>
  <c r="L260" i="28"/>
  <c r="L261" i="28"/>
  <c r="M260" i="28"/>
  <c r="M261" i="28"/>
  <c r="N260" i="28"/>
  <c r="N261" i="28"/>
  <c r="O260" i="28"/>
  <c r="O261" i="28"/>
  <c r="P260" i="28"/>
  <c r="P261" i="28"/>
  <c r="Q260" i="28"/>
  <c r="Q261" i="28"/>
  <c r="D283" i="1"/>
  <c r="E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D297" i="1"/>
  <c r="E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E223" i="7"/>
  <c r="E224" i="7"/>
  <c r="F223" i="7"/>
  <c r="G223" i="7" s="1"/>
  <c r="F224" i="7"/>
  <c r="G224" i="7" s="1"/>
  <c r="I305" i="28"/>
  <c r="E217" i="2"/>
  <c r="E218" i="2"/>
  <c r="F217" i="2"/>
  <c r="G217" i="2" s="1"/>
  <c r="F218" i="2"/>
  <c r="G218" i="2" s="1"/>
  <c r="C245" i="28"/>
  <c r="C246" i="28"/>
  <c r="C247" i="28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H253" i="28"/>
  <c r="H257" i="28"/>
  <c r="H258" i="28"/>
  <c r="H259" i="28"/>
  <c r="I259" i="28"/>
  <c r="K251" i="28"/>
  <c r="K254" i="28"/>
  <c r="K259" i="28"/>
  <c r="L245" i="28"/>
  <c r="L246" i="28"/>
  <c r="L247" i="28"/>
  <c r="L248" i="28"/>
  <c r="L249" i="28"/>
  <c r="L250" i="28"/>
  <c r="L251" i="28"/>
  <c r="L252" i="28"/>
  <c r="L253" i="28"/>
  <c r="L254" i="28"/>
  <c r="L255" i="28"/>
  <c r="L256" i="28"/>
  <c r="L257" i="28"/>
  <c r="L258" i="28"/>
  <c r="L259" i="28"/>
  <c r="M256" i="28"/>
  <c r="M257" i="28"/>
  <c r="M258" i="28"/>
  <c r="M259" i="28"/>
  <c r="N245" i="28"/>
  <c r="N246" i="28"/>
  <c r="N247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O245" i="28"/>
  <c r="O247" i="28"/>
  <c r="O253" i="28"/>
  <c r="O254" i="28"/>
  <c r="O255" i="28"/>
  <c r="O256" i="28"/>
  <c r="O257" i="28"/>
  <c r="O258" i="28"/>
  <c r="O259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Q245" i="28"/>
  <c r="Q246" i="28"/>
  <c r="Q247" i="28"/>
  <c r="Q248" i="28"/>
  <c r="Q249" i="28"/>
  <c r="Q250" i="28"/>
  <c r="Q251" i="28"/>
  <c r="Q252" i="28"/>
  <c r="Q253" i="28"/>
  <c r="Q254" i="28"/>
  <c r="Q255" i="28"/>
  <c r="Q256" i="28"/>
  <c r="Q257" i="28"/>
  <c r="Q258" i="28"/>
  <c r="Q259" i="28"/>
  <c r="R245" i="28"/>
  <c r="R247" i="28"/>
  <c r="R255" i="28"/>
  <c r="R256" i="28"/>
  <c r="S245" i="28"/>
  <c r="S247" i="28"/>
  <c r="S255" i="28"/>
  <c r="S256" i="28"/>
  <c r="D267" i="1"/>
  <c r="E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D268" i="1"/>
  <c r="E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D237" i="1"/>
  <c r="E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D238" i="1"/>
  <c r="E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D220" i="1"/>
  <c r="E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D221" i="1"/>
  <c r="E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D212" i="1"/>
  <c r="E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D213" i="1"/>
  <c r="E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D214" i="1"/>
  <c r="E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D137" i="23"/>
  <c r="D204" i="1"/>
  <c r="E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D205" i="1"/>
  <c r="E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D165" i="1"/>
  <c r="E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D166" i="1"/>
  <c r="E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D85" i="1"/>
  <c r="E85" i="1"/>
  <c r="H85" i="1"/>
  <c r="I85" i="1"/>
  <c r="J85" i="1"/>
  <c r="K85" i="1"/>
  <c r="L85" i="1"/>
  <c r="M85" i="1"/>
  <c r="N85" i="1"/>
  <c r="O85" i="1"/>
  <c r="P85" i="1"/>
  <c r="Q85" i="1"/>
  <c r="R85" i="1"/>
  <c r="S85" i="1"/>
  <c r="D58" i="18"/>
  <c r="D57" i="18"/>
  <c r="D69" i="1"/>
  <c r="E69" i="1"/>
  <c r="H69" i="1"/>
  <c r="I69" i="1"/>
  <c r="J69" i="1"/>
  <c r="K69" i="1"/>
  <c r="L69" i="1"/>
  <c r="M69" i="1"/>
  <c r="N69" i="1"/>
  <c r="O69" i="1"/>
  <c r="P69" i="1"/>
  <c r="Q69" i="1"/>
  <c r="R69" i="1"/>
  <c r="S69" i="1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F192" i="7"/>
  <c r="G192" i="7" s="1"/>
  <c r="F193" i="7"/>
  <c r="G193" i="7" s="1"/>
  <c r="F194" i="7"/>
  <c r="G194" i="7" s="1"/>
  <c r="F195" i="7"/>
  <c r="G195" i="7" s="1"/>
  <c r="F196" i="7"/>
  <c r="G196" i="7" s="1"/>
  <c r="F197" i="7"/>
  <c r="G197" i="7" s="1"/>
  <c r="F198" i="7"/>
  <c r="G198" i="7" s="1"/>
  <c r="F199" i="7"/>
  <c r="G199" i="7" s="1"/>
  <c r="F200" i="7"/>
  <c r="G200" i="7" s="1"/>
  <c r="F201" i="7"/>
  <c r="G201" i="7" s="1"/>
  <c r="F202" i="7"/>
  <c r="G202" i="7" s="1"/>
  <c r="F203" i="7"/>
  <c r="G203" i="7" s="1"/>
  <c r="F204" i="7"/>
  <c r="G204" i="7" s="1"/>
  <c r="F205" i="7"/>
  <c r="G205" i="7" s="1"/>
  <c r="F206" i="7"/>
  <c r="G206" i="7" s="1"/>
  <c r="F207" i="7"/>
  <c r="G207" i="7" s="1"/>
  <c r="F208" i="7"/>
  <c r="G208" i="7" s="1"/>
  <c r="F209" i="7"/>
  <c r="G209" i="7" s="1"/>
  <c r="F210" i="7"/>
  <c r="G210" i="7" s="1"/>
  <c r="F211" i="7"/>
  <c r="G211" i="7" s="1"/>
  <c r="F212" i="7"/>
  <c r="G212" i="7" s="1"/>
  <c r="F213" i="7"/>
  <c r="G213" i="7" s="1"/>
  <c r="F214" i="7"/>
  <c r="G214" i="7" s="1"/>
  <c r="F215" i="7"/>
  <c r="G215" i="7" s="1"/>
  <c r="F216" i="7"/>
  <c r="G216" i="7" s="1"/>
  <c r="F217" i="7"/>
  <c r="G217" i="7" s="1"/>
  <c r="F218" i="7"/>
  <c r="G218" i="7" s="1"/>
  <c r="F219" i="7"/>
  <c r="G219" i="7" s="1"/>
  <c r="F220" i="7"/>
  <c r="G220" i="7" s="1"/>
  <c r="F221" i="7"/>
  <c r="G221" i="7" s="1"/>
  <c r="F222" i="7"/>
  <c r="G222" i="7" s="1"/>
  <c r="I264" i="28"/>
  <c r="I265" i="28"/>
  <c r="I266" i="28"/>
  <c r="I268" i="28"/>
  <c r="I274" i="28"/>
  <c r="I282" i="28"/>
  <c r="I284" i="28"/>
  <c r="I285" i="28"/>
  <c r="I289" i="28"/>
  <c r="I291" i="28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F191" i="2"/>
  <c r="G191" i="2" s="1"/>
  <c r="F192" i="2"/>
  <c r="G192" i="2" s="1"/>
  <c r="F193" i="2"/>
  <c r="G193" i="2" s="1"/>
  <c r="F194" i="2"/>
  <c r="G194" i="2" s="1"/>
  <c r="F195" i="2"/>
  <c r="G195" i="2" s="1"/>
  <c r="F196" i="2"/>
  <c r="G196" i="2" s="1"/>
  <c r="F197" i="2"/>
  <c r="G197" i="2" s="1"/>
  <c r="F198" i="2"/>
  <c r="G198" i="2" s="1"/>
  <c r="F199" i="2"/>
  <c r="G199" i="2" s="1"/>
  <c r="F200" i="2"/>
  <c r="G200" i="2" s="1"/>
  <c r="F201" i="2"/>
  <c r="G201" i="2" s="1"/>
  <c r="F202" i="2"/>
  <c r="G202" i="2" s="1"/>
  <c r="F203" i="2"/>
  <c r="G203" i="2" s="1"/>
  <c r="F204" i="2"/>
  <c r="G204" i="2" s="1"/>
  <c r="F205" i="2"/>
  <c r="G205" i="2" s="1"/>
  <c r="F206" i="2"/>
  <c r="G206" i="2" s="1"/>
  <c r="F207" i="2"/>
  <c r="G207" i="2" s="1"/>
  <c r="F208" i="2"/>
  <c r="G208" i="2" s="1"/>
  <c r="F209" i="2"/>
  <c r="G209" i="2" s="1"/>
  <c r="F210" i="2"/>
  <c r="G210" i="2" s="1"/>
  <c r="F211" i="2"/>
  <c r="G211" i="2" s="1"/>
  <c r="F212" i="2"/>
  <c r="G212" i="2" s="1"/>
  <c r="F213" i="2"/>
  <c r="G213" i="2" s="1"/>
  <c r="F214" i="2"/>
  <c r="G214" i="2" s="1"/>
  <c r="F215" i="2"/>
  <c r="G215" i="2" s="1"/>
  <c r="F216" i="2"/>
  <c r="G216" i="2" s="1"/>
  <c r="H243" i="28"/>
  <c r="H246" i="28"/>
  <c r="H247" i="28"/>
  <c r="H248" i="28"/>
  <c r="H249" i="28"/>
  <c r="H252" i="28"/>
  <c r="D231" i="27"/>
  <c r="D230" i="27"/>
  <c r="D229" i="27"/>
  <c r="D228" i="27"/>
  <c r="D227" i="27"/>
  <c r="D226" i="27"/>
  <c r="D225" i="27"/>
  <c r="D224" i="27"/>
  <c r="D223" i="27"/>
  <c r="D222" i="27"/>
  <c r="D221" i="27"/>
  <c r="D220" i="27"/>
  <c r="D219" i="27"/>
  <c r="D218" i="27"/>
  <c r="D217" i="27"/>
  <c r="D216" i="27"/>
  <c r="D215" i="27"/>
  <c r="D214" i="27"/>
  <c r="D213" i="27"/>
  <c r="D212" i="27"/>
  <c r="D211" i="27"/>
  <c r="D210" i="27"/>
  <c r="D209" i="27"/>
  <c r="D208" i="27"/>
  <c r="D207" i="27"/>
  <c r="D206" i="27"/>
  <c r="D205" i="27"/>
  <c r="D204" i="27"/>
  <c r="D203" i="27"/>
  <c r="D202" i="27"/>
  <c r="D201" i="27"/>
  <c r="D200" i="27"/>
  <c r="D199" i="27"/>
  <c r="D198" i="27"/>
  <c r="D197" i="27"/>
  <c r="D196" i="27"/>
  <c r="D195" i="27"/>
  <c r="D194" i="27"/>
  <c r="D193" i="27"/>
  <c r="D192" i="27"/>
  <c r="D191" i="27"/>
  <c r="D190" i="27"/>
  <c r="D189" i="27"/>
  <c r="D188" i="27"/>
  <c r="D187" i="27"/>
  <c r="D186" i="27"/>
  <c r="D185" i="27"/>
  <c r="D184" i="27"/>
  <c r="D183" i="27"/>
  <c r="D182" i="27"/>
  <c r="D181" i="27"/>
  <c r="D180" i="27"/>
  <c r="D179" i="27"/>
  <c r="D178" i="27"/>
  <c r="D177" i="27"/>
  <c r="D176" i="27"/>
  <c r="D175" i="27"/>
  <c r="D174" i="27"/>
  <c r="D173" i="27"/>
  <c r="D172" i="27"/>
  <c r="D171" i="27"/>
  <c r="D170" i="27"/>
  <c r="D169" i="27"/>
  <c r="D168" i="27"/>
  <c r="D167" i="27"/>
  <c r="D166" i="27"/>
  <c r="D165" i="27"/>
  <c r="D164" i="27"/>
  <c r="D163" i="27"/>
  <c r="D162" i="27"/>
  <c r="D161" i="27"/>
  <c r="D160" i="27"/>
  <c r="D159" i="27"/>
  <c r="D158" i="27"/>
  <c r="D157" i="27"/>
  <c r="D156" i="27"/>
  <c r="D155" i="27"/>
  <c r="D154" i="27"/>
  <c r="D153" i="27"/>
  <c r="D152" i="27"/>
  <c r="D151" i="27"/>
  <c r="D150" i="27"/>
  <c r="D149" i="27"/>
  <c r="D148" i="27"/>
  <c r="D147" i="27"/>
  <c r="D146" i="27"/>
  <c r="D145" i="27"/>
  <c r="D144" i="27"/>
  <c r="D143" i="27"/>
  <c r="D142" i="27"/>
  <c r="D141" i="27"/>
  <c r="D140" i="27"/>
  <c r="D139" i="27"/>
  <c r="D138" i="27"/>
  <c r="D137" i="27"/>
  <c r="D136" i="27"/>
  <c r="D135" i="27"/>
  <c r="D134" i="27"/>
  <c r="D133" i="27"/>
  <c r="D132" i="27"/>
  <c r="D131" i="27"/>
  <c r="D130" i="27"/>
  <c r="D129" i="27"/>
  <c r="D128" i="27"/>
  <c r="D127" i="27"/>
  <c r="D126" i="27"/>
  <c r="D125" i="27"/>
  <c r="D124" i="27"/>
  <c r="D123" i="27"/>
  <c r="D122" i="27"/>
  <c r="D121" i="27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4" i="27"/>
  <c r="D103" i="27"/>
  <c r="D102" i="27"/>
  <c r="D101" i="27"/>
  <c r="D100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4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5" i="1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129" i="27"/>
  <c r="C130" i="27"/>
  <c r="C131" i="27"/>
  <c r="C132" i="27"/>
  <c r="C133" i="27"/>
  <c r="C134" i="27"/>
  <c r="C135" i="27"/>
  <c r="C136" i="27"/>
  <c r="C137" i="27"/>
  <c r="C138" i="27"/>
  <c r="C139" i="27"/>
  <c r="C140" i="27"/>
  <c r="C141" i="27"/>
  <c r="C142" i="27"/>
  <c r="C143" i="27"/>
  <c r="C144" i="27"/>
  <c r="C145" i="27"/>
  <c r="C146" i="27"/>
  <c r="C147" i="27"/>
  <c r="C148" i="27"/>
  <c r="C149" i="27"/>
  <c r="C150" i="27"/>
  <c r="C151" i="27"/>
  <c r="C152" i="27"/>
  <c r="C153" i="27"/>
  <c r="C154" i="27"/>
  <c r="C155" i="27"/>
  <c r="C156" i="27"/>
  <c r="C157" i="27"/>
  <c r="C158" i="27"/>
  <c r="C159" i="27"/>
  <c r="C160" i="27"/>
  <c r="C161" i="27"/>
  <c r="C162" i="27"/>
  <c r="C163" i="27"/>
  <c r="C164" i="27"/>
  <c r="C165" i="27"/>
  <c r="C166" i="27"/>
  <c r="C167" i="27"/>
  <c r="C168" i="27"/>
  <c r="C169" i="27"/>
  <c r="C170" i="27"/>
  <c r="C171" i="27"/>
  <c r="C172" i="27"/>
  <c r="C173" i="27"/>
  <c r="C174" i="27"/>
  <c r="C175" i="27"/>
  <c r="C176" i="27"/>
  <c r="C177" i="27"/>
  <c r="C178" i="27"/>
  <c r="C179" i="27"/>
  <c r="C180" i="27"/>
  <c r="C181" i="27"/>
  <c r="C182" i="27"/>
  <c r="C183" i="27"/>
  <c r="C184" i="27"/>
  <c r="C185" i="27"/>
  <c r="C186" i="27"/>
  <c r="C187" i="27"/>
  <c r="C188" i="27"/>
  <c r="C189" i="27"/>
  <c r="C190" i="27"/>
  <c r="C191" i="27"/>
  <c r="C192" i="27"/>
  <c r="C193" i="27"/>
  <c r="C194" i="27"/>
  <c r="C195" i="27"/>
  <c r="C196" i="27"/>
  <c r="C197" i="27"/>
  <c r="C198" i="27"/>
  <c r="C199" i="27"/>
  <c r="C200" i="27"/>
  <c r="C201" i="27"/>
  <c r="C202" i="27"/>
  <c r="C203" i="27"/>
  <c r="C204" i="27"/>
  <c r="C205" i="27"/>
  <c r="C206" i="27"/>
  <c r="C207" i="27"/>
  <c r="C208" i="27"/>
  <c r="C209" i="27"/>
  <c r="C210" i="27"/>
  <c r="C211" i="27"/>
  <c r="C212" i="27"/>
  <c r="C213" i="27"/>
  <c r="C214" i="27"/>
  <c r="C215" i="27"/>
  <c r="C216" i="27"/>
  <c r="C217" i="27"/>
  <c r="C218" i="27"/>
  <c r="C219" i="27"/>
  <c r="C220" i="27"/>
  <c r="C221" i="27"/>
  <c r="C222" i="27"/>
  <c r="C223" i="27"/>
  <c r="C224" i="27"/>
  <c r="C225" i="27"/>
  <c r="C226" i="27"/>
  <c r="C227" i="27"/>
  <c r="C228" i="27"/>
  <c r="C229" i="27"/>
  <c r="C230" i="27"/>
  <c r="C231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P315" i="28"/>
  <c r="C244" i="28"/>
  <c r="D244" i="28"/>
  <c r="E244" i="28"/>
  <c r="L244" i="28"/>
  <c r="N244" i="28"/>
  <c r="P244" i="28"/>
  <c r="Q244" i="28"/>
  <c r="C243" i="28"/>
  <c r="D243" i="28"/>
  <c r="E243" i="28"/>
  <c r="D291" i="1"/>
  <c r="E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D106" i="29"/>
  <c r="AD105" i="29"/>
  <c r="L104" i="29"/>
  <c r="X131" i="29"/>
  <c r="X136" i="29"/>
  <c r="L102" i="29"/>
  <c r="L145" i="32"/>
  <c r="AJ41" i="32"/>
  <c r="X100" i="29"/>
  <c r="U104" i="29"/>
  <c r="AA89" i="29"/>
  <c r="AG106" i="29"/>
  <c r="AG101" i="29"/>
  <c r="AA90" i="29"/>
  <c r="D141" i="29"/>
  <c r="AG142" i="29"/>
  <c r="AD141" i="29"/>
  <c r="AD142" i="29"/>
  <c r="AG136" i="29"/>
  <c r="X139" i="29"/>
  <c r="L88" i="29"/>
  <c r="AA88" i="29"/>
  <c r="AA102" i="29"/>
  <c r="AG103" i="29"/>
  <c r="AA141" i="29"/>
  <c r="R41" i="32"/>
  <c r="D105" i="29"/>
  <c r="F112" i="29"/>
  <c r="O104" i="29"/>
  <c r="AD85" i="29"/>
  <c r="L103" i="29"/>
  <c r="AJ142" i="29"/>
  <c r="D131" i="29"/>
  <c r="O145" i="32"/>
  <c r="R142" i="29"/>
  <c r="AJ131" i="29"/>
  <c r="AD86" i="29"/>
  <c r="X103" i="29"/>
  <c r="AJ102" i="29"/>
  <c r="AD139" i="29"/>
  <c r="D41" i="32"/>
  <c r="U131" i="32"/>
  <c r="O102" i="29"/>
  <c r="I131" i="32"/>
  <c r="U87" i="29"/>
  <c r="AJ105" i="29"/>
  <c r="AJ106" i="29"/>
  <c r="AD100" i="29"/>
  <c r="O142" i="29"/>
  <c r="L105" i="29"/>
  <c r="AJ139" i="29"/>
  <c r="AD137" i="29"/>
  <c r="AG131" i="32"/>
  <c r="U102" i="29"/>
  <c r="AG139" i="29"/>
  <c r="X141" i="29"/>
  <c r="AA131" i="29"/>
  <c r="AA145" i="32"/>
  <c r="AJ101" i="29"/>
  <c r="AA100" i="29"/>
  <c r="U142" i="29"/>
  <c r="AA86" i="29"/>
  <c r="U138" i="29"/>
  <c r="R145" i="32"/>
  <c r="AJ141" i="29"/>
  <c r="AD102" i="29"/>
  <c r="AD90" i="29"/>
  <c r="AA139" i="29"/>
  <c r="X41" i="32"/>
  <c r="O88" i="29"/>
  <c r="AD136" i="29"/>
  <c r="O100" i="29"/>
  <c r="D136" i="29"/>
  <c r="AJ137" i="29"/>
  <c r="O89" i="29"/>
  <c r="L106" i="29"/>
  <c r="O140" i="29"/>
  <c r="AJ131" i="32"/>
  <c r="U141" i="29"/>
  <c r="AD89" i="29"/>
  <c r="AD140" i="29"/>
  <c r="D103" i="29"/>
  <c r="R103" i="29"/>
  <c r="AD87" i="29"/>
  <c r="U139" i="29"/>
  <c r="D104" i="29"/>
  <c r="AA87" i="29"/>
  <c r="U105" i="29"/>
  <c r="AJ100" i="29"/>
  <c r="O87" i="29"/>
  <c r="D101" i="29"/>
  <c r="AG104" i="29"/>
  <c r="AJ138" i="29"/>
  <c r="U131" i="29"/>
  <c r="AG41" i="32"/>
  <c r="AJ104" i="29"/>
  <c r="AA136" i="29"/>
  <c r="AG141" i="29"/>
  <c r="U137" i="29"/>
  <c r="U89" i="29"/>
  <c r="AA140" i="29"/>
  <c r="U90" i="29"/>
  <c r="O101" i="29"/>
  <c r="U101" i="29"/>
  <c r="F41" i="32"/>
  <c r="AD41" i="32"/>
  <c r="U88" i="29"/>
  <c r="AG145" i="32"/>
  <c r="U41" i="32"/>
  <c r="AJ136" i="29"/>
  <c r="U85" i="29"/>
  <c r="O138" i="29"/>
  <c r="I145" i="32"/>
  <c r="X137" i="29"/>
  <c r="AJ140" i="29"/>
  <c r="AJ145" i="32"/>
  <c r="O106" i="29"/>
  <c r="X105" i="29"/>
  <c r="O136" i="29"/>
  <c r="AD138" i="29"/>
  <c r="AA106" i="29"/>
  <c r="R101" i="29"/>
  <c r="AA142" i="29"/>
  <c r="AG140" i="29"/>
  <c r="I41" i="32"/>
  <c r="D85" i="29"/>
  <c r="L41" i="32"/>
  <c r="X131" i="32"/>
  <c r="X102" i="29"/>
  <c r="X90" i="29"/>
  <c r="AA138" i="29"/>
  <c r="U86" i="29"/>
  <c r="R131" i="29"/>
  <c r="O85" i="29"/>
  <c r="AA101" i="29"/>
  <c r="I112" i="29"/>
  <c r="D142" i="29"/>
  <c r="X145" i="32"/>
  <c r="AA131" i="32"/>
  <c r="O90" i="29"/>
  <c r="AA137" i="29"/>
  <c r="AA105" i="29"/>
  <c r="AG102" i="29"/>
  <c r="O131" i="29"/>
  <c r="D145" i="32"/>
  <c r="U100" i="29"/>
  <c r="AD88" i="29"/>
  <c r="U145" i="32"/>
  <c r="O141" i="29"/>
  <c r="X142" i="29"/>
  <c r="O131" i="32"/>
  <c r="AA85" i="29"/>
  <c r="R105" i="29"/>
  <c r="R106" i="29"/>
  <c r="O86" i="29"/>
  <c r="D86" i="29"/>
  <c r="AD106" i="29"/>
  <c r="AG105" i="29"/>
  <c r="F145" i="32"/>
  <c r="O41" i="32"/>
  <c r="AA104" i="29"/>
  <c r="AA103" i="29"/>
  <c r="U136" i="29"/>
  <c r="AG100" i="29"/>
  <c r="AD104" i="29"/>
  <c r="D90" i="29"/>
  <c r="U106" i="29"/>
  <c r="X140" i="29"/>
  <c r="U103" i="29"/>
  <c r="X101" i="29"/>
  <c r="L131" i="32"/>
  <c r="X104" i="29"/>
  <c r="D89" i="29"/>
  <c r="AG137" i="29"/>
  <c r="R104" i="29"/>
  <c r="F131" i="32"/>
  <c r="U140" i="29"/>
  <c r="R100" i="29"/>
  <c r="AD101" i="29"/>
  <c r="R131" i="32"/>
  <c r="D131" i="32"/>
  <c r="AD103" i="29"/>
  <c r="AG138" i="29"/>
  <c r="X138" i="29"/>
  <c r="AJ103" i="29"/>
  <c r="O105" i="29"/>
  <c r="X106" i="29"/>
  <c r="O137" i="29"/>
  <c r="O139" i="29"/>
  <c r="AD131" i="32"/>
  <c r="AD131" i="29"/>
  <c r="O103" i="29"/>
  <c r="AD145" i="32"/>
  <c r="AA41" i="32"/>
  <c r="AG131" i="29"/>
  <c r="AC131" i="29" l="1"/>
  <c r="W131" i="29"/>
  <c r="AF131" i="29"/>
  <c r="AI131" i="29"/>
  <c r="AL131" i="29"/>
  <c r="Z131" i="29"/>
  <c r="T131" i="29"/>
  <c r="AC131" i="32"/>
  <c r="Z131" i="32"/>
  <c r="W131" i="32"/>
  <c r="T131" i="32"/>
  <c r="Q131" i="32"/>
  <c r="AL131" i="32"/>
  <c r="N131" i="32"/>
  <c r="AI131" i="32"/>
  <c r="K131" i="32"/>
  <c r="AF131" i="32"/>
  <c r="H131" i="32"/>
  <c r="D252" i="10"/>
  <c r="D251" i="7"/>
  <c r="D253" i="9"/>
  <c r="C263" i="12"/>
  <c r="C268" i="15"/>
  <c r="C263" i="11"/>
  <c r="C270" i="14"/>
  <c r="C270" i="17"/>
  <c r="C264" i="10"/>
  <c r="C261" i="8"/>
  <c r="C265" i="9"/>
  <c r="C263" i="7"/>
  <c r="D263" i="11"/>
  <c r="D270" i="17"/>
  <c r="D264" i="10"/>
  <c r="D263" i="12"/>
  <c r="D265" i="9"/>
  <c r="D263" i="7"/>
  <c r="D261" i="8"/>
  <c r="D268" i="15"/>
  <c r="D270" i="14"/>
  <c r="D260" i="9"/>
  <c r="D259" i="10"/>
  <c r="D256" i="8"/>
  <c r="D258" i="7"/>
  <c r="C256" i="8"/>
  <c r="C259" i="10"/>
  <c r="C258" i="7"/>
  <c r="C260" i="9"/>
  <c r="C252" i="10"/>
  <c r="C253" i="9"/>
  <c r="C251" i="7"/>
  <c r="Z90" i="29"/>
  <c r="AC90" i="29"/>
  <c r="AF90" i="29"/>
  <c r="AF89" i="29"/>
  <c r="AF88" i="29"/>
  <c r="Q88" i="29"/>
  <c r="AF87" i="29"/>
  <c r="AF86" i="29"/>
  <c r="AF85" i="29"/>
  <c r="AF140" i="29"/>
  <c r="AL141" i="29"/>
  <c r="AI140" i="29"/>
  <c r="AC139" i="29"/>
  <c r="AL140" i="29"/>
  <c r="AF139" i="29"/>
  <c r="Z142" i="29"/>
  <c r="Z138" i="29"/>
  <c r="AI141" i="29"/>
  <c r="Z139" i="29"/>
  <c r="H112" i="29"/>
  <c r="AI139" i="29"/>
  <c r="AC142" i="29"/>
  <c r="AC138" i="29"/>
  <c r="Z137" i="29"/>
  <c r="AL136" i="29"/>
  <c r="AL139" i="29"/>
  <c r="AF142" i="29"/>
  <c r="AF138" i="29"/>
  <c r="AC137" i="29"/>
  <c r="Z136" i="29"/>
  <c r="N112" i="29"/>
  <c r="K112" i="29"/>
  <c r="AI142" i="29"/>
  <c r="AI138" i="29"/>
  <c r="AF137" i="29"/>
  <c r="AC136" i="29"/>
  <c r="Z141" i="29"/>
  <c r="AL142" i="29"/>
  <c r="AL138" i="29"/>
  <c r="AI137" i="29"/>
  <c r="AF136" i="29"/>
  <c r="AC141" i="29"/>
  <c r="Z140" i="29"/>
  <c r="AL137" i="29"/>
  <c r="AI136" i="29"/>
  <c r="AF141" i="29"/>
  <c r="AC140" i="29"/>
  <c r="W142" i="29"/>
  <c r="T142" i="29"/>
  <c r="J288" i="28"/>
  <c r="J261" i="28"/>
  <c r="J299" i="28"/>
  <c r="J307" i="28"/>
  <c r="J317" i="28"/>
  <c r="J262" i="28"/>
  <c r="I290" i="28"/>
  <c r="I260" i="28"/>
  <c r="I258" i="28"/>
  <c r="I288" i="28"/>
  <c r="I261" i="28"/>
  <c r="J290" i="28"/>
  <c r="J272" i="28"/>
  <c r="J278" i="28"/>
  <c r="J263" i="28"/>
  <c r="J269" i="28"/>
  <c r="J297" i="28"/>
  <c r="J271" i="28"/>
  <c r="J277" i="28"/>
  <c r="J296" i="28"/>
  <c r="J302" i="28"/>
  <c r="J270" i="28"/>
  <c r="J276" i="28"/>
  <c r="J294" i="28"/>
  <c r="J300" i="28"/>
  <c r="J267" i="28"/>
  <c r="J273" i="28"/>
  <c r="J303" i="28"/>
  <c r="J309" i="28"/>
  <c r="J295" i="28"/>
  <c r="J301" i="28"/>
  <c r="J305" i="28"/>
  <c r="J292" i="28"/>
  <c r="J298" i="28"/>
  <c r="J280" i="28"/>
  <c r="J287" i="28"/>
  <c r="I270" i="28"/>
  <c r="I276" i="28"/>
  <c r="I297" i="28"/>
  <c r="I303" i="28"/>
  <c r="I295" i="28"/>
  <c r="I301" i="28"/>
  <c r="I296" i="28"/>
  <c r="I302" i="28"/>
  <c r="I257" i="28"/>
  <c r="I262" i="28"/>
  <c r="I294" i="28"/>
  <c r="I300" i="28"/>
  <c r="I267" i="28"/>
  <c r="I273" i="28"/>
  <c r="I293" i="28"/>
  <c r="I299" i="28"/>
  <c r="I292" i="28"/>
  <c r="I298" i="28"/>
  <c r="I280" i="28"/>
  <c r="I287" i="28"/>
  <c r="I272" i="28"/>
  <c r="I278" i="28"/>
  <c r="I263" i="28"/>
  <c r="I269" i="28"/>
  <c r="I271" i="28"/>
  <c r="I277" i="28"/>
  <c r="AI102" i="29"/>
  <c r="AI101" i="29"/>
  <c r="AI103" i="29"/>
  <c r="AI106" i="29"/>
  <c r="AI105" i="29"/>
  <c r="AI100" i="29"/>
  <c r="AI104" i="29"/>
  <c r="AF101" i="29"/>
  <c r="AF102" i="29"/>
  <c r="AF105" i="29"/>
  <c r="AF100" i="29"/>
  <c r="AF104" i="29"/>
  <c r="AF106" i="29"/>
  <c r="AF103" i="29"/>
  <c r="AC106" i="29"/>
  <c r="AC105" i="29"/>
  <c r="AC100" i="29"/>
  <c r="AC104" i="29"/>
  <c r="AC103" i="29"/>
  <c r="AC101" i="29"/>
  <c r="AC102" i="29"/>
  <c r="Z105" i="29"/>
  <c r="Z100" i="29"/>
  <c r="Z106" i="29"/>
  <c r="Z104" i="29"/>
  <c r="Z103" i="29"/>
  <c r="Z102" i="29"/>
  <c r="Z101" i="29"/>
  <c r="W100" i="29"/>
  <c r="W105" i="29"/>
  <c r="W104" i="29"/>
  <c r="W103" i="29"/>
  <c r="W106" i="29"/>
  <c r="W101" i="29"/>
  <c r="T104" i="29"/>
  <c r="T103" i="29"/>
  <c r="T101" i="29"/>
  <c r="T105" i="29"/>
  <c r="T100" i="29"/>
  <c r="T106" i="29"/>
  <c r="Q103" i="29"/>
  <c r="Q106" i="29"/>
  <c r="Q102" i="29"/>
  <c r="Q105" i="29"/>
  <c r="Q104" i="29"/>
  <c r="AL105" i="29"/>
  <c r="AL100" i="29"/>
  <c r="AL106" i="29"/>
  <c r="AL104" i="29"/>
  <c r="AL103" i="29"/>
  <c r="AL102" i="29"/>
  <c r="AL101" i="29"/>
  <c r="Z41" i="32"/>
  <c r="AC145" i="32"/>
  <c r="AC41" i="32"/>
  <c r="W41" i="32"/>
  <c r="Z145" i="32"/>
  <c r="H145" i="32"/>
  <c r="T41" i="32"/>
  <c r="W145" i="32"/>
  <c r="AF145" i="32"/>
  <c r="Q41" i="32"/>
  <c r="T145" i="32"/>
  <c r="AL41" i="32"/>
  <c r="N41" i="32"/>
  <c r="Q145" i="32"/>
  <c r="AI41" i="32"/>
  <c r="K41" i="32"/>
  <c r="AL145" i="32"/>
  <c r="N145" i="32"/>
  <c r="AF41" i="32"/>
  <c r="H41" i="32"/>
  <c r="AI145" i="32"/>
  <c r="K145" i="32"/>
  <c r="J251" i="28"/>
  <c r="I256" i="28"/>
  <c r="I253" i="28"/>
  <c r="I255" i="28"/>
  <c r="J260" i="28"/>
  <c r="J254" i="28"/>
  <c r="J259" i="28"/>
  <c r="J256" i="28"/>
  <c r="J255" i="28"/>
  <c r="H250" i="28"/>
  <c r="H245" i="28"/>
  <c r="H244" i="28"/>
  <c r="H254" i="28"/>
  <c r="H251" i="28"/>
  <c r="I251" i="28"/>
  <c r="I252" i="28"/>
  <c r="I247" i="28"/>
  <c r="I254" i="28"/>
  <c r="O15" i="17"/>
  <c r="D137" i="29"/>
  <c r="I114" i="29"/>
  <c r="F111" i="29"/>
  <c r="I107" i="29"/>
  <c r="F131" i="29"/>
  <c r="F140" i="29"/>
  <c r="F105" i="29"/>
  <c r="I129" i="29"/>
  <c r="F100" i="29"/>
  <c r="F113" i="29"/>
  <c r="D87" i="29"/>
  <c r="F88" i="29"/>
  <c r="F107" i="29"/>
  <c r="D138" i="29"/>
  <c r="F110" i="29"/>
  <c r="F103" i="29"/>
  <c r="F102" i="29"/>
  <c r="F109" i="29"/>
  <c r="I110" i="29"/>
  <c r="I108" i="29"/>
  <c r="I113" i="29"/>
  <c r="I131" i="29"/>
  <c r="F104" i="29"/>
  <c r="I109" i="29"/>
  <c r="I103" i="29"/>
  <c r="I106" i="29"/>
  <c r="I88" i="29"/>
  <c r="F129" i="29"/>
  <c r="F141" i="29"/>
  <c r="I101" i="29"/>
  <c r="I104" i="29"/>
  <c r="D139" i="29"/>
  <c r="I105" i="29"/>
  <c r="I111" i="29"/>
  <c r="D140" i="29"/>
  <c r="F89" i="29"/>
  <c r="I102" i="29"/>
  <c r="D102" i="29"/>
  <c r="F142" i="29"/>
  <c r="F106" i="29"/>
  <c r="D88" i="29"/>
  <c r="F101" i="29"/>
  <c r="F90" i="29"/>
  <c r="F108" i="29"/>
  <c r="D100" i="29"/>
  <c r="K131" i="29" l="1"/>
  <c r="H131" i="29"/>
  <c r="N114" i="29"/>
  <c r="K114" i="29"/>
  <c r="K88" i="29"/>
  <c r="N88" i="29"/>
  <c r="H89" i="29"/>
  <c r="H88" i="29"/>
  <c r="H90" i="29"/>
  <c r="H113" i="29"/>
  <c r="H109" i="29"/>
  <c r="H105" i="29"/>
  <c r="K113" i="29"/>
  <c r="N113" i="29"/>
  <c r="K109" i="29"/>
  <c r="N109" i="29"/>
  <c r="H140" i="29"/>
  <c r="H141" i="29"/>
  <c r="H142" i="29"/>
  <c r="N108" i="29"/>
  <c r="N111" i="29"/>
  <c r="N106" i="29"/>
  <c r="N110" i="29"/>
  <c r="N129" i="29"/>
  <c r="N107" i="29"/>
  <c r="H129" i="29"/>
  <c r="K129" i="29"/>
  <c r="H108" i="29"/>
  <c r="K108" i="29"/>
  <c r="K107" i="29"/>
  <c r="H107" i="29"/>
  <c r="K111" i="29"/>
  <c r="H111" i="29"/>
  <c r="K110" i="29"/>
  <c r="H110" i="29"/>
  <c r="K106" i="29"/>
  <c r="H106" i="29"/>
  <c r="N105" i="29"/>
  <c r="K105" i="29"/>
  <c r="N104" i="29"/>
  <c r="N103" i="29"/>
  <c r="N102" i="29"/>
  <c r="K101" i="29"/>
  <c r="H101" i="29"/>
  <c r="K102" i="29"/>
  <c r="K104" i="29"/>
  <c r="H104" i="29"/>
  <c r="K103" i="29"/>
  <c r="H103" i="29"/>
  <c r="H100" i="29"/>
  <c r="H102" i="29"/>
  <c r="C236" i="28"/>
  <c r="C237" i="28"/>
  <c r="C238" i="28"/>
  <c r="C239" i="28"/>
  <c r="C240" i="28"/>
  <c r="C241" i="28"/>
  <c r="C242" i="28"/>
  <c r="D236" i="28"/>
  <c r="D237" i="28"/>
  <c r="D238" i="28"/>
  <c r="D239" i="28"/>
  <c r="D240" i="28"/>
  <c r="D241" i="28"/>
  <c r="D242" i="28"/>
  <c r="E236" i="28"/>
  <c r="E237" i="28"/>
  <c r="E238" i="28"/>
  <c r="E239" i="28"/>
  <c r="E240" i="28"/>
  <c r="E241" i="28"/>
  <c r="E242" i="28"/>
  <c r="H241" i="28"/>
  <c r="H242" i="28"/>
  <c r="D270" i="1"/>
  <c r="E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D115" i="18"/>
  <c r="D107" i="18"/>
  <c r="D106" i="18"/>
  <c r="D105" i="18"/>
  <c r="D104" i="18"/>
  <c r="D80" i="1"/>
  <c r="E80" i="1"/>
  <c r="H80" i="1"/>
  <c r="I80" i="1"/>
  <c r="J80" i="1"/>
  <c r="K80" i="1"/>
  <c r="L80" i="1"/>
  <c r="M80" i="1"/>
  <c r="N80" i="1"/>
  <c r="O80" i="1"/>
  <c r="P80" i="1"/>
  <c r="Q80" i="1"/>
  <c r="R80" i="1"/>
  <c r="S80" i="1"/>
  <c r="D81" i="1"/>
  <c r="E81" i="1"/>
  <c r="H81" i="1"/>
  <c r="I81" i="1"/>
  <c r="J81" i="1"/>
  <c r="K81" i="1"/>
  <c r="L81" i="1"/>
  <c r="M81" i="1"/>
  <c r="N81" i="1"/>
  <c r="O81" i="1"/>
  <c r="P81" i="1"/>
  <c r="Q81" i="1"/>
  <c r="R81" i="1"/>
  <c r="S81" i="1"/>
  <c r="D82" i="1"/>
  <c r="E82" i="1"/>
  <c r="H82" i="1"/>
  <c r="I82" i="1"/>
  <c r="J82" i="1"/>
  <c r="K82" i="1"/>
  <c r="L82" i="1"/>
  <c r="M82" i="1"/>
  <c r="N82" i="1"/>
  <c r="O82" i="1"/>
  <c r="P82" i="1"/>
  <c r="Q82" i="1"/>
  <c r="R82" i="1"/>
  <c r="S82" i="1"/>
  <c r="D83" i="1"/>
  <c r="E83" i="1"/>
  <c r="H83" i="1"/>
  <c r="I83" i="1"/>
  <c r="J83" i="1"/>
  <c r="K83" i="1"/>
  <c r="L83" i="1"/>
  <c r="M83" i="1"/>
  <c r="N83" i="1"/>
  <c r="O83" i="1"/>
  <c r="P83" i="1"/>
  <c r="Q83" i="1"/>
  <c r="R83" i="1"/>
  <c r="S83" i="1"/>
  <c r="D84" i="1"/>
  <c r="E84" i="1"/>
  <c r="H84" i="1"/>
  <c r="I84" i="1"/>
  <c r="J84" i="1"/>
  <c r="K84" i="1"/>
  <c r="L84" i="1"/>
  <c r="M84" i="1"/>
  <c r="N84" i="1"/>
  <c r="O84" i="1"/>
  <c r="P84" i="1"/>
  <c r="Q84" i="1"/>
  <c r="R84" i="1"/>
  <c r="S84" i="1"/>
  <c r="D56" i="18"/>
  <c r="D67" i="1"/>
  <c r="E67" i="1"/>
  <c r="H67" i="1"/>
  <c r="I67" i="1"/>
  <c r="J67" i="1"/>
  <c r="K67" i="1"/>
  <c r="L67" i="1"/>
  <c r="M67" i="1"/>
  <c r="N67" i="1"/>
  <c r="O67" i="1"/>
  <c r="P67" i="1"/>
  <c r="Q67" i="1"/>
  <c r="R67" i="1"/>
  <c r="S67" i="1"/>
  <c r="E218" i="17"/>
  <c r="F218" i="17"/>
  <c r="G218" i="17" s="1"/>
  <c r="O218" i="17"/>
  <c r="S265" i="28" s="1"/>
  <c r="C231" i="28"/>
  <c r="C232" i="28"/>
  <c r="C233" i="28"/>
  <c r="C234" i="28"/>
  <c r="C235" i="28"/>
  <c r="D231" i="28"/>
  <c r="D232" i="28"/>
  <c r="D233" i="28"/>
  <c r="D234" i="28"/>
  <c r="D235" i="28"/>
  <c r="E231" i="28"/>
  <c r="E232" i="28"/>
  <c r="E233" i="28"/>
  <c r="E234" i="28"/>
  <c r="E235" i="28"/>
  <c r="H235" i="28"/>
  <c r="I235" i="28"/>
  <c r="D271" i="1"/>
  <c r="E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D265" i="1"/>
  <c r="E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D264" i="1"/>
  <c r="E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D242" i="1"/>
  <c r="E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D236" i="1"/>
  <c r="E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C221" i="17" l="1"/>
  <c r="D221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F18" i="17"/>
  <c r="G18" i="17" s="1"/>
  <c r="F19" i="17"/>
  <c r="G19" i="17" s="1"/>
  <c r="F20" i="17"/>
  <c r="G20" i="17" s="1"/>
  <c r="F21" i="17"/>
  <c r="G21" i="17" s="1"/>
  <c r="F22" i="17"/>
  <c r="G22" i="17" s="1"/>
  <c r="F23" i="17"/>
  <c r="G23" i="17" s="1"/>
  <c r="F24" i="17"/>
  <c r="G24" i="17" s="1"/>
  <c r="F25" i="17"/>
  <c r="G25" i="17" s="1"/>
  <c r="F26" i="17"/>
  <c r="G26" i="17" s="1"/>
  <c r="F27" i="17"/>
  <c r="G27" i="17" s="1"/>
  <c r="F28" i="17"/>
  <c r="G28" i="17" s="1"/>
  <c r="F29" i="17"/>
  <c r="G29" i="17" s="1"/>
  <c r="F30" i="17"/>
  <c r="G30" i="17" s="1"/>
  <c r="F31" i="17"/>
  <c r="G31" i="17" s="1"/>
  <c r="F32" i="17"/>
  <c r="G32" i="17" s="1"/>
  <c r="F33" i="17"/>
  <c r="G33" i="17" s="1"/>
  <c r="F34" i="17"/>
  <c r="G34" i="17" s="1"/>
  <c r="F35" i="17"/>
  <c r="G35" i="17" s="1"/>
  <c r="F36" i="17"/>
  <c r="G36" i="17" s="1"/>
  <c r="F37" i="17"/>
  <c r="G37" i="17" s="1"/>
  <c r="F38" i="17"/>
  <c r="G38" i="17" s="1"/>
  <c r="F39" i="17"/>
  <c r="G39" i="17" s="1"/>
  <c r="F40" i="17"/>
  <c r="G40" i="17" s="1"/>
  <c r="F41" i="17"/>
  <c r="G41" i="17" s="1"/>
  <c r="F42" i="17"/>
  <c r="G42" i="17" s="1"/>
  <c r="F43" i="17"/>
  <c r="G43" i="17" s="1"/>
  <c r="F44" i="17"/>
  <c r="G44" i="17" s="1"/>
  <c r="F45" i="17"/>
  <c r="G45" i="17" s="1"/>
  <c r="F46" i="17"/>
  <c r="G46" i="17" s="1"/>
  <c r="F47" i="17"/>
  <c r="G47" i="17" s="1"/>
  <c r="F48" i="17"/>
  <c r="G48" i="17" s="1"/>
  <c r="F49" i="17"/>
  <c r="G49" i="17" s="1"/>
  <c r="F50" i="17"/>
  <c r="G50" i="17" s="1"/>
  <c r="F51" i="17"/>
  <c r="G51" i="17" s="1"/>
  <c r="F52" i="17"/>
  <c r="G52" i="17" s="1"/>
  <c r="F53" i="17"/>
  <c r="G53" i="17" s="1"/>
  <c r="F54" i="17"/>
  <c r="G54" i="17" s="1"/>
  <c r="F55" i="17"/>
  <c r="G55" i="17" s="1"/>
  <c r="F56" i="17"/>
  <c r="G56" i="17" s="1"/>
  <c r="F57" i="17"/>
  <c r="G57" i="17" s="1"/>
  <c r="F58" i="17"/>
  <c r="G58" i="17" s="1"/>
  <c r="F59" i="17"/>
  <c r="G59" i="17" s="1"/>
  <c r="F60" i="17"/>
  <c r="G60" i="17" s="1"/>
  <c r="F61" i="17"/>
  <c r="G61" i="17" s="1"/>
  <c r="F62" i="17"/>
  <c r="G62" i="17" s="1"/>
  <c r="F63" i="17"/>
  <c r="G63" i="17" s="1"/>
  <c r="F64" i="17"/>
  <c r="G64" i="17" s="1"/>
  <c r="F65" i="17"/>
  <c r="G65" i="17" s="1"/>
  <c r="F66" i="17"/>
  <c r="G66" i="17" s="1"/>
  <c r="F67" i="17"/>
  <c r="G67" i="17" s="1"/>
  <c r="F68" i="17"/>
  <c r="G68" i="17" s="1"/>
  <c r="F69" i="17"/>
  <c r="G69" i="17" s="1"/>
  <c r="F70" i="17"/>
  <c r="G70" i="17" s="1"/>
  <c r="F71" i="17"/>
  <c r="G71" i="17" s="1"/>
  <c r="F72" i="17"/>
  <c r="G72" i="17" s="1"/>
  <c r="F73" i="17"/>
  <c r="G73" i="17" s="1"/>
  <c r="F74" i="17"/>
  <c r="G74" i="17" s="1"/>
  <c r="F75" i="17"/>
  <c r="G75" i="17" s="1"/>
  <c r="F76" i="17"/>
  <c r="G76" i="17" s="1"/>
  <c r="F77" i="17"/>
  <c r="G77" i="17" s="1"/>
  <c r="F78" i="17"/>
  <c r="G78" i="17" s="1"/>
  <c r="F79" i="17"/>
  <c r="G79" i="17" s="1"/>
  <c r="F80" i="17"/>
  <c r="G80" i="17" s="1"/>
  <c r="F81" i="17"/>
  <c r="G81" i="17" s="1"/>
  <c r="F82" i="17"/>
  <c r="G82" i="17" s="1"/>
  <c r="F83" i="17"/>
  <c r="G83" i="17" s="1"/>
  <c r="F84" i="17"/>
  <c r="G84" i="17" s="1"/>
  <c r="F85" i="17"/>
  <c r="G85" i="17" s="1"/>
  <c r="F86" i="17"/>
  <c r="G86" i="17" s="1"/>
  <c r="F87" i="17"/>
  <c r="G87" i="17" s="1"/>
  <c r="F88" i="17"/>
  <c r="G88" i="17" s="1"/>
  <c r="F89" i="17"/>
  <c r="G89" i="17" s="1"/>
  <c r="F90" i="17"/>
  <c r="G90" i="17" s="1"/>
  <c r="F91" i="17"/>
  <c r="G91" i="17" s="1"/>
  <c r="F92" i="17"/>
  <c r="G92" i="17" s="1"/>
  <c r="F93" i="17"/>
  <c r="G93" i="17" s="1"/>
  <c r="F94" i="17"/>
  <c r="G94" i="17" s="1"/>
  <c r="F95" i="17"/>
  <c r="G95" i="17" s="1"/>
  <c r="F96" i="17"/>
  <c r="G96" i="17" s="1"/>
  <c r="F97" i="17"/>
  <c r="G97" i="17" s="1"/>
  <c r="F98" i="17"/>
  <c r="G98" i="17" s="1"/>
  <c r="F99" i="17"/>
  <c r="G99" i="17" s="1"/>
  <c r="F100" i="17"/>
  <c r="G100" i="17" s="1"/>
  <c r="F101" i="17"/>
  <c r="G101" i="17" s="1"/>
  <c r="F102" i="17"/>
  <c r="G102" i="17" s="1"/>
  <c r="F103" i="17"/>
  <c r="G103" i="17" s="1"/>
  <c r="F104" i="17"/>
  <c r="G104" i="17" s="1"/>
  <c r="F105" i="17"/>
  <c r="G105" i="17" s="1"/>
  <c r="F106" i="17"/>
  <c r="G106" i="17" s="1"/>
  <c r="F107" i="17"/>
  <c r="G107" i="17" s="1"/>
  <c r="F108" i="17"/>
  <c r="G108" i="17" s="1"/>
  <c r="F109" i="17"/>
  <c r="G109" i="17" s="1"/>
  <c r="F110" i="17"/>
  <c r="G110" i="17" s="1"/>
  <c r="F111" i="17"/>
  <c r="G111" i="17" s="1"/>
  <c r="F112" i="17"/>
  <c r="G112" i="17" s="1"/>
  <c r="F113" i="17"/>
  <c r="G113" i="17" s="1"/>
  <c r="F114" i="17"/>
  <c r="G114" i="17" s="1"/>
  <c r="F115" i="17"/>
  <c r="G115" i="17" s="1"/>
  <c r="F116" i="17"/>
  <c r="G116" i="17" s="1"/>
  <c r="F117" i="17"/>
  <c r="G117" i="17" s="1"/>
  <c r="F118" i="17"/>
  <c r="G118" i="17" s="1"/>
  <c r="F119" i="17"/>
  <c r="G119" i="17" s="1"/>
  <c r="F120" i="17"/>
  <c r="G120" i="17" s="1"/>
  <c r="F121" i="17"/>
  <c r="G121" i="17" s="1"/>
  <c r="F122" i="17"/>
  <c r="G122" i="17" s="1"/>
  <c r="F123" i="17"/>
  <c r="G123" i="17" s="1"/>
  <c r="F124" i="17"/>
  <c r="G124" i="17" s="1"/>
  <c r="F125" i="17"/>
  <c r="G125" i="17" s="1"/>
  <c r="F126" i="17"/>
  <c r="G126" i="17" s="1"/>
  <c r="F127" i="17"/>
  <c r="G127" i="17" s="1"/>
  <c r="F128" i="17"/>
  <c r="G128" i="17" s="1"/>
  <c r="F129" i="17"/>
  <c r="G129" i="17" s="1"/>
  <c r="F130" i="17"/>
  <c r="G130" i="17" s="1"/>
  <c r="F131" i="17"/>
  <c r="G131" i="17" s="1"/>
  <c r="F132" i="17"/>
  <c r="G132" i="17" s="1"/>
  <c r="F133" i="17"/>
  <c r="G133" i="17" s="1"/>
  <c r="F134" i="17"/>
  <c r="G134" i="17" s="1"/>
  <c r="F135" i="17"/>
  <c r="G135" i="17" s="1"/>
  <c r="F136" i="17"/>
  <c r="G136" i="17" s="1"/>
  <c r="F137" i="17"/>
  <c r="G137" i="17" s="1"/>
  <c r="F138" i="17"/>
  <c r="G138" i="17" s="1"/>
  <c r="F139" i="17"/>
  <c r="G139" i="17" s="1"/>
  <c r="F140" i="17"/>
  <c r="G140" i="17" s="1"/>
  <c r="F141" i="17"/>
  <c r="G141" i="17" s="1"/>
  <c r="F142" i="17"/>
  <c r="G142" i="17" s="1"/>
  <c r="F143" i="17"/>
  <c r="G143" i="17" s="1"/>
  <c r="F144" i="17"/>
  <c r="G144" i="17" s="1"/>
  <c r="F145" i="17"/>
  <c r="G145" i="17" s="1"/>
  <c r="F146" i="17"/>
  <c r="G146" i="17" s="1"/>
  <c r="F147" i="17"/>
  <c r="G147" i="17" s="1"/>
  <c r="F148" i="17"/>
  <c r="G148" i="17" s="1"/>
  <c r="F149" i="17"/>
  <c r="G149" i="17" s="1"/>
  <c r="F150" i="17"/>
  <c r="G150" i="17" s="1"/>
  <c r="F151" i="17"/>
  <c r="G151" i="17" s="1"/>
  <c r="F152" i="17"/>
  <c r="G152" i="17" s="1"/>
  <c r="F153" i="17"/>
  <c r="G153" i="17" s="1"/>
  <c r="F154" i="17"/>
  <c r="G154" i="17" s="1"/>
  <c r="F155" i="17"/>
  <c r="G155" i="17" s="1"/>
  <c r="F156" i="17"/>
  <c r="G156" i="17" s="1"/>
  <c r="F157" i="17"/>
  <c r="G157" i="17" s="1"/>
  <c r="F158" i="17"/>
  <c r="G158" i="17" s="1"/>
  <c r="F159" i="17"/>
  <c r="G159" i="17" s="1"/>
  <c r="F160" i="17"/>
  <c r="G160" i="17" s="1"/>
  <c r="F161" i="17"/>
  <c r="G161" i="17" s="1"/>
  <c r="F162" i="17"/>
  <c r="G162" i="17" s="1"/>
  <c r="F163" i="17"/>
  <c r="G163" i="17" s="1"/>
  <c r="F164" i="17"/>
  <c r="G164" i="17" s="1"/>
  <c r="F165" i="17"/>
  <c r="G165" i="17" s="1"/>
  <c r="F166" i="17"/>
  <c r="G166" i="17" s="1"/>
  <c r="F167" i="17"/>
  <c r="G167" i="17" s="1"/>
  <c r="F168" i="17"/>
  <c r="G168" i="17" s="1"/>
  <c r="F169" i="17"/>
  <c r="G169" i="17" s="1"/>
  <c r="F170" i="17"/>
  <c r="G170" i="17" s="1"/>
  <c r="F171" i="17"/>
  <c r="G171" i="17" s="1"/>
  <c r="F172" i="17"/>
  <c r="G172" i="17" s="1"/>
  <c r="F173" i="17"/>
  <c r="G173" i="17" s="1"/>
  <c r="F174" i="17"/>
  <c r="G174" i="17" s="1"/>
  <c r="F175" i="17"/>
  <c r="G175" i="17" s="1"/>
  <c r="F176" i="17"/>
  <c r="G176" i="17" s="1"/>
  <c r="F177" i="17"/>
  <c r="G177" i="17" s="1"/>
  <c r="F178" i="17"/>
  <c r="G178" i="17" s="1"/>
  <c r="F179" i="17"/>
  <c r="G179" i="17" s="1"/>
  <c r="F180" i="17"/>
  <c r="G180" i="17" s="1"/>
  <c r="F181" i="17"/>
  <c r="G181" i="17" s="1"/>
  <c r="F182" i="17"/>
  <c r="G182" i="17" s="1"/>
  <c r="F183" i="17"/>
  <c r="G183" i="17" s="1"/>
  <c r="F184" i="17"/>
  <c r="G184" i="17" s="1"/>
  <c r="F185" i="17"/>
  <c r="G185" i="17" s="1"/>
  <c r="F186" i="17"/>
  <c r="G186" i="17" s="1"/>
  <c r="F187" i="17"/>
  <c r="G187" i="17" s="1"/>
  <c r="F188" i="17"/>
  <c r="G188" i="17" s="1"/>
  <c r="F189" i="17"/>
  <c r="G189" i="17" s="1"/>
  <c r="F190" i="17"/>
  <c r="G190" i="17" s="1"/>
  <c r="F191" i="17"/>
  <c r="G191" i="17" s="1"/>
  <c r="F192" i="17"/>
  <c r="G192" i="17" s="1"/>
  <c r="F193" i="17"/>
  <c r="G193" i="17" s="1"/>
  <c r="F194" i="17"/>
  <c r="G194" i="17" s="1"/>
  <c r="F195" i="17"/>
  <c r="G195" i="17" s="1"/>
  <c r="F196" i="17"/>
  <c r="G196" i="17" s="1"/>
  <c r="F197" i="17"/>
  <c r="G197" i="17" s="1"/>
  <c r="F198" i="17"/>
  <c r="G198" i="17" s="1"/>
  <c r="F199" i="17"/>
  <c r="G199" i="17" s="1"/>
  <c r="F200" i="17"/>
  <c r="G200" i="17" s="1"/>
  <c r="F201" i="17"/>
  <c r="G201" i="17" s="1"/>
  <c r="F202" i="17"/>
  <c r="G202" i="17" s="1"/>
  <c r="F203" i="17"/>
  <c r="G203" i="17" s="1"/>
  <c r="F204" i="17"/>
  <c r="G204" i="17" s="1"/>
  <c r="F205" i="17"/>
  <c r="G205" i="17" s="1"/>
  <c r="F206" i="17"/>
  <c r="G206" i="17" s="1"/>
  <c r="F207" i="17"/>
  <c r="G207" i="17" s="1"/>
  <c r="F208" i="17"/>
  <c r="G208" i="17" s="1"/>
  <c r="F209" i="17"/>
  <c r="G209" i="17" s="1"/>
  <c r="F210" i="17"/>
  <c r="G210" i="17" s="1"/>
  <c r="F211" i="17"/>
  <c r="G211" i="17" s="1"/>
  <c r="F212" i="17"/>
  <c r="G212" i="17" s="1"/>
  <c r="F213" i="17"/>
  <c r="G213" i="17" s="1"/>
  <c r="F214" i="17"/>
  <c r="G214" i="17" s="1"/>
  <c r="F215" i="17"/>
  <c r="G215" i="17" s="1"/>
  <c r="F216" i="17"/>
  <c r="G216" i="17" s="1"/>
  <c r="F217" i="17"/>
  <c r="G217" i="17" s="1"/>
  <c r="O18" i="17"/>
  <c r="O19" i="17"/>
  <c r="O20" i="17"/>
  <c r="O21" i="17"/>
  <c r="O22" i="17"/>
  <c r="O23" i="17"/>
  <c r="O24" i="17"/>
  <c r="O25" i="17"/>
  <c r="O26" i="17"/>
  <c r="O27" i="17"/>
  <c r="S32" i="28" s="1"/>
  <c r="O28" i="17"/>
  <c r="O29" i="17"/>
  <c r="O30" i="17"/>
  <c r="O31" i="17"/>
  <c r="S36" i="28" s="1"/>
  <c r="O32" i="17"/>
  <c r="S37" i="28" s="1"/>
  <c r="O33" i="17"/>
  <c r="S41" i="28" s="1"/>
  <c r="O34" i="17"/>
  <c r="O35" i="17"/>
  <c r="O36" i="17"/>
  <c r="O37" i="17"/>
  <c r="O38" i="17"/>
  <c r="S45" i="28" s="1"/>
  <c r="O39" i="17"/>
  <c r="S47" i="28" s="1"/>
  <c r="O40" i="17"/>
  <c r="S48" i="28" s="1"/>
  <c r="O41" i="17"/>
  <c r="S49" i="28" s="1"/>
  <c r="O42" i="17"/>
  <c r="S50" i="28" s="1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58" i="17"/>
  <c r="O59" i="17"/>
  <c r="O60" i="17"/>
  <c r="O61" i="17"/>
  <c r="O62" i="17"/>
  <c r="O63" i="17"/>
  <c r="O64" i="17"/>
  <c r="O65" i="17"/>
  <c r="O66" i="17"/>
  <c r="O6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26" i="17"/>
  <c r="O127" i="17"/>
  <c r="O128" i="17"/>
  <c r="O129" i="17"/>
  <c r="O130" i="17"/>
  <c r="O131" i="17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S153" i="28" s="1"/>
  <c r="O145" i="17"/>
  <c r="O146" i="17"/>
  <c r="O147" i="17"/>
  <c r="O148" i="17"/>
  <c r="O149" i="17"/>
  <c r="O150" i="17"/>
  <c r="O151" i="17"/>
  <c r="O152" i="17"/>
  <c r="S173" i="28" s="1"/>
  <c r="O153" i="17"/>
  <c r="S174" i="28" s="1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S244" i="28" s="1"/>
  <c r="O202" i="17"/>
  <c r="O203" i="17"/>
  <c r="O204" i="17"/>
  <c r="O205" i="17"/>
  <c r="S250" i="28" s="1"/>
  <c r="O206" i="17"/>
  <c r="S251" i="28" s="1"/>
  <c r="O207" i="17"/>
  <c r="S252" i="28" s="1"/>
  <c r="O208" i="17"/>
  <c r="S253" i="28" s="1"/>
  <c r="O209" i="17"/>
  <c r="S254" i="28" s="1"/>
  <c r="O210" i="17"/>
  <c r="S257" i="28" s="1"/>
  <c r="O211" i="17"/>
  <c r="S258" i="28" s="1"/>
  <c r="O212" i="17"/>
  <c r="S259" i="28" s="1"/>
  <c r="O213" i="17"/>
  <c r="S260" i="28" s="1"/>
  <c r="O214" i="17"/>
  <c r="S261" i="28" s="1"/>
  <c r="O215" i="17"/>
  <c r="S262" i="28" s="1"/>
  <c r="O216" i="17"/>
  <c r="S263" i="28" s="1"/>
  <c r="O217" i="17"/>
  <c r="S264" i="28" s="1"/>
  <c r="D17" i="23"/>
  <c r="AJ87" i="29"/>
  <c r="AJ89" i="29"/>
  <c r="AJ90" i="29"/>
  <c r="AJ88" i="29"/>
  <c r="S248" i="28" l="1"/>
  <c r="S249" i="28"/>
  <c r="S246" i="28"/>
  <c r="S42" i="28"/>
  <c r="S242" i="28"/>
  <c r="S243" i="28"/>
  <c r="S236" i="28"/>
  <c r="S237" i="28"/>
  <c r="S239" i="28"/>
  <c r="S238" i="28"/>
  <c r="S235" i="28"/>
  <c r="S234" i="28"/>
  <c r="S240" i="28"/>
  <c r="S241" i="28"/>
  <c r="S233" i="28"/>
  <c r="S232" i="28"/>
  <c r="S231" i="28"/>
  <c r="AJ85" i="29"/>
  <c r="AJ130" i="29"/>
  <c r="AJ132" i="29"/>
  <c r="AJ86" i="29"/>
  <c r="C226" i="28" l="1"/>
  <c r="C227" i="28"/>
  <c r="C228" i="28"/>
  <c r="C229" i="28"/>
  <c r="C230" i="28"/>
  <c r="D226" i="28"/>
  <c r="D227" i="28"/>
  <c r="D228" i="28"/>
  <c r="D229" i="28"/>
  <c r="D230" i="28"/>
  <c r="E226" i="28"/>
  <c r="E227" i="28"/>
  <c r="E228" i="28"/>
  <c r="E229" i="28"/>
  <c r="E230" i="28"/>
  <c r="S226" i="28"/>
  <c r="S227" i="28"/>
  <c r="S228" i="28"/>
  <c r="S229" i="28"/>
  <c r="S230" i="28"/>
  <c r="D117" i="1"/>
  <c r="E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D118" i="1"/>
  <c r="E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D119" i="1"/>
  <c r="E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D120" i="1"/>
  <c r="E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D121" i="1"/>
  <c r="E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E209" i="16"/>
  <c r="E210" i="16"/>
  <c r="E211" i="16"/>
  <c r="E212" i="16"/>
  <c r="E213" i="16"/>
  <c r="F209" i="16"/>
  <c r="G209" i="16" s="1"/>
  <c r="F210" i="16"/>
  <c r="G210" i="16" s="1"/>
  <c r="F211" i="16"/>
  <c r="G211" i="16" s="1"/>
  <c r="F212" i="16"/>
  <c r="G212" i="16" s="1"/>
  <c r="F213" i="16"/>
  <c r="G213" i="16" s="1"/>
  <c r="O209" i="16"/>
  <c r="R258" i="28" s="1"/>
  <c r="O210" i="16"/>
  <c r="R259" i="28" s="1"/>
  <c r="O211" i="16"/>
  <c r="R260" i="28" s="1"/>
  <c r="O212" i="16"/>
  <c r="R261" i="28" s="1"/>
  <c r="O213" i="16"/>
  <c r="R262" i="28" s="1"/>
  <c r="C222" i="28"/>
  <c r="C223" i="28"/>
  <c r="C224" i="28"/>
  <c r="C225" i="28"/>
  <c r="D222" i="28"/>
  <c r="D223" i="28"/>
  <c r="D224" i="28"/>
  <c r="D225" i="28"/>
  <c r="E222" i="28"/>
  <c r="E223" i="28"/>
  <c r="E224" i="28"/>
  <c r="E225" i="28"/>
  <c r="S222" i="28"/>
  <c r="S223" i="28"/>
  <c r="S224" i="28"/>
  <c r="S225" i="28"/>
  <c r="D52" i="23"/>
  <c r="D51" i="23"/>
  <c r="D50" i="23"/>
  <c r="D168" i="1"/>
  <c r="E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D169" i="1"/>
  <c r="E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D170" i="1"/>
  <c r="E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D171" i="1"/>
  <c r="E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E205" i="16"/>
  <c r="E206" i="16"/>
  <c r="E207" i="16"/>
  <c r="E208" i="16"/>
  <c r="F205" i="16"/>
  <c r="G205" i="16" s="1"/>
  <c r="F206" i="16"/>
  <c r="G206" i="16" s="1"/>
  <c r="F207" i="16"/>
  <c r="G207" i="16" s="1"/>
  <c r="F208" i="16"/>
  <c r="G208" i="16" s="1"/>
  <c r="O205" i="16"/>
  <c r="R252" i="28" s="1"/>
  <c r="O206" i="16"/>
  <c r="R253" i="28" s="1"/>
  <c r="O207" i="16"/>
  <c r="R254" i="28" s="1"/>
  <c r="O208" i="16"/>
  <c r="R257" i="28" s="1"/>
  <c r="Q121" i="16"/>
  <c r="Q120" i="16"/>
  <c r="Q119" i="16"/>
  <c r="O20" i="32"/>
  <c r="I26" i="32"/>
  <c r="AD26" i="32"/>
  <c r="X20" i="32"/>
  <c r="AD25" i="32"/>
  <c r="O25" i="32"/>
  <c r="F19" i="32"/>
  <c r="AD20" i="32"/>
  <c r="L20" i="32"/>
  <c r="AJ19" i="32"/>
  <c r="F25" i="32"/>
  <c r="U20" i="32"/>
  <c r="AA25" i="32"/>
  <c r="I25" i="32"/>
  <c r="AJ20" i="32"/>
  <c r="AG90" i="29"/>
  <c r="AD19" i="32"/>
  <c r="AA26" i="32"/>
  <c r="U26" i="32"/>
  <c r="F20" i="32"/>
  <c r="AG19" i="32"/>
  <c r="AG89" i="29"/>
  <c r="D26" i="32"/>
  <c r="X26" i="32"/>
  <c r="AG26" i="32"/>
  <c r="D20" i="32"/>
  <c r="X19" i="32"/>
  <c r="D19" i="32"/>
  <c r="O19" i="32"/>
  <c r="R26" i="32"/>
  <c r="L25" i="32"/>
  <c r="D25" i="32"/>
  <c r="AA19" i="32"/>
  <c r="F26" i="32"/>
  <c r="U25" i="32"/>
  <c r="AG25" i="32"/>
  <c r="O26" i="32"/>
  <c r="AJ26" i="32"/>
  <c r="U19" i="32"/>
  <c r="R19" i="32"/>
  <c r="L26" i="32"/>
  <c r="AG20" i="32"/>
  <c r="R25" i="32"/>
  <c r="AJ25" i="32"/>
  <c r="I19" i="32"/>
  <c r="AA20" i="32"/>
  <c r="X25" i="32"/>
  <c r="L19" i="32"/>
  <c r="R20" i="32"/>
  <c r="I20" i="32"/>
  <c r="AI89" i="29" l="1"/>
  <c r="AL89" i="29"/>
  <c r="AL90" i="29"/>
  <c r="AI90" i="29"/>
  <c r="AI20" i="32"/>
  <c r="AI19" i="32"/>
  <c r="AF19" i="32"/>
  <c r="AF20" i="32"/>
  <c r="AC19" i="32"/>
  <c r="AC20" i="32"/>
  <c r="Z19" i="32"/>
  <c r="Z20" i="32"/>
  <c r="W19" i="32"/>
  <c r="W20" i="32"/>
  <c r="T20" i="32"/>
  <c r="T19" i="32"/>
  <c r="Q20" i="32"/>
  <c r="Q19" i="32"/>
  <c r="N20" i="32"/>
  <c r="N19" i="32"/>
  <c r="K19" i="32"/>
  <c r="K20" i="32"/>
  <c r="H20" i="32"/>
  <c r="H19" i="32"/>
  <c r="AL20" i="32"/>
  <c r="AL19" i="32"/>
  <c r="AL25" i="32"/>
  <c r="N25" i="32"/>
  <c r="Q26" i="32"/>
  <c r="AI25" i="32"/>
  <c r="K25" i="32"/>
  <c r="AL26" i="32"/>
  <c r="AF25" i="32"/>
  <c r="H25" i="32"/>
  <c r="K26" i="32"/>
  <c r="AC25" i="32"/>
  <c r="W26" i="32"/>
  <c r="T26" i="32"/>
  <c r="AI26" i="32"/>
  <c r="AF26" i="32"/>
  <c r="H26" i="32"/>
  <c r="Z25" i="32"/>
  <c r="Q25" i="32"/>
  <c r="N26" i="32"/>
  <c r="AC26" i="32"/>
  <c r="W25" i="32"/>
  <c r="Z26" i="32"/>
  <c r="T25" i="32"/>
  <c r="D134" i="23"/>
  <c r="D67" i="23" l="1"/>
  <c r="D68" i="23"/>
  <c r="C192" i="28"/>
  <c r="D192" i="28"/>
  <c r="E192" i="28"/>
  <c r="S192" i="28"/>
  <c r="D277" i="1"/>
  <c r="E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C190" i="28"/>
  <c r="D190" i="28"/>
  <c r="E190" i="28"/>
  <c r="S190" i="28"/>
  <c r="D274" i="1"/>
  <c r="E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D63" i="18"/>
  <c r="C44" i="28"/>
  <c r="D44" i="28"/>
  <c r="E44" i="28"/>
  <c r="H44" i="28"/>
  <c r="P44" i="28"/>
  <c r="S44" i="28"/>
  <c r="D52" i="1"/>
  <c r="E52" i="1"/>
  <c r="H52" i="1"/>
  <c r="I52" i="1"/>
  <c r="J52" i="1"/>
  <c r="K52" i="1"/>
  <c r="L52" i="1"/>
  <c r="M52" i="1"/>
  <c r="N52" i="1"/>
  <c r="O52" i="1"/>
  <c r="P52" i="1"/>
  <c r="Q52" i="1"/>
  <c r="R52" i="1"/>
  <c r="S52" i="1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F18" i="16"/>
  <c r="G18" i="16" s="1"/>
  <c r="F19" i="16"/>
  <c r="G19" i="16" s="1"/>
  <c r="F20" i="16"/>
  <c r="G20" i="16" s="1"/>
  <c r="F21" i="16"/>
  <c r="G21" i="16" s="1"/>
  <c r="F22" i="16"/>
  <c r="G22" i="16" s="1"/>
  <c r="F23" i="16"/>
  <c r="G23" i="16" s="1"/>
  <c r="F24" i="16"/>
  <c r="G24" i="16" s="1"/>
  <c r="F25" i="16"/>
  <c r="G25" i="16" s="1"/>
  <c r="F26" i="16"/>
  <c r="G26" i="16" s="1"/>
  <c r="F27" i="16"/>
  <c r="G27" i="16" s="1"/>
  <c r="F28" i="16"/>
  <c r="G28" i="16" s="1"/>
  <c r="F29" i="16"/>
  <c r="G29" i="16" s="1"/>
  <c r="F30" i="16"/>
  <c r="G30" i="16" s="1"/>
  <c r="F31" i="16"/>
  <c r="G31" i="16" s="1"/>
  <c r="F32" i="16"/>
  <c r="G32" i="16" s="1"/>
  <c r="F33" i="16"/>
  <c r="G33" i="16" s="1"/>
  <c r="F34" i="16"/>
  <c r="G34" i="16" s="1"/>
  <c r="F35" i="16"/>
  <c r="G35" i="16" s="1"/>
  <c r="F36" i="16"/>
  <c r="G36" i="16" s="1"/>
  <c r="F37" i="16"/>
  <c r="G37" i="16" s="1"/>
  <c r="F38" i="16"/>
  <c r="G38" i="16" s="1"/>
  <c r="F39" i="16"/>
  <c r="G39" i="16" s="1"/>
  <c r="F40" i="16"/>
  <c r="G40" i="16" s="1"/>
  <c r="F41" i="16"/>
  <c r="G41" i="16" s="1"/>
  <c r="F42" i="16"/>
  <c r="G42" i="16" s="1"/>
  <c r="F43" i="16"/>
  <c r="G43" i="16" s="1"/>
  <c r="F44" i="16"/>
  <c r="G44" i="16" s="1"/>
  <c r="F45" i="16"/>
  <c r="G45" i="16" s="1"/>
  <c r="F46" i="16"/>
  <c r="G46" i="16" s="1"/>
  <c r="F47" i="16"/>
  <c r="G47" i="16" s="1"/>
  <c r="F48" i="16"/>
  <c r="G48" i="16" s="1"/>
  <c r="F49" i="16"/>
  <c r="G49" i="16" s="1"/>
  <c r="F50" i="16"/>
  <c r="G50" i="16" s="1"/>
  <c r="F51" i="16"/>
  <c r="G51" i="16" s="1"/>
  <c r="F52" i="16"/>
  <c r="G52" i="16" s="1"/>
  <c r="F53" i="16"/>
  <c r="G53" i="16" s="1"/>
  <c r="F54" i="16"/>
  <c r="G54" i="16" s="1"/>
  <c r="F55" i="16"/>
  <c r="G55" i="16" s="1"/>
  <c r="F56" i="16"/>
  <c r="G56" i="16" s="1"/>
  <c r="F57" i="16"/>
  <c r="G57" i="16" s="1"/>
  <c r="F58" i="16"/>
  <c r="G58" i="16" s="1"/>
  <c r="F59" i="16"/>
  <c r="G59" i="16" s="1"/>
  <c r="F60" i="16"/>
  <c r="G60" i="16" s="1"/>
  <c r="F61" i="16"/>
  <c r="G61" i="16" s="1"/>
  <c r="F62" i="16"/>
  <c r="G62" i="16" s="1"/>
  <c r="F63" i="16"/>
  <c r="G63" i="16" s="1"/>
  <c r="F64" i="16"/>
  <c r="G64" i="16" s="1"/>
  <c r="F65" i="16"/>
  <c r="G65" i="16" s="1"/>
  <c r="F66" i="16"/>
  <c r="G66" i="16" s="1"/>
  <c r="F67" i="16"/>
  <c r="G67" i="16" s="1"/>
  <c r="F68" i="16"/>
  <c r="G68" i="16" s="1"/>
  <c r="F69" i="16"/>
  <c r="G69" i="16" s="1"/>
  <c r="F70" i="16"/>
  <c r="G70" i="16" s="1"/>
  <c r="F71" i="16"/>
  <c r="G71" i="16" s="1"/>
  <c r="F72" i="16"/>
  <c r="G72" i="16" s="1"/>
  <c r="F73" i="16"/>
  <c r="G73" i="16" s="1"/>
  <c r="F74" i="16"/>
  <c r="G74" i="16" s="1"/>
  <c r="F75" i="16"/>
  <c r="G75" i="16" s="1"/>
  <c r="F76" i="16"/>
  <c r="G76" i="16" s="1"/>
  <c r="F77" i="16"/>
  <c r="G77" i="16" s="1"/>
  <c r="F78" i="16"/>
  <c r="G78" i="16" s="1"/>
  <c r="F79" i="16"/>
  <c r="G79" i="16" s="1"/>
  <c r="F80" i="16"/>
  <c r="G80" i="16" s="1"/>
  <c r="F81" i="16"/>
  <c r="G81" i="16" s="1"/>
  <c r="F82" i="16"/>
  <c r="G82" i="16" s="1"/>
  <c r="F83" i="16"/>
  <c r="G83" i="16" s="1"/>
  <c r="F84" i="16"/>
  <c r="G84" i="16" s="1"/>
  <c r="F85" i="16"/>
  <c r="G85" i="16" s="1"/>
  <c r="F86" i="16"/>
  <c r="G86" i="16" s="1"/>
  <c r="F87" i="16"/>
  <c r="G87" i="16" s="1"/>
  <c r="F88" i="16"/>
  <c r="G88" i="16" s="1"/>
  <c r="F89" i="16"/>
  <c r="G89" i="16" s="1"/>
  <c r="F90" i="16"/>
  <c r="G90" i="16" s="1"/>
  <c r="F91" i="16"/>
  <c r="G91" i="16" s="1"/>
  <c r="F92" i="16"/>
  <c r="G92" i="16" s="1"/>
  <c r="F93" i="16"/>
  <c r="G93" i="16" s="1"/>
  <c r="F94" i="16"/>
  <c r="G94" i="16" s="1"/>
  <c r="F95" i="16"/>
  <c r="G95" i="16" s="1"/>
  <c r="F96" i="16"/>
  <c r="G96" i="16" s="1"/>
  <c r="F97" i="16"/>
  <c r="G97" i="16" s="1"/>
  <c r="F98" i="16"/>
  <c r="G98" i="16" s="1"/>
  <c r="F99" i="16"/>
  <c r="G99" i="16" s="1"/>
  <c r="F100" i="16"/>
  <c r="G100" i="16" s="1"/>
  <c r="F101" i="16"/>
  <c r="G101" i="16" s="1"/>
  <c r="F102" i="16"/>
  <c r="G102" i="16" s="1"/>
  <c r="F103" i="16"/>
  <c r="G103" i="16" s="1"/>
  <c r="F104" i="16"/>
  <c r="G104" i="16" s="1"/>
  <c r="F105" i="16"/>
  <c r="G105" i="16" s="1"/>
  <c r="F106" i="16"/>
  <c r="G106" i="16" s="1"/>
  <c r="F107" i="16"/>
  <c r="G107" i="16" s="1"/>
  <c r="F108" i="16"/>
  <c r="G108" i="16" s="1"/>
  <c r="F109" i="16"/>
  <c r="G109" i="16" s="1"/>
  <c r="F110" i="16"/>
  <c r="G110" i="16" s="1"/>
  <c r="F111" i="16"/>
  <c r="G111" i="16" s="1"/>
  <c r="F112" i="16"/>
  <c r="G112" i="16" s="1"/>
  <c r="F113" i="16"/>
  <c r="G113" i="16" s="1"/>
  <c r="F114" i="16"/>
  <c r="G114" i="16" s="1"/>
  <c r="F115" i="16"/>
  <c r="G115" i="16" s="1"/>
  <c r="F116" i="16"/>
  <c r="G116" i="16" s="1"/>
  <c r="F117" i="16"/>
  <c r="G117" i="16" s="1"/>
  <c r="F118" i="16"/>
  <c r="G118" i="16" s="1"/>
  <c r="F119" i="16"/>
  <c r="G119" i="16" s="1"/>
  <c r="F120" i="16"/>
  <c r="G120" i="16" s="1"/>
  <c r="F121" i="16"/>
  <c r="G121" i="16" s="1"/>
  <c r="F122" i="16"/>
  <c r="G122" i="16" s="1"/>
  <c r="F123" i="16"/>
  <c r="G123" i="16" s="1"/>
  <c r="F124" i="16"/>
  <c r="G124" i="16" s="1"/>
  <c r="F125" i="16"/>
  <c r="G125" i="16" s="1"/>
  <c r="F126" i="16"/>
  <c r="G126" i="16" s="1"/>
  <c r="F127" i="16"/>
  <c r="G127" i="16" s="1"/>
  <c r="F128" i="16"/>
  <c r="G128" i="16" s="1"/>
  <c r="F129" i="16"/>
  <c r="G129" i="16" s="1"/>
  <c r="F130" i="16"/>
  <c r="G130" i="16" s="1"/>
  <c r="F131" i="16"/>
  <c r="G131" i="16" s="1"/>
  <c r="F132" i="16"/>
  <c r="G132" i="16" s="1"/>
  <c r="F133" i="16"/>
  <c r="G133" i="16" s="1"/>
  <c r="F134" i="16"/>
  <c r="G134" i="16" s="1"/>
  <c r="F135" i="16"/>
  <c r="G135" i="16" s="1"/>
  <c r="F136" i="16"/>
  <c r="G136" i="16" s="1"/>
  <c r="F137" i="16"/>
  <c r="G137" i="16" s="1"/>
  <c r="F138" i="16"/>
  <c r="G138" i="16" s="1"/>
  <c r="F139" i="16"/>
  <c r="G139" i="16" s="1"/>
  <c r="F140" i="16"/>
  <c r="G140" i="16" s="1"/>
  <c r="F141" i="16"/>
  <c r="G141" i="16" s="1"/>
  <c r="F142" i="16"/>
  <c r="G142" i="16" s="1"/>
  <c r="F143" i="16"/>
  <c r="G143" i="16" s="1"/>
  <c r="F144" i="16"/>
  <c r="G144" i="16" s="1"/>
  <c r="F145" i="16"/>
  <c r="G145" i="16" s="1"/>
  <c r="F146" i="16"/>
  <c r="G146" i="16" s="1"/>
  <c r="F147" i="16"/>
  <c r="G147" i="16" s="1"/>
  <c r="F148" i="16"/>
  <c r="G148" i="16" s="1"/>
  <c r="F149" i="16"/>
  <c r="G149" i="16" s="1"/>
  <c r="F150" i="16"/>
  <c r="G150" i="16" s="1"/>
  <c r="F151" i="16"/>
  <c r="G151" i="16" s="1"/>
  <c r="F152" i="16"/>
  <c r="G152" i="16" s="1"/>
  <c r="F153" i="16"/>
  <c r="G153" i="16" s="1"/>
  <c r="F154" i="16"/>
  <c r="G154" i="16" s="1"/>
  <c r="F155" i="16"/>
  <c r="G155" i="16" s="1"/>
  <c r="F156" i="16"/>
  <c r="G156" i="16" s="1"/>
  <c r="F157" i="16"/>
  <c r="G157" i="16" s="1"/>
  <c r="F158" i="16"/>
  <c r="G158" i="16" s="1"/>
  <c r="F159" i="16"/>
  <c r="G159" i="16" s="1"/>
  <c r="F160" i="16"/>
  <c r="G160" i="16" s="1"/>
  <c r="F161" i="16"/>
  <c r="G161" i="16" s="1"/>
  <c r="F162" i="16"/>
  <c r="G162" i="16" s="1"/>
  <c r="F163" i="16"/>
  <c r="G163" i="16" s="1"/>
  <c r="F164" i="16"/>
  <c r="G164" i="16" s="1"/>
  <c r="F165" i="16"/>
  <c r="G165" i="16" s="1"/>
  <c r="F166" i="16"/>
  <c r="G166" i="16" s="1"/>
  <c r="F167" i="16"/>
  <c r="G167" i="16" s="1"/>
  <c r="F168" i="16"/>
  <c r="G168" i="16" s="1"/>
  <c r="F169" i="16"/>
  <c r="G169" i="16" s="1"/>
  <c r="F170" i="16"/>
  <c r="G170" i="16" s="1"/>
  <c r="F171" i="16"/>
  <c r="G171" i="16" s="1"/>
  <c r="F172" i="16"/>
  <c r="G172" i="16" s="1"/>
  <c r="F173" i="16"/>
  <c r="G173" i="16" s="1"/>
  <c r="F174" i="16"/>
  <c r="G174" i="16" s="1"/>
  <c r="F175" i="16"/>
  <c r="G175" i="16" s="1"/>
  <c r="F176" i="16"/>
  <c r="G176" i="16" s="1"/>
  <c r="F177" i="16"/>
  <c r="G177" i="16" s="1"/>
  <c r="F178" i="16"/>
  <c r="G178" i="16" s="1"/>
  <c r="F179" i="16"/>
  <c r="G179" i="16" s="1"/>
  <c r="F180" i="16"/>
  <c r="G180" i="16" s="1"/>
  <c r="F181" i="16"/>
  <c r="G181" i="16" s="1"/>
  <c r="F182" i="16"/>
  <c r="G182" i="16" s="1"/>
  <c r="F183" i="16"/>
  <c r="G183" i="16" s="1"/>
  <c r="F184" i="16"/>
  <c r="G184" i="16" s="1"/>
  <c r="F185" i="16"/>
  <c r="G185" i="16" s="1"/>
  <c r="F186" i="16"/>
  <c r="G186" i="16" s="1"/>
  <c r="F187" i="16"/>
  <c r="G187" i="16" s="1"/>
  <c r="F188" i="16"/>
  <c r="G188" i="16" s="1"/>
  <c r="F189" i="16"/>
  <c r="G189" i="16" s="1"/>
  <c r="F190" i="16"/>
  <c r="G190" i="16" s="1"/>
  <c r="F191" i="16"/>
  <c r="G191" i="16" s="1"/>
  <c r="F192" i="16"/>
  <c r="G192" i="16" s="1"/>
  <c r="F193" i="16"/>
  <c r="G193" i="16" s="1"/>
  <c r="F194" i="16"/>
  <c r="G194" i="16" s="1"/>
  <c r="F195" i="16"/>
  <c r="G195" i="16" s="1"/>
  <c r="F196" i="16"/>
  <c r="G196" i="16" s="1"/>
  <c r="F197" i="16"/>
  <c r="G197" i="16" s="1"/>
  <c r="F198" i="16"/>
  <c r="G198" i="16" s="1"/>
  <c r="F199" i="16"/>
  <c r="G199" i="16" s="1"/>
  <c r="F200" i="16"/>
  <c r="G200" i="16" s="1"/>
  <c r="F201" i="16"/>
  <c r="G201" i="16" s="1"/>
  <c r="F202" i="16"/>
  <c r="G202" i="16" s="1"/>
  <c r="F203" i="16"/>
  <c r="G203" i="16" s="1"/>
  <c r="F204" i="16"/>
  <c r="G204" i="16" s="1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R36" i="28" s="1"/>
  <c r="O31" i="16"/>
  <c r="R37" i="28" s="1"/>
  <c r="O32" i="16"/>
  <c r="O33" i="16"/>
  <c r="O34" i="16"/>
  <c r="O35" i="16"/>
  <c r="O36" i="16"/>
  <c r="O37" i="16"/>
  <c r="R45" i="28" s="1"/>
  <c r="O38" i="16"/>
  <c r="O39" i="16"/>
  <c r="R48" i="28" s="1"/>
  <c r="O40" i="16"/>
  <c r="R49" i="28" s="1"/>
  <c r="O41" i="16"/>
  <c r="R50" i="28" s="1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6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O76" i="16"/>
  <c r="O77" i="16"/>
  <c r="O78" i="16"/>
  <c r="O79" i="16"/>
  <c r="O80" i="16"/>
  <c r="O81" i="16"/>
  <c r="O82" i="16"/>
  <c r="O83" i="16"/>
  <c r="O84" i="16"/>
  <c r="O85" i="16"/>
  <c r="O86" i="16"/>
  <c r="O87" i="16"/>
  <c r="O88" i="16"/>
  <c r="O89" i="16"/>
  <c r="O90" i="16"/>
  <c r="O91" i="16"/>
  <c r="O92" i="16"/>
  <c r="O93" i="16"/>
  <c r="O94" i="16"/>
  <c r="O95" i="16"/>
  <c r="O96" i="16"/>
  <c r="O97" i="16"/>
  <c r="O98" i="16"/>
  <c r="O99" i="16"/>
  <c r="O100" i="16"/>
  <c r="O101" i="16"/>
  <c r="O102" i="16"/>
  <c r="O103" i="16"/>
  <c r="O104" i="16"/>
  <c r="O105" i="16"/>
  <c r="O106" i="16"/>
  <c r="O107" i="16"/>
  <c r="O108" i="16"/>
  <c r="O109" i="16"/>
  <c r="O110" i="16"/>
  <c r="O111" i="16"/>
  <c r="O112" i="16"/>
  <c r="O113" i="16"/>
  <c r="O114" i="16"/>
  <c r="O115" i="16"/>
  <c r="O116" i="16"/>
  <c r="O117" i="16"/>
  <c r="O118" i="16"/>
  <c r="O119" i="16"/>
  <c r="O120" i="16"/>
  <c r="O121" i="16"/>
  <c r="O122" i="16"/>
  <c r="O123" i="16"/>
  <c r="O124" i="16"/>
  <c r="O125" i="16"/>
  <c r="O126" i="16"/>
  <c r="O127" i="16"/>
  <c r="O128" i="16"/>
  <c r="O129" i="16"/>
  <c r="O130" i="16"/>
  <c r="O131" i="16"/>
  <c r="O132" i="16"/>
  <c r="O133" i="16"/>
  <c r="O134" i="16"/>
  <c r="O135" i="16"/>
  <c r="O136" i="16"/>
  <c r="O137" i="16"/>
  <c r="O138" i="16"/>
  <c r="O139" i="16"/>
  <c r="O140" i="16"/>
  <c r="O141" i="16"/>
  <c r="O142" i="16"/>
  <c r="O143" i="16"/>
  <c r="R153" i="28" s="1"/>
  <c r="O144" i="16"/>
  <c r="O145" i="16"/>
  <c r="O146" i="16"/>
  <c r="O147" i="16"/>
  <c r="O148" i="16"/>
  <c r="O149" i="16"/>
  <c r="O150" i="16"/>
  <c r="O151" i="16"/>
  <c r="R173" i="28" s="1"/>
  <c r="O152" i="16"/>
  <c r="R174" i="28" s="1"/>
  <c r="O153" i="16"/>
  <c r="O154" i="16"/>
  <c r="O155" i="16"/>
  <c r="O156" i="16"/>
  <c r="O157" i="16"/>
  <c r="O158" i="16"/>
  <c r="O159" i="16"/>
  <c r="O160" i="16"/>
  <c r="O161" i="16"/>
  <c r="O162" i="16"/>
  <c r="O163" i="16"/>
  <c r="O164" i="16"/>
  <c r="O165" i="16"/>
  <c r="O166" i="16"/>
  <c r="O167" i="16"/>
  <c r="O168" i="16"/>
  <c r="O169" i="16"/>
  <c r="O170" i="16"/>
  <c r="O171" i="16"/>
  <c r="O172" i="16"/>
  <c r="O173" i="16"/>
  <c r="O174" i="16"/>
  <c r="O175" i="16"/>
  <c r="O176" i="16"/>
  <c r="O177" i="16"/>
  <c r="O178" i="16"/>
  <c r="O179" i="16"/>
  <c r="O180" i="16"/>
  <c r="O181" i="16"/>
  <c r="O182" i="16"/>
  <c r="O183" i="16"/>
  <c r="O184" i="16"/>
  <c r="O185" i="16"/>
  <c r="O186" i="16"/>
  <c r="O187" i="16"/>
  <c r="O188" i="16"/>
  <c r="O189" i="16"/>
  <c r="O190" i="16"/>
  <c r="O191" i="16"/>
  <c r="O192" i="16"/>
  <c r="O193" i="16"/>
  <c r="O194" i="16"/>
  <c r="O195" i="16"/>
  <c r="O196" i="16"/>
  <c r="O197" i="16"/>
  <c r="O198" i="16"/>
  <c r="O199" i="16"/>
  <c r="R244" i="28" s="1"/>
  <c r="O200" i="16"/>
  <c r="R246" i="28" s="1"/>
  <c r="O201" i="16"/>
  <c r="R248" i="28" s="1"/>
  <c r="O202" i="16"/>
  <c r="R249" i="28" s="1"/>
  <c r="O203" i="16"/>
  <c r="R250" i="28" s="1"/>
  <c r="O204" i="16"/>
  <c r="R251" i="28" s="1"/>
  <c r="E194" i="8"/>
  <c r="F194" i="8"/>
  <c r="G194" i="8" s="1"/>
  <c r="J258" i="28"/>
  <c r="E198" i="9"/>
  <c r="F198" i="9"/>
  <c r="G198" i="9" s="1"/>
  <c r="K262" i="28"/>
  <c r="E198" i="10"/>
  <c r="F198" i="10"/>
  <c r="G198" i="10" s="1"/>
  <c r="E199" i="11"/>
  <c r="F199" i="11"/>
  <c r="G199" i="11" s="1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F18" i="15"/>
  <c r="G18" i="15" s="1"/>
  <c r="F19" i="15"/>
  <c r="G19" i="15" s="1"/>
  <c r="F20" i="15"/>
  <c r="G20" i="15" s="1"/>
  <c r="F21" i="15"/>
  <c r="G21" i="15" s="1"/>
  <c r="F22" i="15"/>
  <c r="G22" i="15" s="1"/>
  <c r="F23" i="15"/>
  <c r="G23" i="15" s="1"/>
  <c r="F24" i="15"/>
  <c r="G24" i="15" s="1"/>
  <c r="F25" i="15"/>
  <c r="G25" i="15" s="1"/>
  <c r="F26" i="15"/>
  <c r="G26" i="15" s="1"/>
  <c r="F27" i="15"/>
  <c r="G27" i="15" s="1"/>
  <c r="F28" i="15"/>
  <c r="G28" i="15" s="1"/>
  <c r="F29" i="15"/>
  <c r="G29" i="15" s="1"/>
  <c r="F30" i="15"/>
  <c r="G30" i="15" s="1"/>
  <c r="F31" i="15"/>
  <c r="G31" i="15" s="1"/>
  <c r="F32" i="15"/>
  <c r="G32" i="15" s="1"/>
  <c r="F33" i="15"/>
  <c r="G33" i="15" s="1"/>
  <c r="F34" i="15"/>
  <c r="G34" i="15" s="1"/>
  <c r="F35" i="15"/>
  <c r="G35" i="15" s="1"/>
  <c r="F36" i="15"/>
  <c r="G36" i="15" s="1"/>
  <c r="F37" i="15"/>
  <c r="G37" i="15" s="1"/>
  <c r="F38" i="15"/>
  <c r="G38" i="15" s="1"/>
  <c r="F39" i="15"/>
  <c r="G39" i="15" s="1"/>
  <c r="F40" i="15"/>
  <c r="G40" i="15" s="1"/>
  <c r="F41" i="15"/>
  <c r="G41" i="15" s="1"/>
  <c r="F42" i="15"/>
  <c r="G42" i="15" s="1"/>
  <c r="F43" i="15"/>
  <c r="G43" i="15" s="1"/>
  <c r="F44" i="15"/>
  <c r="G44" i="15" s="1"/>
  <c r="F45" i="15"/>
  <c r="G45" i="15" s="1"/>
  <c r="F46" i="15"/>
  <c r="G46" i="15" s="1"/>
  <c r="F47" i="15"/>
  <c r="G47" i="15" s="1"/>
  <c r="F48" i="15"/>
  <c r="G48" i="15" s="1"/>
  <c r="F49" i="15"/>
  <c r="G49" i="15" s="1"/>
  <c r="F50" i="15"/>
  <c r="G50" i="15" s="1"/>
  <c r="F51" i="15"/>
  <c r="G51" i="15" s="1"/>
  <c r="F52" i="15"/>
  <c r="G52" i="15" s="1"/>
  <c r="F53" i="15"/>
  <c r="G53" i="15" s="1"/>
  <c r="F54" i="15"/>
  <c r="G54" i="15" s="1"/>
  <c r="F55" i="15"/>
  <c r="G55" i="15" s="1"/>
  <c r="F56" i="15"/>
  <c r="G56" i="15" s="1"/>
  <c r="F57" i="15"/>
  <c r="G57" i="15" s="1"/>
  <c r="F58" i="15"/>
  <c r="G58" i="15" s="1"/>
  <c r="F59" i="15"/>
  <c r="G59" i="15" s="1"/>
  <c r="F60" i="15"/>
  <c r="G60" i="15" s="1"/>
  <c r="F61" i="15"/>
  <c r="G61" i="15" s="1"/>
  <c r="F62" i="15"/>
  <c r="G62" i="15" s="1"/>
  <c r="F63" i="15"/>
  <c r="G63" i="15" s="1"/>
  <c r="F64" i="15"/>
  <c r="G64" i="15" s="1"/>
  <c r="F65" i="15"/>
  <c r="G65" i="15" s="1"/>
  <c r="F66" i="15"/>
  <c r="G66" i="15" s="1"/>
  <c r="F67" i="15"/>
  <c r="G67" i="15" s="1"/>
  <c r="F68" i="15"/>
  <c r="G68" i="15" s="1"/>
  <c r="F69" i="15"/>
  <c r="G69" i="15" s="1"/>
  <c r="F70" i="15"/>
  <c r="G70" i="15" s="1"/>
  <c r="F71" i="15"/>
  <c r="G71" i="15" s="1"/>
  <c r="F72" i="15"/>
  <c r="G72" i="15" s="1"/>
  <c r="F73" i="15"/>
  <c r="G73" i="15" s="1"/>
  <c r="F74" i="15"/>
  <c r="G74" i="15" s="1"/>
  <c r="F75" i="15"/>
  <c r="G75" i="15" s="1"/>
  <c r="F76" i="15"/>
  <c r="G76" i="15" s="1"/>
  <c r="F77" i="15"/>
  <c r="G77" i="15" s="1"/>
  <c r="F78" i="15"/>
  <c r="G78" i="15" s="1"/>
  <c r="F79" i="15"/>
  <c r="G79" i="15" s="1"/>
  <c r="F80" i="15"/>
  <c r="G80" i="15" s="1"/>
  <c r="F81" i="15"/>
  <c r="G81" i="15" s="1"/>
  <c r="F82" i="15"/>
  <c r="G82" i="15" s="1"/>
  <c r="F83" i="15"/>
  <c r="G83" i="15" s="1"/>
  <c r="F84" i="15"/>
  <c r="G84" i="15" s="1"/>
  <c r="F85" i="15"/>
  <c r="G85" i="15" s="1"/>
  <c r="F86" i="15"/>
  <c r="G86" i="15" s="1"/>
  <c r="F87" i="15"/>
  <c r="G87" i="15" s="1"/>
  <c r="F88" i="15"/>
  <c r="G88" i="15" s="1"/>
  <c r="F89" i="15"/>
  <c r="G89" i="15" s="1"/>
  <c r="F90" i="15"/>
  <c r="G90" i="15" s="1"/>
  <c r="F91" i="15"/>
  <c r="G91" i="15" s="1"/>
  <c r="F92" i="15"/>
  <c r="G92" i="15" s="1"/>
  <c r="F93" i="15"/>
  <c r="G93" i="15" s="1"/>
  <c r="F94" i="15"/>
  <c r="G94" i="15" s="1"/>
  <c r="F95" i="15"/>
  <c r="G95" i="15" s="1"/>
  <c r="F96" i="15"/>
  <c r="G96" i="15" s="1"/>
  <c r="F97" i="15"/>
  <c r="G97" i="15" s="1"/>
  <c r="F98" i="15"/>
  <c r="G98" i="15" s="1"/>
  <c r="F99" i="15"/>
  <c r="G99" i="15" s="1"/>
  <c r="F100" i="15"/>
  <c r="G100" i="15" s="1"/>
  <c r="F101" i="15"/>
  <c r="G101" i="15" s="1"/>
  <c r="F102" i="15"/>
  <c r="G102" i="15" s="1"/>
  <c r="F103" i="15"/>
  <c r="G103" i="15" s="1"/>
  <c r="F104" i="15"/>
  <c r="G104" i="15" s="1"/>
  <c r="F105" i="15"/>
  <c r="G105" i="15" s="1"/>
  <c r="F106" i="15"/>
  <c r="G106" i="15" s="1"/>
  <c r="F107" i="15"/>
  <c r="G107" i="15" s="1"/>
  <c r="F108" i="15"/>
  <c r="G108" i="15" s="1"/>
  <c r="F109" i="15"/>
  <c r="G109" i="15" s="1"/>
  <c r="F110" i="15"/>
  <c r="G110" i="15" s="1"/>
  <c r="F111" i="15"/>
  <c r="G111" i="15" s="1"/>
  <c r="F112" i="15"/>
  <c r="G112" i="15" s="1"/>
  <c r="F113" i="15"/>
  <c r="G113" i="15" s="1"/>
  <c r="F114" i="15"/>
  <c r="G114" i="15" s="1"/>
  <c r="F115" i="15"/>
  <c r="G115" i="15" s="1"/>
  <c r="F116" i="15"/>
  <c r="G116" i="15" s="1"/>
  <c r="F117" i="15"/>
  <c r="G117" i="15" s="1"/>
  <c r="F118" i="15"/>
  <c r="G118" i="15" s="1"/>
  <c r="F119" i="15"/>
  <c r="G119" i="15" s="1"/>
  <c r="F120" i="15"/>
  <c r="G120" i="15" s="1"/>
  <c r="F121" i="15"/>
  <c r="G121" i="15" s="1"/>
  <c r="F122" i="15"/>
  <c r="G122" i="15" s="1"/>
  <c r="F123" i="15"/>
  <c r="G123" i="15" s="1"/>
  <c r="F124" i="15"/>
  <c r="G124" i="15" s="1"/>
  <c r="F125" i="15"/>
  <c r="G125" i="15" s="1"/>
  <c r="F126" i="15"/>
  <c r="G126" i="15" s="1"/>
  <c r="F127" i="15"/>
  <c r="G127" i="15" s="1"/>
  <c r="F128" i="15"/>
  <c r="G128" i="15" s="1"/>
  <c r="F129" i="15"/>
  <c r="G129" i="15" s="1"/>
  <c r="F130" i="15"/>
  <c r="G130" i="15" s="1"/>
  <c r="F131" i="15"/>
  <c r="G131" i="15" s="1"/>
  <c r="F132" i="15"/>
  <c r="G132" i="15" s="1"/>
  <c r="F133" i="15"/>
  <c r="G133" i="15" s="1"/>
  <c r="F134" i="15"/>
  <c r="G134" i="15" s="1"/>
  <c r="F135" i="15"/>
  <c r="G135" i="15" s="1"/>
  <c r="F136" i="15"/>
  <c r="G136" i="15" s="1"/>
  <c r="F137" i="15"/>
  <c r="G137" i="15" s="1"/>
  <c r="F138" i="15"/>
  <c r="G138" i="15" s="1"/>
  <c r="F139" i="15"/>
  <c r="G139" i="15" s="1"/>
  <c r="F140" i="15"/>
  <c r="G140" i="15" s="1"/>
  <c r="F141" i="15"/>
  <c r="G141" i="15" s="1"/>
  <c r="F142" i="15"/>
  <c r="G142" i="15" s="1"/>
  <c r="F143" i="15"/>
  <c r="G143" i="15" s="1"/>
  <c r="F144" i="15"/>
  <c r="G144" i="15" s="1"/>
  <c r="F145" i="15"/>
  <c r="G145" i="15" s="1"/>
  <c r="F146" i="15"/>
  <c r="G146" i="15" s="1"/>
  <c r="F147" i="15"/>
  <c r="G147" i="15" s="1"/>
  <c r="F148" i="15"/>
  <c r="G148" i="15" s="1"/>
  <c r="F149" i="15"/>
  <c r="G149" i="15" s="1"/>
  <c r="F150" i="15"/>
  <c r="G150" i="15" s="1"/>
  <c r="F151" i="15"/>
  <c r="G151" i="15" s="1"/>
  <c r="F152" i="15"/>
  <c r="G152" i="15" s="1"/>
  <c r="F153" i="15"/>
  <c r="G153" i="15" s="1"/>
  <c r="F154" i="15"/>
  <c r="G154" i="15" s="1"/>
  <c r="F155" i="15"/>
  <c r="G155" i="15" s="1"/>
  <c r="F156" i="15"/>
  <c r="G156" i="15" s="1"/>
  <c r="F157" i="15"/>
  <c r="G157" i="15" s="1"/>
  <c r="F158" i="15"/>
  <c r="G158" i="15" s="1"/>
  <c r="F159" i="15"/>
  <c r="G159" i="15" s="1"/>
  <c r="F160" i="15"/>
  <c r="G160" i="15" s="1"/>
  <c r="F161" i="15"/>
  <c r="G161" i="15" s="1"/>
  <c r="F162" i="15"/>
  <c r="G162" i="15" s="1"/>
  <c r="F163" i="15"/>
  <c r="G163" i="15" s="1"/>
  <c r="F164" i="15"/>
  <c r="G164" i="15" s="1"/>
  <c r="F165" i="15"/>
  <c r="G165" i="15" s="1"/>
  <c r="F166" i="15"/>
  <c r="G166" i="15" s="1"/>
  <c r="F167" i="15"/>
  <c r="G167" i="15" s="1"/>
  <c r="F168" i="15"/>
  <c r="G168" i="15" s="1"/>
  <c r="F169" i="15"/>
  <c r="G169" i="15" s="1"/>
  <c r="F170" i="15"/>
  <c r="G170" i="15" s="1"/>
  <c r="F171" i="15"/>
  <c r="G171" i="15" s="1"/>
  <c r="F172" i="15"/>
  <c r="G172" i="15" s="1"/>
  <c r="F173" i="15"/>
  <c r="G173" i="15" s="1"/>
  <c r="F174" i="15"/>
  <c r="G174" i="15" s="1"/>
  <c r="F175" i="15"/>
  <c r="G175" i="15" s="1"/>
  <c r="F176" i="15"/>
  <c r="G176" i="15" s="1"/>
  <c r="F177" i="15"/>
  <c r="G177" i="15" s="1"/>
  <c r="F178" i="15"/>
  <c r="G178" i="15" s="1"/>
  <c r="F179" i="15"/>
  <c r="G179" i="15" s="1"/>
  <c r="F180" i="15"/>
  <c r="G180" i="15" s="1"/>
  <c r="F181" i="15"/>
  <c r="G181" i="15" s="1"/>
  <c r="F182" i="15"/>
  <c r="G182" i="15" s="1"/>
  <c r="F183" i="15"/>
  <c r="G183" i="15" s="1"/>
  <c r="F184" i="15"/>
  <c r="G184" i="15" s="1"/>
  <c r="F185" i="15"/>
  <c r="G185" i="15" s="1"/>
  <c r="F186" i="15"/>
  <c r="G186" i="15" s="1"/>
  <c r="F187" i="15"/>
  <c r="G187" i="15" s="1"/>
  <c r="F188" i="15"/>
  <c r="G188" i="15" s="1"/>
  <c r="F189" i="15"/>
  <c r="G189" i="15" s="1"/>
  <c r="F190" i="15"/>
  <c r="G190" i="15" s="1"/>
  <c r="F191" i="15"/>
  <c r="G191" i="15" s="1"/>
  <c r="F192" i="15"/>
  <c r="G192" i="15" s="1"/>
  <c r="F193" i="15"/>
  <c r="G193" i="15" s="1"/>
  <c r="F194" i="15"/>
  <c r="G194" i="15" s="1"/>
  <c r="F195" i="15"/>
  <c r="G195" i="15" s="1"/>
  <c r="F196" i="15"/>
  <c r="G196" i="15" s="1"/>
  <c r="F197" i="15"/>
  <c r="G197" i="15" s="1"/>
  <c r="F198" i="15"/>
  <c r="G198" i="15" s="1"/>
  <c r="F199" i="15"/>
  <c r="G199" i="15" s="1"/>
  <c r="F200" i="15"/>
  <c r="G200" i="15" s="1"/>
  <c r="F201" i="15"/>
  <c r="G201" i="15" s="1"/>
  <c r="F202" i="15"/>
  <c r="G202" i="15" s="1"/>
  <c r="C107" i="28"/>
  <c r="D107" i="28"/>
  <c r="E107" i="28"/>
  <c r="S107" i="28"/>
  <c r="D146" i="1"/>
  <c r="E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F18" i="14"/>
  <c r="G18" i="14" s="1"/>
  <c r="F19" i="14"/>
  <c r="F20" i="14"/>
  <c r="F21" i="14"/>
  <c r="G21" i="14" s="1"/>
  <c r="F22" i="14"/>
  <c r="G22" i="14" s="1"/>
  <c r="F23" i="14"/>
  <c r="G23" i="14" s="1"/>
  <c r="F24" i="14"/>
  <c r="G24" i="14" s="1"/>
  <c r="F25" i="14"/>
  <c r="G25" i="14" s="1"/>
  <c r="F26" i="14"/>
  <c r="G26" i="14" s="1"/>
  <c r="F27" i="14"/>
  <c r="G27" i="14" s="1"/>
  <c r="F28" i="14"/>
  <c r="G28" i="14" s="1"/>
  <c r="F29" i="14"/>
  <c r="G29" i="14" s="1"/>
  <c r="F30" i="14"/>
  <c r="G30" i="14" s="1"/>
  <c r="F31" i="14"/>
  <c r="G31" i="14" s="1"/>
  <c r="F32" i="14"/>
  <c r="G32" i="14" s="1"/>
  <c r="F33" i="14"/>
  <c r="G33" i="14" s="1"/>
  <c r="F34" i="14"/>
  <c r="G34" i="14" s="1"/>
  <c r="F35" i="14"/>
  <c r="G35" i="14" s="1"/>
  <c r="F36" i="14"/>
  <c r="G36" i="14" s="1"/>
  <c r="F37" i="14"/>
  <c r="G37" i="14" s="1"/>
  <c r="F38" i="14"/>
  <c r="G38" i="14" s="1"/>
  <c r="F39" i="14"/>
  <c r="G39" i="14" s="1"/>
  <c r="F40" i="14"/>
  <c r="G40" i="14" s="1"/>
  <c r="F41" i="14"/>
  <c r="G41" i="14" s="1"/>
  <c r="F42" i="14"/>
  <c r="G42" i="14" s="1"/>
  <c r="F43" i="14"/>
  <c r="G43" i="14" s="1"/>
  <c r="F44" i="14"/>
  <c r="G44" i="14" s="1"/>
  <c r="F45" i="14"/>
  <c r="G45" i="14" s="1"/>
  <c r="F46" i="14"/>
  <c r="G46" i="14" s="1"/>
  <c r="F47" i="14"/>
  <c r="G47" i="14" s="1"/>
  <c r="F48" i="14"/>
  <c r="G48" i="14" s="1"/>
  <c r="F49" i="14"/>
  <c r="G49" i="14" s="1"/>
  <c r="F50" i="14"/>
  <c r="G50" i="14" s="1"/>
  <c r="F51" i="14"/>
  <c r="G51" i="14" s="1"/>
  <c r="F52" i="14"/>
  <c r="G52" i="14" s="1"/>
  <c r="F53" i="14"/>
  <c r="G53" i="14" s="1"/>
  <c r="F54" i="14"/>
  <c r="G54" i="14" s="1"/>
  <c r="F55" i="14"/>
  <c r="G55" i="14" s="1"/>
  <c r="F56" i="14"/>
  <c r="G56" i="14" s="1"/>
  <c r="F57" i="14"/>
  <c r="G57" i="14" s="1"/>
  <c r="F58" i="14"/>
  <c r="G58" i="14" s="1"/>
  <c r="F59" i="14"/>
  <c r="G59" i="14" s="1"/>
  <c r="F60" i="14"/>
  <c r="G60" i="14" s="1"/>
  <c r="F61" i="14"/>
  <c r="G61" i="14" s="1"/>
  <c r="F62" i="14"/>
  <c r="G62" i="14" s="1"/>
  <c r="F63" i="14"/>
  <c r="G63" i="14" s="1"/>
  <c r="F64" i="14"/>
  <c r="G64" i="14" s="1"/>
  <c r="F65" i="14"/>
  <c r="G65" i="14" s="1"/>
  <c r="F66" i="14"/>
  <c r="G66" i="14" s="1"/>
  <c r="F67" i="14"/>
  <c r="G67" i="14" s="1"/>
  <c r="F68" i="14"/>
  <c r="G68" i="14" s="1"/>
  <c r="F69" i="14"/>
  <c r="G69" i="14" s="1"/>
  <c r="F70" i="14"/>
  <c r="G70" i="14" s="1"/>
  <c r="F71" i="14"/>
  <c r="G71" i="14" s="1"/>
  <c r="F72" i="14"/>
  <c r="G72" i="14" s="1"/>
  <c r="F73" i="14"/>
  <c r="G73" i="14" s="1"/>
  <c r="F74" i="14"/>
  <c r="G74" i="14" s="1"/>
  <c r="F75" i="14"/>
  <c r="G75" i="14" s="1"/>
  <c r="F76" i="14"/>
  <c r="G76" i="14" s="1"/>
  <c r="F77" i="14"/>
  <c r="G77" i="14" s="1"/>
  <c r="F78" i="14"/>
  <c r="G78" i="14" s="1"/>
  <c r="F79" i="14"/>
  <c r="G79" i="14" s="1"/>
  <c r="F80" i="14"/>
  <c r="G80" i="14" s="1"/>
  <c r="F81" i="14"/>
  <c r="G81" i="14" s="1"/>
  <c r="F82" i="14"/>
  <c r="G82" i="14" s="1"/>
  <c r="F83" i="14"/>
  <c r="G83" i="14" s="1"/>
  <c r="F84" i="14"/>
  <c r="G84" i="14" s="1"/>
  <c r="F85" i="14"/>
  <c r="G85" i="14" s="1"/>
  <c r="F86" i="14"/>
  <c r="G86" i="14" s="1"/>
  <c r="F87" i="14"/>
  <c r="G87" i="14" s="1"/>
  <c r="F88" i="14"/>
  <c r="G88" i="14" s="1"/>
  <c r="F89" i="14"/>
  <c r="G89" i="14" s="1"/>
  <c r="F90" i="14"/>
  <c r="G90" i="14" s="1"/>
  <c r="F91" i="14"/>
  <c r="G91" i="14" s="1"/>
  <c r="F92" i="14"/>
  <c r="G92" i="14" s="1"/>
  <c r="F93" i="14"/>
  <c r="G93" i="14" s="1"/>
  <c r="F94" i="14"/>
  <c r="G94" i="14" s="1"/>
  <c r="F95" i="14"/>
  <c r="G95" i="14" s="1"/>
  <c r="F96" i="14"/>
  <c r="G96" i="14" s="1"/>
  <c r="F97" i="14"/>
  <c r="G97" i="14" s="1"/>
  <c r="F98" i="14"/>
  <c r="G98" i="14" s="1"/>
  <c r="F99" i="14"/>
  <c r="G99" i="14" s="1"/>
  <c r="F100" i="14"/>
  <c r="G100" i="14" s="1"/>
  <c r="F101" i="14"/>
  <c r="G101" i="14" s="1"/>
  <c r="F102" i="14"/>
  <c r="G102" i="14" s="1"/>
  <c r="F103" i="14"/>
  <c r="G103" i="14" s="1"/>
  <c r="F104" i="14"/>
  <c r="G104" i="14" s="1"/>
  <c r="F105" i="14"/>
  <c r="G105" i="14" s="1"/>
  <c r="F106" i="14"/>
  <c r="G106" i="14" s="1"/>
  <c r="F107" i="14"/>
  <c r="G107" i="14" s="1"/>
  <c r="F108" i="14"/>
  <c r="G108" i="14" s="1"/>
  <c r="F109" i="14"/>
  <c r="G109" i="14" s="1"/>
  <c r="F110" i="14"/>
  <c r="G110" i="14" s="1"/>
  <c r="F111" i="14"/>
  <c r="G111" i="14" s="1"/>
  <c r="F112" i="14"/>
  <c r="G112" i="14" s="1"/>
  <c r="F113" i="14"/>
  <c r="G113" i="14" s="1"/>
  <c r="F114" i="14"/>
  <c r="G114" i="14" s="1"/>
  <c r="F115" i="14"/>
  <c r="G115" i="14" s="1"/>
  <c r="F116" i="14"/>
  <c r="G116" i="14" s="1"/>
  <c r="F117" i="14"/>
  <c r="G117" i="14" s="1"/>
  <c r="F118" i="14"/>
  <c r="G118" i="14" s="1"/>
  <c r="F119" i="14"/>
  <c r="G119" i="14" s="1"/>
  <c r="F120" i="14"/>
  <c r="G120" i="14" s="1"/>
  <c r="F121" i="14"/>
  <c r="G121" i="14" s="1"/>
  <c r="F122" i="14"/>
  <c r="G122" i="14" s="1"/>
  <c r="F123" i="14"/>
  <c r="G123" i="14" s="1"/>
  <c r="F124" i="14"/>
  <c r="G124" i="14" s="1"/>
  <c r="F125" i="14"/>
  <c r="G125" i="14" s="1"/>
  <c r="F126" i="14"/>
  <c r="G126" i="14" s="1"/>
  <c r="F127" i="14"/>
  <c r="G127" i="14" s="1"/>
  <c r="F128" i="14"/>
  <c r="G128" i="14" s="1"/>
  <c r="F129" i="14"/>
  <c r="G129" i="14" s="1"/>
  <c r="F130" i="14"/>
  <c r="G130" i="14" s="1"/>
  <c r="F131" i="14"/>
  <c r="G131" i="14" s="1"/>
  <c r="F132" i="14"/>
  <c r="G132" i="14" s="1"/>
  <c r="F133" i="14"/>
  <c r="G133" i="14" s="1"/>
  <c r="F134" i="14"/>
  <c r="G134" i="14" s="1"/>
  <c r="F135" i="14"/>
  <c r="G135" i="14" s="1"/>
  <c r="F136" i="14"/>
  <c r="G136" i="14" s="1"/>
  <c r="F137" i="14"/>
  <c r="G137" i="14" s="1"/>
  <c r="F138" i="14"/>
  <c r="G138" i="14" s="1"/>
  <c r="F139" i="14"/>
  <c r="G139" i="14" s="1"/>
  <c r="F140" i="14"/>
  <c r="G140" i="14" s="1"/>
  <c r="F141" i="14"/>
  <c r="G141" i="14" s="1"/>
  <c r="F142" i="14"/>
  <c r="G142" i="14" s="1"/>
  <c r="F143" i="14"/>
  <c r="G143" i="14" s="1"/>
  <c r="F144" i="14"/>
  <c r="G144" i="14" s="1"/>
  <c r="F145" i="14"/>
  <c r="G145" i="14" s="1"/>
  <c r="F146" i="14"/>
  <c r="G146" i="14" s="1"/>
  <c r="F147" i="14"/>
  <c r="G147" i="14" s="1"/>
  <c r="F148" i="14"/>
  <c r="G148" i="14" s="1"/>
  <c r="F149" i="14"/>
  <c r="G149" i="14" s="1"/>
  <c r="F150" i="14"/>
  <c r="G150" i="14" s="1"/>
  <c r="F151" i="14"/>
  <c r="G151" i="14" s="1"/>
  <c r="F152" i="14"/>
  <c r="G152" i="14" s="1"/>
  <c r="F153" i="14"/>
  <c r="G153" i="14" s="1"/>
  <c r="F154" i="14"/>
  <c r="G154" i="14" s="1"/>
  <c r="F155" i="14"/>
  <c r="G155" i="14" s="1"/>
  <c r="F156" i="14"/>
  <c r="G156" i="14" s="1"/>
  <c r="F157" i="14"/>
  <c r="G157" i="14" s="1"/>
  <c r="F158" i="14"/>
  <c r="G158" i="14" s="1"/>
  <c r="F159" i="14"/>
  <c r="G159" i="14" s="1"/>
  <c r="F160" i="14"/>
  <c r="G160" i="14" s="1"/>
  <c r="F161" i="14"/>
  <c r="G161" i="14" s="1"/>
  <c r="F162" i="14"/>
  <c r="G162" i="14" s="1"/>
  <c r="F163" i="14"/>
  <c r="G163" i="14" s="1"/>
  <c r="F164" i="14"/>
  <c r="G164" i="14" s="1"/>
  <c r="F165" i="14"/>
  <c r="G165" i="14" s="1"/>
  <c r="F166" i="14"/>
  <c r="G166" i="14" s="1"/>
  <c r="F167" i="14"/>
  <c r="G167" i="14" s="1"/>
  <c r="F168" i="14"/>
  <c r="G168" i="14" s="1"/>
  <c r="F169" i="14"/>
  <c r="G169" i="14" s="1"/>
  <c r="F170" i="14"/>
  <c r="G170" i="14" s="1"/>
  <c r="F171" i="14"/>
  <c r="G171" i="14" s="1"/>
  <c r="F172" i="14"/>
  <c r="G172" i="14" s="1"/>
  <c r="F173" i="14"/>
  <c r="G173" i="14" s="1"/>
  <c r="F174" i="14"/>
  <c r="G174" i="14" s="1"/>
  <c r="F175" i="14"/>
  <c r="G175" i="14" s="1"/>
  <c r="F176" i="14"/>
  <c r="G176" i="14" s="1"/>
  <c r="F177" i="14"/>
  <c r="G177" i="14" s="1"/>
  <c r="F178" i="14"/>
  <c r="G178" i="14" s="1"/>
  <c r="F179" i="14"/>
  <c r="G179" i="14" s="1"/>
  <c r="F180" i="14"/>
  <c r="G180" i="14" s="1"/>
  <c r="F181" i="14"/>
  <c r="G181" i="14" s="1"/>
  <c r="F182" i="14"/>
  <c r="G182" i="14" s="1"/>
  <c r="F183" i="14"/>
  <c r="G183" i="14" s="1"/>
  <c r="F184" i="14"/>
  <c r="G184" i="14" s="1"/>
  <c r="F185" i="14"/>
  <c r="G185" i="14" s="1"/>
  <c r="F186" i="14"/>
  <c r="G186" i="14" s="1"/>
  <c r="F187" i="14"/>
  <c r="G187" i="14" s="1"/>
  <c r="F188" i="14"/>
  <c r="G188" i="14" s="1"/>
  <c r="F189" i="14"/>
  <c r="G189" i="14" s="1"/>
  <c r="F190" i="14"/>
  <c r="G190" i="14" s="1"/>
  <c r="F191" i="14"/>
  <c r="G191" i="14" s="1"/>
  <c r="F192" i="14"/>
  <c r="G192" i="14" s="1"/>
  <c r="F193" i="14"/>
  <c r="G193" i="14" s="1"/>
  <c r="F194" i="14"/>
  <c r="G194" i="14" s="1"/>
  <c r="F195" i="14"/>
  <c r="G195" i="14" s="1"/>
  <c r="F196" i="14"/>
  <c r="G196" i="14" s="1"/>
  <c r="F197" i="14"/>
  <c r="G197" i="14" s="1"/>
  <c r="F198" i="14"/>
  <c r="G198" i="14" s="1"/>
  <c r="F199" i="14"/>
  <c r="G199" i="14" s="1"/>
  <c r="F200" i="14"/>
  <c r="G200" i="14" s="1"/>
  <c r="F201" i="14"/>
  <c r="G201" i="14" s="1"/>
  <c r="G19" i="14"/>
  <c r="G20" i="14"/>
  <c r="P204" i="28"/>
  <c r="P243" i="28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F18" i="13"/>
  <c r="G18" i="13" s="1"/>
  <c r="F19" i="13"/>
  <c r="G19" i="13" s="1"/>
  <c r="F20" i="13"/>
  <c r="G20" i="13" s="1"/>
  <c r="F21" i="13"/>
  <c r="G21" i="13" s="1"/>
  <c r="F22" i="13"/>
  <c r="G22" i="13" s="1"/>
  <c r="F23" i="13"/>
  <c r="G23" i="13" s="1"/>
  <c r="F24" i="13"/>
  <c r="G24" i="13" s="1"/>
  <c r="F25" i="13"/>
  <c r="G25" i="13" s="1"/>
  <c r="F26" i="13"/>
  <c r="G26" i="13" s="1"/>
  <c r="F27" i="13"/>
  <c r="G27" i="13" s="1"/>
  <c r="F28" i="13"/>
  <c r="G28" i="13" s="1"/>
  <c r="F29" i="13"/>
  <c r="G29" i="13" s="1"/>
  <c r="F30" i="13"/>
  <c r="G30" i="13" s="1"/>
  <c r="F31" i="13"/>
  <c r="G31" i="13" s="1"/>
  <c r="F32" i="13"/>
  <c r="G32" i="13" s="1"/>
  <c r="F33" i="13"/>
  <c r="G33" i="13" s="1"/>
  <c r="F34" i="13"/>
  <c r="G34" i="13" s="1"/>
  <c r="F35" i="13"/>
  <c r="G35" i="13" s="1"/>
  <c r="F36" i="13"/>
  <c r="G36" i="13" s="1"/>
  <c r="F37" i="13"/>
  <c r="G37" i="13" s="1"/>
  <c r="F38" i="13"/>
  <c r="G38" i="13" s="1"/>
  <c r="F39" i="13"/>
  <c r="G39" i="13" s="1"/>
  <c r="F40" i="13"/>
  <c r="G40" i="13" s="1"/>
  <c r="F41" i="13"/>
  <c r="G41" i="13" s="1"/>
  <c r="F42" i="13"/>
  <c r="G42" i="13" s="1"/>
  <c r="F43" i="13"/>
  <c r="G43" i="13" s="1"/>
  <c r="F44" i="13"/>
  <c r="G44" i="13" s="1"/>
  <c r="F45" i="13"/>
  <c r="G45" i="13" s="1"/>
  <c r="F46" i="13"/>
  <c r="G46" i="13" s="1"/>
  <c r="F47" i="13"/>
  <c r="G47" i="13" s="1"/>
  <c r="F48" i="13"/>
  <c r="G48" i="13" s="1"/>
  <c r="F49" i="13"/>
  <c r="G49" i="13" s="1"/>
  <c r="F50" i="13"/>
  <c r="G50" i="13" s="1"/>
  <c r="F51" i="13"/>
  <c r="G51" i="13" s="1"/>
  <c r="F52" i="13"/>
  <c r="G52" i="13" s="1"/>
  <c r="F53" i="13"/>
  <c r="G53" i="13" s="1"/>
  <c r="F54" i="13"/>
  <c r="G54" i="13" s="1"/>
  <c r="F55" i="13"/>
  <c r="G55" i="13" s="1"/>
  <c r="F56" i="13"/>
  <c r="G56" i="13" s="1"/>
  <c r="F57" i="13"/>
  <c r="G57" i="13" s="1"/>
  <c r="F58" i="13"/>
  <c r="G58" i="13" s="1"/>
  <c r="F59" i="13"/>
  <c r="G59" i="13" s="1"/>
  <c r="F60" i="13"/>
  <c r="G60" i="13" s="1"/>
  <c r="F61" i="13"/>
  <c r="G61" i="13" s="1"/>
  <c r="F62" i="13"/>
  <c r="G62" i="13" s="1"/>
  <c r="F63" i="13"/>
  <c r="G63" i="13" s="1"/>
  <c r="F64" i="13"/>
  <c r="G64" i="13" s="1"/>
  <c r="F65" i="13"/>
  <c r="G65" i="13" s="1"/>
  <c r="F66" i="13"/>
  <c r="G66" i="13" s="1"/>
  <c r="F67" i="13"/>
  <c r="G67" i="13" s="1"/>
  <c r="F68" i="13"/>
  <c r="G68" i="13" s="1"/>
  <c r="F69" i="13"/>
  <c r="G69" i="13" s="1"/>
  <c r="F70" i="13"/>
  <c r="G70" i="13" s="1"/>
  <c r="F71" i="13"/>
  <c r="G71" i="13" s="1"/>
  <c r="F72" i="13"/>
  <c r="G72" i="13" s="1"/>
  <c r="F73" i="13"/>
  <c r="G73" i="13" s="1"/>
  <c r="F74" i="13"/>
  <c r="G74" i="13" s="1"/>
  <c r="F75" i="13"/>
  <c r="G75" i="13" s="1"/>
  <c r="F76" i="13"/>
  <c r="G76" i="13" s="1"/>
  <c r="F77" i="13"/>
  <c r="G77" i="13" s="1"/>
  <c r="F78" i="13"/>
  <c r="G78" i="13" s="1"/>
  <c r="F79" i="13"/>
  <c r="G79" i="13" s="1"/>
  <c r="F80" i="13"/>
  <c r="G80" i="13" s="1"/>
  <c r="F81" i="13"/>
  <c r="G81" i="13" s="1"/>
  <c r="F82" i="13"/>
  <c r="G82" i="13" s="1"/>
  <c r="F83" i="13"/>
  <c r="G83" i="13" s="1"/>
  <c r="F84" i="13"/>
  <c r="G84" i="13" s="1"/>
  <c r="F85" i="13"/>
  <c r="G85" i="13" s="1"/>
  <c r="F86" i="13"/>
  <c r="G86" i="13" s="1"/>
  <c r="F87" i="13"/>
  <c r="G87" i="13" s="1"/>
  <c r="F88" i="13"/>
  <c r="G88" i="13" s="1"/>
  <c r="F89" i="13"/>
  <c r="G89" i="13" s="1"/>
  <c r="F90" i="13"/>
  <c r="G90" i="13" s="1"/>
  <c r="F91" i="13"/>
  <c r="G91" i="13" s="1"/>
  <c r="F92" i="13"/>
  <c r="G92" i="13" s="1"/>
  <c r="F93" i="13"/>
  <c r="G93" i="13" s="1"/>
  <c r="F94" i="13"/>
  <c r="G94" i="13" s="1"/>
  <c r="F95" i="13"/>
  <c r="G95" i="13" s="1"/>
  <c r="F96" i="13"/>
  <c r="G96" i="13" s="1"/>
  <c r="F97" i="13"/>
  <c r="G97" i="13" s="1"/>
  <c r="F98" i="13"/>
  <c r="G98" i="13" s="1"/>
  <c r="F99" i="13"/>
  <c r="G99" i="13" s="1"/>
  <c r="F100" i="13"/>
  <c r="G100" i="13" s="1"/>
  <c r="F101" i="13"/>
  <c r="G101" i="13" s="1"/>
  <c r="F102" i="13"/>
  <c r="G102" i="13" s="1"/>
  <c r="F103" i="13"/>
  <c r="G103" i="13" s="1"/>
  <c r="F104" i="13"/>
  <c r="G104" i="13" s="1"/>
  <c r="F105" i="13"/>
  <c r="G105" i="13" s="1"/>
  <c r="F106" i="13"/>
  <c r="G106" i="13" s="1"/>
  <c r="F107" i="13"/>
  <c r="G107" i="13" s="1"/>
  <c r="F108" i="13"/>
  <c r="G108" i="13" s="1"/>
  <c r="F109" i="13"/>
  <c r="G109" i="13" s="1"/>
  <c r="F110" i="13"/>
  <c r="G110" i="13" s="1"/>
  <c r="F111" i="13"/>
  <c r="G111" i="13" s="1"/>
  <c r="F112" i="13"/>
  <c r="G112" i="13" s="1"/>
  <c r="F113" i="13"/>
  <c r="G113" i="13" s="1"/>
  <c r="F114" i="13"/>
  <c r="G114" i="13" s="1"/>
  <c r="F115" i="13"/>
  <c r="G115" i="13" s="1"/>
  <c r="F116" i="13"/>
  <c r="G116" i="13" s="1"/>
  <c r="F117" i="13"/>
  <c r="G117" i="13" s="1"/>
  <c r="F118" i="13"/>
  <c r="G118" i="13" s="1"/>
  <c r="F119" i="13"/>
  <c r="G119" i="13" s="1"/>
  <c r="F120" i="13"/>
  <c r="G120" i="13" s="1"/>
  <c r="F121" i="13"/>
  <c r="G121" i="13" s="1"/>
  <c r="F122" i="13"/>
  <c r="G122" i="13" s="1"/>
  <c r="F123" i="13"/>
  <c r="G123" i="13" s="1"/>
  <c r="F124" i="13"/>
  <c r="G124" i="13" s="1"/>
  <c r="F125" i="13"/>
  <c r="G125" i="13" s="1"/>
  <c r="F126" i="13"/>
  <c r="G126" i="13" s="1"/>
  <c r="F127" i="13"/>
  <c r="G127" i="13" s="1"/>
  <c r="F128" i="13"/>
  <c r="G128" i="13" s="1"/>
  <c r="F129" i="13"/>
  <c r="G129" i="13" s="1"/>
  <c r="F130" i="13"/>
  <c r="G130" i="13" s="1"/>
  <c r="F131" i="13"/>
  <c r="G131" i="13" s="1"/>
  <c r="F132" i="13"/>
  <c r="G132" i="13" s="1"/>
  <c r="F133" i="13"/>
  <c r="G133" i="13" s="1"/>
  <c r="F134" i="13"/>
  <c r="G134" i="13" s="1"/>
  <c r="F135" i="13"/>
  <c r="G135" i="13" s="1"/>
  <c r="F136" i="13"/>
  <c r="G136" i="13" s="1"/>
  <c r="F137" i="13"/>
  <c r="G137" i="13" s="1"/>
  <c r="F138" i="13"/>
  <c r="G138" i="13" s="1"/>
  <c r="F139" i="13"/>
  <c r="G139" i="13" s="1"/>
  <c r="F140" i="13"/>
  <c r="G140" i="13" s="1"/>
  <c r="F141" i="13"/>
  <c r="G141" i="13" s="1"/>
  <c r="F142" i="13"/>
  <c r="G142" i="13" s="1"/>
  <c r="F143" i="13"/>
  <c r="G143" i="13" s="1"/>
  <c r="F144" i="13"/>
  <c r="G144" i="13" s="1"/>
  <c r="F145" i="13"/>
  <c r="G145" i="13" s="1"/>
  <c r="F146" i="13"/>
  <c r="G146" i="13" s="1"/>
  <c r="F147" i="13"/>
  <c r="G147" i="13" s="1"/>
  <c r="F148" i="13"/>
  <c r="G148" i="13" s="1"/>
  <c r="F149" i="13"/>
  <c r="G149" i="13" s="1"/>
  <c r="F150" i="13"/>
  <c r="G150" i="13" s="1"/>
  <c r="F151" i="13"/>
  <c r="G151" i="13" s="1"/>
  <c r="F152" i="13"/>
  <c r="G152" i="13" s="1"/>
  <c r="F153" i="13"/>
  <c r="G153" i="13" s="1"/>
  <c r="F154" i="13"/>
  <c r="G154" i="13" s="1"/>
  <c r="F155" i="13"/>
  <c r="G155" i="13" s="1"/>
  <c r="F156" i="13"/>
  <c r="G156" i="13" s="1"/>
  <c r="F157" i="13"/>
  <c r="G157" i="13" s="1"/>
  <c r="F158" i="13"/>
  <c r="G158" i="13" s="1"/>
  <c r="F159" i="13"/>
  <c r="G159" i="13" s="1"/>
  <c r="F160" i="13"/>
  <c r="G160" i="13" s="1"/>
  <c r="F161" i="13"/>
  <c r="G161" i="13" s="1"/>
  <c r="F162" i="13"/>
  <c r="G162" i="13" s="1"/>
  <c r="F163" i="13"/>
  <c r="G163" i="13" s="1"/>
  <c r="F164" i="13"/>
  <c r="G164" i="13" s="1"/>
  <c r="F165" i="13"/>
  <c r="G165" i="13" s="1"/>
  <c r="F166" i="13"/>
  <c r="G166" i="13" s="1"/>
  <c r="F167" i="13"/>
  <c r="G167" i="13" s="1"/>
  <c r="F168" i="13"/>
  <c r="G168" i="13" s="1"/>
  <c r="F169" i="13"/>
  <c r="G169" i="13" s="1"/>
  <c r="F170" i="13"/>
  <c r="G170" i="13" s="1"/>
  <c r="F171" i="13"/>
  <c r="G171" i="13" s="1"/>
  <c r="F172" i="13"/>
  <c r="G172" i="13" s="1"/>
  <c r="F173" i="13"/>
  <c r="G173" i="13" s="1"/>
  <c r="F174" i="13"/>
  <c r="G174" i="13" s="1"/>
  <c r="F175" i="13"/>
  <c r="G175" i="13" s="1"/>
  <c r="F176" i="13"/>
  <c r="G176" i="13" s="1"/>
  <c r="F177" i="13"/>
  <c r="G177" i="13" s="1"/>
  <c r="F178" i="13"/>
  <c r="G178" i="13" s="1"/>
  <c r="F179" i="13"/>
  <c r="G179" i="13" s="1"/>
  <c r="F180" i="13"/>
  <c r="G180" i="13" s="1"/>
  <c r="F181" i="13"/>
  <c r="G181" i="13" s="1"/>
  <c r="F182" i="13"/>
  <c r="G182" i="13" s="1"/>
  <c r="F183" i="13"/>
  <c r="G183" i="13" s="1"/>
  <c r="F184" i="13"/>
  <c r="G184" i="13" s="1"/>
  <c r="F185" i="13"/>
  <c r="G185" i="13" s="1"/>
  <c r="F186" i="13"/>
  <c r="G186" i="13" s="1"/>
  <c r="F187" i="13"/>
  <c r="G187" i="13" s="1"/>
  <c r="F188" i="13"/>
  <c r="G188" i="13" s="1"/>
  <c r="F189" i="13"/>
  <c r="G189" i="13" s="1"/>
  <c r="F190" i="13"/>
  <c r="G190" i="13" s="1"/>
  <c r="F191" i="13"/>
  <c r="G191" i="13" s="1"/>
  <c r="F192" i="13"/>
  <c r="G192" i="13" s="1"/>
  <c r="F193" i="13"/>
  <c r="G193" i="13" s="1"/>
  <c r="F194" i="13"/>
  <c r="G194" i="13" s="1"/>
  <c r="F195" i="13"/>
  <c r="G195" i="13" s="1"/>
  <c r="F196" i="13"/>
  <c r="G196" i="13" s="1"/>
  <c r="F197" i="13"/>
  <c r="G197" i="13" s="1"/>
  <c r="F198" i="13"/>
  <c r="G198" i="13" s="1"/>
  <c r="F199" i="13"/>
  <c r="G199" i="13" s="1"/>
  <c r="F200" i="13"/>
  <c r="G200" i="13" s="1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47" i="28" s="1"/>
  <c r="O35" i="13"/>
  <c r="O48" i="28" s="1"/>
  <c r="O36" i="13"/>
  <c r="O49" i="28" s="1"/>
  <c r="O37" i="13"/>
  <c r="O50" i="28" s="1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53" i="28" s="1"/>
  <c r="O142" i="13"/>
  <c r="O143" i="13"/>
  <c r="O144" i="13"/>
  <c r="O145" i="13"/>
  <c r="O146" i="13"/>
  <c r="O147" i="13"/>
  <c r="O148" i="13"/>
  <c r="O149" i="13"/>
  <c r="O173" i="28" s="1"/>
  <c r="O150" i="13"/>
  <c r="O174" i="28" s="1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246" i="28" s="1"/>
  <c r="O197" i="13"/>
  <c r="O198" i="13"/>
  <c r="O249" i="28" s="1"/>
  <c r="O199" i="13"/>
  <c r="O250" i="28" s="1"/>
  <c r="O200" i="13"/>
  <c r="C220" i="28"/>
  <c r="C221" i="28"/>
  <c r="D220" i="28"/>
  <c r="D221" i="28"/>
  <c r="E220" i="28"/>
  <c r="E221" i="28"/>
  <c r="S220" i="28"/>
  <c r="S221" i="28"/>
  <c r="D240" i="1"/>
  <c r="D217" i="14" s="1"/>
  <c r="E240" i="1"/>
  <c r="C217" i="14" s="1"/>
  <c r="H240" i="1"/>
  <c r="I240" i="1"/>
  <c r="J240" i="1"/>
  <c r="K240" i="1"/>
  <c r="L240" i="1"/>
  <c r="M240" i="1"/>
  <c r="N240" i="1"/>
  <c r="O240" i="1"/>
  <c r="P240" i="1"/>
  <c r="Q240" i="1"/>
  <c r="R240" i="1"/>
  <c r="S240" i="1"/>
  <c r="D241" i="1"/>
  <c r="E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E199" i="12"/>
  <c r="E200" i="12"/>
  <c r="F199" i="12"/>
  <c r="G199" i="12" s="1"/>
  <c r="F200" i="12"/>
  <c r="G200" i="12" s="1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F18" i="12"/>
  <c r="G18" i="12" s="1"/>
  <c r="F19" i="12"/>
  <c r="G19" i="12" s="1"/>
  <c r="F20" i="12"/>
  <c r="G20" i="12" s="1"/>
  <c r="F21" i="12"/>
  <c r="G21" i="12" s="1"/>
  <c r="F22" i="12"/>
  <c r="G22" i="12" s="1"/>
  <c r="F23" i="12"/>
  <c r="G23" i="12" s="1"/>
  <c r="F24" i="12"/>
  <c r="G24" i="12" s="1"/>
  <c r="F25" i="12"/>
  <c r="G25" i="12" s="1"/>
  <c r="F26" i="12"/>
  <c r="G26" i="12" s="1"/>
  <c r="F27" i="12"/>
  <c r="G27" i="12" s="1"/>
  <c r="F28" i="12"/>
  <c r="G28" i="12" s="1"/>
  <c r="F29" i="12"/>
  <c r="G29" i="12" s="1"/>
  <c r="F30" i="12"/>
  <c r="G30" i="12" s="1"/>
  <c r="F31" i="12"/>
  <c r="F32" i="12"/>
  <c r="G32" i="12" s="1"/>
  <c r="F33" i="12"/>
  <c r="G33" i="12" s="1"/>
  <c r="F34" i="12"/>
  <c r="G34" i="12" s="1"/>
  <c r="F35" i="12"/>
  <c r="G35" i="12" s="1"/>
  <c r="F36" i="12"/>
  <c r="G36" i="12" s="1"/>
  <c r="F37" i="12"/>
  <c r="G37" i="12" s="1"/>
  <c r="F38" i="12"/>
  <c r="G38" i="12" s="1"/>
  <c r="F39" i="12"/>
  <c r="G39" i="12" s="1"/>
  <c r="F40" i="12"/>
  <c r="G40" i="12" s="1"/>
  <c r="F41" i="12"/>
  <c r="G41" i="12" s="1"/>
  <c r="F42" i="12"/>
  <c r="G42" i="12" s="1"/>
  <c r="F43" i="12"/>
  <c r="G43" i="12" s="1"/>
  <c r="F44" i="12"/>
  <c r="G44" i="12" s="1"/>
  <c r="F45" i="12"/>
  <c r="G45" i="12" s="1"/>
  <c r="F46" i="12"/>
  <c r="G46" i="12" s="1"/>
  <c r="F47" i="12"/>
  <c r="G47" i="12" s="1"/>
  <c r="F48" i="12"/>
  <c r="G48" i="12" s="1"/>
  <c r="F49" i="12"/>
  <c r="G49" i="12" s="1"/>
  <c r="F50" i="12"/>
  <c r="G50" i="12" s="1"/>
  <c r="F51" i="12"/>
  <c r="G51" i="12" s="1"/>
  <c r="F52" i="12"/>
  <c r="G52" i="12" s="1"/>
  <c r="F53" i="12"/>
  <c r="G53" i="12" s="1"/>
  <c r="F54" i="12"/>
  <c r="G54" i="12" s="1"/>
  <c r="F55" i="12"/>
  <c r="G55" i="12" s="1"/>
  <c r="F56" i="12"/>
  <c r="F57" i="12"/>
  <c r="G57" i="12" s="1"/>
  <c r="F58" i="12"/>
  <c r="G58" i="12" s="1"/>
  <c r="F59" i="12"/>
  <c r="G59" i="12" s="1"/>
  <c r="F60" i="12"/>
  <c r="G60" i="12" s="1"/>
  <c r="F61" i="12"/>
  <c r="G61" i="12" s="1"/>
  <c r="F62" i="12"/>
  <c r="G62" i="12" s="1"/>
  <c r="F63" i="12"/>
  <c r="G63" i="12" s="1"/>
  <c r="F64" i="12"/>
  <c r="G64" i="12" s="1"/>
  <c r="F65" i="12"/>
  <c r="G65" i="12" s="1"/>
  <c r="F66" i="12"/>
  <c r="G66" i="12" s="1"/>
  <c r="F67" i="12"/>
  <c r="G67" i="12" s="1"/>
  <c r="F68" i="12"/>
  <c r="G68" i="12" s="1"/>
  <c r="F69" i="12"/>
  <c r="G69" i="12" s="1"/>
  <c r="F70" i="12"/>
  <c r="G70" i="12" s="1"/>
  <c r="F71" i="12"/>
  <c r="G71" i="12" s="1"/>
  <c r="F72" i="12"/>
  <c r="G72" i="12" s="1"/>
  <c r="F73" i="12"/>
  <c r="G73" i="12" s="1"/>
  <c r="F74" i="12"/>
  <c r="G74" i="12" s="1"/>
  <c r="F75" i="12"/>
  <c r="G75" i="12" s="1"/>
  <c r="F76" i="12"/>
  <c r="G76" i="12" s="1"/>
  <c r="F77" i="12"/>
  <c r="G77" i="12" s="1"/>
  <c r="F78" i="12"/>
  <c r="G78" i="12" s="1"/>
  <c r="F79" i="12"/>
  <c r="G79" i="12" s="1"/>
  <c r="F80" i="12"/>
  <c r="G80" i="12" s="1"/>
  <c r="F81" i="12"/>
  <c r="G81" i="12" s="1"/>
  <c r="F82" i="12"/>
  <c r="G82" i="12" s="1"/>
  <c r="F83" i="12"/>
  <c r="G83" i="12" s="1"/>
  <c r="F84" i="12"/>
  <c r="G84" i="12" s="1"/>
  <c r="F85" i="12"/>
  <c r="G85" i="12" s="1"/>
  <c r="F86" i="12"/>
  <c r="G86" i="12" s="1"/>
  <c r="F87" i="12"/>
  <c r="G87" i="12" s="1"/>
  <c r="F88" i="12"/>
  <c r="G88" i="12" s="1"/>
  <c r="F89" i="12"/>
  <c r="G89" i="12" s="1"/>
  <c r="F90" i="12"/>
  <c r="G90" i="12" s="1"/>
  <c r="F91" i="12"/>
  <c r="G91" i="12" s="1"/>
  <c r="F92" i="12"/>
  <c r="G92" i="12" s="1"/>
  <c r="F93" i="12"/>
  <c r="G93" i="12" s="1"/>
  <c r="F94" i="12"/>
  <c r="G94" i="12" s="1"/>
  <c r="F95" i="12"/>
  <c r="G95" i="12" s="1"/>
  <c r="F96" i="12"/>
  <c r="G96" i="12" s="1"/>
  <c r="F97" i="12"/>
  <c r="G97" i="12" s="1"/>
  <c r="F98" i="12"/>
  <c r="G98" i="12" s="1"/>
  <c r="F99" i="12"/>
  <c r="G99" i="12" s="1"/>
  <c r="F100" i="12"/>
  <c r="G100" i="12" s="1"/>
  <c r="F101" i="12"/>
  <c r="G101" i="12" s="1"/>
  <c r="F102" i="12"/>
  <c r="G102" i="12" s="1"/>
  <c r="F103" i="12"/>
  <c r="G103" i="12" s="1"/>
  <c r="F104" i="12"/>
  <c r="G104" i="12" s="1"/>
  <c r="F105" i="12"/>
  <c r="G105" i="12" s="1"/>
  <c r="F106" i="12"/>
  <c r="G106" i="12" s="1"/>
  <c r="F107" i="12"/>
  <c r="G107" i="12" s="1"/>
  <c r="F108" i="12"/>
  <c r="G108" i="12" s="1"/>
  <c r="F109" i="12"/>
  <c r="G109" i="12" s="1"/>
  <c r="F110" i="12"/>
  <c r="G110" i="12" s="1"/>
  <c r="F111" i="12"/>
  <c r="G111" i="12" s="1"/>
  <c r="F112" i="12"/>
  <c r="G112" i="12" s="1"/>
  <c r="F113" i="12"/>
  <c r="G113" i="12" s="1"/>
  <c r="F114" i="12"/>
  <c r="G114" i="12" s="1"/>
  <c r="F115" i="12"/>
  <c r="G115" i="12" s="1"/>
  <c r="F116" i="12"/>
  <c r="G116" i="12" s="1"/>
  <c r="F117" i="12"/>
  <c r="G117" i="12" s="1"/>
  <c r="F118" i="12"/>
  <c r="G118" i="12" s="1"/>
  <c r="F119" i="12"/>
  <c r="G119" i="12" s="1"/>
  <c r="F120" i="12"/>
  <c r="G120" i="12" s="1"/>
  <c r="F121" i="12"/>
  <c r="G121" i="12" s="1"/>
  <c r="F122" i="12"/>
  <c r="G122" i="12" s="1"/>
  <c r="F123" i="12"/>
  <c r="G123" i="12" s="1"/>
  <c r="F124" i="12"/>
  <c r="G124" i="12" s="1"/>
  <c r="F125" i="12"/>
  <c r="G125" i="12" s="1"/>
  <c r="F126" i="12"/>
  <c r="G126" i="12" s="1"/>
  <c r="F127" i="12"/>
  <c r="G127" i="12" s="1"/>
  <c r="F128" i="12"/>
  <c r="G128" i="12" s="1"/>
  <c r="F129" i="12"/>
  <c r="G129" i="12" s="1"/>
  <c r="F130" i="12"/>
  <c r="G130" i="12" s="1"/>
  <c r="F131" i="12"/>
  <c r="G131" i="12" s="1"/>
  <c r="F132" i="12"/>
  <c r="G132" i="12" s="1"/>
  <c r="F133" i="12"/>
  <c r="G133" i="12" s="1"/>
  <c r="F134" i="12"/>
  <c r="G134" i="12" s="1"/>
  <c r="F135" i="12"/>
  <c r="G135" i="12" s="1"/>
  <c r="F136" i="12"/>
  <c r="G136" i="12" s="1"/>
  <c r="F137" i="12"/>
  <c r="G137" i="12" s="1"/>
  <c r="F138" i="12"/>
  <c r="G138" i="12" s="1"/>
  <c r="F139" i="12"/>
  <c r="G139" i="12" s="1"/>
  <c r="F140" i="12"/>
  <c r="G140" i="12" s="1"/>
  <c r="F141" i="12"/>
  <c r="G141" i="12" s="1"/>
  <c r="F142" i="12"/>
  <c r="G142" i="12" s="1"/>
  <c r="F143" i="12"/>
  <c r="G143" i="12" s="1"/>
  <c r="F144" i="12"/>
  <c r="G144" i="12" s="1"/>
  <c r="F145" i="12"/>
  <c r="G145" i="12" s="1"/>
  <c r="F146" i="12"/>
  <c r="G146" i="12" s="1"/>
  <c r="F147" i="12"/>
  <c r="G147" i="12" s="1"/>
  <c r="F148" i="12"/>
  <c r="G148" i="12" s="1"/>
  <c r="F149" i="12"/>
  <c r="G149" i="12" s="1"/>
  <c r="F150" i="12"/>
  <c r="G150" i="12" s="1"/>
  <c r="F151" i="12"/>
  <c r="G151" i="12" s="1"/>
  <c r="F152" i="12"/>
  <c r="G152" i="12" s="1"/>
  <c r="F153" i="12"/>
  <c r="G153" i="12" s="1"/>
  <c r="F154" i="12"/>
  <c r="G154" i="12" s="1"/>
  <c r="F155" i="12"/>
  <c r="G155" i="12" s="1"/>
  <c r="F156" i="12"/>
  <c r="G156" i="12" s="1"/>
  <c r="F157" i="12"/>
  <c r="G157" i="12" s="1"/>
  <c r="F158" i="12"/>
  <c r="G158" i="12" s="1"/>
  <c r="F159" i="12"/>
  <c r="G159" i="12" s="1"/>
  <c r="F160" i="12"/>
  <c r="G160" i="12" s="1"/>
  <c r="F161" i="12"/>
  <c r="G161" i="12" s="1"/>
  <c r="F162" i="12"/>
  <c r="G162" i="12" s="1"/>
  <c r="F163" i="12"/>
  <c r="G163" i="12" s="1"/>
  <c r="F164" i="12"/>
  <c r="G164" i="12" s="1"/>
  <c r="F165" i="12"/>
  <c r="G165" i="12" s="1"/>
  <c r="F166" i="12"/>
  <c r="G166" i="12" s="1"/>
  <c r="F167" i="12"/>
  <c r="G167" i="12" s="1"/>
  <c r="F168" i="12"/>
  <c r="G168" i="12" s="1"/>
  <c r="F169" i="12"/>
  <c r="G169" i="12" s="1"/>
  <c r="F170" i="12"/>
  <c r="G170" i="12" s="1"/>
  <c r="F171" i="12"/>
  <c r="G171" i="12" s="1"/>
  <c r="F172" i="12"/>
  <c r="G172" i="12" s="1"/>
  <c r="F173" i="12"/>
  <c r="G173" i="12" s="1"/>
  <c r="F174" i="12"/>
  <c r="G174" i="12" s="1"/>
  <c r="F175" i="12"/>
  <c r="G175" i="12" s="1"/>
  <c r="F176" i="12"/>
  <c r="G176" i="12" s="1"/>
  <c r="F177" i="12"/>
  <c r="G177" i="12" s="1"/>
  <c r="F178" i="12"/>
  <c r="G178" i="12" s="1"/>
  <c r="F179" i="12"/>
  <c r="G179" i="12" s="1"/>
  <c r="F180" i="12"/>
  <c r="G180" i="12" s="1"/>
  <c r="F181" i="12"/>
  <c r="G181" i="12" s="1"/>
  <c r="F182" i="12"/>
  <c r="G182" i="12" s="1"/>
  <c r="F183" i="12"/>
  <c r="G183" i="12" s="1"/>
  <c r="F184" i="12"/>
  <c r="G184" i="12" s="1"/>
  <c r="F185" i="12"/>
  <c r="G185" i="12" s="1"/>
  <c r="F186" i="12"/>
  <c r="G186" i="12" s="1"/>
  <c r="F187" i="12"/>
  <c r="G187" i="12" s="1"/>
  <c r="F188" i="12"/>
  <c r="G188" i="12" s="1"/>
  <c r="F189" i="12"/>
  <c r="G189" i="12" s="1"/>
  <c r="F190" i="12"/>
  <c r="G190" i="12" s="1"/>
  <c r="F191" i="12"/>
  <c r="G191" i="12" s="1"/>
  <c r="F192" i="12"/>
  <c r="G192" i="12" s="1"/>
  <c r="F193" i="12"/>
  <c r="G193" i="12" s="1"/>
  <c r="F194" i="12"/>
  <c r="G194" i="12" s="1"/>
  <c r="F195" i="12"/>
  <c r="G195" i="12" s="1"/>
  <c r="F196" i="12"/>
  <c r="G196" i="12" s="1"/>
  <c r="F197" i="12"/>
  <c r="G197" i="12" s="1"/>
  <c r="F198" i="12"/>
  <c r="G198" i="12" s="1"/>
  <c r="G31" i="12"/>
  <c r="G56" i="12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F18" i="11"/>
  <c r="G18" i="11" s="1"/>
  <c r="F19" i="11"/>
  <c r="G19" i="11" s="1"/>
  <c r="F20" i="11"/>
  <c r="G20" i="11" s="1"/>
  <c r="F21" i="11"/>
  <c r="G21" i="11" s="1"/>
  <c r="F22" i="11"/>
  <c r="G22" i="11" s="1"/>
  <c r="F23" i="11"/>
  <c r="G23" i="11" s="1"/>
  <c r="F24" i="11"/>
  <c r="G24" i="11" s="1"/>
  <c r="F25" i="11"/>
  <c r="G25" i="11" s="1"/>
  <c r="F26" i="11"/>
  <c r="G26" i="11" s="1"/>
  <c r="F27" i="11"/>
  <c r="G27" i="11" s="1"/>
  <c r="F28" i="11"/>
  <c r="G28" i="11" s="1"/>
  <c r="F29" i="11"/>
  <c r="G29" i="11" s="1"/>
  <c r="F30" i="11"/>
  <c r="G30" i="11" s="1"/>
  <c r="F31" i="11"/>
  <c r="G31" i="11" s="1"/>
  <c r="F32" i="11"/>
  <c r="G32" i="11" s="1"/>
  <c r="F33" i="11"/>
  <c r="G33" i="11" s="1"/>
  <c r="F34" i="11"/>
  <c r="G34" i="11" s="1"/>
  <c r="F35" i="11"/>
  <c r="G35" i="11" s="1"/>
  <c r="F36" i="11"/>
  <c r="G36" i="11" s="1"/>
  <c r="F37" i="11"/>
  <c r="G37" i="11" s="1"/>
  <c r="F38" i="11"/>
  <c r="G38" i="11" s="1"/>
  <c r="F39" i="11"/>
  <c r="F40" i="11"/>
  <c r="G40" i="11" s="1"/>
  <c r="F41" i="11"/>
  <c r="G41" i="11" s="1"/>
  <c r="F42" i="11"/>
  <c r="G42" i="11" s="1"/>
  <c r="F43" i="11"/>
  <c r="G43" i="11" s="1"/>
  <c r="F44" i="11"/>
  <c r="G44" i="11" s="1"/>
  <c r="F45" i="11"/>
  <c r="G45" i="11" s="1"/>
  <c r="F46" i="11"/>
  <c r="G46" i="11" s="1"/>
  <c r="F47" i="11"/>
  <c r="G47" i="11" s="1"/>
  <c r="F48" i="11"/>
  <c r="G48" i="11" s="1"/>
  <c r="F49" i="11"/>
  <c r="G49" i="11" s="1"/>
  <c r="F50" i="11"/>
  <c r="G50" i="11" s="1"/>
  <c r="F51" i="11"/>
  <c r="G51" i="11" s="1"/>
  <c r="F52" i="11"/>
  <c r="G52" i="11" s="1"/>
  <c r="F53" i="11"/>
  <c r="G53" i="11" s="1"/>
  <c r="F54" i="11"/>
  <c r="G54" i="11" s="1"/>
  <c r="F55" i="11"/>
  <c r="G55" i="11" s="1"/>
  <c r="F56" i="11"/>
  <c r="G56" i="11" s="1"/>
  <c r="F57" i="11"/>
  <c r="G57" i="11" s="1"/>
  <c r="F58" i="11"/>
  <c r="G58" i="11" s="1"/>
  <c r="F59" i="11"/>
  <c r="G59" i="11" s="1"/>
  <c r="F60" i="11"/>
  <c r="G60" i="11" s="1"/>
  <c r="F61" i="11"/>
  <c r="G61" i="11" s="1"/>
  <c r="F62" i="11"/>
  <c r="G62" i="11" s="1"/>
  <c r="F63" i="11"/>
  <c r="G63" i="11" s="1"/>
  <c r="F64" i="11"/>
  <c r="G64" i="11" s="1"/>
  <c r="F65" i="11"/>
  <c r="G65" i="11" s="1"/>
  <c r="F66" i="11"/>
  <c r="G66" i="11" s="1"/>
  <c r="F67" i="11"/>
  <c r="G67" i="11" s="1"/>
  <c r="F68" i="11"/>
  <c r="G68" i="11" s="1"/>
  <c r="F69" i="11"/>
  <c r="G69" i="11" s="1"/>
  <c r="F70" i="11"/>
  <c r="G70" i="11" s="1"/>
  <c r="F71" i="11"/>
  <c r="G71" i="11" s="1"/>
  <c r="F72" i="11"/>
  <c r="G72" i="11" s="1"/>
  <c r="F73" i="11"/>
  <c r="G73" i="11" s="1"/>
  <c r="F74" i="11"/>
  <c r="G74" i="11" s="1"/>
  <c r="F75" i="11"/>
  <c r="G75" i="11" s="1"/>
  <c r="F76" i="11"/>
  <c r="G76" i="11" s="1"/>
  <c r="F77" i="11"/>
  <c r="G77" i="11" s="1"/>
  <c r="F78" i="11"/>
  <c r="G78" i="11" s="1"/>
  <c r="F79" i="11"/>
  <c r="G79" i="11" s="1"/>
  <c r="F80" i="11"/>
  <c r="G80" i="11" s="1"/>
  <c r="F81" i="11"/>
  <c r="G81" i="11" s="1"/>
  <c r="F82" i="11"/>
  <c r="G82" i="11" s="1"/>
  <c r="F83" i="11"/>
  <c r="G83" i="11" s="1"/>
  <c r="F84" i="11"/>
  <c r="G84" i="11" s="1"/>
  <c r="F85" i="11"/>
  <c r="G85" i="11" s="1"/>
  <c r="F86" i="11"/>
  <c r="G86" i="11" s="1"/>
  <c r="F87" i="11"/>
  <c r="G87" i="11" s="1"/>
  <c r="F88" i="11"/>
  <c r="G88" i="11" s="1"/>
  <c r="F89" i="11"/>
  <c r="G89" i="11" s="1"/>
  <c r="F90" i="11"/>
  <c r="G90" i="11" s="1"/>
  <c r="F91" i="11"/>
  <c r="G91" i="11" s="1"/>
  <c r="F92" i="11"/>
  <c r="G92" i="11" s="1"/>
  <c r="F93" i="11"/>
  <c r="G93" i="11" s="1"/>
  <c r="F94" i="11"/>
  <c r="G94" i="11" s="1"/>
  <c r="F95" i="11"/>
  <c r="G95" i="11" s="1"/>
  <c r="F96" i="11"/>
  <c r="G96" i="11" s="1"/>
  <c r="F97" i="11"/>
  <c r="G97" i="11" s="1"/>
  <c r="F98" i="11"/>
  <c r="G98" i="11" s="1"/>
  <c r="F99" i="11"/>
  <c r="G99" i="11" s="1"/>
  <c r="F100" i="11"/>
  <c r="G100" i="11" s="1"/>
  <c r="F101" i="11"/>
  <c r="G101" i="11" s="1"/>
  <c r="F102" i="11"/>
  <c r="G102" i="11" s="1"/>
  <c r="F103" i="11"/>
  <c r="G103" i="11" s="1"/>
  <c r="F104" i="11"/>
  <c r="G104" i="11" s="1"/>
  <c r="F105" i="11"/>
  <c r="G105" i="11" s="1"/>
  <c r="F106" i="11"/>
  <c r="G106" i="11" s="1"/>
  <c r="F107" i="11"/>
  <c r="G107" i="11" s="1"/>
  <c r="F108" i="11"/>
  <c r="G108" i="11" s="1"/>
  <c r="F109" i="11"/>
  <c r="G109" i="11" s="1"/>
  <c r="F110" i="11"/>
  <c r="G110" i="11" s="1"/>
  <c r="F111" i="11"/>
  <c r="G111" i="11" s="1"/>
  <c r="F112" i="11"/>
  <c r="G112" i="11" s="1"/>
  <c r="F113" i="11"/>
  <c r="G113" i="11" s="1"/>
  <c r="F114" i="11"/>
  <c r="G114" i="11" s="1"/>
  <c r="F115" i="11"/>
  <c r="G115" i="11" s="1"/>
  <c r="F116" i="11"/>
  <c r="G116" i="11" s="1"/>
  <c r="F117" i="11"/>
  <c r="G117" i="11" s="1"/>
  <c r="F118" i="11"/>
  <c r="G118" i="11" s="1"/>
  <c r="F119" i="11"/>
  <c r="G119" i="11" s="1"/>
  <c r="F120" i="11"/>
  <c r="G120" i="11" s="1"/>
  <c r="F121" i="11"/>
  <c r="G121" i="11" s="1"/>
  <c r="F122" i="11"/>
  <c r="G122" i="11" s="1"/>
  <c r="F123" i="11"/>
  <c r="G123" i="11" s="1"/>
  <c r="F124" i="11"/>
  <c r="G124" i="11" s="1"/>
  <c r="F125" i="11"/>
  <c r="G125" i="11" s="1"/>
  <c r="F126" i="11"/>
  <c r="G126" i="11" s="1"/>
  <c r="F127" i="11"/>
  <c r="G127" i="11" s="1"/>
  <c r="F128" i="11"/>
  <c r="G128" i="11" s="1"/>
  <c r="F129" i="11"/>
  <c r="G129" i="11" s="1"/>
  <c r="F130" i="11"/>
  <c r="G130" i="11" s="1"/>
  <c r="F131" i="11"/>
  <c r="G131" i="11" s="1"/>
  <c r="F132" i="11"/>
  <c r="G132" i="11" s="1"/>
  <c r="F133" i="11"/>
  <c r="G133" i="11" s="1"/>
  <c r="F134" i="11"/>
  <c r="G134" i="11" s="1"/>
  <c r="F135" i="11"/>
  <c r="G135" i="11" s="1"/>
  <c r="F136" i="11"/>
  <c r="G136" i="11" s="1"/>
  <c r="F137" i="11"/>
  <c r="G137" i="11" s="1"/>
  <c r="F138" i="11"/>
  <c r="G138" i="11" s="1"/>
  <c r="F139" i="11"/>
  <c r="G139" i="11" s="1"/>
  <c r="F140" i="11"/>
  <c r="G140" i="11" s="1"/>
  <c r="F141" i="11"/>
  <c r="G141" i="11" s="1"/>
  <c r="F142" i="11"/>
  <c r="G142" i="11" s="1"/>
  <c r="F143" i="11"/>
  <c r="G143" i="11" s="1"/>
  <c r="F144" i="11"/>
  <c r="G144" i="11" s="1"/>
  <c r="F145" i="11"/>
  <c r="G145" i="11" s="1"/>
  <c r="F146" i="11"/>
  <c r="G146" i="11" s="1"/>
  <c r="F147" i="11"/>
  <c r="G147" i="11" s="1"/>
  <c r="F148" i="11"/>
  <c r="G148" i="11" s="1"/>
  <c r="F149" i="11"/>
  <c r="G149" i="11" s="1"/>
  <c r="F150" i="11"/>
  <c r="G150" i="11" s="1"/>
  <c r="F151" i="11"/>
  <c r="G151" i="11" s="1"/>
  <c r="F152" i="11"/>
  <c r="G152" i="11" s="1"/>
  <c r="F153" i="11"/>
  <c r="G153" i="11" s="1"/>
  <c r="F154" i="11"/>
  <c r="G154" i="11" s="1"/>
  <c r="F155" i="11"/>
  <c r="G155" i="11" s="1"/>
  <c r="F156" i="11"/>
  <c r="G156" i="11" s="1"/>
  <c r="F157" i="11"/>
  <c r="G157" i="11" s="1"/>
  <c r="F158" i="11"/>
  <c r="G158" i="11" s="1"/>
  <c r="F159" i="11"/>
  <c r="G159" i="11" s="1"/>
  <c r="F160" i="11"/>
  <c r="G160" i="11" s="1"/>
  <c r="F161" i="11"/>
  <c r="G161" i="11" s="1"/>
  <c r="F162" i="11"/>
  <c r="G162" i="11" s="1"/>
  <c r="F163" i="11"/>
  <c r="G163" i="11" s="1"/>
  <c r="F164" i="11"/>
  <c r="G164" i="11" s="1"/>
  <c r="F165" i="11"/>
  <c r="G165" i="11" s="1"/>
  <c r="F166" i="11"/>
  <c r="G166" i="11" s="1"/>
  <c r="F167" i="11"/>
  <c r="G167" i="11" s="1"/>
  <c r="F168" i="11"/>
  <c r="G168" i="11" s="1"/>
  <c r="F169" i="11"/>
  <c r="G169" i="11" s="1"/>
  <c r="F170" i="11"/>
  <c r="G170" i="11" s="1"/>
  <c r="F171" i="11"/>
  <c r="G171" i="11" s="1"/>
  <c r="F172" i="11"/>
  <c r="G172" i="11" s="1"/>
  <c r="F173" i="11"/>
  <c r="G173" i="11" s="1"/>
  <c r="F174" i="11"/>
  <c r="G174" i="11" s="1"/>
  <c r="F175" i="11"/>
  <c r="G175" i="11" s="1"/>
  <c r="F176" i="11"/>
  <c r="G176" i="11" s="1"/>
  <c r="F177" i="11"/>
  <c r="G177" i="11" s="1"/>
  <c r="F178" i="11"/>
  <c r="G178" i="11" s="1"/>
  <c r="F179" i="11"/>
  <c r="G179" i="11" s="1"/>
  <c r="F180" i="11"/>
  <c r="G180" i="11" s="1"/>
  <c r="F181" i="11"/>
  <c r="G181" i="11" s="1"/>
  <c r="F182" i="11"/>
  <c r="G182" i="11" s="1"/>
  <c r="F183" i="11"/>
  <c r="G183" i="11" s="1"/>
  <c r="F184" i="11"/>
  <c r="G184" i="11" s="1"/>
  <c r="F185" i="11"/>
  <c r="G185" i="11" s="1"/>
  <c r="F186" i="11"/>
  <c r="G186" i="11" s="1"/>
  <c r="F187" i="11"/>
  <c r="G187" i="11" s="1"/>
  <c r="F188" i="11"/>
  <c r="G188" i="11" s="1"/>
  <c r="F189" i="11"/>
  <c r="G189" i="11" s="1"/>
  <c r="F190" i="11"/>
  <c r="G190" i="11" s="1"/>
  <c r="F191" i="11"/>
  <c r="G191" i="11" s="1"/>
  <c r="F192" i="11"/>
  <c r="G192" i="11" s="1"/>
  <c r="F193" i="11"/>
  <c r="G193" i="11" s="1"/>
  <c r="F194" i="11"/>
  <c r="G194" i="11" s="1"/>
  <c r="F195" i="11"/>
  <c r="G195" i="11" s="1"/>
  <c r="F196" i="11"/>
  <c r="G196" i="11" s="1"/>
  <c r="F197" i="11"/>
  <c r="G197" i="11" s="1"/>
  <c r="F198" i="11"/>
  <c r="G198" i="11" s="1"/>
  <c r="G39" i="11"/>
  <c r="M246" i="28"/>
  <c r="M247" i="28"/>
  <c r="M250" i="28"/>
  <c r="C218" i="28"/>
  <c r="C219" i="28"/>
  <c r="D218" i="28"/>
  <c r="D219" i="28"/>
  <c r="E218" i="28"/>
  <c r="E219" i="28"/>
  <c r="S218" i="28"/>
  <c r="S219" i="28"/>
  <c r="D290" i="1"/>
  <c r="E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D180" i="1"/>
  <c r="E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F18" i="10"/>
  <c r="G18" i="10" s="1"/>
  <c r="F19" i="10"/>
  <c r="G19" i="10" s="1"/>
  <c r="F20" i="10"/>
  <c r="G20" i="10" s="1"/>
  <c r="F21" i="10"/>
  <c r="G21" i="10" s="1"/>
  <c r="F22" i="10"/>
  <c r="G22" i="10" s="1"/>
  <c r="F23" i="10"/>
  <c r="G23" i="10" s="1"/>
  <c r="F24" i="10"/>
  <c r="G24" i="10" s="1"/>
  <c r="F25" i="10"/>
  <c r="G25" i="10" s="1"/>
  <c r="F26" i="10"/>
  <c r="G26" i="10" s="1"/>
  <c r="F27" i="10"/>
  <c r="G27" i="10" s="1"/>
  <c r="F28" i="10"/>
  <c r="G28" i="10" s="1"/>
  <c r="F29" i="10"/>
  <c r="G29" i="10" s="1"/>
  <c r="F30" i="10"/>
  <c r="G30" i="10" s="1"/>
  <c r="F31" i="10"/>
  <c r="G31" i="10" s="1"/>
  <c r="F32" i="10"/>
  <c r="G32" i="10" s="1"/>
  <c r="F33" i="10"/>
  <c r="G33" i="10" s="1"/>
  <c r="F34" i="10"/>
  <c r="G34" i="10" s="1"/>
  <c r="F35" i="10"/>
  <c r="G35" i="10" s="1"/>
  <c r="F36" i="10"/>
  <c r="G36" i="10" s="1"/>
  <c r="F37" i="10"/>
  <c r="G37" i="10" s="1"/>
  <c r="F38" i="10"/>
  <c r="G38" i="10" s="1"/>
  <c r="F39" i="10"/>
  <c r="G39" i="10" s="1"/>
  <c r="F40" i="10"/>
  <c r="G40" i="10" s="1"/>
  <c r="F41" i="10"/>
  <c r="G41" i="10" s="1"/>
  <c r="F42" i="10"/>
  <c r="G42" i="10" s="1"/>
  <c r="F43" i="10"/>
  <c r="G43" i="10" s="1"/>
  <c r="F44" i="10"/>
  <c r="G44" i="10" s="1"/>
  <c r="F45" i="10"/>
  <c r="G45" i="10" s="1"/>
  <c r="F46" i="10"/>
  <c r="G46" i="10" s="1"/>
  <c r="F47" i="10"/>
  <c r="G47" i="10" s="1"/>
  <c r="F48" i="10"/>
  <c r="G48" i="10" s="1"/>
  <c r="F49" i="10"/>
  <c r="G49" i="10" s="1"/>
  <c r="F50" i="10"/>
  <c r="G50" i="10" s="1"/>
  <c r="F51" i="10"/>
  <c r="G51" i="10" s="1"/>
  <c r="F52" i="10"/>
  <c r="G52" i="10" s="1"/>
  <c r="F53" i="10"/>
  <c r="G53" i="10" s="1"/>
  <c r="F54" i="10"/>
  <c r="G54" i="10" s="1"/>
  <c r="F55" i="10"/>
  <c r="G55" i="10" s="1"/>
  <c r="F56" i="10"/>
  <c r="G56" i="10" s="1"/>
  <c r="F57" i="10"/>
  <c r="G57" i="10" s="1"/>
  <c r="F58" i="10"/>
  <c r="G58" i="10" s="1"/>
  <c r="F59" i="10"/>
  <c r="G59" i="10" s="1"/>
  <c r="F60" i="10"/>
  <c r="G60" i="10" s="1"/>
  <c r="F61" i="10"/>
  <c r="G61" i="10" s="1"/>
  <c r="F62" i="10"/>
  <c r="G62" i="10" s="1"/>
  <c r="F63" i="10"/>
  <c r="G63" i="10" s="1"/>
  <c r="F64" i="10"/>
  <c r="G64" i="10" s="1"/>
  <c r="F65" i="10"/>
  <c r="G65" i="10" s="1"/>
  <c r="F66" i="10"/>
  <c r="G66" i="10" s="1"/>
  <c r="F67" i="10"/>
  <c r="G67" i="10" s="1"/>
  <c r="F68" i="10"/>
  <c r="G68" i="10" s="1"/>
  <c r="F69" i="10"/>
  <c r="G69" i="10" s="1"/>
  <c r="F70" i="10"/>
  <c r="G70" i="10" s="1"/>
  <c r="F71" i="10"/>
  <c r="G71" i="10" s="1"/>
  <c r="F72" i="10"/>
  <c r="G72" i="10" s="1"/>
  <c r="F73" i="10"/>
  <c r="G73" i="10" s="1"/>
  <c r="F74" i="10"/>
  <c r="G74" i="10" s="1"/>
  <c r="F75" i="10"/>
  <c r="G75" i="10" s="1"/>
  <c r="F76" i="10"/>
  <c r="G76" i="10" s="1"/>
  <c r="F77" i="10"/>
  <c r="G77" i="10" s="1"/>
  <c r="F78" i="10"/>
  <c r="G78" i="10" s="1"/>
  <c r="F79" i="10"/>
  <c r="G79" i="10" s="1"/>
  <c r="F80" i="10"/>
  <c r="G80" i="10" s="1"/>
  <c r="F81" i="10"/>
  <c r="G81" i="10" s="1"/>
  <c r="F82" i="10"/>
  <c r="G82" i="10" s="1"/>
  <c r="F83" i="10"/>
  <c r="G83" i="10" s="1"/>
  <c r="F84" i="10"/>
  <c r="G84" i="10" s="1"/>
  <c r="F85" i="10"/>
  <c r="G85" i="10" s="1"/>
  <c r="F86" i="10"/>
  <c r="G86" i="10" s="1"/>
  <c r="F87" i="10"/>
  <c r="G87" i="10" s="1"/>
  <c r="F88" i="10"/>
  <c r="G88" i="10" s="1"/>
  <c r="F89" i="10"/>
  <c r="G89" i="10" s="1"/>
  <c r="F90" i="10"/>
  <c r="G90" i="10" s="1"/>
  <c r="F91" i="10"/>
  <c r="G91" i="10" s="1"/>
  <c r="F92" i="10"/>
  <c r="G92" i="10" s="1"/>
  <c r="F93" i="10"/>
  <c r="G93" i="10" s="1"/>
  <c r="F94" i="10"/>
  <c r="G94" i="10" s="1"/>
  <c r="F95" i="10"/>
  <c r="G95" i="10" s="1"/>
  <c r="F96" i="10"/>
  <c r="G96" i="10" s="1"/>
  <c r="F97" i="10"/>
  <c r="G97" i="10" s="1"/>
  <c r="F98" i="10"/>
  <c r="G98" i="10" s="1"/>
  <c r="F99" i="10"/>
  <c r="G99" i="10" s="1"/>
  <c r="F100" i="10"/>
  <c r="G100" i="10" s="1"/>
  <c r="F101" i="10"/>
  <c r="G101" i="10" s="1"/>
  <c r="F102" i="10"/>
  <c r="G102" i="10" s="1"/>
  <c r="F103" i="10"/>
  <c r="G103" i="10" s="1"/>
  <c r="F104" i="10"/>
  <c r="G104" i="10" s="1"/>
  <c r="F105" i="10"/>
  <c r="G105" i="10" s="1"/>
  <c r="F106" i="10"/>
  <c r="G106" i="10" s="1"/>
  <c r="F107" i="10"/>
  <c r="G107" i="10" s="1"/>
  <c r="F108" i="10"/>
  <c r="G108" i="10" s="1"/>
  <c r="F109" i="10"/>
  <c r="G109" i="10" s="1"/>
  <c r="F110" i="10"/>
  <c r="G110" i="10" s="1"/>
  <c r="F111" i="10"/>
  <c r="G111" i="10" s="1"/>
  <c r="F112" i="10"/>
  <c r="G112" i="10" s="1"/>
  <c r="F113" i="10"/>
  <c r="G113" i="10" s="1"/>
  <c r="F114" i="10"/>
  <c r="G114" i="10" s="1"/>
  <c r="F115" i="10"/>
  <c r="G115" i="10" s="1"/>
  <c r="F116" i="10"/>
  <c r="G116" i="10" s="1"/>
  <c r="F117" i="10"/>
  <c r="G117" i="10" s="1"/>
  <c r="F118" i="10"/>
  <c r="G118" i="10" s="1"/>
  <c r="F119" i="10"/>
  <c r="G119" i="10" s="1"/>
  <c r="F120" i="10"/>
  <c r="G120" i="10" s="1"/>
  <c r="F121" i="10"/>
  <c r="G121" i="10" s="1"/>
  <c r="F122" i="10"/>
  <c r="G122" i="10" s="1"/>
  <c r="F123" i="10"/>
  <c r="G123" i="10" s="1"/>
  <c r="F124" i="10"/>
  <c r="G124" i="10" s="1"/>
  <c r="F125" i="10"/>
  <c r="G125" i="10" s="1"/>
  <c r="F126" i="10"/>
  <c r="G126" i="10" s="1"/>
  <c r="F127" i="10"/>
  <c r="G127" i="10" s="1"/>
  <c r="F128" i="10"/>
  <c r="G128" i="10" s="1"/>
  <c r="F129" i="10"/>
  <c r="G129" i="10" s="1"/>
  <c r="F130" i="10"/>
  <c r="G130" i="10" s="1"/>
  <c r="F131" i="10"/>
  <c r="G131" i="10" s="1"/>
  <c r="F132" i="10"/>
  <c r="G132" i="10" s="1"/>
  <c r="F133" i="10"/>
  <c r="G133" i="10" s="1"/>
  <c r="F134" i="10"/>
  <c r="G134" i="10" s="1"/>
  <c r="F135" i="10"/>
  <c r="G135" i="10" s="1"/>
  <c r="F136" i="10"/>
  <c r="G136" i="10" s="1"/>
  <c r="F137" i="10"/>
  <c r="G137" i="10" s="1"/>
  <c r="F138" i="10"/>
  <c r="G138" i="10" s="1"/>
  <c r="F139" i="10"/>
  <c r="G139" i="10" s="1"/>
  <c r="F140" i="10"/>
  <c r="G140" i="10" s="1"/>
  <c r="F141" i="10"/>
  <c r="G141" i="10" s="1"/>
  <c r="F142" i="10"/>
  <c r="G142" i="10" s="1"/>
  <c r="F143" i="10"/>
  <c r="G143" i="10" s="1"/>
  <c r="F144" i="10"/>
  <c r="G144" i="10" s="1"/>
  <c r="F145" i="10"/>
  <c r="G145" i="10" s="1"/>
  <c r="F146" i="10"/>
  <c r="G146" i="10" s="1"/>
  <c r="F147" i="10"/>
  <c r="G147" i="10" s="1"/>
  <c r="F148" i="10"/>
  <c r="G148" i="10" s="1"/>
  <c r="F149" i="10"/>
  <c r="G149" i="10" s="1"/>
  <c r="F150" i="10"/>
  <c r="G150" i="10" s="1"/>
  <c r="F151" i="10"/>
  <c r="G151" i="10" s="1"/>
  <c r="F152" i="10"/>
  <c r="G152" i="10" s="1"/>
  <c r="F153" i="10"/>
  <c r="G153" i="10" s="1"/>
  <c r="F154" i="10"/>
  <c r="G154" i="10" s="1"/>
  <c r="F155" i="10"/>
  <c r="G155" i="10" s="1"/>
  <c r="F156" i="10"/>
  <c r="G156" i="10" s="1"/>
  <c r="F157" i="10"/>
  <c r="G157" i="10" s="1"/>
  <c r="F158" i="10"/>
  <c r="G158" i="10" s="1"/>
  <c r="F159" i="10"/>
  <c r="G159" i="10" s="1"/>
  <c r="F160" i="10"/>
  <c r="G160" i="10" s="1"/>
  <c r="F161" i="10"/>
  <c r="G161" i="10" s="1"/>
  <c r="F162" i="10"/>
  <c r="G162" i="10" s="1"/>
  <c r="F163" i="10"/>
  <c r="G163" i="10" s="1"/>
  <c r="F164" i="10"/>
  <c r="G164" i="10" s="1"/>
  <c r="F165" i="10"/>
  <c r="G165" i="10" s="1"/>
  <c r="F166" i="10"/>
  <c r="G166" i="10" s="1"/>
  <c r="F167" i="10"/>
  <c r="G167" i="10" s="1"/>
  <c r="F168" i="10"/>
  <c r="G168" i="10" s="1"/>
  <c r="F169" i="10"/>
  <c r="G169" i="10" s="1"/>
  <c r="F170" i="10"/>
  <c r="G170" i="10" s="1"/>
  <c r="F171" i="10"/>
  <c r="G171" i="10" s="1"/>
  <c r="F172" i="10"/>
  <c r="G172" i="10" s="1"/>
  <c r="F173" i="10"/>
  <c r="G173" i="10" s="1"/>
  <c r="F174" i="10"/>
  <c r="G174" i="10" s="1"/>
  <c r="F175" i="10"/>
  <c r="G175" i="10" s="1"/>
  <c r="F176" i="10"/>
  <c r="G176" i="10" s="1"/>
  <c r="F177" i="10"/>
  <c r="G177" i="10" s="1"/>
  <c r="F178" i="10"/>
  <c r="G178" i="10" s="1"/>
  <c r="F179" i="10"/>
  <c r="G179" i="10" s="1"/>
  <c r="F180" i="10"/>
  <c r="G180" i="10" s="1"/>
  <c r="F181" i="10"/>
  <c r="G181" i="10" s="1"/>
  <c r="F182" i="10"/>
  <c r="G182" i="10" s="1"/>
  <c r="F183" i="10"/>
  <c r="G183" i="10" s="1"/>
  <c r="F184" i="10"/>
  <c r="G184" i="10" s="1"/>
  <c r="F185" i="10"/>
  <c r="G185" i="10" s="1"/>
  <c r="F186" i="10"/>
  <c r="G186" i="10" s="1"/>
  <c r="F187" i="10"/>
  <c r="G187" i="10" s="1"/>
  <c r="F188" i="10"/>
  <c r="G188" i="10" s="1"/>
  <c r="F189" i="10"/>
  <c r="G189" i="10" s="1"/>
  <c r="F190" i="10"/>
  <c r="G190" i="10" s="1"/>
  <c r="F191" i="10"/>
  <c r="G191" i="10" s="1"/>
  <c r="F192" i="10"/>
  <c r="G192" i="10" s="1"/>
  <c r="F193" i="10"/>
  <c r="G193" i="10" s="1"/>
  <c r="F194" i="10"/>
  <c r="G194" i="10" s="1"/>
  <c r="F195" i="10"/>
  <c r="G195" i="10" s="1"/>
  <c r="F196" i="10"/>
  <c r="G196" i="10" s="1"/>
  <c r="F197" i="10"/>
  <c r="G197" i="10" s="1"/>
  <c r="L44" i="28"/>
  <c r="L314" i="28"/>
  <c r="E197" i="9"/>
  <c r="F197" i="9"/>
  <c r="G197" i="9" s="1"/>
  <c r="E193" i="8"/>
  <c r="F193" i="8"/>
  <c r="G193" i="8" s="1"/>
  <c r="E191" i="7"/>
  <c r="F191" i="7"/>
  <c r="G191" i="7" s="1"/>
  <c r="I250" i="28"/>
  <c r="E190" i="2"/>
  <c r="F190" i="2"/>
  <c r="G190" i="2" s="1"/>
  <c r="C217" i="28"/>
  <c r="D217" i="28"/>
  <c r="E217" i="28"/>
  <c r="S217" i="28"/>
  <c r="D125" i="1"/>
  <c r="E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E196" i="9"/>
  <c r="F196" i="9"/>
  <c r="G196" i="9" s="1"/>
  <c r="E192" i="8"/>
  <c r="F192" i="8"/>
  <c r="G192" i="8" s="1"/>
  <c r="J247" i="28"/>
  <c r="E190" i="7"/>
  <c r="F190" i="7"/>
  <c r="G190" i="7" s="1"/>
  <c r="E189" i="2"/>
  <c r="F189" i="2"/>
  <c r="G189" i="2" s="1"/>
  <c r="H107" i="28"/>
  <c r="H190" i="28"/>
  <c r="H216" i="28"/>
  <c r="H217" i="28"/>
  <c r="H212" i="28"/>
  <c r="H223" i="28"/>
  <c r="H234" i="28"/>
  <c r="C142" i="28"/>
  <c r="D142" i="28"/>
  <c r="E142" i="28"/>
  <c r="P142" i="28"/>
  <c r="S142" i="28"/>
  <c r="D196" i="1"/>
  <c r="E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I311" i="28"/>
  <c r="I312" i="28"/>
  <c r="I313" i="28"/>
  <c r="I314" i="28"/>
  <c r="I242" i="28"/>
  <c r="E189" i="7"/>
  <c r="F189" i="7"/>
  <c r="G189" i="7" s="1"/>
  <c r="E188" i="2"/>
  <c r="F188" i="2"/>
  <c r="G188" i="2" s="1"/>
  <c r="D64" i="18"/>
  <c r="D62" i="18"/>
  <c r="C216" i="28"/>
  <c r="D216" i="28"/>
  <c r="E216" i="28"/>
  <c r="S216" i="28"/>
  <c r="D266" i="1"/>
  <c r="E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1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D178" i="28"/>
  <c r="D179" i="28"/>
  <c r="D180" i="28"/>
  <c r="D181" i="28"/>
  <c r="D182" i="28"/>
  <c r="D183" i="28"/>
  <c r="D184" i="28"/>
  <c r="D185" i="28"/>
  <c r="D186" i="28"/>
  <c r="D187" i="28"/>
  <c r="D188" i="28"/>
  <c r="D189" i="28"/>
  <c r="D191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1" i="28"/>
  <c r="E193" i="28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N207" i="28"/>
  <c r="Q204" i="28"/>
  <c r="Q206" i="28"/>
  <c r="S178" i="28"/>
  <c r="S179" i="28"/>
  <c r="S180" i="28"/>
  <c r="S181" i="28"/>
  <c r="S182" i="28"/>
  <c r="S183" i="28"/>
  <c r="S184" i="28"/>
  <c r="S185" i="28"/>
  <c r="S186" i="28"/>
  <c r="S187" i="28"/>
  <c r="S188" i="28"/>
  <c r="S189" i="28"/>
  <c r="S191" i="28"/>
  <c r="S193" i="28"/>
  <c r="S194" i="28"/>
  <c r="S195" i="28"/>
  <c r="S196" i="28"/>
  <c r="S197" i="28"/>
  <c r="S198" i="28"/>
  <c r="S199" i="28"/>
  <c r="S200" i="28"/>
  <c r="S201" i="28"/>
  <c r="S202" i="28"/>
  <c r="S203" i="28"/>
  <c r="S204" i="28"/>
  <c r="S205" i="28"/>
  <c r="S206" i="28"/>
  <c r="S207" i="28"/>
  <c r="S208" i="28"/>
  <c r="S209" i="28"/>
  <c r="S210" i="28"/>
  <c r="S211" i="28"/>
  <c r="S212" i="28"/>
  <c r="S213" i="28"/>
  <c r="S214" i="28"/>
  <c r="S215" i="28"/>
  <c r="D307" i="1"/>
  <c r="E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D309" i="1"/>
  <c r="E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D310" i="1"/>
  <c r="E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D311" i="1"/>
  <c r="E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D269" i="1"/>
  <c r="E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D272" i="1"/>
  <c r="E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D273" i="1"/>
  <c r="E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D276" i="1"/>
  <c r="E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D278" i="1"/>
  <c r="E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D279" i="1"/>
  <c r="E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D282" i="1"/>
  <c r="E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D284" i="1"/>
  <c r="E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D286" i="1"/>
  <c r="E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D287" i="1"/>
  <c r="E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D288" i="1"/>
  <c r="E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D258" i="1"/>
  <c r="E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D259" i="1"/>
  <c r="E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D260" i="1"/>
  <c r="D233" i="16" s="1"/>
  <c r="E260" i="1"/>
  <c r="C233" i="16" s="1"/>
  <c r="H260" i="1"/>
  <c r="I260" i="1"/>
  <c r="J260" i="1"/>
  <c r="K260" i="1"/>
  <c r="L260" i="1"/>
  <c r="M260" i="1"/>
  <c r="N260" i="1"/>
  <c r="O260" i="1"/>
  <c r="P260" i="1"/>
  <c r="Q260" i="1"/>
  <c r="R260" i="1"/>
  <c r="S260" i="1"/>
  <c r="D261" i="1"/>
  <c r="E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D262" i="1"/>
  <c r="E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D263" i="1"/>
  <c r="D228" i="16" s="1"/>
  <c r="E263" i="1"/>
  <c r="C228" i="16" s="1"/>
  <c r="H263" i="1"/>
  <c r="I263" i="1"/>
  <c r="J263" i="1"/>
  <c r="K263" i="1"/>
  <c r="L263" i="1"/>
  <c r="M263" i="1"/>
  <c r="N263" i="1"/>
  <c r="O263" i="1"/>
  <c r="P263" i="1"/>
  <c r="Q263" i="1"/>
  <c r="R263" i="1"/>
  <c r="S263" i="1"/>
  <c r="D208" i="1"/>
  <c r="E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D209" i="1"/>
  <c r="E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D210" i="1"/>
  <c r="E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D211" i="1"/>
  <c r="E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D160" i="1"/>
  <c r="E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D163" i="1"/>
  <c r="E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D164" i="1"/>
  <c r="E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D94" i="1"/>
  <c r="E94" i="1"/>
  <c r="H94" i="1"/>
  <c r="I94" i="1"/>
  <c r="J94" i="1"/>
  <c r="K94" i="1"/>
  <c r="L94" i="1"/>
  <c r="M94" i="1"/>
  <c r="N94" i="1"/>
  <c r="O94" i="1"/>
  <c r="P94" i="1"/>
  <c r="Q94" i="1"/>
  <c r="R94" i="1"/>
  <c r="S94" i="1"/>
  <c r="D98" i="1"/>
  <c r="E98" i="1"/>
  <c r="H98" i="1"/>
  <c r="I98" i="1"/>
  <c r="J98" i="1"/>
  <c r="K98" i="1"/>
  <c r="L98" i="1"/>
  <c r="M98" i="1"/>
  <c r="N98" i="1"/>
  <c r="O98" i="1"/>
  <c r="P98" i="1"/>
  <c r="Q98" i="1"/>
  <c r="R98" i="1"/>
  <c r="S98" i="1"/>
  <c r="D66" i="1"/>
  <c r="E66" i="1"/>
  <c r="H66" i="1"/>
  <c r="I66" i="1"/>
  <c r="J66" i="1"/>
  <c r="K66" i="1"/>
  <c r="L66" i="1"/>
  <c r="M66" i="1"/>
  <c r="N66" i="1"/>
  <c r="O66" i="1"/>
  <c r="P66" i="1"/>
  <c r="Q66" i="1"/>
  <c r="R66" i="1"/>
  <c r="S66" i="1"/>
  <c r="D53" i="1"/>
  <c r="E53" i="1"/>
  <c r="H53" i="1"/>
  <c r="I53" i="1"/>
  <c r="J53" i="1"/>
  <c r="K53" i="1"/>
  <c r="L53" i="1"/>
  <c r="M53" i="1"/>
  <c r="N53" i="1"/>
  <c r="O53" i="1"/>
  <c r="P53" i="1"/>
  <c r="Q53" i="1"/>
  <c r="R53" i="1"/>
  <c r="S53" i="1"/>
  <c r="D27" i="18"/>
  <c r="D27" i="1"/>
  <c r="E27" i="1"/>
  <c r="H27" i="1"/>
  <c r="I27" i="1"/>
  <c r="J27" i="1"/>
  <c r="K27" i="1"/>
  <c r="L27" i="1"/>
  <c r="M27" i="1"/>
  <c r="N27" i="1"/>
  <c r="O27" i="1"/>
  <c r="P27" i="1"/>
  <c r="Q27" i="1"/>
  <c r="R27" i="1"/>
  <c r="S27" i="1"/>
  <c r="D28" i="1"/>
  <c r="E28" i="1"/>
  <c r="H28" i="1"/>
  <c r="I28" i="1"/>
  <c r="J28" i="1"/>
  <c r="K28" i="1"/>
  <c r="L28" i="1"/>
  <c r="M28" i="1"/>
  <c r="N28" i="1"/>
  <c r="O28" i="1"/>
  <c r="P28" i="1"/>
  <c r="Q28" i="1"/>
  <c r="R28" i="1"/>
  <c r="S28" i="1"/>
  <c r="D29" i="1"/>
  <c r="E29" i="1"/>
  <c r="H29" i="1"/>
  <c r="I29" i="1"/>
  <c r="J29" i="1"/>
  <c r="K29" i="1"/>
  <c r="L29" i="1"/>
  <c r="M29" i="1"/>
  <c r="N29" i="1"/>
  <c r="O29" i="1"/>
  <c r="P29" i="1"/>
  <c r="Q29" i="1"/>
  <c r="R29" i="1"/>
  <c r="S29" i="1"/>
  <c r="D24" i="1"/>
  <c r="E24" i="1"/>
  <c r="H24" i="1"/>
  <c r="I24" i="1"/>
  <c r="J24" i="1"/>
  <c r="K24" i="1"/>
  <c r="L24" i="1"/>
  <c r="M24" i="1"/>
  <c r="N24" i="1"/>
  <c r="O24" i="1"/>
  <c r="P24" i="1"/>
  <c r="Q24" i="1"/>
  <c r="R24" i="1"/>
  <c r="S24" i="1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F162" i="9"/>
  <c r="G162" i="9" s="1"/>
  <c r="F163" i="9"/>
  <c r="G163" i="9" s="1"/>
  <c r="F164" i="9"/>
  <c r="G164" i="9" s="1"/>
  <c r="F165" i="9"/>
  <c r="G165" i="9" s="1"/>
  <c r="F166" i="9"/>
  <c r="G166" i="9" s="1"/>
  <c r="F167" i="9"/>
  <c r="G167" i="9" s="1"/>
  <c r="F168" i="9"/>
  <c r="G168" i="9" s="1"/>
  <c r="F169" i="9"/>
  <c r="G169" i="9" s="1"/>
  <c r="F170" i="9"/>
  <c r="G170" i="9" s="1"/>
  <c r="F171" i="9"/>
  <c r="G171" i="9" s="1"/>
  <c r="F172" i="9"/>
  <c r="G172" i="9" s="1"/>
  <c r="F173" i="9"/>
  <c r="G173" i="9" s="1"/>
  <c r="F174" i="9"/>
  <c r="G174" i="9" s="1"/>
  <c r="F175" i="9"/>
  <c r="G175" i="9" s="1"/>
  <c r="F176" i="9"/>
  <c r="G176" i="9" s="1"/>
  <c r="F177" i="9"/>
  <c r="G177" i="9" s="1"/>
  <c r="F178" i="9"/>
  <c r="G178" i="9" s="1"/>
  <c r="F179" i="9"/>
  <c r="G179" i="9" s="1"/>
  <c r="F180" i="9"/>
  <c r="G180" i="9" s="1"/>
  <c r="F181" i="9"/>
  <c r="G181" i="9" s="1"/>
  <c r="F182" i="9"/>
  <c r="G182" i="9" s="1"/>
  <c r="F183" i="9"/>
  <c r="G183" i="9" s="1"/>
  <c r="F184" i="9"/>
  <c r="G184" i="9" s="1"/>
  <c r="F185" i="9"/>
  <c r="G185" i="9" s="1"/>
  <c r="F186" i="9"/>
  <c r="G186" i="9" s="1"/>
  <c r="F187" i="9"/>
  <c r="G187" i="9" s="1"/>
  <c r="F188" i="9"/>
  <c r="G188" i="9" s="1"/>
  <c r="F189" i="9"/>
  <c r="G189" i="9" s="1"/>
  <c r="F190" i="9"/>
  <c r="G190" i="9" s="1"/>
  <c r="F191" i="9"/>
  <c r="G191" i="9" s="1"/>
  <c r="F192" i="9"/>
  <c r="G192" i="9" s="1"/>
  <c r="F193" i="9"/>
  <c r="G193" i="9" s="1"/>
  <c r="F194" i="9"/>
  <c r="G194" i="9" s="1"/>
  <c r="F195" i="9"/>
  <c r="G195" i="9" s="1"/>
  <c r="K247" i="2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F159" i="8"/>
  <c r="G159" i="8" s="1"/>
  <c r="F160" i="8"/>
  <c r="G160" i="8" s="1"/>
  <c r="F161" i="8"/>
  <c r="G161" i="8" s="1"/>
  <c r="F162" i="8"/>
  <c r="G162" i="8" s="1"/>
  <c r="F163" i="8"/>
  <c r="G163" i="8" s="1"/>
  <c r="F164" i="8"/>
  <c r="G164" i="8" s="1"/>
  <c r="F165" i="8"/>
  <c r="G165" i="8" s="1"/>
  <c r="F166" i="8"/>
  <c r="G166" i="8" s="1"/>
  <c r="F167" i="8"/>
  <c r="G167" i="8" s="1"/>
  <c r="F168" i="8"/>
  <c r="G168" i="8" s="1"/>
  <c r="F169" i="8"/>
  <c r="G169" i="8" s="1"/>
  <c r="F170" i="8"/>
  <c r="G170" i="8" s="1"/>
  <c r="F171" i="8"/>
  <c r="G171" i="8" s="1"/>
  <c r="F172" i="8"/>
  <c r="G172" i="8" s="1"/>
  <c r="F173" i="8"/>
  <c r="G173" i="8" s="1"/>
  <c r="F174" i="8"/>
  <c r="G174" i="8" s="1"/>
  <c r="F175" i="8"/>
  <c r="G175" i="8" s="1"/>
  <c r="F176" i="8"/>
  <c r="G176" i="8" s="1"/>
  <c r="F177" i="8"/>
  <c r="G177" i="8" s="1"/>
  <c r="F178" i="8"/>
  <c r="G178" i="8" s="1"/>
  <c r="F179" i="8"/>
  <c r="G179" i="8" s="1"/>
  <c r="F180" i="8"/>
  <c r="G180" i="8" s="1"/>
  <c r="F181" i="8"/>
  <c r="G181" i="8" s="1"/>
  <c r="F182" i="8"/>
  <c r="G182" i="8" s="1"/>
  <c r="F183" i="8"/>
  <c r="G183" i="8" s="1"/>
  <c r="F184" i="8"/>
  <c r="G184" i="8" s="1"/>
  <c r="F185" i="8"/>
  <c r="G185" i="8" s="1"/>
  <c r="F186" i="8"/>
  <c r="G186" i="8" s="1"/>
  <c r="F187" i="8"/>
  <c r="G187" i="8" s="1"/>
  <c r="F188" i="8"/>
  <c r="G188" i="8" s="1"/>
  <c r="F189" i="8"/>
  <c r="G189" i="8" s="1"/>
  <c r="F190" i="8"/>
  <c r="G190" i="8" s="1"/>
  <c r="F191" i="8"/>
  <c r="G191" i="8" s="1"/>
  <c r="J242" i="28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F156" i="7"/>
  <c r="G156" i="7" s="1"/>
  <c r="F157" i="7"/>
  <c r="G157" i="7" s="1"/>
  <c r="F158" i="7"/>
  <c r="G158" i="7" s="1"/>
  <c r="F159" i="7"/>
  <c r="G159" i="7" s="1"/>
  <c r="F160" i="7"/>
  <c r="G160" i="7" s="1"/>
  <c r="F161" i="7"/>
  <c r="G161" i="7" s="1"/>
  <c r="F162" i="7"/>
  <c r="G162" i="7" s="1"/>
  <c r="F163" i="7"/>
  <c r="G163" i="7" s="1"/>
  <c r="F164" i="7"/>
  <c r="G164" i="7" s="1"/>
  <c r="F165" i="7"/>
  <c r="G165" i="7" s="1"/>
  <c r="F166" i="7"/>
  <c r="G166" i="7" s="1"/>
  <c r="F167" i="7"/>
  <c r="G167" i="7" s="1"/>
  <c r="F168" i="7"/>
  <c r="G168" i="7" s="1"/>
  <c r="F169" i="7"/>
  <c r="G169" i="7" s="1"/>
  <c r="F170" i="7"/>
  <c r="G170" i="7" s="1"/>
  <c r="F171" i="7"/>
  <c r="G171" i="7" s="1"/>
  <c r="F172" i="7"/>
  <c r="G172" i="7" s="1"/>
  <c r="F173" i="7"/>
  <c r="G173" i="7" s="1"/>
  <c r="F174" i="7"/>
  <c r="G174" i="7" s="1"/>
  <c r="F175" i="7"/>
  <c r="G175" i="7" s="1"/>
  <c r="F176" i="7"/>
  <c r="G176" i="7" s="1"/>
  <c r="F177" i="7"/>
  <c r="G177" i="7" s="1"/>
  <c r="F178" i="7"/>
  <c r="G178" i="7" s="1"/>
  <c r="F179" i="7"/>
  <c r="G179" i="7" s="1"/>
  <c r="F180" i="7"/>
  <c r="G180" i="7" s="1"/>
  <c r="F181" i="7"/>
  <c r="G181" i="7" s="1"/>
  <c r="F182" i="7"/>
  <c r="G182" i="7" s="1"/>
  <c r="F183" i="7"/>
  <c r="G183" i="7" s="1"/>
  <c r="F184" i="7"/>
  <c r="G184" i="7" s="1"/>
  <c r="F185" i="7"/>
  <c r="G185" i="7" s="1"/>
  <c r="F186" i="7"/>
  <c r="G186" i="7" s="1"/>
  <c r="F187" i="7"/>
  <c r="G187" i="7" s="1"/>
  <c r="F188" i="7"/>
  <c r="G188" i="7" s="1"/>
  <c r="I205" i="28"/>
  <c r="E15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F154" i="2"/>
  <c r="G154" i="2" s="1"/>
  <c r="F155" i="2"/>
  <c r="G155" i="2" s="1"/>
  <c r="F156" i="2"/>
  <c r="G156" i="2" s="1"/>
  <c r="F157" i="2"/>
  <c r="G157" i="2" s="1"/>
  <c r="F158" i="2"/>
  <c r="G158" i="2" s="1"/>
  <c r="F159" i="2"/>
  <c r="G159" i="2" s="1"/>
  <c r="F160" i="2"/>
  <c r="G160" i="2" s="1"/>
  <c r="F161" i="2"/>
  <c r="G161" i="2" s="1"/>
  <c r="F162" i="2"/>
  <c r="G162" i="2" s="1"/>
  <c r="F163" i="2"/>
  <c r="G163" i="2" s="1"/>
  <c r="F164" i="2"/>
  <c r="G164" i="2" s="1"/>
  <c r="F165" i="2"/>
  <c r="G165" i="2" s="1"/>
  <c r="F166" i="2"/>
  <c r="G166" i="2" s="1"/>
  <c r="F167" i="2"/>
  <c r="G167" i="2" s="1"/>
  <c r="F168" i="2"/>
  <c r="G168" i="2" s="1"/>
  <c r="F169" i="2"/>
  <c r="G169" i="2" s="1"/>
  <c r="F170" i="2"/>
  <c r="G170" i="2" s="1"/>
  <c r="F171" i="2"/>
  <c r="G171" i="2" s="1"/>
  <c r="F172" i="2"/>
  <c r="G172" i="2" s="1"/>
  <c r="F173" i="2"/>
  <c r="G173" i="2" s="1"/>
  <c r="F174" i="2"/>
  <c r="G174" i="2" s="1"/>
  <c r="F175" i="2"/>
  <c r="G175" i="2" s="1"/>
  <c r="F176" i="2"/>
  <c r="G176" i="2" s="1"/>
  <c r="F177" i="2"/>
  <c r="G177" i="2" s="1"/>
  <c r="F178" i="2"/>
  <c r="G178" i="2" s="1"/>
  <c r="F179" i="2"/>
  <c r="G179" i="2" s="1"/>
  <c r="F180" i="2"/>
  <c r="G180" i="2" s="1"/>
  <c r="F181" i="2"/>
  <c r="G181" i="2" s="1"/>
  <c r="F182" i="2"/>
  <c r="G182" i="2" s="1"/>
  <c r="F183" i="2"/>
  <c r="G183" i="2" s="1"/>
  <c r="F184" i="2"/>
  <c r="G184" i="2" s="1"/>
  <c r="F185" i="2"/>
  <c r="G185" i="2" s="1"/>
  <c r="F186" i="2"/>
  <c r="G186" i="2" s="1"/>
  <c r="F187" i="2"/>
  <c r="G187" i="2" s="1"/>
  <c r="H182" i="28"/>
  <c r="H211" i="28"/>
  <c r="E23" i="2"/>
  <c r="E161" i="9"/>
  <c r="E159" i="9"/>
  <c r="F159" i="9"/>
  <c r="G159" i="9" s="1"/>
  <c r="E160" i="9"/>
  <c r="F160" i="9"/>
  <c r="G160" i="9" s="1"/>
  <c r="F161" i="9"/>
  <c r="G161" i="9" s="1"/>
  <c r="D130" i="1"/>
  <c r="E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H305" i="1"/>
  <c r="H306" i="1"/>
  <c r="E157" i="8"/>
  <c r="E158" i="8"/>
  <c r="AA69" i="18"/>
  <c r="AJ48" i="29"/>
  <c r="F148" i="32"/>
  <c r="L143" i="32"/>
  <c r="D14" i="32"/>
  <c r="X87" i="29"/>
  <c r="R14" i="32"/>
  <c r="O150" i="32"/>
  <c r="R69" i="18"/>
  <c r="AG14" i="32"/>
  <c r="AG133" i="32"/>
  <c r="D148" i="32"/>
  <c r="L133" i="32"/>
  <c r="R150" i="32"/>
  <c r="I148" i="32"/>
  <c r="AJ150" i="32"/>
  <c r="AJ35" i="23"/>
  <c r="L148" i="32"/>
  <c r="AJ69" i="18"/>
  <c r="R102" i="29"/>
  <c r="AG86" i="29"/>
  <c r="AJ41" i="29"/>
  <c r="F87" i="29"/>
  <c r="AJ51" i="29"/>
  <c r="U149" i="32"/>
  <c r="D143" i="32"/>
  <c r="AJ45" i="29"/>
  <c r="D149" i="32"/>
  <c r="F149" i="32"/>
  <c r="AJ39" i="29"/>
  <c r="AJ38" i="29"/>
  <c r="AA14" i="32"/>
  <c r="O35" i="23"/>
  <c r="AG85" i="29"/>
  <c r="X69" i="18"/>
  <c r="X86" i="29"/>
  <c r="AG69" i="18"/>
  <c r="D150" i="32"/>
  <c r="AJ81" i="29"/>
  <c r="X150" i="32"/>
  <c r="O149" i="32"/>
  <c r="O143" i="32"/>
  <c r="R149" i="32"/>
  <c r="X148" i="32"/>
  <c r="I14" i="32"/>
  <c r="AG143" i="32"/>
  <c r="AA149" i="32"/>
  <c r="AG33" i="23"/>
  <c r="X143" i="32"/>
  <c r="AJ148" i="32"/>
  <c r="R33" i="23"/>
  <c r="AD14" i="32"/>
  <c r="L33" i="23"/>
  <c r="X33" i="23"/>
  <c r="F14" i="32"/>
  <c r="F33" i="23"/>
  <c r="U133" i="32"/>
  <c r="X14" i="32"/>
  <c r="AA133" i="32"/>
  <c r="AD148" i="32"/>
  <c r="AJ46" i="29"/>
  <c r="AJ83" i="29"/>
  <c r="O33" i="23"/>
  <c r="AM69" i="18"/>
  <c r="U150" i="32"/>
  <c r="AJ33" i="23"/>
  <c r="F143" i="32"/>
  <c r="AD150" i="32"/>
  <c r="AJ84" i="29"/>
  <c r="AA143" i="32"/>
  <c r="R87" i="29"/>
  <c r="U35" i="23"/>
  <c r="I100" i="29"/>
  <c r="R143" i="32"/>
  <c r="AG149" i="32"/>
  <c r="AD69" i="18"/>
  <c r="I33" i="23"/>
  <c r="AJ14" i="32"/>
  <c r="L149" i="32"/>
  <c r="AJ82" i="29"/>
  <c r="AJ149" i="32"/>
  <c r="F133" i="32"/>
  <c r="I143" i="32"/>
  <c r="AD33" i="23"/>
  <c r="U69" i="18"/>
  <c r="I150" i="32"/>
  <c r="AD35" i="23"/>
  <c r="F69" i="18"/>
  <c r="I133" i="32"/>
  <c r="X35" i="23"/>
  <c r="U143" i="32"/>
  <c r="U148" i="32"/>
  <c r="AJ133" i="32"/>
  <c r="AJ42" i="29"/>
  <c r="AG88" i="29"/>
  <c r="O148" i="32"/>
  <c r="F150" i="32"/>
  <c r="AG148" i="32"/>
  <c r="AG150" i="32"/>
  <c r="I142" i="29"/>
  <c r="AJ143" i="32"/>
  <c r="AD133" i="32"/>
  <c r="F35" i="23"/>
  <c r="O133" i="32"/>
  <c r="X149" i="32"/>
  <c r="R133" i="32"/>
  <c r="AJ80" i="29"/>
  <c r="AD149" i="32"/>
  <c r="D133" i="32"/>
  <c r="R148" i="32"/>
  <c r="AJ43" i="29"/>
  <c r="AA33" i="23"/>
  <c r="AG35" i="23"/>
  <c r="L69" i="18"/>
  <c r="AM35" i="23"/>
  <c r="R35" i="23"/>
  <c r="F139" i="29"/>
  <c r="AA35" i="23"/>
  <c r="AJ47" i="29"/>
  <c r="U33" i="23"/>
  <c r="L35" i="23"/>
  <c r="O69" i="18"/>
  <c r="AJ40" i="29"/>
  <c r="L101" i="29"/>
  <c r="U14" i="32"/>
  <c r="I149" i="32"/>
  <c r="AM33" i="23"/>
  <c r="I35" i="23"/>
  <c r="L14" i="32"/>
  <c r="O14" i="32"/>
  <c r="AJ49" i="29"/>
  <c r="AD143" i="32"/>
  <c r="AJ50" i="29"/>
  <c r="X133" i="32"/>
  <c r="AA150" i="32"/>
  <c r="I69" i="18"/>
  <c r="AG87" i="29"/>
  <c r="L150" i="32"/>
  <c r="AJ79" i="29"/>
  <c r="AJ37" i="29"/>
  <c r="D20" i="25"/>
  <c r="AA148" i="32"/>
  <c r="AJ44" i="29"/>
  <c r="R42" i="28" l="1"/>
  <c r="R44" i="28"/>
  <c r="R47" i="28"/>
  <c r="C254" i="10"/>
  <c r="C264" i="14"/>
  <c r="D254" i="10"/>
  <c r="D264" i="14"/>
  <c r="C224" i="15"/>
  <c r="D224" i="15"/>
  <c r="C247" i="8"/>
  <c r="C255" i="9"/>
  <c r="D255" i="9"/>
  <c r="D247" i="8"/>
  <c r="C243" i="11"/>
  <c r="C245" i="10"/>
  <c r="C244" i="2"/>
  <c r="D244" i="2"/>
  <c r="D243" i="11"/>
  <c r="D245" i="10"/>
  <c r="D221" i="13"/>
  <c r="D225" i="17"/>
  <c r="D223" i="16"/>
  <c r="C229" i="15"/>
  <c r="C229" i="16"/>
  <c r="D229" i="15"/>
  <c r="D229" i="16"/>
  <c r="C225" i="16"/>
  <c r="C227" i="14"/>
  <c r="C227" i="17"/>
  <c r="C225" i="15"/>
  <c r="D225" i="16"/>
  <c r="D227" i="14"/>
  <c r="D227" i="17"/>
  <c r="D225" i="15"/>
  <c r="C226" i="16"/>
  <c r="C228" i="17"/>
  <c r="C221" i="13"/>
  <c r="C225" i="17"/>
  <c r="C223" i="16"/>
  <c r="D226" i="16"/>
  <c r="D228" i="17"/>
  <c r="AC35" i="23"/>
  <c r="Z35" i="23"/>
  <c r="W35" i="23"/>
  <c r="AO33" i="23"/>
  <c r="Q33" i="23"/>
  <c r="T133" i="32"/>
  <c r="AL33" i="23"/>
  <c r="Q133" i="32"/>
  <c r="T35" i="23"/>
  <c r="N33" i="23"/>
  <c r="AO35" i="23"/>
  <c r="Q35" i="23"/>
  <c r="AI33" i="23"/>
  <c r="K33" i="23"/>
  <c r="AL133" i="32"/>
  <c r="N133" i="32"/>
  <c r="AL35" i="23"/>
  <c r="AF33" i="23"/>
  <c r="AI133" i="32"/>
  <c r="K133" i="32"/>
  <c r="N35" i="23"/>
  <c r="H33" i="23"/>
  <c r="AI35" i="23"/>
  <c r="K35" i="23"/>
  <c r="AC33" i="23"/>
  <c r="AF133" i="32"/>
  <c r="H133" i="32"/>
  <c r="AF35" i="23"/>
  <c r="H35" i="23"/>
  <c r="Z33" i="23"/>
  <c r="AC133" i="32"/>
  <c r="Z133" i="32"/>
  <c r="W33" i="23"/>
  <c r="T33" i="23"/>
  <c r="W133" i="32"/>
  <c r="C248" i="7"/>
  <c r="D238" i="9"/>
  <c r="D239" i="16"/>
  <c r="C256" i="7"/>
  <c r="C257" i="10"/>
  <c r="C254" i="8"/>
  <c r="C258" i="9"/>
  <c r="C225" i="13"/>
  <c r="C250" i="7"/>
  <c r="C250" i="2"/>
  <c r="C257" i="7"/>
  <c r="C259" i="9"/>
  <c r="C258" i="10"/>
  <c r="C263" i="14"/>
  <c r="C255" i="8"/>
  <c r="D255" i="8"/>
  <c r="D258" i="10"/>
  <c r="D257" i="7"/>
  <c r="D259" i="9"/>
  <c r="D263" i="14"/>
  <c r="D258" i="9"/>
  <c r="D256" i="7"/>
  <c r="D254" i="8"/>
  <c r="D257" i="10"/>
  <c r="D225" i="13"/>
  <c r="D250" i="7"/>
  <c r="D250" i="2"/>
  <c r="C231" i="10"/>
  <c r="C228" i="13"/>
  <c r="C250" i="8"/>
  <c r="C251" i="11"/>
  <c r="C253" i="10"/>
  <c r="C252" i="7"/>
  <c r="C254" i="9"/>
  <c r="D231" i="10"/>
  <c r="D228" i="13"/>
  <c r="D250" i="8"/>
  <c r="D251" i="11"/>
  <c r="D253" i="10"/>
  <c r="D252" i="7"/>
  <c r="D254" i="9"/>
  <c r="C254" i="7"/>
  <c r="C252" i="8"/>
  <c r="D252" i="8"/>
  <c r="D254" i="7"/>
  <c r="C239" i="16"/>
  <c r="C238" i="9"/>
  <c r="C247" i="15"/>
  <c r="C253" i="8"/>
  <c r="C255" i="7"/>
  <c r="D255" i="7"/>
  <c r="D253" i="8"/>
  <c r="D248" i="7"/>
  <c r="D247" i="15"/>
  <c r="AL85" i="29"/>
  <c r="AI85" i="29"/>
  <c r="AI88" i="29"/>
  <c r="AL88" i="29"/>
  <c r="AL86" i="29"/>
  <c r="AI86" i="29"/>
  <c r="AI87" i="29"/>
  <c r="AL87" i="29"/>
  <c r="O248" i="28"/>
  <c r="O244" i="28"/>
  <c r="O251" i="28"/>
  <c r="O252" i="28"/>
  <c r="C222" i="2"/>
  <c r="D222" i="2"/>
  <c r="C222" i="13"/>
  <c r="D222" i="13"/>
  <c r="Z86" i="29"/>
  <c r="AC86" i="29"/>
  <c r="AC87" i="29"/>
  <c r="Z87" i="29"/>
  <c r="T87" i="29"/>
  <c r="W87" i="29"/>
  <c r="H87" i="29"/>
  <c r="C246" i="9"/>
  <c r="C244" i="11"/>
  <c r="C244" i="12"/>
  <c r="D244" i="11"/>
  <c r="D246" i="9"/>
  <c r="D244" i="12"/>
  <c r="C226" i="12"/>
  <c r="C222" i="11"/>
  <c r="C222" i="12"/>
  <c r="D226" i="12"/>
  <c r="D222" i="12"/>
  <c r="D222" i="11"/>
  <c r="C223" i="2"/>
  <c r="D223" i="2"/>
  <c r="C225" i="10"/>
  <c r="C223" i="12"/>
  <c r="C224" i="2"/>
  <c r="D224" i="2"/>
  <c r="D225" i="10"/>
  <c r="D223" i="12"/>
  <c r="M253" i="28"/>
  <c r="M255" i="28"/>
  <c r="M249" i="28"/>
  <c r="M251" i="28"/>
  <c r="M245" i="28"/>
  <c r="M244" i="28"/>
  <c r="M252" i="28"/>
  <c r="M254" i="28"/>
  <c r="K142" i="29"/>
  <c r="M248" i="28"/>
  <c r="Q101" i="29"/>
  <c r="N101" i="29"/>
  <c r="K246" i="28"/>
  <c r="K100" i="29"/>
  <c r="I245" i="28"/>
  <c r="H139" i="29"/>
  <c r="K245" i="28"/>
  <c r="K250" i="28"/>
  <c r="K253" i="28"/>
  <c r="K258" i="28"/>
  <c r="K244" i="28"/>
  <c r="K249" i="28"/>
  <c r="K255" i="28"/>
  <c r="K260" i="28"/>
  <c r="K256" i="28"/>
  <c r="K261" i="28"/>
  <c r="K252" i="28"/>
  <c r="K257" i="28"/>
  <c r="K248" i="28"/>
  <c r="J252" i="28"/>
  <c r="J257" i="28"/>
  <c r="J245" i="28"/>
  <c r="J250" i="28"/>
  <c r="J248" i="28"/>
  <c r="J253" i="28"/>
  <c r="J243" i="28"/>
  <c r="J244" i="28"/>
  <c r="J249" i="28"/>
  <c r="J241" i="28"/>
  <c r="J246" i="28"/>
  <c r="I244" i="28"/>
  <c r="I249" i="28"/>
  <c r="I243" i="28"/>
  <c r="I248" i="28"/>
  <c r="I241" i="28"/>
  <c r="I246" i="28"/>
  <c r="AC69" i="18"/>
  <c r="Z69" i="18"/>
  <c r="W69" i="18"/>
  <c r="T69" i="18"/>
  <c r="AF69" i="18"/>
  <c r="AO69" i="18"/>
  <c r="Q69" i="18"/>
  <c r="H69" i="18"/>
  <c r="AL69" i="18"/>
  <c r="N69" i="18"/>
  <c r="AI69" i="18"/>
  <c r="K69" i="18"/>
  <c r="C234" i="17"/>
  <c r="C231" i="15"/>
  <c r="C227" i="11"/>
  <c r="C224" i="9"/>
  <c r="C219" i="17"/>
  <c r="C216" i="13"/>
  <c r="C215" i="14"/>
  <c r="C216" i="15"/>
  <c r="C212" i="13"/>
  <c r="C216" i="16"/>
  <c r="C229" i="9"/>
  <c r="C228" i="14"/>
  <c r="C233" i="17"/>
  <c r="C226" i="10"/>
  <c r="C227" i="12"/>
  <c r="C226" i="11"/>
  <c r="C261" i="15"/>
  <c r="C205" i="15"/>
  <c r="D234" i="17"/>
  <c r="D231" i="15"/>
  <c r="D227" i="11"/>
  <c r="D224" i="9"/>
  <c r="D227" i="9"/>
  <c r="D227" i="7"/>
  <c r="D216" i="13"/>
  <c r="D219" i="17"/>
  <c r="D215" i="14"/>
  <c r="D216" i="15"/>
  <c r="D212" i="13"/>
  <c r="D216" i="16"/>
  <c r="D229" i="9"/>
  <c r="D227" i="12"/>
  <c r="D226" i="10"/>
  <c r="D226" i="11"/>
  <c r="D228" i="14"/>
  <c r="D261" i="15"/>
  <c r="D205" i="15"/>
  <c r="D214" i="14"/>
  <c r="D219" i="16"/>
  <c r="D215" i="15"/>
  <c r="D213" i="12"/>
  <c r="D239" i="15"/>
  <c r="C217" i="15"/>
  <c r="C217" i="16"/>
  <c r="C213" i="13"/>
  <c r="C213" i="15"/>
  <c r="C241" i="17"/>
  <c r="C230" i="9"/>
  <c r="C232" i="15"/>
  <c r="C235" i="17"/>
  <c r="C225" i="7"/>
  <c r="C229" i="12"/>
  <c r="C225" i="9"/>
  <c r="C230" i="14"/>
  <c r="C228" i="10"/>
  <c r="C226" i="17"/>
  <c r="C223" i="13"/>
  <c r="C223" i="15"/>
  <c r="C205" i="14"/>
  <c r="D225" i="14"/>
  <c r="D226" i="13"/>
  <c r="D224" i="12"/>
  <c r="D231" i="16"/>
  <c r="D230" i="17"/>
  <c r="D223" i="11"/>
  <c r="D220" i="9"/>
  <c r="D217" i="15"/>
  <c r="D217" i="16"/>
  <c r="D213" i="15"/>
  <c r="D213" i="13"/>
  <c r="D241" i="17"/>
  <c r="D230" i="9"/>
  <c r="D235" i="17"/>
  <c r="D230" i="14"/>
  <c r="D229" i="12"/>
  <c r="D232" i="15"/>
  <c r="D228" i="10"/>
  <c r="D225" i="9"/>
  <c r="D225" i="7"/>
  <c r="D223" i="13"/>
  <c r="D223" i="15"/>
  <c r="C219" i="14"/>
  <c r="C224" i="16"/>
  <c r="D205" i="14"/>
  <c r="C213" i="14"/>
  <c r="C214" i="13"/>
  <c r="C233" i="15"/>
  <c r="C231" i="14"/>
  <c r="C226" i="7"/>
  <c r="C226" i="9"/>
  <c r="C229" i="11"/>
  <c r="C229" i="10"/>
  <c r="C226" i="15"/>
  <c r="D219" i="14"/>
  <c r="D224" i="16"/>
  <c r="C232" i="9"/>
  <c r="D214" i="13"/>
  <c r="D213" i="14"/>
  <c r="D233" i="15"/>
  <c r="D231" i="14"/>
  <c r="D226" i="7"/>
  <c r="D229" i="11"/>
  <c r="D226" i="9"/>
  <c r="D229" i="10"/>
  <c r="D226" i="15"/>
  <c r="D232" i="9"/>
  <c r="C231" i="17"/>
  <c r="C226" i="14"/>
  <c r="C232" i="16"/>
  <c r="C224" i="10"/>
  <c r="C228" i="15"/>
  <c r="C224" i="11"/>
  <c r="D264" i="17"/>
  <c r="C215" i="15"/>
  <c r="C219" i="16"/>
  <c r="C213" i="12"/>
  <c r="C214" i="14"/>
  <c r="C239" i="15"/>
  <c r="C227" i="9"/>
  <c r="C227" i="7"/>
  <c r="C230" i="17"/>
  <c r="C225" i="14"/>
  <c r="C231" i="16"/>
  <c r="C224" i="12"/>
  <c r="C223" i="11"/>
  <c r="C220" i="9"/>
  <c r="C226" i="13"/>
  <c r="C264" i="17"/>
  <c r="D231" i="17"/>
  <c r="D228" i="15"/>
  <c r="D232" i="16"/>
  <c r="D226" i="14"/>
  <c r="D224" i="10"/>
  <c r="D224" i="11"/>
  <c r="D233" i="17"/>
  <c r="D226" i="17"/>
  <c r="AI14" i="32"/>
  <c r="AF14" i="32"/>
  <c r="AC14" i="32"/>
  <c r="O211" i="28"/>
  <c r="Z14" i="32"/>
  <c r="W14" i="32"/>
  <c r="W102" i="29"/>
  <c r="T102" i="29"/>
  <c r="T14" i="32"/>
  <c r="Q14" i="32"/>
  <c r="N14" i="32"/>
  <c r="K14" i="32"/>
  <c r="H14" i="32"/>
  <c r="AL14" i="32"/>
  <c r="T148" i="32"/>
  <c r="AF148" i="32"/>
  <c r="H148" i="32"/>
  <c r="W143" i="32"/>
  <c r="AL149" i="32"/>
  <c r="N149" i="32"/>
  <c r="W150" i="32"/>
  <c r="AC148" i="32"/>
  <c r="T143" i="32"/>
  <c r="AI149" i="32"/>
  <c r="K149" i="32"/>
  <c r="T150" i="32"/>
  <c r="AF149" i="32"/>
  <c r="H149" i="32"/>
  <c r="Q150" i="32"/>
  <c r="W148" i="32"/>
  <c r="AL143" i="32"/>
  <c r="N143" i="32"/>
  <c r="AC149" i="32"/>
  <c r="AL150" i="32"/>
  <c r="N150" i="32"/>
  <c r="AI143" i="32"/>
  <c r="K143" i="32"/>
  <c r="Z149" i="32"/>
  <c r="AI150" i="32"/>
  <c r="K150" i="32"/>
  <c r="Q143" i="32"/>
  <c r="Q148" i="32"/>
  <c r="AF143" i="32"/>
  <c r="H143" i="32"/>
  <c r="W149" i="32"/>
  <c r="AF150" i="32"/>
  <c r="H150" i="32"/>
  <c r="Z148" i="32"/>
  <c r="AL148" i="32"/>
  <c r="N148" i="32"/>
  <c r="AC143" i="32"/>
  <c r="T149" i="32"/>
  <c r="AC150" i="32"/>
  <c r="AI148" i="32"/>
  <c r="K148" i="32"/>
  <c r="Z143" i="32"/>
  <c r="Q149" i="32"/>
  <c r="Z150" i="32"/>
  <c r="R201" i="28"/>
  <c r="N44" i="28"/>
  <c r="Q44" i="28"/>
  <c r="Q241" i="28"/>
  <c r="Q178" i="28"/>
  <c r="Q190" i="28"/>
  <c r="O44" i="28"/>
  <c r="N315" i="28"/>
  <c r="I44" i="28"/>
  <c r="O315" i="28"/>
  <c r="O189" i="28"/>
  <c r="O195" i="28"/>
  <c r="O238" i="28"/>
  <c r="O191" i="28"/>
  <c r="O203" i="28"/>
  <c r="N204" i="28"/>
  <c r="N210" i="28"/>
  <c r="N180" i="28"/>
  <c r="M315" i="28"/>
  <c r="M44" i="28"/>
  <c r="M186" i="28"/>
  <c r="L315" i="28"/>
  <c r="L190" i="28"/>
  <c r="I315" i="28"/>
  <c r="I207" i="28"/>
  <c r="I199" i="28"/>
  <c r="I236" i="28"/>
  <c r="D223" i="8"/>
  <c r="D224" i="8"/>
  <c r="I213" i="28"/>
  <c r="D224" i="7"/>
  <c r="I190" i="28"/>
  <c r="D197" i="7"/>
  <c r="I202" i="28"/>
  <c r="I193" i="28"/>
  <c r="I189" i="28"/>
  <c r="I178" i="28"/>
  <c r="O243" i="28"/>
  <c r="N243" i="28"/>
  <c r="N187" i="28"/>
  <c r="N178" i="28"/>
  <c r="Q242" i="28"/>
  <c r="Q184" i="28"/>
  <c r="O200" i="28"/>
  <c r="N196" i="28"/>
  <c r="N183" i="28"/>
  <c r="M192" i="28"/>
  <c r="M217" i="28"/>
  <c r="K243" i="28"/>
  <c r="J237" i="28"/>
  <c r="I234" i="28"/>
  <c r="I240" i="28"/>
  <c r="R242" i="28"/>
  <c r="R243" i="28"/>
  <c r="Q235" i="28"/>
  <c r="Q198" i="28"/>
  <c r="Q212" i="28"/>
  <c r="Q199" i="28"/>
  <c r="Q220" i="28"/>
  <c r="O192" i="28"/>
  <c r="O184" i="28"/>
  <c r="N194" i="28"/>
  <c r="N185" i="28"/>
  <c r="N214" i="28"/>
  <c r="N191" i="28"/>
  <c r="M243" i="28"/>
  <c r="M183" i="28"/>
  <c r="L239" i="28"/>
  <c r="I180" i="28"/>
  <c r="I238" i="28"/>
  <c r="I228" i="28"/>
  <c r="I206" i="28"/>
  <c r="I183" i="28"/>
  <c r="H227" i="28"/>
  <c r="Q227" i="28"/>
  <c r="Q243" i="28"/>
  <c r="Q195" i="28"/>
  <c r="P196" i="28"/>
  <c r="O107" i="28"/>
  <c r="O181" i="28"/>
  <c r="M210" i="28"/>
  <c r="M202" i="28"/>
  <c r="M194" i="28"/>
  <c r="L180" i="28"/>
  <c r="L192" i="28"/>
  <c r="L227" i="28"/>
  <c r="L243" i="28"/>
  <c r="J224" i="28"/>
  <c r="J240" i="28"/>
  <c r="H224" i="28"/>
  <c r="H239" i="28"/>
  <c r="H240" i="28"/>
  <c r="H238" i="28"/>
  <c r="H228" i="28"/>
  <c r="R234" i="28"/>
  <c r="R241" i="28"/>
  <c r="R233" i="28"/>
  <c r="R240" i="28"/>
  <c r="R227" i="28"/>
  <c r="R228" i="28"/>
  <c r="R235" i="28"/>
  <c r="R232" i="28"/>
  <c r="R239" i="28"/>
  <c r="R231" i="28"/>
  <c r="R238" i="28"/>
  <c r="R230" i="28"/>
  <c r="R237" i="28"/>
  <c r="R229" i="28"/>
  <c r="R236" i="28"/>
  <c r="Q236" i="28"/>
  <c r="Q191" i="28"/>
  <c r="Q240" i="28"/>
  <c r="Q213" i="28"/>
  <c r="Q197" i="28"/>
  <c r="P194" i="28"/>
  <c r="P235" i="28"/>
  <c r="O219" i="28"/>
  <c r="O241" i="28"/>
  <c r="O235" i="28"/>
  <c r="O227" i="28"/>
  <c r="O239" i="28"/>
  <c r="O193" i="28"/>
  <c r="O185" i="28"/>
  <c r="O226" i="28"/>
  <c r="N202" i="28"/>
  <c r="N235" i="28"/>
  <c r="N205" i="28"/>
  <c r="N197" i="28"/>
  <c r="N107" i="28"/>
  <c r="M107" i="28"/>
  <c r="M227" i="28"/>
  <c r="M226" i="28"/>
  <c r="M240" i="28"/>
  <c r="L241" i="28"/>
  <c r="L226" i="28"/>
  <c r="L240" i="28"/>
  <c r="L206" i="28"/>
  <c r="L179" i="28"/>
  <c r="L107" i="28"/>
  <c r="K227" i="28"/>
  <c r="K226" i="28"/>
  <c r="K240" i="28"/>
  <c r="K241" i="28"/>
  <c r="J238" i="28"/>
  <c r="J223" i="28"/>
  <c r="I237" i="28"/>
  <c r="I227" i="28"/>
  <c r="I200" i="28"/>
  <c r="I224" i="28"/>
  <c r="I216" i="28"/>
  <c r="I179" i="28"/>
  <c r="I107" i="28"/>
  <c r="I192" i="28"/>
  <c r="I239" i="28"/>
  <c r="I198" i="28"/>
  <c r="H232" i="28"/>
  <c r="Q193" i="28"/>
  <c r="Q183" i="28"/>
  <c r="Q181" i="28"/>
  <c r="Q205" i="28"/>
  <c r="Q214" i="28"/>
  <c r="Q201" i="28"/>
  <c r="Q107" i="28"/>
  <c r="Q231" i="28"/>
  <c r="Q239" i="28"/>
  <c r="Q230" i="28"/>
  <c r="Q238" i="28"/>
  <c r="Q229" i="28"/>
  <c r="Q237" i="28"/>
  <c r="P230" i="28"/>
  <c r="P238" i="28"/>
  <c r="P229" i="28"/>
  <c r="P237" i="28"/>
  <c r="P228" i="28"/>
  <c r="P236" i="28"/>
  <c r="P192" i="28"/>
  <c r="P182" i="28"/>
  <c r="P197" i="28"/>
  <c r="P234" i="28"/>
  <c r="P242" i="28"/>
  <c r="P233" i="28"/>
  <c r="P241" i="28"/>
  <c r="P195" i="28"/>
  <c r="P184" i="28"/>
  <c r="P232" i="28"/>
  <c r="P240" i="28"/>
  <c r="P231" i="28"/>
  <c r="P239" i="28"/>
  <c r="O209" i="28"/>
  <c r="O234" i="28"/>
  <c r="O242" i="28"/>
  <c r="O232" i="28"/>
  <c r="O240" i="28"/>
  <c r="O210" i="28"/>
  <c r="O202" i="28"/>
  <c r="O194" i="28"/>
  <c r="O183" i="28"/>
  <c r="O179" i="28"/>
  <c r="O142" i="28"/>
  <c r="O228" i="28"/>
  <c r="O236" i="28"/>
  <c r="O229" i="28"/>
  <c r="O237" i="28"/>
  <c r="O196" i="28"/>
  <c r="N233" i="28"/>
  <c r="N241" i="28"/>
  <c r="N232" i="28"/>
  <c r="N240" i="28"/>
  <c r="N231" i="28"/>
  <c r="N239" i="28"/>
  <c r="N193" i="28"/>
  <c r="N188" i="28"/>
  <c r="N206" i="28"/>
  <c r="N229" i="28"/>
  <c r="N237" i="28"/>
  <c r="N230" i="28"/>
  <c r="N238" i="28"/>
  <c r="N198" i="28"/>
  <c r="N228" i="28"/>
  <c r="N236" i="28"/>
  <c r="N192" i="28"/>
  <c r="N234" i="28"/>
  <c r="N242" i="28"/>
  <c r="N179" i="28"/>
  <c r="N142" i="28"/>
  <c r="M228" i="28"/>
  <c r="M236" i="28"/>
  <c r="M229" i="28"/>
  <c r="M237" i="28"/>
  <c r="M182" i="28"/>
  <c r="M234" i="28"/>
  <c r="M242" i="28"/>
  <c r="M233" i="28"/>
  <c r="M241" i="28"/>
  <c r="M231" i="28"/>
  <c r="M239" i="28"/>
  <c r="M230" i="28"/>
  <c r="M238" i="28"/>
  <c r="L229" i="28"/>
  <c r="L237" i="28"/>
  <c r="L228" i="28"/>
  <c r="L236" i="28"/>
  <c r="L230" i="28"/>
  <c r="L238" i="28"/>
  <c r="L234" i="28"/>
  <c r="L242" i="28"/>
  <c r="K231" i="28"/>
  <c r="K239" i="28"/>
  <c r="K230" i="28"/>
  <c r="K238" i="28"/>
  <c r="K234" i="28"/>
  <c r="K242" i="28"/>
  <c r="K229" i="28"/>
  <c r="K237" i="28"/>
  <c r="K228" i="28"/>
  <c r="K236" i="28"/>
  <c r="J225" i="28"/>
  <c r="J233" i="28"/>
  <c r="J226" i="28"/>
  <c r="J234" i="28"/>
  <c r="J228" i="28"/>
  <c r="J236" i="28"/>
  <c r="J220" i="28"/>
  <c r="J227" i="28"/>
  <c r="J235" i="28"/>
  <c r="J231" i="28"/>
  <c r="J239" i="28"/>
  <c r="I182" i="28"/>
  <c r="I197" i="28"/>
  <c r="I212" i="28"/>
  <c r="I225" i="28"/>
  <c r="I233" i="28"/>
  <c r="I194" i="28"/>
  <c r="H229" i="28"/>
  <c r="H237" i="28"/>
  <c r="H226" i="28"/>
  <c r="H236" i="28"/>
  <c r="H225" i="28"/>
  <c r="H233" i="28"/>
  <c r="R209" i="28"/>
  <c r="Q211" i="28"/>
  <c r="P211" i="28"/>
  <c r="P193" i="28"/>
  <c r="P186" i="28"/>
  <c r="O215" i="28"/>
  <c r="O207" i="28"/>
  <c r="N211" i="28"/>
  <c r="N213" i="28"/>
  <c r="N227" i="28"/>
  <c r="N200" i="28"/>
  <c r="N189" i="28"/>
  <c r="N181" i="28"/>
  <c r="N199" i="28"/>
  <c r="N212" i="28"/>
  <c r="N226" i="28"/>
  <c r="M225" i="28"/>
  <c r="M235" i="28"/>
  <c r="M142" i="28"/>
  <c r="M222" i="28"/>
  <c r="M232" i="28"/>
  <c r="M181" i="28"/>
  <c r="L214" i="28"/>
  <c r="L231" i="28"/>
  <c r="L225" i="28"/>
  <c r="L235" i="28"/>
  <c r="L188" i="28"/>
  <c r="L223" i="28"/>
  <c r="L233" i="28"/>
  <c r="L222" i="28"/>
  <c r="L232" i="28"/>
  <c r="K225" i="28"/>
  <c r="K235" i="28"/>
  <c r="K222" i="28"/>
  <c r="K232" i="28"/>
  <c r="K223" i="28"/>
  <c r="K233" i="28"/>
  <c r="J219" i="28"/>
  <c r="J229" i="28"/>
  <c r="J217" i="28"/>
  <c r="J230" i="28"/>
  <c r="J222" i="28"/>
  <c r="J232" i="28"/>
  <c r="I209" i="28"/>
  <c r="I223" i="28"/>
  <c r="I220" i="28"/>
  <c r="I230" i="28"/>
  <c r="I217" i="28"/>
  <c r="I231" i="28"/>
  <c r="I218" i="28"/>
  <c r="I187" i="28"/>
  <c r="I222" i="28"/>
  <c r="I232" i="28"/>
  <c r="I219" i="28"/>
  <c r="I229" i="28"/>
  <c r="I208" i="28"/>
  <c r="I226" i="28"/>
  <c r="H221" i="28"/>
  <c r="H231" i="28"/>
  <c r="H192" i="28"/>
  <c r="H220" i="28"/>
  <c r="H230" i="28"/>
  <c r="R217" i="28"/>
  <c r="R222" i="28"/>
  <c r="R221" i="28"/>
  <c r="R226" i="28"/>
  <c r="R220" i="28"/>
  <c r="R225" i="28"/>
  <c r="R219" i="28"/>
  <c r="R224" i="28"/>
  <c r="R218" i="28"/>
  <c r="R223" i="28"/>
  <c r="Q187" i="28"/>
  <c r="Q223" i="28"/>
  <c r="Q233" i="28"/>
  <c r="Q222" i="28"/>
  <c r="Q232" i="28"/>
  <c r="Q179" i="28"/>
  <c r="Q196" i="28"/>
  <c r="Q194" i="28"/>
  <c r="Q218" i="28"/>
  <c r="Q228" i="28"/>
  <c r="Q210" i="28"/>
  <c r="Q202" i="28"/>
  <c r="Q189" i="28"/>
  <c r="Q142" i="28"/>
  <c r="Q209" i="28"/>
  <c r="Q188" i="28"/>
  <c r="Q186" i="28"/>
  <c r="Q219" i="28"/>
  <c r="Q224" i="28"/>
  <c r="Q234" i="28"/>
  <c r="Q216" i="28"/>
  <c r="Q226" i="28"/>
  <c r="Q208" i="28"/>
  <c r="P213" i="28"/>
  <c r="P227" i="28"/>
  <c r="P205" i="28"/>
  <c r="P187" i="28"/>
  <c r="P178" i="28"/>
  <c r="P212" i="28"/>
  <c r="P226" i="28"/>
  <c r="P185" i="28"/>
  <c r="P203" i="28"/>
  <c r="P210" i="28"/>
  <c r="P202" i="28"/>
  <c r="P183" i="28"/>
  <c r="P107" i="28"/>
  <c r="O223" i="28"/>
  <c r="O233" i="28"/>
  <c r="O217" i="28"/>
  <c r="O231" i="28"/>
  <c r="O186" i="28"/>
  <c r="O216" i="28"/>
  <c r="O230" i="28"/>
  <c r="O208" i="28"/>
  <c r="O182" i="28"/>
  <c r="R189" i="28"/>
  <c r="R142" i="28"/>
  <c r="R107" i="28"/>
  <c r="R185" i="28"/>
  <c r="R178" i="28"/>
  <c r="R194" i="28"/>
  <c r="R216" i="28"/>
  <c r="R208" i="28"/>
  <c r="R199" i="28"/>
  <c r="R192" i="28"/>
  <c r="R203" i="28"/>
  <c r="R198" i="28"/>
  <c r="R180" i="28"/>
  <c r="R206" i="28"/>
  <c r="R182" i="28"/>
  <c r="R211" i="28"/>
  <c r="R195" i="28"/>
  <c r="Q203" i="28"/>
  <c r="Q185" i="28"/>
  <c r="Q221" i="28"/>
  <c r="Q225" i="28"/>
  <c r="Q217" i="28"/>
  <c r="Q192" i="28"/>
  <c r="Q215" i="28"/>
  <c r="Q207" i="28"/>
  <c r="Q200" i="28"/>
  <c r="Q182" i="28"/>
  <c r="Q180" i="28"/>
  <c r="P218" i="28"/>
  <c r="P222" i="28"/>
  <c r="P190" i="28"/>
  <c r="P215" i="28"/>
  <c r="P220" i="28"/>
  <c r="P224" i="28"/>
  <c r="P207" i="28"/>
  <c r="P216" i="28"/>
  <c r="P208" i="28"/>
  <c r="P199" i="28"/>
  <c r="P180" i="28"/>
  <c r="P219" i="28"/>
  <c r="P223" i="28"/>
  <c r="P217" i="28"/>
  <c r="P201" i="28"/>
  <c r="P191" i="28"/>
  <c r="P200" i="28"/>
  <c r="P179" i="28"/>
  <c r="P221" i="28"/>
  <c r="P225" i="28"/>
  <c r="P209" i="28"/>
  <c r="P189" i="28"/>
  <c r="P214" i="28"/>
  <c r="P206" i="28"/>
  <c r="P198" i="28"/>
  <c r="P188" i="28"/>
  <c r="P181" i="28"/>
  <c r="O199" i="28"/>
  <c r="O180" i="28"/>
  <c r="O218" i="28"/>
  <c r="O222" i="28"/>
  <c r="O214" i="28"/>
  <c r="O206" i="28"/>
  <c r="O198" i="28"/>
  <c r="O188" i="28"/>
  <c r="O221" i="28"/>
  <c r="O225" i="28"/>
  <c r="O213" i="28"/>
  <c r="O205" i="28"/>
  <c r="O197" i="28"/>
  <c r="O187" i="28"/>
  <c r="O178" i="28"/>
  <c r="O201" i="28"/>
  <c r="O220" i="28"/>
  <c r="O224" i="28"/>
  <c r="O212" i="28"/>
  <c r="O204" i="28"/>
  <c r="O190" i="28"/>
  <c r="N221" i="28"/>
  <c r="N225" i="28"/>
  <c r="N219" i="28"/>
  <c r="N223" i="28"/>
  <c r="N203" i="28"/>
  <c r="N195" i="28"/>
  <c r="N184" i="28"/>
  <c r="N218" i="28"/>
  <c r="N222" i="28"/>
  <c r="N217" i="28"/>
  <c r="N209" i="28"/>
  <c r="N201" i="28"/>
  <c r="N186" i="28"/>
  <c r="N220" i="28"/>
  <c r="N224" i="28"/>
  <c r="N190" i="28"/>
  <c r="N208" i="28"/>
  <c r="N182" i="28"/>
  <c r="N215" i="28"/>
  <c r="N216" i="28"/>
  <c r="M206" i="28"/>
  <c r="M180" i="28"/>
  <c r="M190" i="28"/>
  <c r="M214" i="28"/>
  <c r="M188" i="28"/>
  <c r="M198" i="28"/>
  <c r="M221" i="28"/>
  <c r="M224" i="28"/>
  <c r="M218" i="28"/>
  <c r="M223" i="28"/>
  <c r="L195" i="28"/>
  <c r="L221" i="28"/>
  <c r="L224" i="28"/>
  <c r="L142" i="28"/>
  <c r="L210" i="28"/>
  <c r="L183" i="28"/>
  <c r="K221" i="28"/>
  <c r="K224" i="28"/>
  <c r="J218" i="28"/>
  <c r="J221" i="28"/>
  <c r="I185" i="28"/>
  <c r="I195" i="28"/>
  <c r="I184" i="28"/>
  <c r="I203" i="28"/>
  <c r="I210" i="28"/>
  <c r="I201" i="28"/>
  <c r="I191" i="28"/>
  <c r="I214" i="28"/>
  <c r="I221" i="28"/>
  <c r="I186" i="28"/>
  <c r="H215" i="28"/>
  <c r="H218" i="28"/>
  <c r="H222" i="28"/>
  <c r="H209" i="28"/>
  <c r="H219" i="28"/>
  <c r="R183" i="28"/>
  <c r="R210" i="28"/>
  <c r="R202" i="28"/>
  <c r="R215" i="28"/>
  <c r="R207" i="28"/>
  <c r="R200" i="28"/>
  <c r="R187" i="28"/>
  <c r="R184" i="28"/>
  <c r="D175" i="16"/>
  <c r="D181" i="16"/>
  <c r="R179" i="28"/>
  <c r="R197" i="28"/>
  <c r="R214" i="28"/>
  <c r="R191" i="28"/>
  <c r="R186" i="28"/>
  <c r="R190" i="28"/>
  <c r="R213" i="28"/>
  <c r="R205" i="28"/>
  <c r="R212" i="28"/>
  <c r="R204" i="28"/>
  <c r="R196" i="28"/>
  <c r="R188" i="28"/>
  <c r="R181" i="28"/>
  <c r="R193" i="28"/>
  <c r="D173" i="15"/>
  <c r="D176" i="16"/>
  <c r="I211" i="28"/>
  <c r="I188" i="28"/>
  <c r="K217" i="28"/>
  <c r="L205" i="28"/>
  <c r="L220" i="28"/>
  <c r="L211" i="28"/>
  <c r="L203" i="28"/>
  <c r="M197" i="28"/>
  <c r="M178" i="28"/>
  <c r="M213" i="28"/>
  <c r="M209" i="28"/>
  <c r="M205" i="28"/>
  <c r="M201" i="28"/>
  <c r="M193" i="28"/>
  <c r="M187" i="28"/>
  <c r="D171" i="14"/>
  <c r="I204" i="28"/>
  <c r="I196" i="28"/>
  <c r="I215" i="28"/>
  <c r="J213" i="28"/>
  <c r="J216" i="28"/>
  <c r="J212" i="28"/>
  <c r="J215" i="28"/>
  <c r="K218" i="28"/>
  <c r="K219" i="28"/>
  <c r="K220" i="28"/>
  <c r="L198" i="28"/>
  <c r="L187" i="28"/>
  <c r="L197" i="28"/>
  <c r="L212" i="28"/>
  <c r="L208" i="28"/>
  <c r="L196" i="28"/>
  <c r="M216" i="28"/>
  <c r="M212" i="28"/>
  <c r="M208" i="28"/>
  <c r="M204" i="28"/>
  <c r="M200" i="28"/>
  <c r="M196" i="28"/>
  <c r="M191" i="28"/>
  <c r="M179" i="28"/>
  <c r="M219" i="28"/>
  <c r="M215" i="28"/>
  <c r="M211" i="28"/>
  <c r="M207" i="28"/>
  <c r="M203" i="28"/>
  <c r="M199" i="28"/>
  <c r="M195" i="28"/>
  <c r="M189" i="28"/>
  <c r="M185" i="28"/>
  <c r="M184" i="28"/>
  <c r="M220" i="28"/>
  <c r="L202" i="28"/>
  <c r="L178" i="28"/>
  <c r="L184" i="28"/>
  <c r="L215" i="28"/>
  <c r="L207" i="28"/>
  <c r="L199" i="28"/>
  <c r="L189" i="28"/>
  <c r="K204" i="28"/>
  <c r="K213" i="28"/>
  <c r="J214" i="28"/>
  <c r="I142" i="28"/>
  <c r="I181" i="28"/>
  <c r="H142" i="28"/>
  <c r="H214" i="28"/>
  <c r="L193" i="28"/>
  <c r="L209" i="28"/>
  <c r="L185" i="28"/>
  <c r="L217" i="28"/>
  <c r="L194" i="28"/>
  <c r="L216" i="28"/>
  <c r="L200" i="28"/>
  <c r="L191" i="28"/>
  <c r="L181" i="28"/>
  <c r="L201" i="28"/>
  <c r="L213" i="28"/>
  <c r="L204" i="28"/>
  <c r="L182" i="28"/>
  <c r="L219" i="28"/>
  <c r="L186" i="28"/>
  <c r="L218" i="28"/>
  <c r="J204" i="28"/>
  <c r="H208" i="28"/>
  <c r="K211" i="28"/>
  <c r="J211" i="28"/>
  <c r="J207" i="28"/>
  <c r="J203" i="28"/>
  <c r="J208" i="28"/>
  <c r="J205" i="28"/>
  <c r="J210" i="28"/>
  <c r="H213" i="28"/>
  <c r="H194" i="28"/>
  <c r="H202" i="28"/>
  <c r="H184" i="28"/>
  <c r="H193" i="28"/>
  <c r="H183" i="28"/>
  <c r="H210" i="28"/>
  <c r="H199" i="28"/>
  <c r="H189" i="28"/>
  <c r="H204" i="28"/>
  <c r="H196" i="28"/>
  <c r="H186" i="28"/>
  <c r="H203" i="28"/>
  <c r="H195" i="28"/>
  <c r="H185" i="28"/>
  <c r="H191" i="28"/>
  <c r="H200" i="28"/>
  <c r="H201" i="28"/>
  <c r="H181" i="28"/>
  <c r="H206" i="28"/>
  <c r="H198" i="28"/>
  <c r="H188" i="28"/>
  <c r="H180" i="28"/>
  <c r="H207" i="28"/>
  <c r="H205" i="28"/>
  <c r="H197" i="28"/>
  <c r="H187" i="28"/>
  <c r="H179" i="28"/>
  <c r="H178" i="28"/>
  <c r="K203" i="28"/>
  <c r="K208" i="28"/>
  <c r="K215" i="28"/>
  <c r="K207" i="28"/>
  <c r="K216" i="28"/>
  <c r="K214" i="28"/>
  <c r="D108" i="23"/>
  <c r="D107" i="23"/>
  <c r="D54" i="18"/>
  <c r="D53" i="18"/>
  <c r="D52" i="18"/>
  <c r="D51" i="18"/>
  <c r="D70" i="18"/>
  <c r="K311" i="28"/>
  <c r="K312" i="28"/>
  <c r="K313" i="28"/>
  <c r="L131" i="29"/>
  <c r="X85" i="29"/>
  <c r="X88" i="29"/>
  <c r="X89" i="29"/>
  <c r="N131" i="29" l="1"/>
  <c r="Q131" i="29"/>
  <c r="AC85" i="29"/>
  <c r="Z85" i="29"/>
  <c r="Z89" i="29"/>
  <c r="AC89" i="29"/>
  <c r="Z88" i="29"/>
  <c r="AC88" i="29"/>
  <c r="K44" i="28"/>
  <c r="K315" i="28"/>
  <c r="K314" i="28"/>
  <c r="K188" i="28"/>
  <c r="K186" i="28"/>
  <c r="K200" i="28"/>
  <c r="K190" i="28"/>
  <c r="K192" i="28"/>
  <c r="K201" i="28"/>
  <c r="K185" i="28"/>
  <c r="K206" i="28"/>
  <c r="K195" i="28"/>
  <c r="K212" i="28"/>
  <c r="K184" i="28"/>
  <c r="K197" i="28"/>
  <c r="K205" i="28"/>
  <c r="K187" i="28"/>
  <c r="K202" i="28"/>
  <c r="K209" i="28"/>
  <c r="K196" i="28"/>
  <c r="K210" i="28"/>
  <c r="K107" i="28"/>
  <c r="K189" i="28"/>
  <c r="K198" i="28"/>
  <c r="K194" i="28"/>
  <c r="K193" i="28"/>
  <c r="K199" i="28"/>
  <c r="K191" i="28"/>
  <c r="K179" i="28"/>
  <c r="K183" i="28"/>
  <c r="K181" i="28"/>
  <c r="K142" i="28"/>
  <c r="K182" i="28"/>
  <c r="K180" i="28"/>
  <c r="K178" i="28"/>
  <c r="D188" i="1"/>
  <c r="E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D25" i="1"/>
  <c r="E25" i="1"/>
  <c r="H25" i="1"/>
  <c r="I25" i="1"/>
  <c r="J25" i="1"/>
  <c r="K25" i="1"/>
  <c r="L25" i="1"/>
  <c r="M25" i="1"/>
  <c r="N25" i="1"/>
  <c r="O25" i="1"/>
  <c r="P25" i="1"/>
  <c r="Q25" i="1"/>
  <c r="R25" i="1"/>
  <c r="S25" i="1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F18" i="9"/>
  <c r="G18" i="9" s="1"/>
  <c r="F19" i="9"/>
  <c r="G19" i="9" s="1"/>
  <c r="F20" i="9"/>
  <c r="G20" i="9" s="1"/>
  <c r="F21" i="9"/>
  <c r="G21" i="9" s="1"/>
  <c r="F22" i="9"/>
  <c r="G22" i="9" s="1"/>
  <c r="F23" i="9"/>
  <c r="G23" i="9" s="1"/>
  <c r="F24" i="9"/>
  <c r="G24" i="9" s="1"/>
  <c r="F25" i="9"/>
  <c r="G25" i="9" s="1"/>
  <c r="F26" i="9"/>
  <c r="G26" i="9" s="1"/>
  <c r="F27" i="9"/>
  <c r="G27" i="9" s="1"/>
  <c r="F28" i="9"/>
  <c r="G28" i="9" s="1"/>
  <c r="F29" i="9"/>
  <c r="G29" i="9" s="1"/>
  <c r="F30" i="9"/>
  <c r="G30" i="9" s="1"/>
  <c r="F31" i="9"/>
  <c r="G31" i="9" s="1"/>
  <c r="F32" i="9"/>
  <c r="G32" i="9" s="1"/>
  <c r="F33" i="9"/>
  <c r="G33" i="9" s="1"/>
  <c r="F34" i="9"/>
  <c r="G34" i="9" s="1"/>
  <c r="F35" i="9"/>
  <c r="G35" i="9" s="1"/>
  <c r="F36" i="9"/>
  <c r="G36" i="9" s="1"/>
  <c r="F37" i="9"/>
  <c r="G37" i="9" s="1"/>
  <c r="F38" i="9"/>
  <c r="G38" i="9" s="1"/>
  <c r="F39" i="9"/>
  <c r="G39" i="9" s="1"/>
  <c r="F40" i="9"/>
  <c r="G40" i="9" s="1"/>
  <c r="F41" i="9"/>
  <c r="G41" i="9" s="1"/>
  <c r="F42" i="9"/>
  <c r="G42" i="9" s="1"/>
  <c r="F43" i="9"/>
  <c r="G43" i="9" s="1"/>
  <c r="F44" i="9"/>
  <c r="G44" i="9" s="1"/>
  <c r="F45" i="9"/>
  <c r="G45" i="9" s="1"/>
  <c r="F46" i="9"/>
  <c r="G46" i="9" s="1"/>
  <c r="F47" i="9"/>
  <c r="G47" i="9" s="1"/>
  <c r="F48" i="9"/>
  <c r="G48" i="9" s="1"/>
  <c r="F49" i="9"/>
  <c r="G49" i="9" s="1"/>
  <c r="F50" i="9"/>
  <c r="G50" i="9" s="1"/>
  <c r="F51" i="9"/>
  <c r="G51" i="9" s="1"/>
  <c r="F52" i="9"/>
  <c r="G52" i="9" s="1"/>
  <c r="F53" i="9"/>
  <c r="G53" i="9" s="1"/>
  <c r="F54" i="9"/>
  <c r="G54" i="9" s="1"/>
  <c r="F55" i="9"/>
  <c r="G55" i="9" s="1"/>
  <c r="F56" i="9"/>
  <c r="G56" i="9" s="1"/>
  <c r="F57" i="9"/>
  <c r="G57" i="9" s="1"/>
  <c r="F58" i="9"/>
  <c r="G58" i="9" s="1"/>
  <c r="F59" i="9"/>
  <c r="G59" i="9" s="1"/>
  <c r="F60" i="9"/>
  <c r="G60" i="9" s="1"/>
  <c r="F61" i="9"/>
  <c r="G61" i="9" s="1"/>
  <c r="F62" i="9"/>
  <c r="G62" i="9" s="1"/>
  <c r="F63" i="9"/>
  <c r="G63" i="9" s="1"/>
  <c r="F64" i="9"/>
  <c r="G64" i="9" s="1"/>
  <c r="F65" i="9"/>
  <c r="G65" i="9" s="1"/>
  <c r="F66" i="9"/>
  <c r="G66" i="9" s="1"/>
  <c r="F67" i="9"/>
  <c r="G67" i="9" s="1"/>
  <c r="F68" i="9"/>
  <c r="G68" i="9" s="1"/>
  <c r="F69" i="9"/>
  <c r="G69" i="9" s="1"/>
  <c r="F70" i="9"/>
  <c r="G70" i="9" s="1"/>
  <c r="F71" i="9"/>
  <c r="G71" i="9" s="1"/>
  <c r="F72" i="9"/>
  <c r="G72" i="9" s="1"/>
  <c r="F73" i="9"/>
  <c r="G73" i="9" s="1"/>
  <c r="F74" i="9"/>
  <c r="G74" i="9" s="1"/>
  <c r="F75" i="9"/>
  <c r="G75" i="9" s="1"/>
  <c r="F76" i="9"/>
  <c r="G76" i="9" s="1"/>
  <c r="F77" i="9"/>
  <c r="G77" i="9" s="1"/>
  <c r="F78" i="9"/>
  <c r="G78" i="9" s="1"/>
  <c r="F79" i="9"/>
  <c r="G79" i="9" s="1"/>
  <c r="F80" i="9"/>
  <c r="G80" i="9" s="1"/>
  <c r="F81" i="9"/>
  <c r="G81" i="9" s="1"/>
  <c r="F82" i="9"/>
  <c r="G82" i="9" s="1"/>
  <c r="F83" i="9"/>
  <c r="G83" i="9" s="1"/>
  <c r="F84" i="9"/>
  <c r="G84" i="9" s="1"/>
  <c r="F85" i="9"/>
  <c r="G85" i="9" s="1"/>
  <c r="F86" i="9"/>
  <c r="G86" i="9" s="1"/>
  <c r="F87" i="9"/>
  <c r="G87" i="9" s="1"/>
  <c r="F88" i="9"/>
  <c r="G88" i="9" s="1"/>
  <c r="F89" i="9"/>
  <c r="G89" i="9" s="1"/>
  <c r="F90" i="9"/>
  <c r="G90" i="9" s="1"/>
  <c r="F91" i="9"/>
  <c r="G91" i="9" s="1"/>
  <c r="F92" i="9"/>
  <c r="G92" i="9" s="1"/>
  <c r="F93" i="9"/>
  <c r="G93" i="9" s="1"/>
  <c r="F94" i="9"/>
  <c r="G94" i="9" s="1"/>
  <c r="F95" i="9"/>
  <c r="G95" i="9" s="1"/>
  <c r="F96" i="9"/>
  <c r="G96" i="9" s="1"/>
  <c r="F97" i="9"/>
  <c r="G97" i="9" s="1"/>
  <c r="F98" i="9"/>
  <c r="G98" i="9" s="1"/>
  <c r="F99" i="9"/>
  <c r="G99" i="9" s="1"/>
  <c r="F100" i="9"/>
  <c r="G100" i="9" s="1"/>
  <c r="F101" i="9"/>
  <c r="G101" i="9" s="1"/>
  <c r="F102" i="9"/>
  <c r="G102" i="9" s="1"/>
  <c r="F103" i="9"/>
  <c r="G103" i="9" s="1"/>
  <c r="F104" i="9"/>
  <c r="G104" i="9" s="1"/>
  <c r="F105" i="9"/>
  <c r="G105" i="9" s="1"/>
  <c r="F106" i="9"/>
  <c r="G106" i="9" s="1"/>
  <c r="F107" i="9"/>
  <c r="G107" i="9" s="1"/>
  <c r="F108" i="9"/>
  <c r="G108" i="9" s="1"/>
  <c r="F109" i="9"/>
  <c r="G109" i="9" s="1"/>
  <c r="F110" i="9"/>
  <c r="G110" i="9" s="1"/>
  <c r="F111" i="9"/>
  <c r="G111" i="9" s="1"/>
  <c r="F112" i="9"/>
  <c r="G112" i="9" s="1"/>
  <c r="F113" i="9"/>
  <c r="G113" i="9" s="1"/>
  <c r="F114" i="9"/>
  <c r="G114" i="9" s="1"/>
  <c r="F115" i="9"/>
  <c r="G115" i="9" s="1"/>
  <c r="F116" i="9"/>
  <c r="G116" i="9" s="1"/>
  <c r="F117" i="9"/>
  <c r="G117" i="9" s="1"/>
  <c r="F118" i="9"/>
  <c r="G118" i="9" s="1"/>
  <c r="F119" i="9"/>
  <c r="G119" i="9" s="1"/>
  <c r="F120" i="9"/>
  <c r="G120" i="9" s="1"/>
  <c r="F121" i="9"/>
  <c r="G121" i="9" s="1"/>
  <c r="F122" i="9"/>
  <c r="G122" i="9" s="1"/>
  <c r="F123" i="9"/>
  <c r="G123" i="9" s="1"/>
  <c r="F124" i="9"/>
  <c r="G124" i="9" s="1"/>
  <c r="F125" i="9"/>
  <c r="G125" i="9" s="1"/>
  <c r="F126" i="9"/>
  <c r="G126" i="9" s="1"/>
  <c r="F127" i="9"/>
  <c r="G127" i="9" s="1"/>
  <c r="F128" i="9"/>
  <c r="G128" i="9" s="1"/>
  <c r="F129" i="9"/>
  <c r="G129" i="9" s="1"/>
  <c r="F130" i="9"/>
  <c r="G130" i="9" s="1"/>
  <c r="F131" i="9"/>
  <c r="G131" i="9" s="1"/>
  <c r="F132" i="9"/>
  <c r="G132" i="9" s="1"/>
  <c r="F133" i="9"/>
  <c r="G133" i="9" s="1"/>
  <c r="F134" i="9"/>
  <c r="G134" i="9" s="1"/>
  <c r="F135" i="9"/>
  <c r="G135" i="9" s="1"/>
  <c r="F136" i="9"/>
  <c r="G136" i="9" s="1"/>
  <c r="F137" i="9"/>
  <c r="G137" i="9" s="1"/>
  <c r="F138" i="9"/>
  <c r="G138" i="9" s="1"/>
  <c r="F139" i="9"/>
  <c r="G139" i="9" s="1"/>
  <c r="F140" i="9"/>
  <c r="G140" i="9" s="1"/>
  <c r="F141" i="9"/>
  <c r="G141" i="9" s="1"/>
  <c r="F142" i="9"/>
  <c r="G142" i="9" s="1"/>
  <c r="F143" i="9"/>
  <c r="G143" i="9" s="1"/>
  <c r="F144" i="9"/>
  <c r="G144" i="9" s="1"/>
  <c r="F145" i="9"/>
  <c r="G145" i="9" s="1"/>
  <c r="F146" i="9"/>
  <c r="G146" i="9" s="1"/>
  <c r="F147" i="9"/>
  <c r="G147" i="9" s="1"/>
  <c r="F148" i="9"/>
  <c r="G148" i="9" s="1"/>
  <c r="F149" i="9"/>
  <c r="G149" i="9" s="1"/>
  <c r="F150" i="9"/>
  <c r="G150" i="9" s="1"/>
  <c r="F151" i="9"/>
  <c r="G151" i="9" s="1"/>
  <c r="F152" i="9"/>
  <c r="G152" i="9" s="1"/>
  <c r="F153" i="9"/>
  <c r="G153" i="9" s="1"/>
  <c r="F154" i="9"/>
  <c r="G154" i="9" s="1"/>
  <c r="F155" i="9"/>
  <c r="G155" i="9" s="1"/>
  <c r="F156" i="9"/>
  <c r="G156" i="9" s="1"/>
  <c r="F157" i="9"/>
  <c r="G157" i="9" s="1"/>
  <c r="F158" i="9"/>
  <c r="G158" i="9" s="1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F18" i="8"/>
  <c r="G18" i="8" s="1"/>
  <c r="F19" i="8"/>
  <c r="G19" i="8" s="1"/>
  <c r="F20" i="8"/>
  <c r="G20" i="8" s="1"/>
  <c r="F21" i="8"/>
  <c r="G21" i="8" s="1"/>
  <c r="F22" i="8"/>
  <c r="G22" i="8" s="1"/>
  <c r="F23" i="8"/>
  <c r="G23" i="8" s="1"/>
  <c r="F24" i="8"/>
  <c r="G24" i="8" s="1"/>
  <c r="F25" i="8"/>
  <c r="G25" i="8" s="1"/>
  <c r="F26" i="8"/>
  <c r="G26" i="8" s="1"/>
  <c r="F27" i="8"/>
  <c r="G27" i="8" s="1"/>
  <c r="F28" i="8"/>
  <c r="G28" i="8" s="1"/>
  <c r="F29" i="8"/>
  <c r="G29" i="8" s="1"/>
  <c r="F30" i="8"/>
  <c r="G30" i="8" s="1"/>
  <c r="F31" i="8"/>
  <c r="G31" i="8" s="1"/>
  <c r="F32" i="8"/>
  <c r="G32" i="8" s="1"/>
  <c r="F33" i="8"/>
  <c r="G33" i="8" s="1"/>
  <c r="F34" i="8"/>
  <c r="G34" i="8" s="1"/>
  <c r="F35" i="8"/>
  <c r="G35" i="8" s="1"/>
  <c r="F36" i="8"/>
  <c r="G36" i="8" s="1"/>
  <c r="F37" i="8"/>
  <c r="G37" i="8" s="1"/>
  <c r="F38" i="8"/>
  <c r="G38" i="8" s="1"/>
  <c r="F39" i="8"/>
  <c r="G39" i="8" s="1"/>
  <c r="F40" i="8"/>
  <c r="G40" i="8" s="1"/>
  <c r="F41" i="8"/>
  <c r="G41" i="8" s="1"/>
  <c r="F42" i="8"/>
  <c r="G42" i="8" s="1"/>
  <c r="F43" i="8"/>
  <c r="G43" i="8" s="1"/>
  <c r="F44" i="8"/>
  <c r="G44" i="8" s="1"/>
  <c r="F45" i="8"/>
  <c r="G45" i="8" s="1"/>
  <c r="F46" i="8"/>
  <c r="G46" i="8" s="1"/>
  <c r="F47" i="8"/>
  <c r="G47" i="8" s="1"/>
  <c r="F48" i="8"/>
  <c r="G48" i="8" s="1"/>
  <c r="F49" i="8"/>
  <c r="G49" i="8" s="1"/>
  <c r="F50" i="8"/>
  <c r="G50" i="8" s="1"/>
  <c r="F51" i="8"/>
  <c r="G51" i="8" s="1"/>
  <c r="F52" i="8"/>
  <c r="G52" i="8" s="1"/>
  <c r="F53" i="8"/>
  <c r="G53" i="8" s="1"/>
  <c r="F54" i="8"/>
  <c r="G54" i="8" s="1"/>
  <c r="F55" i="8"/>
  <c r="G55" i="8" s="1"/>
  <c r="F56" i="8"/>
  <c r="G56" i="8" s="1"/>
  <c r="F57" i="8"/>
  <c r="G57" i="8" s="1"/>
  <c r="F58" i="8"/>
  <c r="G58" i="8" s="1"/>
  <c r="F59" i="8"/>
  <c r="G59" i="8" s="1"/>
  <c r="F60" i="8"/>
  <c r="G60" i="8" s="1"/>
  <c r="F61" i="8"/>
  <c r="G61" i="8" s="1"/>
  <c r="F62" i="8"/>
  <c r="G62" i="8" s="1"/>
  <c r="F63" i="8"/>
  <c r="G63" i="8" s="1"/>
  <c r="F64" i="8"/>
  <c r="G64" i="8" s="1"/>
  <c r="F65" i="8"/>
  <c r="G65" i="8" s="1"/>
  <c r="F66" i="8"/>
  <c r="G66" i="8" s="1"/>
  <c r="F67" i="8"/>
  <c r="G67" i="8" s="1"/>
  <c r="F68" i="8"/>
  <c r="G68" i="8" s="1"/>
  <c r="F69" i="8"/>
  <c r="G69" i="8" s="1"/>
  <c r="F70" i="8"/>
  <c r="G70" i="8" s="1"/>
  <c r="F71" i="8"/>
  <c r="G71" i="8" s="1"/>
  <c r="F72" i="8"/>
  <c r="G72" i="8" s="1"/>
  <c r="F73" i="8"/>
  <c r="G73" i="8" s="1"/>
  <c r="F74" i="8"/>
  <c r="G74" i="8" s="1"/>
  <c r="F75" i="8"/>
  <c r="G75" i="8" s="1"/>
  <c r="F76" i="8"/>
  <c r="G76" i="8" s="1"/>
  <c r="F77" i="8"/>
  <c r="G77" i="8" s="1"/>
  <c r="F78" i="8"/>
  <c r="G78" i="8" s="1"/>
  <c r="F79" i="8"/>
  <c r="G79" i="8" s="1"/>
  <c r="F80" i="8"/>
  <c r="G80" i="8" s="1"/>
  <c r="F81" i="8"/>
  <c r="G81" i="8" s="1"/>
  <c r="F82" i="8"/>
  <c r="G82" i="8" s="1"/>
  <c r="F83" i="8"/>
  <c r="G83" i="8" s="1"/>
  <c r="F84" i="8"/>
  <c r="G84" i="8" s="1"/>
  <c r="F85" i="8"/>
  <c r="G85" i="8" s="1"/>
  <c r="F86" i="8"/>
  <c r="G86" i="8" s="1"/>
  <c r="F87" i="8"/>
  <c r="G87" i="8" s="1"/>
  <c r="F88" i="8"/>
  <c r="G88" i="8" s="1"/>
  <c r="F89" i="8"/>
  <c r="G89" i="8" s="1"/>
  <c r="F90" i="8"/>
  <c r="G90" i="8" s="1"/>
  <c r="F91" i="8"/>
  <c r="G91" i="8" s="1"/>
  <c r="F92" i="8"/>
  <c r="G92" i="8" s="1"/>
  <c r="F93" i="8"/>
  <c r="G93" i="8" s="1"/>
  <c r="F94" i="8"/>
  <c r="G94" i="8" s="1"/>
  <c r="F95" i="8"/>
  <c r="G95" i="8" s="1"/>
  <c r="F96" i="8"/>
  <c r="G96" i="8" s="1"/>
  <c r="F97" i="8"/>
  <c r="G97" i="8" s="1"/>
  <c r="F98" i="8"/>
  <c r="G98" i="8" s="1"/>
  <c r="F99" i="8"/>
  <c r="G99" i="8" s="1"/>
  <c r="F100" i="8"/>
  <c r="G100" i="8" s="1"/>
  <c r="F101" i="8"/>
  <c r="G101" i="8" s="1"/>
  <c r="F102" i="8"/>
  <c r="G102" i="8" s="1"/>
  <c r="F103" i="8"/>
  <c r="G103" i="8" s="1"/>
  <c r="F104" i="8"/>
  <c r="G104" i="8" s="1"/>
  <c r="F105" i="8"/>
  <c r="G105" i="8" s="1"/>
  <c r="F106" i="8"/>
  <c r="G106" i="8" s="1"/>
  <c r="F107" i="8"/>
  <c r="G107" i="8" s="1"/>
  <c r="F108" i="8"/>
  <c r="G108" i="8" s="1"/>
  <c r="F109" i="8"/>
  <c r="G109" i="8" s="1"/>
  <c r="F110" i="8"/>
  <c r="G110" i="8" s="1"/>
  <c r="F111" i="8"/>
  <c r="G111" i="8" s="1"/>
  <c r="F112" i="8"/>
  <c r="G112" i="8" s="1"/>
  <c r="F113" i="8"/>
  <c r="G113" i="8" s="1"/>
  <c r="F114" i="8"/>
  <c r="G114" i="8" s="1"/>
  <c r="F115" i="8"/>
  <c r="G115" i="8" s="1"/>
  <c r="F116" i="8"/>
  <c r="G116" i="8" s="1"/>
  <c r="F117" i="8"/>
  <c r="G117" i="8" s="1"/>
  <c r="F118" i="8"/>
  <c r="G118" i="8" s="1"/>
  <c r="F119" i="8"/>
  <c r="G119" i="8" s="1"/>
  <c r="F120" i="8"/>
  <c r="G120" i="8" s="1"/>
  <c r="F121" i="8"/>
  <c r="G121" i="8" s="1"/>
  <c r="F122" i="8"/>
  <c r="G122" i="8" s="1"/>
  <c r="F123" i="8"/>
  <c r="G123" i="8" s="1"/>
  <c r="F124" i="8"/>
  <c r="G124" i="8" s="1"/>
  <c r="F125" i="8"/>
  <c r="G125" i="8" s="1"/>
  <c r="F126" i="8"/>
  <c r="G126" i="8" s="1"/>
  <c r="F127" i="8"/>
  <c r="G127" i="8" s="1"/>
  <c r="F128" i="8"/>
  <c r="G128" i="8" s="1"/>
  <c r="F129" i="8"/>
  <c r="G129" i="8" s="1"/>
  <c r="F130" i="8"/>
  <c r="G130" i="8" s="1"/>
  <c r="F131" i="8"/>
  <c r="G131" i="8" s="1"/>
  <c r="F132" i="8"/>
  <c r="G132" i="8" s="1"/>
  <c r="F133" i="8"/>
  <c r="G133" i="8" s="1"/>
  <c r="F134" i="8"/>
  <c r="G134" i="8" s="1"/>
  <c r="F135" i="8"/>
  <c r="G135" i="8" s="1"/>
  <c r="F136" i="8"/>
  <c r="G136" i="8" s="1"/>
  <c r="F137" i="8"/>
  <c r="G137" i="8" s="1"/>
  <c r="F138" i="8"/>
  <c r="G138" i="8" s="1"/>
  <c r="F139" i="8"/>
  <c r="G139" i="8" s="1"/>
  <c r="F140" i="8"/>
  <c r="G140" i="8" s="1"/>
  <c r="F141" i="8"/>
  <c r="G141" i="8" s="1"/>
  <c r="F142" i="8"/>
  <c r="G142" i="8" s="1"/>
  <c r="F143" i="8"/>
  <c r="G143" i="8" s="1"/>
  <c r="F144" i="8"/>
  <c r="G144" i="8" s="1"/>
  <c r="F145" i="8"/>
  <c r="G145" i="8" s="1"/>
  <c r="F146" i="8"/>
  <c r="G146" i="8" s="1"/>
  <c r="F147" i="8"/>
  <c r="G147" i="8" s="1"/>
  <c r="F148" i="8"/>
  <c r="G148" i="8" s="1"/>
  <c r="F149" i="8"/>
  <c r="G149" i="8" s="1"/>
  <c r="F150" i="8"/>
  <c r="G150" i="8" s="1"/>
  <c r="F151" i="8"/>
  <c r="G151" i="8" s="1"/>
  <c r="F152" i="8"/>
  <c r="G152" i="8" s="1"/>
  <c r="F153" i="8"/>
  <c r="G153" i="8" s="1"/>
  <c r="F154" i="8"/>
  <c r="G154" i="8" s="1"/>
  <c r="F155" i="8"/>
  <c r="G155" i="8" s="1"/>
  <c r="F156" i="8"/>
  <c r="G156" i="8" s="1"/>
  <c r="F157" i="8"/>
  <c r="G157" i="8" s="1"/>
  <c r="F158" i="8"/>
  <c r="G158" i="8" s="1"/>
  <c r="J44" i="28"/>
  <c r="J311" i="28"/>
  <c r="J312" i="28"/>
  <c r="J313" i="28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F18" i="7"/>
  <c r="G18" i="7" s="1"/>
  <c r="F19" i="7"/>
  <c r="G19" i="7" s="1"/>
  <c r="F20" i="7"/>
  <c r="G20" i="7" s="1"/>
  <c r="F21" i="7"/>
  <c r="G21" i="7" s="1"/>
  <c r="F22" i="7"/>
  <c r="G22" i="7" s="1"/>
  <c r="F23" i="7"/>
  <c r="G23" i="7" s="1"/>
  <c r="F24" i="7"/>
  <c r="G24" i="7" s="1"/>
  <c r="F25" i="7"/>
  <c r="G25" i="7" s="1"/>
  <c r="F26" i="7"/>
  <c r="G26" i="7" s="1"/>
  <c r="F27" i="7"/>
  <c r="G27" i="7" s="1"/>
  <c r="F28" i="7"/>
  <c r="G28" i="7" s="1"/>
  <c r="F29" i="7"/>
  <c r="G29" i="7" s="1"/>
  <c r="F30" i="7"/>
  <c r="G30" i="7" s="1"/>
  <c r="F31" i="7"/>
  <c r="G31" i="7" s="1"/>
  <c r="F32" i="7"/>
  <c r="G32" i="7" s="1"/>
  <c r="F33" i="7"/>
  <c r="G33" i="7" s="1"/>
  <c r="F34" i="7"/>
  <c r="G34" i="7" s="1"/>
  <c r="F35" i="7"/>
  <c r="G35" i="7" s="1"/>
  <c r="F36" i="7"/>
  <c r="G36" i="7" s="1"/>
  <c r="F37" i="7"/>
  <c r="G37" i="7" s="1"/>
  <c r="F38" i="7"/>
  <c r="G38" i="7" s="1"/>
  <c r="F39" i="7"/>
  <c r="G39" i="7" s="1"/>
  <c r="F40" i="7"/>
  <c r="G40" i="7" s="1"/>
  <c r="F41" i="7"/>
  <c r="G41" i="7" s="1"/>
  <c r="F42" i="7"/>
  <c r="G42" i="7" s="1"/>
  <c r="F43" i="7"/>
  <c r="G43" i="7" s="1"/>
  <c r="F44" i="7"/>
  <c r="G44" i="7" s="1"/>
  <c r="F45" i="7"/>
  <c r="G45" i="7" s="1"/>
  <c r="F46" i="7"/>
  <c r="G46" i="7" s="1"/>
  <c r="F47" i="7"/>
  <c r="G47" i="7" s="1"/>
  <c r="F48" i="7"/>
  <c r="G48" i="7" s="1"/>
  <c r="F49" i="7"/>
  <c r="G49" i="7" s="1"/>
  <c r="F50" i="7"/>
  <c r="G50" i="7" s="1"/>
  <c r="F51" i="7"/>
  <c r="G51" i="7" s="1"/>
  <c r="F52" i="7"/>
  <c r="G52" i="7" s="1"/>
  <c r="F53" i="7"/>
  <c r="G53" i="7" s="1"/>
  <c r="F54" i="7"/>
  <c r="G54" i="7" s="1"/>
  <c r="F55" i="7"/>
  <c r="G55" i="7" s="1"/>
  <c r="F56" i="7"/>
  <c r="G56" i="7" s="1"/>
  <c r="F57" i="7"/>
  <c r="G57" i="7" s="1"/>
  <c r="F58" i="7"/>
  <c r="G58" i="7" s="1"/>
  <c r="F59" i="7"/>
  <c r="G59" i="7" s="1"/>
  <c r="F60" i="7"/>
  <c r="G60" i="7" s="1"/>
  <c r="F61" i="7"/>
  <c r="G61" i="7" s="1"/>
  <c r="F62" i="7"/>
  <c r="G62" i="7" s="1"/>
  <c r="F63" i="7"/>
  <c r="G63" i="7" s="1"/>
  <c r="F64" i="7"/>
  <c r="G64" i="7" s="1"/>
  <c r="F65" i="7"/>
  <c r="G65" i="7" s="1"/>
  <c r="F66" i="7"/>
  <c r="G66" i="7" s="1"/>
  <c r="F67" i="7"/>
  <c r="G67" i="7" s="1"/>
  <c r="F68" i="7"/>
  <c r="G68" i="7" s="1"/>
  <c r="F69" i="7"/>
  <c r="G69" i="7" s="1"/>
  <c r="F70" i="7"/>
  <c r="G70" i="7" s="1"/>
  <c r="F71" i="7"/>
  <c r="G71" i="7" s="1"/>
  <c r="F72" i="7"/>
  <c r="G72" i="7" s="1"/>
  <c r="F73" i="7"/>
  <c r="G73" i="7" s="1"/>
  <c r="F74" i="7"/>
  <c r="G74" i="7" s="1"/>
  <c r="F75" i="7"/>
  <c r="G75" i="7" s="1"/>
  <c r="F76" i="7"/>
  <c r="G76" i="7" s="1"/>
  <c r="F77" i="7"/>
  <c r="G77" i="7" s="1"/>
  <c r="F78" i="7"/>
  <c r="G78" i="7" s="1"/>
  <c r="F79" i="7"/>
  <c r="G79" i="7" s="1"/>
  <c r="F80" i="7"/>
  <c r="G80" i="7" s="1"/>
  <c r="F81" i="7"/>
  <c r="G81" i="7" s="1"/>
  <c r="F82" i="7"/>
  <c r="G82" i="7" s="1"/>
  <c r="F83" i="7"/>
  <c r="G83" i="7" s="1"/>
  <c r="F84" i="7"/>
  <c r="G84" i="7" s="1"/>
  <c r="F85" i="7"/>
  <c r="G85" i="7" s="1"/>
  <c r="F86" i="7"/>
  <c r="G86" i="7" s="1"/>
  <c r="F87" i="7"/>
  <c r="G87" i="7" s="1"/>
  <c r="F88" i="7"/>
  <c r="G88" i="7" s="1"/>
  <c r="F89" i="7"/>
  <c r="G89" i="7" s="1"/>
  <c r="F90" i="7"/>
  <c r="G90" i="7" s="1"/>
  <c r="F91" i="7"/>
  <c r="G91" i="7" s="1"/>
  <c r="F92" i="7"/>
  <c r="G92" i="7" s="1"/>
  <c r="F93" i="7"/>
  <c r="G93" i="7" s="1"/>
  <c r="F94" i="7"/>
  <c r="G94" i="7" s="1"/>
  <c r="F95" i="7"/>
  <c r="G95" i="7" s="1"/>
  <c r="F96" i="7"/>
  <c r="G96" i="7" s="1"/>
  <c r="F97" i="7"/>
  <c r="G97" i="7" s="1"/>
  <c r="F98" i="7"/>
  <c r="G98" i="7" s="1"/>
  <c r="F99" i="7"/>
  <c r="G99" i="7" s="1"/>
  <c r="F100" i="7"/>
  <c r="G100" i="7" s="1"/>
  <c r="F101" i="7"/>
  <c r="G101" i="7" s="1"/>
  <c r="F102" i="7"/>
  <c r="G102" i="7" s="1"/>
  <c r="F103" i="7"/>
  <c r="G103" i="7" s="1"/>
  <c r="F104" i="7"/>
  <c r="G104" i="7" s="1"/>
  <c r="F105" i="7"/>
  <c r="G105" i="7" s="1"/>
  <c r="F106" i="7"/>
  <c r="G106" i="7" s="1"/>
  <c r="F107" i="7"/>
  <c r="G107" i="7" s="1"/>
  <c r="F108" i="7"/>
  <c r="G108" i="7" s="1"/>
  <c r="F109" i="7"/>
  <c r="G109" i="7" s="1"/>
  <c r="F110" i="7"/>
  <c r="G110" i="7" s="1"/>
  <c r="F111" i="7"/>
  <c r="G111" i="7" s="1"/>
  <c r="F112" i="7"/>
  <c r="G112" i="7" s="1"/>
  <c r="F113" i="7"/>
  <c r="G113" i="7" s="1"/>
  <c r="F114" i="7"/>
  <c r="G114" i="7" s="1"/>
  <c r="F115" i="7"/>
  <c r="G115" i="7" s="1"/>
  <c r="F116" i="7"/>
  <c r="G116" i="7" s="1"/>
  <c r="F117" i="7"/>
  <c r="G117" i="7" s="1"/>
  <c r="F118" i="7"/>
  <c r="G118" i="7" s="1"/>
  <c r="F119" i="7"/>
  <c r="G119" i="7" s="1"/>
  <c r="F120" i="7"/>
  <c r="G120" i="7" s="1"/>
  <c r="F121" i="7"/>
  <c r="G121" i="7" s="1"/>
  <c r="F122" i="7"/>
  <c r="G122" i="7" s="1"/>
  <c r="F123" i="7"/>
  <c r="G123" i="7" s="1"/>
  <c r="F124" i="7"/>
  <c r="G124" i="7" s="1"/>
  <c r="F125" i="7"/>
  <c r="G125" i="7" s="1"/>
  <c r="F126" i="7"/>
  <c r="G126" i="7" s="1"/>
  <c r="F127" i="7"/>
  <c r="G127" i="7" s="1"/>
  <c r="F128" i="7"/>
  <c r="G128" i="7" s="1"/>
  <c r="F129" i="7"/>
  <c r="G129" i="7" s="1"/>
  <c r="F130" i="7"/>
  <c r="G130" i="7" s="1"/>
  <c r="F131" i="7"/>
  <c r="G131" i="7" s="1"/>
  <c r="F132" i="7"/>
  <c r="G132" i="7" s="1"/>
  <c r="F133" i="7"/>
  <c r="G133" i="7" s="1"/>
  <c r="F134" i="7"/>
  <c r="G134" i="7" s="1"/>
  <c r="F135" i="7"/>
  <c r="G135" i="7" s="1"/>
  <c r="F136" i="7"/>
  <c r="G136" i="7" s="1"/>
  <c r="F137" i="7"/>
  <c r="G137" i="7" s="1"/>
  <c r="F138" i="7"/>
  <c r="G138" i="7" s="1"/>
  <c r="F139" i="7"/>
  <c r="G139" i="7" s="1"/>
  <c r="F140" i="7"/>
  <c r="G140" i="7" s="1"/>
  <c r="F141" i="7"/>
  <c r="G141" i="7" s="1"/>
  <c r="F142" i="7"/>
  <c r="G142" i="7" s="1"/>
  <c r="F143" i="7"/>
  <c r="G143" i="7" s="1"/>
  <c r="F144" i="7"/>
  <c r="G144" i="7" s="1"/>
  <c r="F145" i="7"/>
  <c r="G145" i="7" s="1"/>
  <c r="F146" i="7"/>
  <c r="G146" i="7" s="1"/>
  <c r="F147" i="7"/>
  <c r="G147" i="7" s="1"/>
  <c r="F148" i="7"/>
  <c r="G148" i="7" s="1"/>
  <c r="F149" i="7"/>
  <c r="G149" i="7" s="1"/>
  <c r="F150" i="7"/>
  <c r="G150" i="7" s="1"/>
  <c r="F151" i="7"/>
  <c r="G151" i="7" s="1"/>
  <c r="F152" i="7"/>
  <c r="G152" i="7" s="1"/>
  <c r="F153" i="7"/>
  <c r="G153" i="7" s="1"/>
  <c r="F154" i="7"/>
  <c r="G154" i="7" s="1"/>
  <c r="F155" i="7"/>
  <c r="G155" i="7" s="1"/>
  <c r="E18" i="2"/>
  <c r="E19" i="2"/>
  <c r="E20" i="2"/>
  <c r="E21" i="2"/>
  <c r="E22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F18" i="2"/>
  <c r="G18" i="2" s="1"/>
  <c r="F19" i="2"/>
  <c r="G19" i="2" s="1"/>
  <c r="F20" i="2"/>
  <c r="G20" i="2" s="1"/>
  <c r="F21" i="2"/>
  <c r="G21" i="2" s="1"/>
  <c r="F22" i="2"/>
  <c r="G22" i="2" s="1"/>
  <c r="F23" i="2"/>
  <c r="G23" i="2" s="1"/>
  <c r="F24" i="2"/>
  <c r="G24" i="2" s="1"/>
  <c r="F25" i="2"/>
  <c r="G25" i="2" s="1"/>
  <c r="F26" i="2"/>
  <c r="G26" i="2" s="1"/>
  <c r="F27" i="2"/>
  <c r="G27" i="2" s="1"/>
  <c r="F28" i="2"/>
  <c r="G28" i="2" s="1"/>
  <c r="F29" i="2"/>
  <c r="G29" i="2" s="1"/>
  <c r="F30" i="2"/>
  <c r="G30" i="2" s="1"/>
  <c r="F31" i="2"/>
  <c r="G31" i="2" s="1"/>
  <c r="F32" i="2"/>
  <c r="G32" i="2" s="1"/>
  <c r="F33" i="2"/>
  <c r="G33" i="2" s="1"/>
  <c r="F34" i="2"/>
  <c r="G34" i="2" s="1"/>
  <c r="F35" i="2"/>
  <c r="G35" i="2" s="1"/>
  <c r="F36" i="2"/>
  <c r="G36" i="2" s="1"/>
  <c r="F37" i="2"/>
  <c r="G37" i="2" s="1"/>
  <c r="F38" i="2"/>
  <c r="G38" i="2" s="1"/>
  <c r="F39" i="2"/>
  <c r="G39" i="2" s="1"/>
  <c r="F40" i="2"/>
  <c r="G40" i="2" s="1"/>
  <c r="F41" i="2"/>
  <c r="G41" i="2" s="1"/>
  <c r="F42" i="2"/>
  <c r="G42" i="2" s="1"/>
  <c r="F43" i="2"/>
  <c r="G43" i="2" s="1"/>
  <c r="F44" i="2"/>
  <c r="G44" i="2" s="1"/>
  <c r="F45" i="2"/>
  <c r="G45" i="2" s="1"/>
  <c r="F46" i="2"/>
  <c r="G46" i="2" s="1"/>
  <c r="F47" i="2"/>
  <c r="G47" i="2" s="1"/>
  <c r="F48" i="2"/>
  <c r="G48" i="2" s="1"/>
  <c r="F49" i="2"/>
  <c r="G49" i="2" s="1"/>
  <c r="F50" i="2"/>
  <c r="G50" i="2" s="1"/>
  <c r="F51" i="2"/>
  <c r="G51" i="2" s="1"/>
  <c r="F52" i="2"/>
  <c r="G52" i="2" s="1"/>
  <c r="F53" i="2"/>
  <c r="G53" i="2" s="1"/>
  <c r="F54" i="2"/>
  <c r="G54" i="2" s="1"/>
  <c r="F55" i="2"/>
  <c r="G55" i="2" s="1"/>
  <c r="F56" i="2"/>
  <c r="G56" i="2" s="1"/>
  <c r="F57" i="2"/>
  <c r="G57" i="2" s="1"/>
  <c r="F58" i="2"/>
  <c r="G58" i="2" s="1"/>
  <c r="F59" i="2"/>
  <c r="G59" i="2" s="1"/>
  <c r="F60" i="2"/>
  <c r="G60" i="2" s="1"/>
  <c r="F61" i="2"/>
  <c r="G61" i="2" s="1"/>
  <c r="F62" i="2"/>
  <c r="G62" i="2" s="1"/>
  <c r="F63" i="2"/>
  <c r="G63" i="2" s="1"/>
  <c r="F64" i="2"/>
  <c r="G64" i="2" s="1"/>
  <c r="F65" i="2"/>
  <c r="G65" i="2" s="1"/>
  <c r="F66" i="2"/>
  <c r="G66" i="2" s="1"/>
  <c r="F67" i="2"/>
  <c r="G67" i="2" s="1"/>
  <c r="F68" i="2"/>
  <c r="G68" i="2" s="1"/>
  <c r="F69" i="2"/>
  <c r="G69" i="2" s="1"/>
  <c r="F70" i="2"/>
  <c r="G70" i="2" s="1"/>
  <c r="F71" i="2"/>
  <c r="G71" i="2" s="1"/>
  <c r="F72" i="2"/>
  <c r="G72" i="2" s="1"/>
  <c r="F73" i="2"/>
  <c r="G73" i="2" s="1"/>
  <c r="F74" i="2"/>
  <c r="G74" i="2" s="1"/>
  <c r="F75" i="2"/>
  <c r="G75" i="2" s="1"/>
  <c r="F76" i="2"/>
  <c r="G76" i="2" s="1"/>
  <c r="F77" i="2"/>
  <c r="G77" i="2" s="1"/>
  <c r="F78" i="2"/>
  <c r="G78" i="2" s="1"/>
  <c r="F79" i="2"/>
  <c r="G79" i="2" s="1"/>
  <c r="F80" i="2"/>
  <c r="G80" i="2" s="1"/>
  <c r="F81" i="2"/>
  <c r="G81" i="2" s="1"/>
  <c r="F82" i="2"/>
  <c r="G82" i="2" s="1"/>
  <c r="F83" i="2"/>
  <c r="G83" i="2" s="1"/>
  <c r="F84" i="2"/>
  <c r="G84" i="2" s="1"/>
  <c r="F85" i="2"/>
  <c r="G85" i="2" s="1"/>
  <c r="F86" i="2"/>
  <c r="G86" i="2" s="1"/>
  <c r="F87" i="2"/>
  <c r="G87" i="2" s="1"/>
  <c r="F88" i="2"/>
  <c r="G88" i="2" s="1"/>
  <c r="F89" i="2"/>
  <c r="G89" i="2" s="1"/>
  <c r="F90" i="2"/>
  <c r="G90" i="2" s="1"/>
  <c r="F91" i="2"/>
  <c r="G91" i="2" s="1"/>
  <c r="F92" i="2"/>
  <c r="G92" i="2" s="1"/>
  <c r="F93" i="2"/>
  <c r="G93" i="2" s="1"/>
  <c r="F94" i="2"/>
  <c r="G94" i="2" s="1"/>
  <c r="F95" i="2"/>
  <c r="G95" i="2" s="1"/>
  <c r="F96" i="2"/>
  <c r="G96" i="2" s="1"/>
  <c r="F97" i="2"/>
  <c r="G97" i="2" s="1"/>
  <c r="F98" i="2"/>
  <c r="G98" i="2" s="1"/>
  <c r="F99" i="2"/>
  <c r="G99" i="2" s="1"/>
  <c r="F100" i="2"/>
  <c r="G100" i="2" s="1"/>
  <c r="F101" i="2"/>
  <c r="G101" i="2" s="1"/>
  <c r="F102" i="2"/>
  <c r="G102" i="2" s="1"/>
  <c r="F103" i="2"/>
  <c r="G103" i="2" s="1"/>
  <c r="F104" i="2"/>
  <c r="G104" i="2" s="1"/>
  <c r="F105" i="2"/>
  <c r="G105" i="2" s="1"/>
  <c r="F106" i="2"/>
  <c r="G106" i="2" s="1"/>
  <c r="F107" i="2"/>
  <c r="G107" i="2" s="1"/>
  <c r="F108" i="2"/>
  <c r="G108" i="2" s="1"/>
  <c r="F109" i="2"/>
  <c r="G109" i="2" s="1"/>
  <c r="F110" i="2"/>
  <c r="G110" i="2" s="1"/>
  <c r="F111" i="2"/>
  <c r="G111" i="2" s="1"/>
  <c r="F112" i="2"/>
  <c r="G112" i="2" s="1"/>
  <c r="F113" i="2"/>
  <c r="G113" i="2" s="1"/>
  <c r="F114" i="2"/>
  <c r="G114" i="2" s="1"/>
  <c r="F115" i="2"/>
  <c r="G115" i="2" s="1"/>
  <c r="F116" i="2"/>
  <c r="G116" i="2" s="1"/>
  <c r="F117" i="2"/>
  <c r="G117" i="2" s="1"/>
  <c r="F118" i="2"/>
  <c r="G118" i="2" s="1"/>
  <c r="F119" i="2"/>
  <c r="G119" i="2" s="1"/>
  <c r="F120" i="2"/>
  <c r="G120" i="2" s="1"/>
  <c r="F121" i="2"/>
  <c r="G121" i="2" s="1"/>
  <c r="F122" i="2"/>
  <c r="G122" i="2" s="1"/>
  <c r="F123" i="2"/>
  <c r="G123" i="2" s="1"/>
  <c r="F124" i="2"/>
  <c r="G124" i="2" s="1"/>
  <c r="F125" i="2"/>
  <c r="G125" i="2" s="1"/>
  <c r="F126" i="2"/>
  <c r="G126" i="2" s="1"/>
  <c r="F127" i="2"/>
  <c r="G127" i="2" s="1"/>
  <c r="F128" i="2"/>
  <c r="G128" i="2" s="1"/>
  <c r="F129" i="2"/>
  <c r="G129" i="2" s="1"/>
  <c r="F130" i="2"/>
  <c r="G130" i="2" s="1"/>
  <c r="F131" i="2"/>
  <c r="G131" i="2" s="1"/>
  <c r="F132" i="2"/>
  <c r="G132" i="2" s="1"/>
  <c r="F133" i="2"/>
  <c r="G133" i="2" s="1"/>
  <c r="F134" i="2"/>
  <c r="G134" i="2" s="1"/>
  <c r="F135" i="2"/>
  <c r="G135" i="2" s="1"/>
  <c r="F136" i="2"/>
  <c r="G136" i="2" s="1"/>
  <c r="F137" i="2"/>
  <c r="G137" i="2" s="1"/>
  <c r="F138" i="2"/>
  <c r="G138" i="2" s="1"/>
  <c r="F139" i="2"/>
  <c r="G139" i="2" s="1"/>
  <c r="F140" i="2"/>
  <c r="G140" i="2" s="1"/>
  <c r="F141" i="2"/>
  <c r="G141" i="2" s="1"/>
  <c r="F142" i="2"/>
  <c r="G142" i="2" s="1"/>
  <c r="F143" i="2"/>
  <c r="G143" i="2" s="1"/>
  <c r="F144" i="2"/>
  <c r="G144" i="2" s="1"/>
  <c r="F145" i="2"/>
  <c r="G145" i="2" s="1"/>
  <c r="F146" i="2"/>
  <c r="G146" i="2" s="1"/>
  <c r="F147" i="2"/>
  <c r="G147" i="2" s="1"/>
  <c r="F148" i="2"/>
  <c r="G148" i="2" s="1"/>
  <c r="F149" i="2"/>
  <c r="G149" i="2" s="1"/>
  <c r="F150" i="2"/>
  <c r="G150" i="2" s="1"/>
  <c r="F151" i="2"/>
  <c r="G151" i="2" s="1"/>
  <c r="F152" i="2"/>
  <c r="G152" i="2" s="1"/>
  <c r="F153" i="2"/>
  <c r="G153" i="2" s="1"/>
  <c r="X130" i="29"/>
  <c r="F86" i="29"/>
  <c r="R40" i="29"/>
  <c r="O42" i="29"/>
  <c r="L130" i="29"/>
  <c r="D40" i="29"/>
  <c r="R89" i="29"/>
  <c r="F132" i="29"/>
  <c r="R42" i="29"/>
  <c r="D39" i="29"/>
  <c r="L47" i="29"/>
  <c r="AG50" i="29"/>
  <c r="X83" i="29"/>
  <c r="L40" i="29"/>
  <c r="L42" i="29"/>
  <c r="AD49" i="29"/>
  <c r="AD130" i="29"/>
  <c r="AG130" i="29"/>
  <c r="L82" i="29"/>
  <c r="L43" i="29"/>
  <c r="AD43" i="29"/>
  <c r="AG80" i="29"/>
  <c r="R50" i="29"/>
  <c r="I140" i="29"/>
  <c r="AG83" i="29"/>
  <c r="U41" i="29"/>
  <c r="AD48" i="29"/>
  <c r="AD83" i="29"/>
  <c r="U42" i="29"/>
  <c r="U80" i="29"/>
  <c r="X37" i="29"/>
  <c r="L86" i="29"/>
  <c r="O84" i="29"/>
  <c r="D37" i="29"/>
  <c r="I137" i="29"/>
  <c r="AD86" i="32"/>
  <c r="O82" i="29"/>
  <c r="R46" i="29"/>
  <c r="D45" i="29"/>
  <c r="AD38" i="29"/>
  <c r="U130" i="29"/>
  <c r="F43" i="29"/>
  <c r="AA79" i="29"/>
  <c r="O50" i="29"/>
  <c r="AJ86" i="32"/>
  <c r="R51" i="29"/>
  <c r="I139" i="29"/>
  <c r="D42" i="29"/>
  <c r="AD45" i="29"/>
  <c r="AA82" i="29"/>
  <c r="I50" i="29"/>
  <c r="AD39" i="29"/>
  <c r="X84" i="29"/>
  <c r="U83" i="29"/>
  <c r="AG43" i="29"/>
  <c r="O48" i="29"/>
  <c r="F80" i="29"/>
  <c r="X51" i="29"/>
  <c r="L139" i="29"/>
  <c r="AA45" i="29"/>
  <c r="R83" i="29"/>
  <c r="L86" i="32"/>
  <c r="X132" i="29"/>
  <c r="F81" i="29"/>
  <c r="R137" i="29"/>
  <c r="AA44" i="29"/>
  <c r="U40" i="29"/>
  <c r="AD84" i="29"/>
  <c r="AA47" i="29"/>
  <c r="AA81" i="29"/>
  <c r="F51" i="29"/>
  <c r="AA50" i="29"/>
  <c r="F138" i="29"/>
  <c r="AD81" i="29"/>
  <c r="F40" i="29"/>
  <c r="D49" i="29"/>
  <c r="AA130" i="29"/>
  <c r="AG38" i="29"/>
  <c r="X80" i="29"/>
  <c r="AD47" i="29"/>
  <c r="U38" i="29"/>
  <c r="O39" i="29"/>
  <c r="L39" i="29"/>
  <c r="O51" i="29"/>
  <c r="AD41" i="29"/>
  <c r="F83" i="29"/>
  <c r="X46" i="29"/>
  <c r="AA51" i="29"/>
  <c r="R140" i="29"/>
  <c r="L41" i="29"/>
  <c r="R132" i="29"/>
  <c r="U82" i="29"/>
  <c r="R88" i="29"/>
  <c r="AA48" i="29"/>
  <c r="AG41" i="29"/>
  <c r="D51" i="29"/>
  <c r="D47" i="29"/>
  <c r="F50" i="29"/>
  <c r="R49" i="29"/>
  <c r="AD44" i="29"/>
  <c r="L83" i="29"/>
  <c r="U84" i="29"/>
  <c r="U86" i="32"/>
  <c r="X40" i="29"/>
  <c r="L137" i="29"/>
  <c r="R81" i="29"/>
  <c r="D130" i="29"/>
  <c r="AA40" i="29"/>
  <c r="D44" i="29"/>
  <c r="U43" i="29"/>
  <c r="D79" i="29"/>
  <c r="O86" i="32"/>
  <c r="O83" i="29"/>
  <c r="I90" i="29"/>
  <c r="O132" i="29"/>
  <c r="F45" i="29"/>
  <c r="O40" i="29"/>
  <c r="X86" i="32"/>
  <c r="AD42" i="29"/>
  <c r="AD40" i="29"/>
  <c r="U50" i="29"/>
  <c r="F85" i="29"/>
  <c r="L84" i="29"/>
  <c r="AA42" i="29"/>
  <c r="U60" i="29"/>
  <c r="I132" i="29"/>
  <c r="AG82" i="29"/>
  <c r="D81" i="29"/>
  <c r="L38" i="29"/>
  <c r="O79" i="29"/>
  <c r="L100" i="29"/>
  <c r="O46" i="29"/>
  <c r="R80" i="29"/>
  <c r="U51" i="29"/>
  <c r="AG46" i="29"/>
  <c r="X43" i="29"/>
  <c r="X82" i="29"/>
  <c r="D82" i="29"/>
  <c r="L50" i="29"/>
  <c r="AA39" i="29"/>
  <c r="O47" i="29"/>
  <c r="F86" i="32"/>
  <c r="AG45" i="29"/>
  <c r="L48" i="29"/>
  <c r="F82" i="29"/>
  <c r="U48" i="29"/>
  <c r="AG37" i="29"/>
  <c r="L79" i="29"/>
  <c r="R41" i="29"/>
  <c r="I49" i="29"/>
  <c r="O130" i="29"/>
  <c r="AG40" i="29"/>
  <c r="F44" i="29"/>
  <c r="O43" i="29"/>
  <c r="R86" i="32"/>
  <c r="AA83" i="29"/>
  <c r="L132" i="29"/>
  <c r="U47" i="29"/>
  <c r="I141" i="29"/>
  <c r="F79" i="29"/>
  <c r="L81" i="29"/>
  <c r="I130" i="29"/>
  <c r="L51" i="29"/>
  <c r="AA38" i="29"/>
  <c r="AD46" i="29"/>
  <c r="U81" i="29"/>
  <c r="F49" i="29"/>
  <c r="AG79" i="29"/>
  <c r="F41" i="29"/>
  <c r="U39" i="29"/>
  <c r="F136" i="29"/>
  <c r="R43" i="29"/>
  <c r="R84" i="29"/>
  <c r="U49" i="29"/>
  <c r="I85" i="29"/>
  <c r="AD79" i="29"/>
  <c r="I48" i="29"/>
  <c r="O38" i="29"/>
  <c r="O49" i="29"/>
  <c r="F37" i="29"/>
  <c r="AG81" i="29"/>
  <c r="D50" i="29"/>
  <c r="I89" i="29"/>
  <c r="L142" i="29"/>
  <c r="F46" i="29"/>
  <c r="L140" i="29"/>
  <c r="D83" i="29"/>
  <c r="AA41" i="29"/>
  <c r="AG84" i="29"/>
  <c r="R82" i="29"/>
  <c r="R130" i="29"/>
  <c r="AA86" i="32"/>
  <c r="X39" i="29"/>
  <c r="L85" i="29"/>
  <c r="R85" i="29"/>
  <c r="I46" i="29"/>
  <c r="F38" i="29"/>
  <c r="F130" i="29"/>
  <c r="X41" i="29"/>
  <c r="X47" i="29"/>
  <c r="AD37" i="29"/>
  <c r="U44" i="29"/>
  <c r="I86" i="32"/>
  <c r="AG86" i="32"/>
  <c r="L45" i="29"/>
  <c r="L87" i="29"/>
  <c r="D46" i="29"/>
  <c r="AG42" i="29"/>
  <c r="AD50" i="29"/>
  <c r="X81" i="29"/>
  <c r="X42" i="29"/>
  <c r="R47" i="29"/>
  <c r="AA37" i="29"/>
  <c r="X79" i="29"/>
  <c r="L80" i="29"/>
  <c r="D43" i="29"/>
  <c r="R45" i="29"/>
  <c r="I51" i="29"/>
  <c r="D41" i="29"/>
  <c r="AA84" i="29"/>
  <c r="R139" i="29"/>
  <c r="I84" i="29"/>
  <c r="I87" i="29"/>
  <c r="R138" i="29"/>
  <c r="I136" i="29"/>
  <c r="AA46" i="29"/>
  <c r="R38" i="29"/>
  <c r="O37" i="29"/>
  <c r="O44" i="29"/>
  <c r="AA132" i="29"/>
  <c r="L44" i="29"/>
  <c r="O81" i="29"/>
  <c r="AD82" i="29"/>
  <c r="U46" i="29"/>
  <c r="F137" i="29"/>
  <c r="AA49" i="29"/>
  <c r="L89" i="29"/>
  <c r="L37" i="29"/>
  <c r="R37" i="29"/>
  <c r="AG44" i="29"/>
  <c r="AD80" i="29"/>
  <c r="R86" i="29"/>
  <c r="U132" i="29"/>
  <c r="R90" i="29"/>
  <c r="AG51" i="29"/>
  <c r="D38" i="29"/>
  <c r="AG47" i="29"/>
  <c r="D86" i="32"/>
  <c r="O45" i="29"/>
  <c r="F42" i="29"/>
  <c r="X45" i="29"/>
  <c r="AG39" i="29"/>
  <c r="R39" i="29"/>
  <c r="R136" i="29"/>
  <c r="I138" i="29"/>
  <c r="AA43" i="29"/>
  <c r="I44" i="29"/>
  <c r="X50" i="29"/>
  <c r="X48" i="29"/>
  <c r="AD132" i="29"/>
  <c r="D132" i="29"/>
  <c r="F48" i="29"/>
  <c r="AG48" i="29"/>
  <c r="F47" i="29"/>
  <c r="D48" i="29"/>
  <c r="AG132" i="29"/>
  <c r="AD51" i="29"/>
  <c r="R141" i="29"/>
  <c r="U37" i="29"/>
  <c r="F39" i="29"/>
  <c r="L90" i="29"/>
  <c r="D80" i="29"/>
  <c r="AG49" i="29"/>
  <c r="D84" i="29"/>
  <c r="L46" i="29"/>
  <c r="AA80" i="29"/>
  <c r="U45" i="29"/>
  <c r="U79" i="29"/>
  <c r="O41" i="29"/>
  <c r="R44" i="29"/>
  <c r="O80" i="29"/>
  <c r="I86" i="29"/>
  <c r="R48" i="29"/>
  <c r="X44" i="29"/>
  <c r="F84" i="29"/>
  <c r="X49" i="29"/>
  <c r="L141" i="29"/>
  <c r="R79" i="29"/>
  <c r="L136" i="29"/>
  <c r="L138" i="29"/>
  <c r="X38" i="29"/>
  <c r="L49" i="29"/>
  <c r="Q86" i="32" l="1"/>
  <c r="AL86" i="32"/>
  <c r="N86" i="32"/>
  <c r="AI86" i="32"/>
  <c r="K86" i="32"/>
  <c r="AF86" i="32"/>
  <c r="H86" i="32"/>
  <c r="AC86" i="32"/>
  <c r="Z86" i="32"/>
  <c r="W86" i="32"/>
  <c r="T86" i="32"/>
  <c r="AF46" i="29"/>
  <c r="W81" i="29"/>
  <c r="Z38" i="29"/>
  <c r="AF49" i="29"/>
  <c r="T82" i="29"/>
  <c r="H80" i="29"/>
  <c r="W80" i="29"/>
  <c r="AC39" i="29"/>
  <c r="N100" i="29"/>
  <c r="Q100" i="29"/>
  <c r="W42" i="29"/>
  <c r="AF47" i="29"/>
  <c r="AF79" i="29"/>
  <c r="W38" i="29"/>
  <c r="AF42" i="29"/>
  <c r="T130" i="29"/>
  <c r="AC81" i="29"/>
  <c r="AI80" i="29"/>
  <c r="AL80" i="29"/>
  <c r="W141" i="29"/>
  <c r="T141" i="29"/>
  <c r="Z79" i="29"/>
  <c r="AI43" i="29"/>
  <c r="AL43" i="29"/>
  <c r="N51" i="29"/>
  <c r="AI45" i="29"/>
  <c r="AL45" i="29"/>
  <c r="AC38" i="29"/>
  <c r="W44" i="29"/>
  <c r="Z41" i="29"/>
  <c r="H85" i="29"/>
  <c r="AC44" i="29"/>
  <c r="Z45" i="29"/>
  <c r="W46" i="29"/>
  <c r="T50" i="29"/>
  <c r="W140" i="29"/>
  <c r="T140" i="29"/>
  <c r="AL47" i="29"/>
  <c r="AI47" i="29"/>
  <c r="T83" i="29"/>
  <c r="W40" i="29"/>
  <c r="H40" i="29"/>
  <c r="N139" i="29"/>
  <c r="Q139" i="29"/>
  <c r="T88" i="29"/>
  <c r="W88" i="29"/>
  <c r="AC43" i="29"/>
  <c r="AI51" i="29"/>
  <c r="AL51" i="29"/>
  <c r="AI82" i="29"/>
  <c r="AL82" i="29"/>
  <c r="H51" i="29"/>
  <c r="Z50" i="29"/>
  <c r="T39" i="29"/>
  <c r="N49" i="29"/>
  <c r="AC84" i="29"/>
  <c r="T38" i="29"/>
  <c r="W82" i="29"/>
  <c r="AL50" i="29"/>
  <c r="AI50" i="29"/>
  <c r="AF132" i="29"/>
  <c r="Q130" i="29"/>
  <c r="T45" i="29"/>
  <c r="W89" i="29"/>
  <c r="T89" i="29"/>
  <c r="AC37" i="29"/>
  <c r="T84" i="29"/>
  <c r="T47" i="29"/>
  <c r="Z42" i="29"/>
  <c r="T80" i="29"/>
  <c r="W48" i="29"/>
  <c r="AC51" i="29"/>
  <c r="AF81" i="29"/>
  <c r="W137" i="29"/>
  <c r="T137" i="29"/>
  <c r="AI84" i="29"/>
  <c r="AL84" i="29"/>
  <c r="AF37" i="29"/>
  <c r="W139" i="29"/>
  <c r="T139" i="29"/>
  <c r="H138" i="29"/>
  <c r="AL37" i="29"/>
  <c r="AI37" i="29"/>
  <c r="W47" i="29"/>
  <c r="H83" i="29"/>
  <c r="T41" i="29"/>
  <c r="W83" i="29"/>
  <c r="Q132" i="29"/>
  <c r="AC83" i="29"/>
  <c r="N136" i="29"/>
  <c r="Q136" i="29"/>
  <c r="Z82" i="29"/>
  <c r="AF48" i="29"/>
  <c r="AL46" i="29"/>
  <c r="AI46" i="29"/>
  <c r="AF83" i="29"/>
  <c r="T43" i="29"/>
  <c r="AI38" i="29"/>
  <c r="AL38" i="29"/>
  <c r="W138" i="29"/>
  <c r="T138" i="29"/>
  <c r="Q49" i="29"/>
  <c r="Z44" i="29"/>
  <c r="Z83" i="29"/>
  <c r="Z84" i="29"/>
  <c r="K140" i="29"/>
  <c r="Z47" i="29"/>
  <c r="K132" i="29"/>
  <c r="T90" i="29"/>
  <c r="W90" i="29"/>
  <c r="N132" i="29"/>
  <c r="N87" i="29"/>
  <c r="Q87" i="29"/>
  <c r="K137" i="29"/>
  <c r="T37" i="29"/>
  <c r="H42" i="29"/>
  <c r="K141" i="29"/>
  <c r="N84" i="29"/>
  <c r="H50" i="29"/>
  <c r="AC79" i="29"/>
  <c r="Z81" i="29"/>
  <c r="Q51" i="29"/>
  <c r="W49" i="29"/>
  <c r="AC40" i="29"/>
  <c r="N138" i="29"/>
  <c r="Q138" i="29"/>
  <c r="Z132" i="29"/>
  <c r="AC46" i="29"/>
  <c r="AI49" i="29"/>
  <c r="AL49" i="29"/>
  <c r="N85" i="29"/>
  <c r="Q85" i="29"/>
  <c r="W84" i="29"/>
  <c r="Z49" i="29"/>
  <c r="AI83" i="29"/>
  <c r="AL83" i="29"/>
  <c r="N141" i="29"/>
  <c r="Q141" i="29"/>
  <c r="K130" i="29"/>
  <c r="AF41" i="29"/>
  <c r="AI42" i="29"/>
  <c r="AL42" i="29"/>
  <c r="W37" i="29"/>
  <c r="K85" i="29"/>
  <c r="AI79" i="29"/>
  <c r="AL79" i="29"/>
  <c r="H84" i="29"/>
  <c r="T85" i="29"/>
  <c r="W85" i="29"/>
  <c r="W136" i="29"/>
  <c r="T136" i="29"/>
  <c r="T40" i="29"/>
  <c r="AC132" i="29"/>
  <c r="T44" i="29"/>
  <c r="Z37" i="29"/>
  <c r="AI40" i="29"/>
  <c r="AL40" i="29"/>
  <c r="N140" i="29"/>
  <c r="Q140" i="29"/>
  <c r="Q90" i="29"/>
  <c r="N90" i="29"/>
  <c r="K86" i="29"/>
  <c r="H48" i="29"/>
  <c r="Z80" i="29"/>
  <c r="W39" i="29"/>
  <c r="AF43" i="29"/>
  <c r="H38" i="29"/>
  <c r="T132" i="29"/>
  <c r="AF40" i="29"/>
  <c r="T49" i="29"/>
  <c r="H47" i="29"/>
  <c r="H39" i="29"/>
  <c r="AI81" i="29"/>
  <c r="AL81" i="29"/>
  <c r="K46" i="29"/>
  <c r="H46" i="29"/>
  <c r="K50" i="29"/>
  <c r="K84" i="29"/>
  <c r="K138" i="29"/>
  <c r="AC48" i="29"/>
  <c r="K139" i="29"/>
  <c r="H132" i="29"/>
  <c r="Q89" i="29"/>
  <c r="N89" i="29"/>
  <c r="AI44" i="29"/>
  <c r="AL44" i="29"/>
  <c r="Z48" i="29"/>
  <c r="T48" i="29"/>
  <c r="AF44" i="29"/>
  <c r="W41" i="29"/>
  <c r="AC50" i="29"/>
  <c r="H81" i="29"/>
  <c r="N50" i="29"/>
  <c r="H82" i="29"/>
  <c r="H44" i="29"/>
  <c r="W50" i="29"/>
  <c r="T79" i="29"/>
  <c r="AF82" i="29"/>
  <c r="AF84" i="29"/>
  <c r="AC82" i="29"/>
  <c r="W45" i="29"/>
  <c r="W132" i="29"/>
  <c r="H41" i="29"/>
  <c r="Z39" i="29"/>
  <c r="K136" i="29"/>
  <c r="H49" i="29"/>
  <c r="AF50" i="29"/>
  <c r="K87" i="29"/>
  <c r="AC130" i="29"/>
  <c r="T81" i="29"/>
  <c r="H130" i="29"/>
  <c r="N130" i="29"/>
  <c r="AF45" i="29"/>
  <c r="Q142" i="29"/>
  <c r="N142" i="29"/>
  <c r="K51" i="29"/>
  <c r="K89" i="29"/>
  <c r="Q84" i="29"/>
  <c r="AF130" i="29"/>
  <c r="K44" i="29"/>
  <c r="K49" i="29"/>
  <c r="AI132" i="29"/>
  <c r="AL132" i="29"/>
  <c r="K90" i="29"/>
  <c r="W43" i="29"/>
  <c r="AC41" i="29"/>
  <c r="Q50" i="29"/>
  <c r="AC49" i="29"/>
  <c r="K48" i="29"/>
  <c r="H136" i="29"/>
  <c r="AC47" i="29"/>
  <c r="W79" i="29"/>
  <c r="AF39" i="29"/>
  <c r="AI39" i="29"/>
  <c r="AL39" i="29"/>
  <c r="H86" i="29"/>
  <c r="N137" i="29"/>
  <c r="Q137" i="29"/>
  <c r="Z40" i="29"/>
  <c r="AC80" i="29"/>
  <c r="Z43" i="29"/>
  <c r="T42" i="29"/>
  <c r="AF38" i="29"/>
  <c r="T86" i="29"/>
  <c r="W86" i="29"/>
  <c r="AC42" i="29"/>
  <c r="T51" i="29"/>
  <c r="H37" i="29"/>
  <c r="H137" i="29"/>
  <c r="AL130" i="29"/>
  <c r="AI130" i="29"/>
  <c r="Z46" i="29"/>
  <c r="AF51" i="29"/>
  <c r="AL48" i="29"/>
  <c r="AI48" i="29"/>
  <c r="H79" i="29"/>
  <c r="AL41" i="29"/>
  <c r="AI41" i="29"/>
  <c r="W51" i="29"/>
  <c r="Z51" i="29"/>
  <c r="AC45" i="29"/>
  <c r="W130" i="29"/>
  <c r="Z130" i="29"/>
  <c r="Q86" i="29"/>
  <c r="N86" i="29"/>
  <c r="H43" i="29"/>
  <c r="T46" i="29"/>
  <c r="H45" i="29"/>
  <c r="AF80" i="29"/>
  <c r="Q81" i="29"/>
  <c r="Q80" i="29"/>
  <c r="Q83" i="29"/>
  <c r="Q82" i="29"/>
  <c r="Q79" i="29"/>
  <c r="J190" i="28"/>
  <c r="Q47" i="29"/>
  <c r="Q45" i="29"/>
  <c r="N44" i="29"/>
  <c r="Q44" i="29"/>
  <c r="Q38" i="29"/>
  <c r="Q41" i="29"/>
  <c r="Q43" i="29"/>
  <c r="Q37" i="29"/>
  <c r="Q40" i="29"/>
  <c r="Q46" i="29"/>
  <c r="N46" i="29"/>
  <c r="Q39" i="29"/>
  <c r="Q42" i="29"/>
  <c r="Q48" i="29"/>
  <c r="N48" i="29"/>
  <c r="J315" i="28"/>
  <c r="J314" i="28"/>
  <c r="J209" i="28"/>
  <c r="J199" i="28"/>
  <c r="J196" i="28"/>
  <c r="J202" i="28"/>
  <c r="J200" i="28"/>
  <c r="J193" i="28"/>
  <c r="J201" i="28"/>
  <c r="J195" i="28"/>
  <c r="J206" i="28"/>
  <c r="J182" i="28"/>
  <c r="J189" i="28"/>
  <c r="J198" i="28"/>
  <c r="J185" i="28"/>
  <c r="J192" i="28"/>
  <c r="J183" i="28"/>
  <c r="J197" i="28"/>
  <c r="J107" i="28"/>
  <c r="J187" i="28"/>
  <c r="J194" i="28"/>
  <c r="J179" i="28"/>
  <c r="J186" i="28"/>
  <c r="J184" i="28"/>
  <c r="J191" i="28"/>
  <c r="J181" i="28"/>
  <c r="J188" i="28"/>
  <c r="J178" i="28"/>
  <c r="J180" i="28"/>
  <c r="J142" i="28"/>
  <c r="D25" i="10"/>
  <c r="D313" i="1"/>
  <c r="D256" i="10" s="1"/>
  <c r="E313" i="1"/>
  <c r="C256" i="10" s="1"/>
  <c r="H313" i="1"/>
  <c r="I313" i="1"/>
  <c r="J313" i="1"/>
  <c r="K313" i="1"/>
  <c r="L313" i="1"/>
  <c r="M313" i="1"/>
  <c r="N313" i="1"/>
  <c r="O313" i="1"/>
  <c r="P313" i="1"/>
  <c r="Q313" i="1"/>
  <c r="R313" i="1"/>
  <c r="S313" i="1"/>
  <c r="D48" i="18"/>
  <c r="D63" i="1"/>
  <c r="E63" i="1"/>
  <c r="H63" i="1"/>
  <c r="I63" i="1"/>
  <c r="J63" i="1"/>
  <c r="K63" i="1"/>
  <c r="L63" i="1"/>
  <c r="M63" i="1"/>
  <c r="N63" i="1"/>
  <c r="O63" i="1"/>
  <c r="P63" i="1"/>
  <c r="Q63" i="1"/>
  <c r="R63" i="1"/>
  <c r="S63" i="1"/>
  <c r="D305" i="1"/>
  <c r="E305" i="1"/>
  <c r="I305" i="1"/>
  <c r="J305" i="1"/>
  <c r="K305" i="1"/>
  <c r="L305" i="1"/>
  <c r="M305" i="1"/>
  <c r="N305" i="1"/>
  <c r="O305" i="1"/>
  <c r="P305" i="1"/>
  <c r="Q305" i="1"/>
  <c r="R305" i="1"/>
  <c r="S305" i="1"/>
  <c r="D312" i="1"/>
  <c r="D255" i="10" s="1"/>
  <c r="E312" i="1"/>
  <c r="C255" i="10" s="1"/>
  <c r="H312" i="1"/>
  <c r="I312" i="1"/>
  <c r="J312" i="1"/>
  <c r="K312" i="1"/>
  <c r="L312" i="1"/>
  <c r="M312" i="1"/>
  <c r="N312" i="1"/>
  <c r="O312" i="1"/>
  <c r="P312" i="1"/>
  <c r="Q312" i="1"/>
  <c r="R312" i="1"/>
  <c r="S312" i="1"/>
  <c r="D44" i="1"/>
  <c r="E44" i="1"/>
  <c r="H44" i="1"/>
  <c r="I44" i="1"/>
  <c r="J44" i="1"/>
  <c r="K44" i="1"/>
  <c r="L44" i="1"/>
  <c r="M44" i="1"/>
  <c r="N44" i="1"/>
  <c r="O44" i="1"/>
  <c r="P44" i="1"/>
  <c r="Q44" i="1"/>
  <c r="R44" i="1"/>
  <c r="S44" i="1"/>
  <c r="I40" i="29"/>
  <c r="I83" i="29"/>
  <c r="I37" i="29"/>
  <c r="I39" i="29"/>
  <c r="I81" i="29"/>
  <c r="I80" i="29"/>
  <c r="I41" i="29"/>
  <c r="I38" i="29"/>
  <c r="I45" i="29"/>
  <c r="I79" i="29"/>
  <c r="I47" i="29"/>
  <c r="I42" i="29"/>
  <c r="I82" i="29"/>
  <c r="I43" i="29"/>
  <c r="C248" i="8" l="1"/>
  <c r="C256" i="9"/>
  <c r="C245" i="7"/>
  <c r="C249" i="8"/>
  <c r="C257" i="9"/>
  <c r="D249" i="8"/>
  <c r="D257" i="9"/>
  <c r="D245" i="7"/>
  <c r="D256" i="9"/>
  <c r="D248" i="8"/>
  <c r="D245" i="11"/>
  <c r="C245" i="11"/>
  <c r="C273" i="12"/>
  <c r="C274" i="10"/>
  <c r="C271" i="8"/>
  <c r="C275" i="9"/>
  <c r="C273" i="11"/>
  <c r="C280" i="14"/>
  <c r="C265" i="2"/>
  <c r="C273" i="13"/>
  <c r="C281" i="17"/>
  <c r="C278" i="16"/>
  <c r="C278" i="15"/>
  <c r="D271" i="8"/>
  <c r="D275" i="9"/>
  <c r="D273" i="11"/>
  <c r="D273" i="12"/>
  <c r="D274" i="10"/>
  <c r="D265" i="2"/>
  <c r="D278" i="16"/>
  <c r="D281" i="17"/>
  <c r="D278" i="15"/>
  <c r="D273" i="13"/>
  <c r="D280" i="14"/>
  <c r="C246" i="7"/>
  <c r="C245" i="8"/>
  <c r="D246" i="7"/>
  <c r="D245" i="8"/>
  <c r="C243" i="2"/>
  <c r="C247" i="7"/>
  <c r="C246" i="8"/>
  <c r="D246" i="8"/>
  <c r="D247" i="7"/>
  <c r="D243" i="2"/>
  <c r="K81" i="29"/>
  <c r="N81" i="29"/>
  <c r="K79" i="29"/>
  <c r="N79" i="29"/>
  <c r="K83" i="29"/>
  <c r="N83" i="29"/>
  <c r="K80" i="29"/>
  <c r="N80" i="29"/>
  <c r="K82" i="29"/>
  <c r="N82" i="29"/>
  <c r="C244" i="7"/>
  <c r="D244" i="7"/>
  <c r="C243" i="7"/>
  <c r="D243" i="7"/>
  <c r="C221" i="11"/>
  <c r="C221" i="12"/>
  <c r="C223" i="10"/>
  <c r="D221" i="11"/>
  <c r="D221" i="12"/>
  <c r="D223" i="10"/>
  <c r="C215" i="10"/>
  <c r="D215" i="10"/>
  <c r="K45" i="29"/>
  <c r="N45" i="29"/>
  <c r="K47" i="29"/>
  <c r="N47" i="29"/>
  <c r="C262" i="15"/>
  <c r="D262" i="15"/>
  <c r="N42" i="29"/>
  <c r="K42" i="29"/>
  <c r="N40" i="29"/>
  <c r="K40" i="29"/>
  <c r="N43" i="29"/>
  <c r="K43" i="29"/>
  <c r="N37" i="29"/>
  <c r="K37" i="29"/>
  <c r="N41" i="29"/>
  <c r="K41" i="29"/>
  <c r="N38" i="29"/>
  <c r="K38" i="29"/>
  <c r="N39" i="29"/>
  <c r="K39" i="29"/>
  <c r="D225" i="8"/>
  <c r="D227" i="8"/>
  <c r="E15" i="17" l="1"/>
  <c r="E15" i="16"/>
  <c r="E15" i="15"/>
  <c r="E15" i="14"/>
  <c r="E15" i="13"/>
  <c r="E15" i="12"/>
  <c r="E15" i="11"/>
  <c r="E15" i="10"/>
  <c r="E15" i="9"/>
  <c r="E15" i="8"/>
  <c r="E15" i="7"/>
  <c r="B18" i="17"/>
  <c r="B19" i="17"/>
  <c r="B20" i="17"/>
  <c r="B21" i="17"/>
  <c r="B24" i="17"/>
  <c r="B31" i="17"/>
  <c r="B33" i="17"/>
  <c r="B34" i="17"/>
  <c r="B37" i="17"/>
  <c r="B39" i="17"/>
  <c r="B41" i="17"/>
  <c r="B42" i="17"/>
  <c r="B45" i="17"/>
  <c r="B53" i="17"/>
  <c r="B54" i="17"/>
  <c r="B56" i="17"/>
  <c r="B63" i="17"/>
  <c r="B66" i="17"/>
  <c r="B102" i="17"/>
  <c r="B112" i="17"/>
  <c r="B113" i="17"/>
  <c r="B114" i="17"/>
  <c r="B121" i="17"/>
  <c r="B146" i="17"/>
  <c r="B148" i="17"/>
  <c r="B161" i="7"/>
  <c r="B177" i="17"/>
  <c r="D48" i="23"/>
  <c r="D47" i="23"/>
  <c r="D243" i="1"/>
  <c r="E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D245" i="1"/>
  <c r="E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D246" i="1"/>
  <c r="D212" i="15" s="1"/>
  <c r="E246" i="1"/>
  <c r="C212" i="15" s="1"/>
  <c r="H246" i="1"/>
  <c r="I246" i="1"/>
  <c r="J246" i="1"/>
  <c r="K246" i="1"/>
  <c r="L246" i="1"/>
  <c r="M246" i="1"/>
  <c r="N246" i="1"/>
  <c r="O246" i="1"/>
  <c r="P246" i="1"/>
  <c r="Q246" i="1"/>
  <c r="R246" i="1"/>
  <c r="S246" i="1"/>
  <c r="D247" i="1"/>
  <c r="E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D152" i="1"/>
  <c r="E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D154" i="1"/>
  <c r="E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D137" i="1"/>
  <c r="E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D138" i="1"/>
  <c r="E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D302" i="1"/>
  <c r="D261" i="17" s="1"/>
  <c r="E302" i="1"/>
  <c r="C261" i="17" s="1"/>
  <c r="H302" i="1"/>
  <c r="I302" i="1"/>
  <c r="J302" i="1"/>
  <c r="K302" i="1"/>
  <c r="L302" i="1"/>
  <c r="M302" i="1"/>
  <c r="N302" i="1"/>
  <c r="O302" i="1"/>
  <c r="P302" i="1"/>
  <c r="Q302" i="1"/>
  <c r="R302" i="1"/>
  <c r="S302" i="1"/>
  <c r="D303" i="1"/>
  <c r="E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D304" i="1"/>
  <c r="E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D158" i="1"/>
  <c r="E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D159" i="1"/>
  <c r="E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J18" i="28"/>
  <c r="J19" i="28"/>
  <c r="J20" i="28"/>
  <c r="J21" i="28"/>
  <c r="J23" i="28"/>
  <c r="J26" i="28"/>
  <c r="J27" i="28"/>
  <c r="J28" i="28"/>
  <c r="J29" i="28"/>
  <c r="J30" i="28"/>
  <c r="J31" i="28"/>
  <c r="J35" i="28"/>
  <c r="J38" i="28"/>
  <c r="J39" i="28"/>
  <c r="J52" i="28"/>
  <c r="J53" i="28"/>
  <c r="J54" i="28"/>
  <c r="J55" i="28"/>
  <c r="J56" i="28"/>
  <c r="J57" i="28"/>
  <c r="J60" i="28"/>
  <c r="J62" i="28"/>
  <c r="J63" i="28"/>
  <c r="J64" i="28"/>
  <c r="J68" i="28"/>
  <c r="J69" i="28"/>
  <c r="J70" i="28"/>
  <c r="J71" i="28"/>
  <c r="J72" i="28"/>
  <c r="J73" i="28"/>
  <c r="J76" i="28"/>
  <c r="J78" i="28"/>
  <c r="J79" i="28"/>
  <c r="J80" i="28"/>
  <c r="J84" i="28"/>
  <c r="J85" i="28"/>
  <c r="J86" i="28"/>
  <c r="J87" i="28"/>
  <c r="J88" i="28"/>
  <c r="J89" i="28"/>
  <c r="J92" i="28"/>
  <c r="J93" i="28"/>
  <c r="J94" i="28"/>
  <c r="J95" i="28"/>
  <c r="J104" i="28"/>
  <c r="J101" i="28"/>
  <c r="J102" i="28"/>
  <c r="J110" i="28"/>
  <c r="J111" i="28"/>
  <c r="J118" i="28"/>
  <c r="J119" i="28"/>
  <c r="J120" i="28"/>
  <c r="J132" i="28"/>
  <c r="J127" i="28"/>
  <c r="J128" i="28"/>
  <c r="J135" i="28"/>
  <c r="J136" i="28"/>
  <c r="J139" i="28"/>
  <c r="J140" i="28"/>
  <c r="J156" i="28"/>
  <c r="J147" i="28"/>
  <c r="J148" i="28"/>
  <c r="J149" i="28"/>
  <c r="J154" i="28"/>
  <c r="J155" i="28"/>
  <c r="J170" i="28"/>
  <c r="J172" i="28"/>
  <c r="J160" i="28"/>
  <c r="J161" i="28"/>
  <c r="J165" i="28"/>
  <c r="J166" i="28"/>
  <c r="J167" i="28"/>
  <c r="J176" i="28"/>
  <c r="J177" i="28"/>
  <c r="I22" i="28"/>
  <c r="I23" i="28"/>
  <c r="I24" i="28"/>
  <c r="I25" i="28"/>
  <c r="I30" i="28"/>
  <c r="I31" i="28"/>
  <c r="I33" i="28"/>
  <c r="I34" i="28"/>
  <c r="I46" i="28"/>
  <c r="I51" i="28"/>
  <c r="I52" i="28"/>
  <c r="I53" i="28"/>
  <c r="I55" i="28"/>
  <c r="I58" i="28"/>
  <c r="I59" i="28"/>
  <c r="I60" i="28"/>
  <c r="I61" i="28"/>
  <c r="I63" i="28"/>
  <c r="I65" i="28"/>
  <c r="I66" i="28"/>
  <c r="I67" i="28"/>
  <c r="I68" i="28"/>
  <c r="I69" i="28"/>
  <c r="I71" i="28"/>
  <c r="I74" i="28"/>
  <c r="I75" i="28"/>
  <c r="I76" i="28"/>
  <c r="I77" i="28"/>
  <c r="I79" i="28"/>
  <c r="I81" i="28"/>
  <c r="I82" i="28"/>
  <c r="I83" i="28"/>
  <c r="I84" i="28"/>
  <c r="I85" i="28"/>
  <c r="I87" i="28"/>
  <c r="I89" i="28"/>
  <c r="I90" i="28"/>
  <c r="I91" i="28"/>
  <c r="I97" i="28"/>
  <c r="I98" i="28"/>
  <c r="I100" i="28"/>
  <c r="I111" i="28"/>
  <c r="I108" i="28"/>
  <c r="I109" i="28"/>
  <c r="I116" i="28"/>
  <c r="I120" i="28"/>
  <c r="I121" i="28"/>
  <c r="I123" i="28"/>
  <c r="I132" i="28"/>
  <c r="I133" i="28"/>
  <c r="I128" i="28"/>
  <c r="I129" i="28"/>
  <c r="I140" i="28"/>
  <c r="I141" i="28"/>
  <c r="I136" i="28"/>
  <c r="I137" i="28"/>
  <c r="I152" i="28"/>
  <c r="I155" i="28"/>
  <c r="I145" i="28"/>
  <c r="I146" i="28"/>
  <c r="I148" i="28"/>
  <c r="I169" i="28"/>
  <c r="I170" i="28"/>
  <c r="I158" i="28"/>
  <c r="I159" i="28"/>
  <c r="I164" i="28"/>
  <c r="I165" i="28"/>
  <c r="I172" i="28"/>
  <c r="I175" i="28"/>
  <c r="H18" i="28"/>
  <c r="H19" i="28"/>
  <c r="H20" i="28"/>
  <c r="H21" i="28"/>
  <c r="H22" i="28"/>
  <c r="H23" i="28"/>
  <c r="H24" i="28"/>
  <c r="H25" i="28"/>
  <c r="H27" i="28"/>
  <c r="H28" i="28"/>
  <c r="H29" i="28"/>
  <c r="H30" i="28"/>
  <c r="H31" i="28"/>
  <c r="H35" i="28"/>
  <c r="H38" i="28"/>
  <c r="H43" i="28"/>
  <c r="H46" i="28"/>
  <c r="H51" i="28"/>
  <c r="H52" i="28"/>
  <c r="H53" i="28"/>
  <c r="H54" i="28"/>
  <c r="H55" i="28"/>
  <c r="H56" i="28"/>
  <c r="H57" i="28"/>
  <c r="H59" i="28"/>
  <c r="H60" i="28"/>
  <c r="H61" i="28"/>
  <c r="H62" i="28"/>
  <c r="H63" i="28"/>
  <c r="H64" i="28"/>
  <c r="H65" i="28"/>
  <c r="H66" i="28"/>
  <c r="H67" i="28"/>
  <c r="H68" i="28"/>
  <c r="H69" i="28"/>
  <c r="H70" i="28"/>
  <c r="H71" i="28"/>
  <c r="H72" i="28"/>
  <c r="H73" i="28"/>
  <c r="H74" i="28"/>
  <c r="H75" i="28"/>
  <c r="H76" i="28"/>
  <c r="H77" i="28"/>
  <c r="H78" i="28"/>
  <c r="H79" i="28"/>
  <c r="H80" i="28"/>
  <c r="H81" i="28"/>
  <c r="H82" i="28"/>
  <c r="H83" i="28"/>
  <c r="H84" i="28"/>
  <c r="H85" i="28"/>
  <c r="H86" i="28"/>
  <c r="H87" i="28"/>
  <c r="H90" i="28"/>
  <c r="H91" i="28"/>
  <c r="H96" i="28"/>
  <c r="H97" i="28"/>
  <c r="H98" i="28"/>
  <c r="H104" i="28"/>
  <c r="H105" i="28"/>
  <c r="H100" i="28"/>
  <c r="H101" i="28"/>
  <c r="H102" i="28"/>
  <c r="H112" i="28"/>
  <c r="H111" i="28"/>
  <c r="H113" i="28"/>
  <c r="H127" i="28"/>
  <c r="H123" i="28"/>
  <c r="H124" i="28"/>
  <c r="H125" i="28"/>
  <c r="H133" i="28"/>
  <c r="H136" i="28"/>
  <c r="H144" i="28"/>
  <c r="H145" i="28"/>
  <c r="H146" i="28"/>
  <c r="H158" i="28"/>
  <c r="H159" i="28"/>
  <c r="H160" i="28"/>
  <c r="H150" i="28"/>
  <c r="H164" i="28"/>
  <c r="H170" i="28"/>
  <c r="H172" i="28"/>
  <c r="H175" i="28"/>
  <c r="H167" i="28"/>
  <c r="H168" i="28"/>
  <c r="H169" i="28"/>
  <c r="H171" i="28"/>
  <c r="H177" i="28"/>
  <c r="D106" i="23"/>
  <c r="D49" i="1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33" i="28"/>
  <c r="C34" i="28"/>
  <c r="C35" i="28"/>
  <c r="C38" i="28"/>
  <c r="C39" i="28"/>
  <c r="C40" i="28"/>
  <c r="C43" i="28"/>
  <c r="C46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3" i="28"/>
  <c r="C144" i="28"/>
  <c r="C145" i="28"/>
  <c r="C146" i="28"/>
  <c r="C147" i="28"/>
  <c r="C148" i="28"/>
  <c r="C149" i="28"/>
  <c r="C150" i="28"/>
  <c r="C151" i="28"/>
  <c r="C152" i="28"/>
  <c r="C154" i="28"/>
  <c r="C155" i="28"/>
  <c r="C156" i="28"/>
  <c r="C157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5" i="28"/>
  <c r="C176" i="28"/>
  <c r="C17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3" i="28"/>
  <c r="D34" i="28"/>
  <c r="D35" i="28"/>
  <c r="D38" i="28"/>
  <c r="D39" i="28"/>
  <c r="D40" i="28"/>
  <c r="D43" i="28"/>
  <c r="D46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3" i="28"/>
  <c r="D144" i="28"/>
  <c r="D145" i="28"/>
  <c r="D146" i="28"/>
  <c r="D147" i="28"/>
  <c r="D148" i="28"/>
  <c r="D149" i="28"/>
  <c r="D150" i="28"/>
  <c r="D151" i="28"/>
  <c r="D152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5" i="28"/>
  <c r="D176" i="28"/>
  <c r="D17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3" i="28"/>
  <c r="E34" i="28"/>
  <c r="E35" i="28"/>
  <c r="E38" i="28"/>
  <c r="E39" i="28"/>
  <c r="E40" i="28"/>
  <c r="E43" i="28"/>
  <c r="E46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3" i="28"/>
  <c r="E144" i="28"/>
  <c r="E145" i="28"/>
  <c r="E146" i="28"/>
  <c r="E147" i="28"/>
  <c r="E148" i="28"/>
  <c r="E149" i="28"/>
  <c r="E150" i="28"/>
  <c r="E151" i="28"/>
  <c r="E152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5" i="28"/>
  <c r="E176" i="28"/>
  <c r="E177" i="28"/>
  <c r="H26" i="28"/>
  <c r="H33" i="28"/>
  <c r="H34" i="28"/>
  <c r="H39" i="28"/>
  <c r="H40" i="28"/>
  <c r="H58" i="28"/>
  <c r="H88" i="28"/>
  <c r="H89" i="28"/>
  <c r="H99" i="28"/>
  <c r="H103" i="28"/>
  <c r="H118" i="28"/>
  <c r="H147" i="28"/>
  <c r="H148" i="28"/>
  <c r="H149" i="28"/>
  <c r="H157" i="28"/>
  <c r="I18" i="28"/>
  <c r="I19" i="28"/>
  <c r="I20" i="28"/>
  <c r="I21" i="28"/>
  <c r="I26" i="28"/>
  <c r="I27" i="28"/>
  <c r="I28" i="28"/>
  <c r="I29" i="28"/>
  <c r="I35" i="28"/>
  <c r="I38" i="28"/>
  <c r="I39" i="28"/>
  <c r="I40" i="28"/>
  <c r="I43" i="28"/>
  <c r="I54" i="28"/>
  <c r="I56" i="28"/>
  <c r="I57" i="28"/>
  <c r="I62" i="28"/>
  <c r="I64" i="28"/>
  <c r="I70" i="28"/>
  <c r="I72" i="28"/>
  <c r="I73" i="28"/>
  <c r="I78" i="28"/>
  <c r="I80" i="28"/>
  <c r="I86" i="28"/>
  <c r="I88" i="28"/>
  <c r="I94" i="28"/>
  <c r="I95" i="28"/>
  <c r="I96" i="28"/>
  <c r="I99" i="28"/>
  <c r="I101" i="28"/>
  <c r="I102" i="28"/>
  <c r="I103" i="28"/>
  <c r="I104" i="28"/>
  <c r="I110" i="28"/>
  <c r="I117" i="28"/>
  <c r="I118" i="28"/>
  <c r="I119" i="28"/>
  <c r="I124" i="28"/>
  <c r="I125" i="28"/>
  <c r="I138" i="28"/>
  <c r="I147" i="28"/>
  <c r="I149" i="28"/>
  <c r="I150" i="28"/>
  <c r="I151" i="28"/>
  <c r="I160" i="28"/>
  <c r="I161" i="28"/>
  <c r="I162" i="28"/>
  <c r="I163" i="28"/>
  <c r="I166" i="28"/>
  <c r="I168" i="28"/>
  <c r="I176" i="28"/>
  <c r="I177" i="28"/>
  <c r="J22" i="28"/>
  <c r="J24" i="28"/>
  <c r="J25" i="28"/>
  <c r="J33" i="28"/>
  <c r="J34" i="28"/>
  <c r="J40" i="28"/>
  <c r="J43" i="28"/>
  <c r="J46" i="28"/>
  <c r="J51" i="28"/>
  <c r="J58" i="28"/>
  <c r="J59" i="28"/>
  <c r="J61" i="28"/>
  <c r="J65" i="28"/>
  <c r="J66" i="28"/>
  <c r="J67" i="28"/>
  <c r="J74" i="28"/>
  <c r="J75" i="28"/>
  <c r="J77" i="28"/>
  <c r="J81" i="28"/>
  <c r="J82" i="28"/>
  <c r="J83" i="28"/>
  <c r="J91" i="28"/>
  <c r="J96" i="28"/>
  <c r="J97" i="28"/>
  <c r="J98" i="28"/>
  <c r="J99" i="28"/>
  <c r="J100" i="28"/>
  <c r="J103" i="28"/>
  <c r="J106" i="28"/>
  <c r="J112" i="28"/>
  <c r="J113" i="28"/>
  <c r="J114" i="28"/>
  <c r="J121" i="28"/>
  <c r="J122" i="28"/>
  <c r="J123" i="28"/>
  <c r="J124" i="28"/>
  <c r="J129" i="28"/>
  <c r="J130" i="28"/>
  <c r="J137" i="28"/>
  <c r="J138" i="28"/>
  <c r="J145" i="28"/>
  <c r="J150" i="28"/>
  <c r="J152" i="28"/>
  <c r="J157" i="28"/>
  <c r="J162" i="28"/>
  <c r="J163" i="28"/>
  <c r="J164" i="28"/>
  <c r="J169" i="28"/>
  <c r="J171" i="28"/>
  <c r="J175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3" i="28"/>
  <c r="K34" i="28"/>
  <c r="K35" i="28"/>
  <c r="K38" i="28"/>
  <c r="K39" i="28"/>
  <c r="K40" i="28"/>
  <c r="K43" i="28"/>
  <c r="K46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3" i="28"/>
  <c r="K144" i="28"/>
  <c r="K145" i="28"/>
  <c r="K146" i="28"/>
  <c r="K147" i="28"/>
  <c r="K148" i="28"/>
  <c r="K150" i="28"/>
  <c r="K151" i="28"/>
  <c r="K152" i="28"/>
  <c r="K154" i="28"/>
  <c r="K155" i="28"/>
  <c r="K156" i="28"/>
  <c r="K157" i="28"/>
  <c r="K158" i="28"/>
  <c r="K159" i="28"/>
  <c r="K160" i="28"/>
  <c r="K161" i="28"/>
  <c r="K162" i="28"/>
  <c r="K163" i="28"/>
  <c r="K164" i="28"/>
  <c r="K165" i="28"/>
  <c r="K166" i="28"/>
  <c r="K167" i="28"/>
  <c r="K168" i="28"/>
  <c r="K169" i="28"/>
  <c r="K170" i="28"/>
  <c r="K171" i="28"/>
  <c r="K172" i="28"/>
  <c r="K175" i="28"/>
  <c r="K176" i="28"/>
  <c r="K17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3" i="28"/>
  <c r="L34" i="28"/>
  <c r="L35" i="28"/>
  <c r="L38" i="28"/>
  <c r="L39" i="28"/>
  <c r="L40" i="28"/>
  <c r="L43" i="28"/>
  <c r="L46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3" i="28"/>
  <c r="L144" i="28"/>
  <c r="L145" i="28"/>
  <c r="L146" i="28"/>
  <c r="L147" i="28"/>
  <c r="L148" i="28"/>
  <c r="L149" i="28"/>
  <c r="L150" i="28"/>
  <c r="L151" i="28"/>
  <c r="L152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0" i="28"/>
  <c r="L171" i="28"/>
  <c r="L172" i="28"/>
  <c r="L175" i="28"/>
  <c r="L176" i="28"/>
  <c r="L17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3" i="28"/>
  <c r="M34" i="28"/>
  <c r="M35" i="28"/>
  <c r="M38" i="28"/>
  <c r="M39" i="28"/>
  <c r="M40" i="28"/>
  <c r="M43" i="28"/>
  <c r="M46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3" i="28"/>
  <c r="M144" i="28"/>
  <c r="M145" i="28"/>
  <c r="M146" i="28"/>
  <c r="M147" i="28"/>
  <c r="M148" i="28"/>
  <c r="M149" i="28"/>
  <c r="M150" i="28"/>
  <c r="M151" i="28"/>
  <c r="M152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5" i="28"/>
  <c r="M176" i="28"/>
  <c r="M17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3" i="28"/>
  <c r="N34" i="28"/>
  <c r="N35" i="28"/>
  <c r="N38" i="28"/>
  <c r="N39" i="28"/>
  <c r="N40" i="28"/>
  <c r="N43" i="28"/>
  <c r="N46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8" i="28"/>
  <c r="N109" i="28"/>
  <c r="N110" i="28"/>
  <c r="N111" i="28"/>
  <c r="N112" i="28"/>
  <c r="N113" i="28"/>
  <c r="N114" i="28"/>
  <c r="N115" i="28"/>
  <c r="N116" i="28"/>
  <c r="N117" i="28"/>
  <c r="N118" i="28"/>
  <c r="N119" i="28"/>
  <c r="N120" i="28"/>
  <c r="N121" i="28"/>
  <c r="N122" i="28"/>
  <c r="N123" i="28"/>
  <c r="N124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3" i="28"/>
  <c r="N144" i="28"/>
  <c r="N145" i="28"/>
  <c r="N146" i="28"/>
  <c r="N147" i="28"/>
  <c r="N148" i="28"/>
  <c r="N149" i="28"/>
  <c r="N150" i="28"/>
  <c r="N151" i="28"/>
  <c r="N152" i="28"/>
  <c r="N154" i="28"/>
  <c r="N155" i="28"/>
  <c r="N156" i="28"/>
  <c r="N157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70" i="28"/>
  <c r="N171" i="28"/>
  <c r="N172" i="28"/>
  <c r="N175" i="28"/>
  <c r="N176" i="28"/>
  <c r="N177" i="28"/>
  <c r="O18" i="28"/>
  <c r="O19" i="28"/>
  <c r="O20" i="28"/>
  <c r="O21" i="28"/>
  <c r="O22" i="28"/>
  <c r="O23" i="28"/>
  <c r="O24" i="28"/>
  <c r="O25" i="28"/>
  <c r="O26" i="28"/>
  <c r="O27" i="28"/>
  <c r="O28" i="28"/>
  <c r="O29" i="28"/>
  <c r="O30" i="28"/>
  <c r="O31" i="28"/>
  <c r="O33" i="28"/>
  <c r="O34" i="28"/>
  <c r="O35" i="28"/>
  <c r="O38" i="28"/>
  <c r="O39" i="28"/>
  <c r="O40" i="28"/>
  <c r="O43" i="28"/>
  <c r="O46" i="28"/>
  <c r="O51" i="28"/>
  <c r="O52" i="28"/>
  <c r="O53" i="28"/>
  <c r="O54" i="28"/>
  <c r="O55" i="28"/>
  <c r="O56" i="28"/>
  <c r="O57" i="28"/>
  <c r="O58" i="28"/>
  <c r="O59" i="28"/>
  <c r="O60" i="28"/>
  <c r="O61" i="28"/>
  <c r="O62" i="28"/>
  <c r="O63" i="28"/>
  <c r="O64" i="28"/>
  <c r="O65" i="28"/>
  <c r="O66" i="28"/>
  <c r="O67" i="28"/>
  <c r="O68" i="28"/>
  <c r="O69" i="28"/>
  <c r="O70" i="28"/>
  <c r="O71" i="28"/>
  <c r="O72" i="28"/>
  <c r="O73" i="28"/>
  <c r="O74" i="28"/>
  <c r="O75" i="28"/>
  <c r="O76" i="28"/>
  <c r="O77" i="28"/>
  <c r="O78" i="28"/>
  <c r="O79" i="28"/>
  <c r="O80" i="28"/>
  <c r="O81" i="28"/>
  <c r="O82" i="28"/>
  <c r="O83" i="28"/>
  <c r="O84" i="28"/>
  <c r="O85" i="28"/>
  <c r="O86" i="28"/>
  <c r="O87" i="28"/>
  <c r="O88" i="28"/>
  <c r="O89" i="28"/>
  <c r="O90" i="28"/>
  <c r="O91" i="28"/>
  <c r="O92" i="28"/>
  <c r="O93" i="28"/>
  <c r="O94" i="28"/>
  <c r="O95" i="28"/>
  <c r="O96" i="28"/>
  <c r="O97" i="28"/>
  <c r="O98" i="28"/>
  <c r="O99" i="28"/>
  <c r="O100" i="28"/>
  <c r="O101" i="28"/>
  <c r="O102" i="28"/>
  <c r="O103" i="28"/>
  <c r="O104" i="28"/>
  <c r="O105" i="28"/>
  <c r="O106" i="28"/>
  <c r="O108" i="28"/>
  <c r="O109" i="28"/>
  <c r="O110" i="28"/>
  <c r="O111" i="28"/>
  <c r="O112" i="28"/>
  <c r="O113" i="28"/>
  <c r="O114" i="28"/>
  <c r="O115" i="28"/>
  <c r="O116" i="28"/>
  <c r="O117" i="28"/>
  <c r="O118" i="28"/>
  <c r="O119" i="28"/>
  <c r="O120" i="28"/>
  <c r="O121" i="28"/>
  <c r="O122" i="28"/>
  <c r="O123" i="28"/>
  <c r="O124" i="28"/>
  <c r="O125" i="28"/>
  <c r="O126" i="28"/>
  <c r="O127" i="28"/>
  <c r="O128" i="28"/>
  <c r="O129" i="28"/>
  <c r="O130" i="28"/>
  <c r="O131" i="28"/>
  <c r="O132" i="28"/>
  <c r="O133" i="28"/>
  <c r="O134" i="28"/>
  <c r="O135" i="28"/>
  <c r="O136" i="28"/>
  <c r="O137" i="28"/>
  <c r="O138" i="28"/>
  <c r="O139" i="28"/>
  <c r="O140" i="28"/>
  <c r="O141" i="28"/>
  <c r="O143" i="28"/>
  <c r="O144" i="28"/>
  <c r="O145" i="28"/>
  <c r="O146" i="28"/>
  <c r="O147" i="28"/>
  <c r="O148" i="28"/>
  <c r="O149" i="28"/>
  <c r="O150" i="28"/>
  <c r="O151" i="28"/>
  <c r="O152" i="28"/>
  <c r="O154" i="28"/>
  <c r="O155" i="28"/>
  <c r="O156" i="28"/>
  <c r="O157" i="28"/>
  <c r="O158" i="28"/>
  <c r="O159" i="28"/>
  <c r="O160" i="28"/>
  <c r="O161" i="28"/>
  <c r="O162" i="28"/>
  <c r="O163" i="28"/>
  <c r="O164" i="28"/>
  <c r="O165" i="28"/>
  <c r="O166" i="28"/>
  <c r="O167" i="28"/>
  <c r="O168" i="28"/>
  <c r="O169" i="28"/>
  <c r="O170" i="28"/>
  <c r="O171" i="28"/>
  <c r="O172" i="28"/>
  <c r="O175" i="28"/>
  <c r="O176" i="28"/>
  <c r="O17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3" i="28"/>
  <c r="P34" i="28"/>
  <c r="P35" i="28"/>
  <c r="P38" i="28"/>
  <c r="P39" i="28"/>
  <c r="P40" i="28"/>
  <c r="P43" i="28"/>
  <c r="P46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3" i="28"/>
  <c r="P144" i="28"/>
  <c r="P145" i="28"/>
  <c r="P146" i="28"/>
  <c r="P147" i="28"/>
  <c r="P148" i="28"/>
  <c r="P149" i="28"/>
  <c r="P150" i="28"/>
  <c r="P151" i="28"/>
  <c r="P152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5" i="28"/>
  <c r="P176" i="28"/>
  <c r="P17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3" i="28"/>
  <c r="Q34" i="28"/>
  <c r="Q35" i="28"/>
  <c r="Q38" i="28"/>
  <c r="Q39" i="28"/>
  <c r="Q40" i="28"/>
  <c r="Q43" i="28"/>
  <c r="Q46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8" i="28"/>
  <c r="Q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Q122" i="28"/>
  <c r="Q123" i="28"/>
  <c r="Q124" i="28"/>
  <c r="Q125" i="28"/>
  <c r="Q126" i="28"/>
  <c r="Q127" i="28"/>
  <c r="Q128" i="28"/>
  <c r="Q129" i="28"/>
  <c r="Q130" i="28"/>
  <c r="Q131" i="28"/>
  <c r="Q132" i="28"/>
  <c r="Q133" i="28"/>
  <c r="Q134" i="28"/>
  <c r="Q135" i="28"/>
  <c r="Q136" i="28"/>
  <c r="Q137" i="28"/>
  <c r="Q138" i="28"/>
  <c r="Q139" i="28"/>
  <c r="Q140" i="28"/>
  <c r="Q141" i="28"/>
  <c r="Q143" i="28"/>
  <c r="Q144" i="28"/>
  <c r="Q145" i="28"/>
  <c r="Q146" i="28"/>
  <c r="Q147" i="28"/>
  <c r="Q148" i="28"/>
  <c r="Q149" i="28"/>
  <c r="Q150" i="28"/>
  <c r="Q151" i="28"/>
  <c r="Q152" i="28"/>
  <c r="Q154" i="28"/>
  <c r="Q155" i="28"/>
  <c r="Q156" i="28"/>
  <c r="Q157" i="28"/>
  <c r="Q158" i="28"/>
  <c r="Q159" i="28"/>
  <c r="Q160" i="28"/>
  <c r="Q161" i="28"/>
  <c r="Q162" i="28"/>
  <c r="Q163" i="28"/>
  <c r="Q164" i="28"/>
  <c r="Q165" i="28"/>
  <c r="Q166" i="28"/>
  <c r="Q167" i="28"/>
  <c r="Q168" i="28"/>
  <c r="Q169" i="28"/>
  <c r="Q170" i="28"/>
  <c r="Q171" i="28"/>
  <c r="Q172" i="28"/>
  <c r="Q175" i="28"/>
  <c r="Q176" i="28"/>
  <c r="Q177" i="28"/>
  <c r="R18" i="28"/>
  <c r="R19" i="28"/>
  <c r="R20" i="28"/>
  <c r="R21" i="28"/>
  <c r="R22" i="28"/>
  <c r="R23" i="28"/>
  <c r="R24" i="28"/>
  <c r="R25" i="28"/>
  <c r="R26" i="28"/>
  <c r="R27" i="28"/>
  <c r="R28" i="28"/>
  <c r="R29" i="28"/>
  <c r="R30" i="28"/>
  <c r="R31" i="28"/>
  <c r="R33" i="28"/>
  <c r="R34" i="28"/>
  <c r="R35" i="28"/>
  <c r="R38" i="28"/>
  <c r="R39" i="28"/>
  <c r="R40" i="28"/>
  <c r="R43" i="28"/>
  <c r="R46" i="28"/>
  <c r="R51" i="28"/>
  <c r="R52" i="28"/>
  <c r="R53" i="28"/>
  <c r="R54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7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0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3" i="28"/>
  <c r="R94" i="28"/>
  <c r="R95" i="28"/>
  <c r="R96" i="28"/>
  <c r="R97" i="28"/>
  <c r="R98" i="28"/>
  <c r="R99" i="28"/>
  <c r="R100" i="28"/>
  <c r="R101" i="28"/>
  <c r="R102" i="28"/>
  <c r="R103" i="28"/>
  <c r="R104" i="28"/>
  <c r="R105" i="28"/>
  <c r="R106" i="28"/>
  <c r="R108" i="28"/>
  <c r="R109" i="28"/>
  <c r="R110" i="28"/>
  <c r="R111" i="28"/>
  <c r="R112" i="28"/>
  <c r="R113" i="28"/>
  <c r="R114" i="28"/>
  <c r="R115" i="28"/>
  <c r="R116" i="28"/>
  <c r="R117" i="28"/>
  <c r="R118" i="28"/>
  <c r="R119" i="28"/>
  <c r="R120" i="28"/>
  <c r="R121" i="28"/>
  <c r="R122" i="28"/>
  <c r="R123" i="28"/>
  <c r="R124" i="28"/>
  <c r="R125" i="28"/>
  <c r="R126" i="28"/>
  <c r="R127" i="28"/>
  <c r="R128" i="28"/>
  <c r="R129" i="28"/>
  <c r="R130" i="28"/>
  <c r="R131" i="28"/>
  <c r="R132" i="28"/>
  <c r="R133" i="28"/>
  <c r="R134" i="28"/>
  <c r="R135" i="28"/>
  <c r="R136" i="28"/>
  <c r="R137" i="28"/>
  <c r="R138" i="28"/>
  <c r="R139" i="28"/>
  <c r="R140" i="28"/>
  <c r="R141" i="28"/>
  <c r="R143" i="28"/>
  <c r="R144" i="28"/>
  <c r="R145" i="28"/>
  <c r="R146" i="28"/>
  <c r="R147" i="28"/>
  <c r="R148" i="28"/>
  <c r="R149" i="28"/>
  <c r="R150" i="28"/>
  <c r="R151" i="28"/>
  <c r="R152" i="28"/>
  <c r="R154" i="28"/>
  <c r="R155" i="28"/>
  <c r="R156" i="28"/>
  <c r="R157" i="28"/>
  <c r="R158" i="28"/>
  <c r="R159" i="28"/>
  <c r="R160" i="28"/>
  <c r="R161" i="28"/>
  <c r="R162" i="28"/>
  <c r="R163" i="28"/>
  <c r="R164" i="28"/>
  <c r="R165" i="28"/>
  <c r="R166" i="28"/>
  <c r="R167" i="28"/>
  <c r="R168" i="28"/>
  <c r="R169" i="28"/>
  <c r="R170" i="28"/>
  <c r="R171" i="28"/>
  <c r="R172" i="28"/>
  <c r="R175" i="28"/>
  <c r="R176" i="28"/>
  <c r="R177" i="28"/>
  <c r="S18" i="28"/>
  <c r="S19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3" i="28"/>
  <c r="S34" i="28"/>
  <c r="S35" i="28"/>
  <c r="S38" i="28"/>
  <c r="S39" i="28"/>
  <c r="S40" i="28"/>
  <c r="S43" i="28"/>
  <c r="S46" i="28"/>
  <c r="S51" i="28"/>
  <c r="S52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101" i="28"/>
  <c r="S102" i="28"/>
  <c r="S103" i="28"/>
  <c r="S104" i="28"/>
  <c r="S105" i="28"/>
  <c r="S106" i="28"/>
  <c r="S108" i="28"/>
  <c r="S109" i="28"/>
  <c r="S110" i="28"/>
  <c r="S111" i="28"/>
  <c r="S112" i="28"/>
  <c r="S113" i="28"/>
  <c r="S114" i="28"/>
  <c r="S115" i="28"/>
  <c r="S116" i="28"/>
  <c r="S117" i="28"/>
  <c r="S118" i="28"/>
  <c r="S119" i="28"/>
  <c r="S120" i="28"/>
  <c r="S121" i="28"/>
  <c r="S122" i="28"/>
  <c r="S123" i="28"/>
  <c r="S124" i="28"/>
  <c r="S125" i="28"/>
  <c r="S126" i="28"/>
  <c r="S127" i="28"/>
  <c r="S128" i="28"/>
  <c r="S129" i="28"/>
  <c r="S130" i="28"/>
  <c r="S131" i="28"/>
  <c r="S132" i="28"/>
  <c r="S133" i="28"/>
  <c r="S134" i="28"/>
  <c r="S135" i="28"/>
  <c r="S136" i="28"/>
  <c r="S137" i="28"/>
  <c r="S138" i="28"/>
  <c r="S139" i="28"/>
  <c r="S140" i="28"/>
  <c r="S141" i="28"/>
  <c r="S143" i="28"/>
  <c r="S144" i="28"/>
  <c r="S145" i="28"/>
  <c r="S146" i="28"/>
  <c r="S147" i="28"/>
  <c r="S148" i="28"/>
  <c r="S149" i="28"/>
  <c r="S150" i="28"/>
  <c r="S151" i="28"/>
  <c r="S152" i="28"/>
  <c r="S154" i="28"/>
  <c r="S155" i="28"/>
  <c r="S156" i="28"/>
  <c r="S157" i="28"/>
  <c r="S158" i="28"/>
  <c r="S159" i="28"/>
  <c r="S160" i="28"/>
  <c r="S161" i="28"/>
  <c r="S162" i="28"/>
  <c r="S163" i="28"/>
  <c r="S164" i="28"/>
  <c r="S165" i="28"/>
  <c r="S166" i="28"/>
  <c r="S167" i="28"/>
  <c r="S168" i="28"/>
  <c r="S169" i="28"/>
  <c r="S170" i="28"/>
  <c r="S171" i="28"/>
  <c r="S172" i="28"/>
  <c r="S175" i="28"/>
  <c r="S176" i="28"/>
  <c r="S177" i="28"/>
  <c r="D295" i="1"/>
  <c r="D249" i="11" s="1"/>
  <c r="E295" i="1"/>
  <c r="C249" i="11" s="1"/>
  <c r="H295" i="1"/>
  <c r="I295" i="1"/>
  <c r="J295" i="1"/>
  <c r="K295" i="1"/>
  <c r="L295" i="1"/>
  <c r="M295" i="1"/>
  <c r="N295" i="1"/>
  <c r="O295" i="1"/>
  <c r="P295" i="1"/>
  <c r="Q295" i="1"/>
  <c r="R295" i="1"/>
  <c r="S295" i="1"/>
  <c r="D155" i="1"/>
  <c r="E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D34" i="1"/>
  <c r="E34" i="1"/>
  <c r="H34" i="1"/>
  <c r="I34" i="1"/>
  <c r="J34" i="1"/>
  <c r="K34" i="1"/>
  <c r="L34" i="1"/>
  <c r="M34" i="1"/>
  <c r="N34" i="1"/>
  <c r="O34" i="1"/>
  <c r="P34" i="1"/>
  <c r="Q34" i="1"/>
  <c r="R34" i="1"/>
  <c r="S34" i="1"/>
  <c r="D18" i="1"/>
  <c r="D18" i="17" s="1"/>
  <c r="D19" i="1"/>
  <c r="D20" i="1"/>
  <c r="D21" i="1"/>
  <c r="D22" i="1"/>
  <c r="D23" i="1"/>
  <c r="D23" i="17" s="1"/>
  <c r="D26" i="1"/>
  <c r="D33" i="1"/>
  <c r="D35" i="1"/>
  <c r="D38" i="1"/>
  <c r="D39" i="1"/>
  <c r="D40" i="1"/>
  <c r="D46" i="1"/>
  <c r="D51" i="1"/>
  <c r="D55" i="1"/>
  <c r="D40" i="17" s="1"/>
  <c r="D57" i="1"/>
  <c r="D40" i="16" s="1"/>
  <c r="D58" i="1"/>
  <c r="D59" i="1"/>
  <c r="D60" i="1"/>
  <c r="D61" i="1"/>
  <c r="D64" i="1"/>
  <c r="D65" i="1"/>
  <c r="D73" i="1"/>
  <c r="D74" i="1"/>
  <c r="D77" i="1"/>
  <c r="D78" i="1"/>
  <c r="D79" i="1"/>
  <c r="D86" i="1"/>
  <c r="D87" i="1"/>
  <c r="D88" i="1"/>
  <c r="D89" i="1"/>
  <c r="D90" i="1"/>
  <c r="D91" i="1"/>
  <c r="D92" i="1"/>
  <c r="D93" i="1"/>
  <c r="D99" i="1"/>
  <c r="D106" i="1"/>
  <c r="D107" i="1"/>
  <c r="D108" i="1"/>
  <c r="D109" i="1"/>
  <c r="D110" i="1"/>
  <c r="D111" i="1"/>
  <c r="D112" i="1"/>
  <c r="D113" i="1"/>
  <c r="D114" i="1"/>
  <c r="D116" i="1"/>
  <c r="D122" i="1"/>
  <c r="D123" i="1"/>
  <c r="D124" i="1"/>
  <c r="D126" i="1"/>
  <c r="D127" i="1"/>
  <c r="D128" i="1"/>
  <c r="D129" i="1"/>
  <c r="D131" i="1"/>
  <c r="D132" i="1"/>
  <c r="D134" i="1"/>
  <c r="D135" i="1"/>
  <c r="D136" i="1"/>
  <c r="D140" i="1"/>
  <c r="D143" i="1"/>
  <c r="D144" i="1"/>
  <c r="D145" i="1"/>
  <c r="D147" i="1"/>
  <c r="D148" i="1"/>
  <c r="D149" i="1"/>
  <c r="D150" i="1"/>
  <c r="D151" i="1"/>
  <c r="D156" i="1"/>
  <c r="D157" i="1"/>
  <c r="D172" i="1"/>
  <c r="D175" i="1"/>
  <c r="D176" i="1"/>
  <c r="D177" i="1"/>
  <c r="D178" i="1"/>
  <c r="D179" i="1"/>
  <c r="D181" i="1"/>
  <c r="D182" i="1"/>
  <c r="D183" i="1"/>
  <c r="D184" i="1"/>
  <c r="D185" i="1"/>
  <c r="D186" i="1"/>
  <c r="D189" i="1"/>
  <c r="D190" i="1"/>
  <c r="D191" i="1"/>
  <c r="D192" i="1"/>
  <c r="D193" i="1"/>
  <c r="D194" i="1"/>
  <c r="D195" i="1"/>
  <c r="D207" i="1"/>
  <c r="D215" i="1"/>
  <c r="D177" i="16" s="1"/>
  <c r="D216" i="1"/>
  <c r="D217" i="1"/>
  <c r="D218" i="1"/>
  <c r="D180" i="16" s="1"/>
  <c r="D219" i="1"/>
  <c r="D222" i="1"/>
  <c r="D223" i="1"/>
  <c r="D224" i="1"/>
  <c r="D186" i="17" s="1"/>
  <c r="D225" i="1"/>
  <c r="D187" i="17" s="1"/>
  <c r="D226" i="1"/>
  <c r="D227" i="1"/>
  <c r="D228" i="1"/>
  <c r="D229" i="1"/>
  <c r="D200" i="11" s="1"/>
  <c r="D231" i="1"/>
  <c r="D201" i="12" s="1"/>
  <c r="D232" i="1"/>
  <c r="D233" i="1"/>
  <c r="D234" i="1"/>
  <c r="D235" i="1"/>
  <c r="D239" i="1"/>
  <c r="D205" i="12" s="1"/>
  <c r="D254" i="1"/>
  <c r="D257" i="1"/>
  <c r="D292" i="1"/>
  <c r="D251" i="17" s="1"/>
  <c r="D293" i="1"/>
  <c r="D294" i="1"/>
  <c r="D248" i="11" s="1"/>
  <c r="D296" i="1"/>
  <c r="D253" i="14" s="1"/>
  <c r="D298" i="1"/>
  <c r="D255" i="14" s="1"/>
  <c r="D299" i="1"/>
  <c r="D300" i="1"/>
  <c r="D259" i="17" s="1"/>
  <c r="D301" i="1"/>
  <c r="D259" i="16" s="1"/>
  <c r="D306" i="1"/>
  <c r="D314" i="1"/>
  <c r="D315" i="1"/>
  <c r="E18" i="1"/>
  <c r="E19" i="1"/>
  <c r="E20" i="1"/>
  <c r="E21" i="1"/>
  <c r="E22" i="1"/>
  <c r="E23" i="1"/>
  <c r="E26" i="1"/>
  <c r="E33" i="1"/>
  <c r="E35" i="1"/>
  <c r="E38" i="1"/>
  <c r="E39" i="1"/>
  <c r="E40" i="1"/>
  <c r="E46" i="1"/>
  <c r="E51" i="1"/>
  <c r="E55" i="1"/>
  <c r="E57" i="1"/>
  <c r="E58" i="1"/>
  <c r="E59" i="1"/>
  <c r="E60" i="1"/>
  <c r="E61" i="1"/>
  <c r="E64" i="1"/>
  <c r="E65" i="1"/>
  <c r="E73" i="1"/>
  <c r="E74" i="1"/>
  <c r="E77" i="1"/>
  <c r="E78" i="1"/>
  <c r="E79" i="1"/>
  <c r="E86" i="1"/>
  <c r="E87" i="1"/>
  <c r="E88" i="1"/>
  <c r="E89" i="1"/>
  <c r="E90" i="1"/>
  <c r="E91" i="1"/>
  <c r="E92" i="1"/>
  <c r="E93" i="1"/>
  <c r="E99" i="1"/>
  <c r="E106" i="1"/>
  <c r="E107" i="1"/>
  <c r="E108" i="1"/>
  <c r="E109" i="1"/>
  <c r="E110" i="1"/>
  <c r="E111" i="1"/>
  <c r="E112" i="1"/>
  <c r="E113" i="1"/>
  <c r="E114" i="1"/>
  <c r="E116" i="1"/>
  <c r="E122" i="1"/>
  <c r="E123" i="1"/>
  <c r="E124" i="1"/>
  <c r="E126" i="1"/>
  <c r="E127" i="1"/>
  <c r="E128" i="1"/>
  <c r="E129" i="1"/>
  <c r="E131" i="1"/>
  <c r="E132" i="1"/>
  <c r="E134" i="1"/>
  <c r="E135" i="1"/>
  <c r="E136" i="1"/>
  <c r="E140" i="1"/>
  <c r="E143" i="1"/>
  <c r="E144" i="1"/>
  <c r="E145" i="1"/>
  <c r="E147" i="1"/>
  <c r="E148" i="1"/>
  <c r="E149" i="1"/>
  <c r="E150" i="1"/>
  <c r="E151" i="1"/>
  <c r="E156" i="1"/>
  <c r="E157" i="1"/>
  <c r="E172" i="1"/>
  <c r="E175" i="1"/>
  <c r="E176" i="1"/>
  <c r="E177" i="1"/>
  <c r="E178" i="1"/>
  <c r="E179" i="1"/>
  <c r="E181" i="1"/>
  <c r="E182" i="1"/>
  <c r="E183" i="1"/>
  <c r="E184" i="1"/>
  <c r="E185" i="1"/>
  <c r="E186" i="1"/>
  <c r="E189" i="1"/>
  <c r="E190" i="1"/>
  <c r="E191" i="1"/>
  <c r="E192" i="1"/>
  <c r="E193" i="1"/>
  <c r="E194" i="1"/>
  <c r="E195" i="1"/>
  <c r="E207" i="1"/>
  <c r="E215" i="1"/>
  <c r="E216" i="1"/>
  <c r="E217" i="1"/>
  <c r="E218" i="1"/>
  <c r="E219" i="1"/>
  <c r="E222" i="1"/>
  <c r="E223" i="1"/>
  <c r="E224" i="1"/>
  <c r="C199" i="9" s="1"/>
  <c r="E225" i="1"/>
  <c r="E226" i="1"/>
  <c r="C200" i="9" s="1"/>
  <c r="E227" i="1"/>
  <c r="E228" i="1"/>
  <c r="E229" i="1"/>
  <c r="C200" i="11" s="1"/>
  <c r="E231" i="1"/>
  <c r="C201" i="12" s="1"/>
  <c r="E232" i="1"/>
  <c r="E233" i="1"/>
  <c r="E234" i="1"/>
  <c r="E235" i="1"/>
  <c r="E239" i="1"/>
  <c r="C205" i="12" s="1"/>
  <c r="E254" i="1"/>
  <c r="E257" i="1"/>
  <c r="E292" i="1"/>
  <c r="C251" i="17" s="1"/>
  <c r="E293" i="1"/>
  <c r="E294" i="1"/>
  <c r="C248" i="11" s="1"/>
  <c r="E296" i="1"/>
  <c r="C253" i="14" s="1"/>
  <c r="E298" i="1"/>
  <c r="C255" i="14" s="1"/>
  <c r="E299" i="1"/>
  <c r="E300" i="1"/>
  <c r="C259" i="17" s="1"/>
  <c r="E301" i="1"/>
  <c r="C259" i="16" s="1"/>
  <c r="E306" i="1"/>
  <c r="E314" i="1"/>
  <c r="E315" i="1"/>
  <c r="H18" i="1"/>
  <c r="H19" i="1"/>
  <c r="H20" i="1"/>
  <c r="H21" i="1"/>
  <c r="H22" i="1"/>
  <c r="H23" i="1"/>
  <c r="H26" i="1"/>
  <c r="H33" i="1"/>
  <c r="H35" i="1"/>
  <c r="H38" i="1"/>
  <c r="H39" i="1"/>
  <c r="H40" i="1"/>
  <c r="H46" i="1"/>
  <c r="H51" i="1"/>
  <c r="H55" i="1"/>
  <c r="H57" i="1"/>
  <c r="H58" i="1"/>
  <c r="H59" i="1"/>
  <c r="H60" i="1"/>
  <c r="H61" i="1"/>
  <c r="H64" i="1"/>
  <c r="H65" i="1"/>
  <c r="H73" i="1"/>
  <c r="H74" i="1"/>
  <c r="H77" i="1"/>
  <c r="H78" i="1"/>
  <c r="H79" i="1"/>
  <c r="H86" i="1"/>
  <c r="H87" i="1"/>
  <c r="H88" i="1"/>
  <c r="H89" i="1"/>
  <c r="H90" i="1"/>
  <c r="H91" i="1"/>
  <c r="H92" i="1"/>
  <c r="H93" i="1"/>
  <c r="H99" i="1"/>
  <c r="H106" i="1"/>
  <c r="H107" i="1"/>
  <c r="H108" i="1"/>
  <c r="H109" i="1"/>
  <c r="H110" i="1"/>
  <c r="H111" i="1"/>
  <c r="H112" i="1"/>
  <c r="H113" i="1"/>
  <c r="H114" i="1"/>
  <c r="H116" i="1"/>
  <c r="H122" i="1"/>
  <c r="H123" i="1"/>
  <c r="H124" i="1"/>
  <c r="H126" i="1"/>
  <c r="H127" i="1"/>
  <c r="H128" i="1"/>
  <c r="H129" i="1"/>
  <c r="H131" i="1"/>
  <c r="H132" i="1"/>
  <c r="H134" i="1"/>
  <c r="H135" i="1"/>
  <c r="H136" i="1"/>
  <c r="H140" i="1"/>
  <c r="H143" i="1"/>
  <c r="H144" i="1"/>
  <c r="H145" i="1"/>
  <c r="H147" i="1"/>
  <c r="H148" i="1"/>
  <c r="H149" i="1"/>
  <c r="H150" i="1"/>
  <c r="H151" i="1"/>
  <c r="H156" i="1"/>
  <c r="H157" i="1"/>
  <c r="H172" i="1"/>
  <c r="H175" i="1"/>
  <c r="H176" i="1"/>
  <c r="H177" i="1"/>
  <c r="H178" i="1"/>
  <c r="H179" i="1"/>
  <c r="H181" i="1"/>
  <c r="H182" i="1"/>
  <c r="H183" i="1"/>
  <c r="H184" i="1"/>
  <c r="H185" i="1"/>
  <c r="H186" i="1"/>
  <c r="H189" i="1"/>
  <c r="H190" i="1"/>
  <c r="H191" i="1"/>
  <c r="H192" i="1"/>
  <c r="H193" i="1"/>
  <c r="H194" i="1"/>
  <c r="H195" i="1"/>
  <c r="H207" i="1"/>
  <c r="H215" i="1"/>
  <c r="H216" i="1"/>
  <c r="H217" i="1"/>
  <c r="H218" i="1"/>
  <c r="H219" i="1"/>
  <c r="H222" i="1"/>
  <c r="H223" i="1"/>
  <c r="H224" i="1"/>
  <c r="H225" i="1"/>
  <c r="H226" i="1"/>
  <c r="H227" i="1"/>
  <c r="H228" i="1"/>
  <c r="H229" i="1"/>
  <c r="H231" i="1"/>
  <c r="H232" i="1"/>
  <c r="H233" i="1"/>
  <c r="H234" i="1"/>
  <c r="H235" i="1"/>
  <c r="H239" i="1"/>
  <c r="H254" i="1"/>
  <c r="H257" i="1"/>
  <c r="H292" i="1"/>
  <c r="H293" i="1"/>
  <c r="H294" i="1"/>
  <c r="H296" i="1"/>
  <c r="H298" i="1"/>
  <c r="H299" i="1"/>
  <c r="H300" i="1"/>
  <c r="H301" i="1"/>
  <c r="H314" i="1"/>
  <c r="H315" i="1"/>
  <c r="I18" i="1"/>
  <c r="I19" i="1"/>
  <c r="I20" i="1"/>
  <c r="I21" i="1"/>
  <c r="I22" i="1"/>
  <c r="I23" i="1"/>
  <c r="I26" i="1"/>
  <c r="I33" i="1"/>
  <c r="I35" i="1"/>
  <c r="I38" i="1"/>
  <c r="I39" i="1"/>
  <c r="I40" i="1"/>
  <c r="I46" i="1"/>
  <c r="I51" i="1"/>
  <c r="I55" i="1"/>
  <c r="I57" i="1"/>
  <c r="I58" i="1"/>
  <c r="I59" i="1"/>
  <c r="I60" i="1"/>
  <c r="I61" i="1"/>
  <c r="I64" i="1"/>
  <c r="I65" i="1"/>
  <c r="I73" i="1"/>
  <c r="I74" i="1"/>
  <c r="I77" i="1"/>
  <c r="I78" i="1"/>
  <c r="I79" i="1"/>
  <c r="I86" i="1"/>
  <c r="I87" i="1"/>
  <c r="I88" i="1"/>
  <c r="I89" i="1"/>
  <c r="I90" i="1"/>
  <c r="I91" i="1"/>
  <c r="I92" i="1"/>
  <c r="I93" i="1"/>
  <c r="I99" i="1"/>
  <c r="I106" i="1"/>
  <c r="I107" i="1"/>
  <c r="I108" i="1"/>
  <c r="I109" i="1"/>
  <c r="I110" i="1"/>
  <c r="I111" i="1"/>
  <c r="I112" i="1"/>
  <c r="I113" i="1"/>
  <c r="I114" i="1"/>
  <c r="I116" i="1"/>
  <c r="I122" i="1"/>
  <c r="I123" i="1"/>
  <c r="I124" i="1"/>
  <c r="I126" i="1"/>
  <c r="I127" i="1"/>
  <c r="I128" i="1"/>
  <c r="I129" i="1"/>
  <c r="I131" i="1"/>
  <c r="I132" i="1"/>
  <c r="I134" i="1"/>
  <c r="I135" i="1"/>
  <c r="I136" i="1"/>
  <c r="I140" i="1"/>
  <c r="I143" i="1"/>
  <c r="I144" i="1"/>
  <c r="I145" i="1"/>
  <c r="I147" i="1"/>
  <c r="I148" i="1"/>
  <c r="I149" i="1"/>
  <c r="I150" i="1"/>
  <c r="I151" i="1"/>
  <c r="I156" i="1"/>
  <c r="I157" i="1"/>
  <c r="I172" i="1"/>
  <c r="I175" i="1"/>
  <c r="I176" i="1"/>
  <c r="I177" i="1"/>
  <c r="I178" i="1"/>
  <c r="I179" i="1"/>
  <c r="I181" i="1"/>
  <c r="I182" i="1"/>
  <c r="I183" i="1"/>
  <c r="I184" i="1"/>
  <c r="I185" i="1"/>
  <c r="I186" i="1"/>
  <c r="I189" i="1"/>
  <c r="I190" i="1"/>
  <c r="I191" i="1"/>
  <c r="I192" i="1"/>
  <c r="I193" i="1"/>
  <c r="I194" i="1"/>
  <c r="I195" i="1"/>
  <c r="I207" i="1"/>
  <c r="I215" i="1"/>
  <c r="I216" i="1"/>
  <c r="I217" i="1"/>
  <c r="I218" i="1"/>
  <c r="I219" i="1"/>
  <c r="I222" i="1"/>
  <c r="I223" i="1"/>
  <c r="I224" i="1"/>
  <c r="I225" i="1"/>
  <c r="I226" i="1"/>
  <c r="I227" i="1"/>
  <c r="I228" i="1"/>
  <c r="I229" i="1"/>
  <c r="I231" i="1"/>
  <c r="I232" i="1"/>
  <c r="I233" i="1"/>
  <c r="I234" i="1"/>
  <c r="I235" i="1"/>
  <c r="I239" i="1"/>
  <c r="I254" i="1"/>
  <c r="I257" i="1"/>
  <c r="I292" i="1"/>
  <c r="I293" i="1"/>
  <c r="I294" i="1"/>
  <c r="I296" i="1"/>
  <c r="I298" i="1"/>
  <c r="I299" i="1"/>
  <c r="I300" i="1"/>
  <c r="I301" i="1"/>
  <c r="I306" i="1"/>
  <c r="I314" i="1"/>
  <c r="I315" i="1"/>
  <c r="J18" i="1"/>
  <c r="J19" i="1"/>
  <c r="J20" i="1"/>
  <c r="J21" i="1"/>
  <c r="J22" i="1"/>
  <c r="J23" i="1"/>
  <c r="J26" i="1"/>
  <c r="J33" i="1"/>
  <c r="J35" i="1"/>
  <c r="J38" i="1"/>
  <c r="J39" i="1"/>
  <c r="J40" i="1"/>
  <c r="J46" i="1"/>
  <c r="J51" i="1"/>
  <c r="J55" i="1"/>
  <c r="J57" i="1"/>
  <c r="J58" i="1"/>
  <c r="J59" i="1"/>
  <c r="J60" i="1"/>
  <c r="J61" i="1"/>
  <c r="J64" i="1"/>
  <c r="J65" i="1"/>
  <c r="J73" i="1"/>
  <c r="J74" i="1"/>
  <c r="J77" i="1"/>
  <c r="J78" i="1"/>
  <c r="J79" i="1"/>
  <c r="J86" i="1"/>
  <c r="J87" i="1"/>
  <c r="J88" i="1"/>
  <c r="J89" i="1"/>
  <c r="J90" i="1"/>
  <c r="J91" i="1"/>
  <c r="J92" i="1"/>
  <c r="J93" i="1"/>
  <c r="J99" i="1"/>
  <c r="J106" i="1"/>
  <c r="J107" i="1"/>
  <c r="J108" i="1"/>
  <c r="J109" i="1"/>
  <c r="J110" i="1"/>
  <c r="J111" i="1"/>
  <c r="J112" i="1"/>
  <c r="J113" i="1"/>
  <c r="J114" i="1"/>
  <c r="J116" i="1"/>
  <c r="J122" i="1"/>
  <c r="J123" i="1"/>
  <c r="J124" i="1"/>
  <c r="J126" i="1"/>
  <c r="J127" i="1"/>
  <c r="J128" i="1"/>
  <c r="J129" i="1"/>
  <c r="J131" i="1"/>
  <c r="J132" i="1"/>
  <c r="J134" i="1"/>
  <c r="J135" i="1"/>
  <c r="J136" i="1"/>
  <c r="J140" i="1"/>
  <c r="J143" i="1"/>
  <c r="J144" i="1"/>
  <c r="J145" i="1"/>
  <c r="J147" i="1"/>
  <c r="J148" i="1"/>
  <c r="J149" i="1"/>
  <c r="J150" i="1"/>
  <c r="J151" i="1"/>
  <c r="J156" i="1"/>
  <c r="J157" i="1"/>
  <c r="J172" i="1"/>
  <c r="J175" i="1"/>
  <c r="J176" i="1"/>
  <c r="J177" i="1"/>
  <c r="J178" i="1"/>
  <c r="J179" i="1"/>
  <c r="J181" i="1"/>
  <c r="J182" i="1"/>
  <c r="J183" i="1"/>
  <c r="J184" i="1"/>
  <c r="J185" i="1"/>
  <c r="J186" i="1"/>
  <c r="J189" i="1"/>
  <c r="J190" i="1"/>
  <c r="J191" i="1"/>
  <c r="J192" i="1"/>
  <c r="J193" i="1"/>
  <c r="J194" i="1"/>
  <c r="J195" i="1"/>
  <c r="J207" i="1"/>
  <c r="J215" i="1"/>
  <c r="J216" i="1"/>
  <c r="J217" i="1"/>
  <c r="J218" i="1"/>
  <c r="J219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9" i="1"/>
  <c r="J254" i="1"/>
  <c r="J257" i="1"/>
  <c r="J292" i="1"/>
  <c r="J293" i="1"/>
  <c r="J294" i="1"/>
  <c r="J296" i="1"/>
  <c r="J298" i="1"/>
  <c r="J299" i="1"/>
  <c r="J300" i="1"/>
  <c r="J301" i="1"/>
  <c r="J306" i="1"/>
  <c r="J314" i="1"/>
  <c r="J315" i="1"/>
  <c r="K18" i="1"/>
  <c r="K19" i="1"/>
  <c r="K20" i="1"/>
  <c r="K21" i="1"/>
  <c r="K22" i="1"/>
  <c r="K23" i="1"/>
  <c r="K26" i="1"/>
  <c r="K33" i="1"/>
  <c r="K35" i="1"/>
  <c r="K38" i="1"/>
  <c r="K39" i="1"/>
  <c r="K40" i="1"/>
  <c r="K46" i="1"/>
  <c r="K51" i="1"/>
  <c r="K55" i="1"/>
  <c r="K57" i="1"/>
  <c r="K58" i="1"/>
  <c r="K59" i="1"/>
  <c r="K60" i="1"/>
  <c r="K61" i="1"/>
  <c r="K64" i="1"/>
  <c r="K65" i="1"/>
  <c r="K73" i="1"/>
  <c r="K74" i="1"/>
  <c r="K77" i="1"/>
  <c r="K78" i="1"/>
  <c r="K79" i="1"/>
  <c r="K86" i="1"/>
  <c r="K87" i="1"/>
  <c r="K88" i="1"/>
  <c r="K89" i="1"/>
  <c r="K90" i="1"/>
  <c r="K91" i="1"/>
  <c r="K92" i="1"/>
  <c r="K93" i="1"/>
  <c r="K99" i="1"/>
  <c r="K106" i="1"/>
  <c r="K107" i="1"/>
  <c r="K108" i="1"/>
  <c r="K109" i="1"/>
  <c r="K110" i="1"/>
  <c r="K111" i="1"/>
  <c r="K112" i="1"/>
  <c r="K113" i="1"/>
  <c r="K114" i="1"/>
  <c r="K116" i="1"/>
  <c r="K122" i="1"/>
  <c r="K123" i="1"/>
  <c r="K124" i="1"/>
  <c r="K126" i="1"/>
  <c r="K127" i="1"/>
  <c r="K128" i="1"/>
  <c r="K129" i="1"/>
  <c r="K131" i="1"/>
  <c r="K132" i="1"/>
  <c r="K134" i="1"/>
  <c r="K135" i="1"/>
  <c r="K136" i="1"/>
  <c r="K140" i="1"/>
  <c r="K143" i="1"/>
  <c r="K144" i="1"/>
  <c r="K145" i="1"/>
  <c r="K147" i="1"/>
  <c r="K148" i="1"/>
  <c r="K149" i="1"/>
  <c r="K150" i="1"/>
  <c r="K151" i="1"/>
  <c r="K156" i="1"/>
  <c r="K157" i="1"/>
  <c r="K172" i="1"/>
  <c r="K175" i="1"/>
  <c r="K176" i="1"/>
  <c r="K177" i="1"/>
  <c r="K178" i="1"/>
  <c r="K179" i="1"/>
  <c r="K181" i="1"/>
  <c r="K182" i="1"/>
  <c r="K183" i="1"/>
  <c r="K184" i="1"/>
  <c r="K185" i="1"/>
  <c r="K186" i="1"/>
  <c r="K189" i="1"/>
  <c r="K190" i="1"/>
  <c r="K191" i="1"/>
  <c r="K192" i="1"/>
  <c r="K193" i="1"/>
  <c r="K194" i="1"/>
  <c r="K195" i="1"/>
  <c r="K207" i="1"/>
  <c r="K215" i="1"/>
  <c r="K216" i="1"/>
  <c r="K217" i="1"/>
  <c r="K218" i="1"/>
  <c r="K219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9" i="1"/>
  <c r="K254" i="1"/>
  <c r="K257" i="1"/>
  <c r="K292" i="1"/>
  <c r="K293" i="1"/>
  <c r="K294" i="1"/>
  <c r="K296" i="1"/>
  <c r="K298" i="1"/>
  <c r="K299" i="1"/>
  <c r="K300" i="1"/>
  <c r="K301" i="1"/>
  <c r="K306" i="1"/>
  <c r="K314" i="1"/>
  <c r="K315" i="1"/>
  <c r="L18" i="1"/>
  <c r="L19" i="1"/>
  <c r="L20" i="1"/>
  <c r="L21" i="1"/>
  <c r="L22" i="1"/>
  <c r="L23" i="1"/>
  <c r="L26" i="1"/>
  <c r="L33" i="1"/>
  <c r="L35" i="1"/>
  <c r="L38" i="1"/>
  <c r="L39" i="1"/>
  <c r="L40" i="1"/>
  <c r="L46" i="1"/>
  <c r="L51" i="1"/>
  <c r="L55" i="1"/>
  <c r="L57" i="1"/>
  <c r="L58" i="1"/>
  <c r="L59" i="1"/>
  <c r="L60" i="1"/>
  <c r="L61" i="1"/>
  <c r="L64" i="1"/>
  <c r="L65" i="1"/>
  <c r="L73" i="1"/>
  <c r="L74" i="1"/>
  <c r="L77" i="1"/>
  <c r="L78" i="1"/>
  <c r="L79" i="1"/>
  <c r="L86" i="1"/>
  <c r="L87" i="1"/>
  <c r="L88" i="1"/>
  <c r="L89" i="1"/>
  <c r="L90" i="1"/>
  <c r="L91" i="1"/>
  <c r="L92" i="1"/>
  <c r="L93" i="1"/>
  <c r="L99" i="1"/>
  <c r="L106" i="1"/>
  <c r="L107" i="1"/>
  <c r="L108" i="1"/>
  <c r="L109" i="1"/>
  <c r="L110" i="1"/>
  <c r="L111" i="1"/>
  <c r="L112" i="1"/>
  <c r="L113" i="1"/>
  <c r="L114" i="1"/>
  <c r="L116" i="1"/>
  <c r="L122" i="1"/>
  <c r="L123" i="1"/>
  <c r="L124" i="1"/>
  <c r="L126" i="1"/>
  <c r="L127" i="1"/>
  <c r="L128" i="1"/>
  <c r="L129" i="1"/>
  <c r="L131" i="1"/>
  <c r="L132" i="1"/>
  <c r="L134" i="1"/>
  <c r="L135" i="1"/>
  <c r="L136" i="1"/>
  <c r="L140" i="1"/>
  <c r="L143" i="1"/>
  <c r="L144" i="1"/>
  <c r="L145" i="1"/>
  <c r="L147" i="1"/>
  <c r="L148" i="1"/>
  <c r="L149" i="1"/>
  <c r="L150" i="1"/>
  <c r="L151" i="1"/>
  <c r="L156" i="1"/>
  <c r="L157" i="1"/>
  <c r="L172" i="1"/>
  <c r="L175" i="1"/>
  <c r="L176" i="1"/>
  <c r="L177" i="1"/>
  <c r="L178" i="1"/>
  <c r="L179" i="1"/>
  <c r="L181" i="1"/>
  <c r="L182" i="1"/>
  <c r="L183" i="1"/>
  <c r="L184" i="1"/>
  <c r="L185" i="1"/>
  <c r="L186" i="1"/>
  <c r="L189" i="1"/>
  <c r="L190" i="1"/>
  <c r="L191" i="1"/>
  <c r="L192" i="1"/>
  <c r="L193" i="1"/>
  <c r="L194" i="1"/>
  <c r="L195" i="1"/>
  <c r="L207" i="1"/>
  <c r="L215" i="1"/>
  <c r="L216" i="1"/>
  <c r="L217" i="1"/>
  <c r="L218" i="1"/>
  <c r="L219" i="1"/>
  <c r="L222" i="1"/>
  <c r="L223" i="1"/>
  <c r="L224" i="1"/>
  <c r="L225" i="1"/>
  <c r="L226" i="1"/>
  <c r="L227" i="1"/>
  <c r="L228" i="1"/>
  <c r="L229" i="1"/>
  <c r="L231" i="1"/>
  <c r="L232" i="1"/>
  <c r="L233" i="1"/>
  <c r="L234" i="1"/>
  <c r="L235" i="1"/>
  <c r="L239" i="1"/>
  <c r="L254" i="1"/>
  <c r="L257" i="1"/>
  <c r="L292" i="1"/>
  <c r="L293" i="1"/>
  <c r="L294" i="1"/>
  <c r="L296" i="1"/>
  <c r="L298" i="1"/>
  <c r="L299" i="1"/>
  <c r="L300" i="1"/>
  <c r="L301" i="1"/>
  <c r="L306" i="1"/>
  <c r="L314" i="1"/>
  <c r="L315" i="1"/>
  <c r="M18" i="1"/>
  <c r="M19" i="1"/>
  <c r="M20" i="1"/>
  <c r="M21" i="1"/>
  <c r="M22" i="1"/>
  <c r="M23" i="1"/>
  <c r="M26" i="1"/>
  <c r="M33" i="1"/>
  <c r="M35" i="1"/>
  <c r="M38" i="1"/>
  <c r="M39" i="1"/>
  <c r="M40" i="1"/>
  <c r="M46" i="1"/>
  <c r="M51" i="1"/>
  <c r="M55" i="1"/>
  <c r="M57" i="1"/>
  <c r="M58" i="1"/>
  <c r="M59" i="1"/>
  <c r="M60" i="1"/>
  <c r="M61" i="1"/>
  <c r="M64" i="1"/>
  <c r="M65" i="1"/>
  <c r="M73" i="1"/>
  <c r="M74" i="1"/>
  <c r="M77" i="1"/>
  <c r="M78" i="1"/>
  <c r="M79" i="1"/>
  <c r="M86" i="1"/>
  <c r="M87" i="1"/>
  <c r="M88" i="1"/>
  <c r="M89" i="1"/>
  <c r="M90" i="1"/>
  <c r="M91" i="1"/>
  <c r="M92" i="1"/>
  <c r="M93" i="1"/>
  <c r="M99" i="1"/>
  <c r="M106" i="1"/>
  <c r="M107" i="1"/>
  <c r="M108" i="1"/>
  <c r="M109" i="1"/>
  <c r="M110" i="1"/>
  <c r="M111" i="1"/>
  <c r="M112" i="1"/>
  <c r="M113" i="1"/>
  <c r="M114" i="1"/>
  <c r="M116" i="1"/>
  <c r="M122" i="1"/>
  <c r="M123" i="1"/>
  <c r="M124" i="1"/>
  <c r="M126" i="1"/>
  <c r="M127" i="1"/>
  <c r="M128" i="1"/>
  <c r="M129" i="1"/>
  <c r="M131" i="1"/>
  <c r="M132" i="1"/>
  <c r="M134" i="1"/>
  <c r="M135" i="1"/>
  <c r="M136" i="1"/>
  <c r="M140" i="1"/>
  <c r="M143" i="1"/>
  <c r="M144" i="1"/>
  <c r="M145" i="1"/>
  <c r="M147" i="1"/>
  <c r="M148" i="1"/>
  <c r="M149" i="1"/>
  <c r="M150" i="1"/>
  <c r="M151" i="1"/>
  <c r="M156" i="1"/>
  <c r="M157" i="1"/>
  <c r="M172" i="1"/>
  <c r="M175" i="1"/>
  <c r="M176" i="1"/>
  <c r="M177" i="1"/>
  <c r="M178" i="1"/>
  <c r="M179" i="1"/>
  <c r="M181" i="1"/>
  <c r="M182" i="1"/>
  <c r="M183" i="1"/>
  <c r="M184" i="1"/>
  <c r="M185" i="1"/>
  <c r="M186" i="1"/>
  <c r="M189" i="1"/>
  <c r="M190" i="1"/>
  <c r="M191" i="1"/>
  <c r="M192" i="1"/>
  <c r="M193" i="1"/>
  <c r="M194" i="1"/>
  <c r="M195" i="1"/>
  <c r="M207" i="1"/>
  <c r="M215" i="1"/>
  <c r="M216" i="1"/>
  <c r="M217" i="1"/>
  <c r="M218" i="1"/>
  <c r="M219" i="1"/>
  <c r="M222" i="1"/>
  <c r="M223" i="1"/>
  <c r="M224" i="1"/>
  <c r="M225" i="1"/>
  <c r="M226" i="1"/>
  <c r="M227" i="1"/>
  <c r="M228" i="1"/>
  <c r="M229" i="1"/>
  <c r="M231" i="1"/>
  <c r="M232" i="1"/>
  <c r="M233" i="1"/>
  <c r="M234" i="1"/>
  <c r="M235" i="1"/>
  <c r="M239" i="1"/>
  <c r="M254" i="1"/>
  <c r="M257" i="1"/>
  <c r="M292" i="1"/>
  <c r="M293" i="1"/>
  <c r="M294" i="1"/>
  <c r="M296" i="1"/>
  <c r="M298" i="1"/>
  <c r="M299" i="1"/>
  <c r="M300" i="1"/>
  <c r="M301" i="1"/>
  <c r="M306" i="1"/>
  <c r="M314" i="1"/>
  <c r="M315" i="1"/>
  <c r="N18" i="1"/>
  <c r="N19" i="1"/>
  <c r="N20" i="1"/>
  <c r="N21" i="1"/>
  <c r="N22" i="1"/>
  <c r="N23" i="1"/>
  <c r="N26" i="1"/>
  <c r="N33" i="1"/>
  <c r="N35" i="1"/>
  <c r="N38" i="1"/>
  <c r="N39" i="1"/>
  <c r="N40" i="1"/>
  <c r="N46" i="1"/>
  <c r="N51" i="1"/>
  <c r="N55" i="1"/>
  <c r="N57" i="1"/>
  <c r="N58" i="1"/>
  <c r="N59" i="1"/>
  <c r="N60" i="1"/>
  <c r="N61" i="1"/>
  <c r="N64" i="1"/>
  <c r="N65" i="1"/>
  <c r="N73" i="1"/>
  <c r="N74" i="1"/>
  <c r="N77" i="1"/>
  <c r="N78" i="1"/>
  <c r="N79" i="1"/>
  <c r="N86" i="1"/>
  <c r="N87" i="1"/>
  <c r="N88" i="1"/>
  <c r="N89" i="1"/>
  <c r="N90" i="1"/>
  <c r="N91" i="1"/>
  <c r="N92" i="1"/>
  <c r="N93" i="1"/>
  <c r="N99" i="1"/>
  <c r="N106" i="1"/>
  <c r="N107" i="1"/>
  <c r="N108" i="1"/>
  <c r="N109" i="1"/>
  <c r="N110" i="1"/>
  <c r="N111" i="1"/>
  <c r="N112" i="1"/>
  <c r="N113" i="1"/>
  <c r="N114" i="1"/>
  <c r="N116" i="1"/>
  <c r="N122" i="1"/>
  <c r="N123" i="1"/>
  <c r="N124" i="1"/>
  <c r="N126" i="1"/>
  <c r="N127" i="1"/>
  <c r="N128" i="1"/>
  <c r="N129" i="1"/>
  <c r="N131" i="1"/>
  <c r="N132" i="1"/>
  <c r="N134" i="1"/>
  <c r="N135" i="1"/>
  <c r="N136" i="1"/>
  <c r="N140" i="1"/>
  <c r="N143" i="1"/>
  <c r="N144" i="1"/>
  <c r="N145" i="1"/>
  <c r="N147" i="1"/>
  <c r="N148" i="1"/>
  <c r="N149" i="1"/>
  <c r="N150" i="1"/>
  <c r="N151" i="1"/>
  <c r="N156" i="1"/>
  <c r="N157" i="1"/>
  <c r="N172" i="1"/>
  <c r="N175" i="1"/>
  <c r="N176" i="1"/>
  <c r="N177" i="1"/>
  <c r="N178" i="1"/>
  <c r="N179" i="1"/>
  <c r="N181" i="1"/>
  <c r="N182" i="1"/>
  <c r="N183" i="1"/>
  <c r="N184" i="1"/>
  <c r="N185" i="1"/>
  <c r="N186" i="1"/>
  <c r="N189" i="1"/>
  <c r="N190" i="1"/>
  <c r="N191" i="1"/>
  <c r="N192" i="1"/>
  <c r="N193" i="1"/>
  <c r="N194" i="1"/>
  <c r="N195" i="1"/>
  <c r="N207" i="1"/>
  <c r="N215" i="1"/>
  <c r="N216" i="1"/>
  <c r="N217" i="1"/>
  <c r="N218" i="1"/>
  <c r="N219" i="1"/>
  <c r="N222" i="1"/>
  <c r="N223" i="1"/>
  <c r="N224" i="1"/>
  <c r="N225" i="1"/>
  <c r="N226" i="1"/>
  <c r="N227" i="1"/>
  <c r="N228" i="1"/>
  <c r="N229" i="1"/>
  <c r="N231" i="1"/>
  <c r="N232" i="1"/>
  <c r="N233" i="1"/>
  <c r="N234" i="1"/>
  <c r="N235" i="1"/>
  <c r="N239" i="1"/>
  <c r="N254" i="1"/>
  <c r="N257" i="1"/>
  <c r="N292" i="1"/>
  <c r="N293" i="1"/>
  <c r="N294" i="1"/>
  <c r="N296" i="1"/>
  <c r="N298" i="1"/>
  <c r="N299" i="1"/>
  <c r="N300" i="1"/>
  <c r="N301" i="1"/>
  <c r="N306" i="1"/>
  <c r="N314" i="1"/>
  <c r="N315" i="1"/>
  <c r="O18" i="1"/>
  <c r="O19" i="1"/>
  <c r="O20" i="1"/>
  <c r="O21" i="1"/>
  <c r="O22" i="1"/>
  <c r="O23" i="1"/>
  <c r="O26" i="1"/>
  <c r="O33" i="1"/>
  <c r="O35" i="1"/>
  <c r="O38" i="1"/>
  <c r="O39" i="1"/>
  <c r="O40" i="1"/>
  <c r="O46" i="1"/>
  <c r="O51" i="1"/>
  <c r="O55" i="1"/>
  <c r="O57" i="1"/>
  <c r="O58" i="1"/>
  <c r="O59" i="1"/>
  <c r="O60" i="1"/>
  <c r="O61" i="1"/>
  <c r="O64" i="1"/>
  <c r="O65" i="1"/>
  <c r="O73" i="1"/>
  <c r="O74" i="1"/>
  <c r="O77" i="1"/>
  <c r="O78" i="1"/>
  <c r="O79" i="1"/>
  <c r="O86" i="1"/>
  <c r="O87" i="1"/>
  <c r="O88" i="1"/>
  <c r="O89" i="1"/>
  <c r="O90" i="1"/>
  <c r="O91" i="1"/>
  <c r="O92" i="1"/>
  <c r="O93" i="1"/>
  <c r="O99" i="1"/>
  <c r="O106" i="1"/>
  <c r="O107" i="1"/>
  <c r="O108" i="1"/>
  <c r="O109" i="1"/>
  <c r="O110" i="1"/>
  <c r="O111" i="1"/>
  <c r="O112" i="1"/>
  <c r="O113" i="1"/>
  <c r="O114" i="1"/>
  <c r="O116" i="1"/>
  <c r="O122" i="1"/>
  <c r="O123" i="1"/>
  <c r="O124" i="1"/>
  <c r="O126" i="1"/>
  <c r="O127" i="1"/>
  <c r="O128" i="1"/>
  <c r="O129" i="1"/>
  <c r="O131" i="1"/>
  <c r="O132" i="1"/>
  <c r="O134" i="1"/>
  <c r="O135" i="1"/>
  <c r="O136" i="1"/>
  <c r="O140" i="1"/>
  <c r="O143" i="1"/>
  <c r="O144" i="1"/>
  <c r="O145" i="1"/>
  <c r="O147" i="1"/>
  <c r="O148" i="1"/>
  <c r="O149" i="1"/>
  <c r="O150" i="1"/>
  <c r="O151" i="1"/>
  <c r="O156" i="1"/>
  <c r="O157" i="1"/>
  <c r="O172" i="1"/>
  <c r="O175" i="1"/>
  <c r="O176" i="1"/>
  <c r="O177" i="1"/>
  <c r="O178" i="1"/>
  <c r="O179" i="1"/>
  <c r="O181" i="1"/>
  <c r="O182" i="1"/>
  <c r="O183" i="1"/>
  <c r="O184" i="1"/>
  <c r="O185" i="1"/>
  <c r="O186" i="1"/>
  <c r="O189" i="1"/>
  <c r="O190" i="1"/>
  <c r="O191" i="1"/>
  <c r="O192" i="1"/>
  <c r="O193" i="1"/>
  <c r="O194" i="1"/>
  <c r="O195" i="1"/>
  <c r="O207" i="1"/>
  <c r="O215" i="1"/>
  <c r="O216" i="1"/>
  <c r="O217" i="1"/>
  <c r="O218" i="1"/>
  <c r="O219" i="1"/>
  <c r="O222" i="1"/>
  <c r="O223" i="1"/>
  <c r="O224" i="1"/>
  <c r="O225" i="1"/>
  <c r="O226" i="1"/>
  <c r="O227" i="1"/>
  <c r="O228" i="1"/>
  <c r="O229" i="1"/>
  <c r="O231" i="1"/>
  <c r="O232" i="1"/>
  <c r="O233" i="1"/>
  <c r="O234" i="1"/>
  <c r="O235" i="1"/>
  <c r="O239" i="1"/>
  <c r="O254" i="1"/>
  <c r="O257" i="1"/>
  <c r="O292" i="1"/>
  <c r="O293" i="1"/>
  <c r="O294" i="1"/>
  <c r="O296" i="1"/>
  <c r="O298" i="1"/>
  <c r="O299" i="1"/>
  <c r="O300" i="1"/>
  <c r="O301" i="1"/>
  <c r="O306" i="1"/>
  <c r="O314" i="1"/>
  <c r="O315" i="1"/>
  <c r="P18" i="1"/>
  <c r="P19" i="1"/>
  <c r="P20" i="1"/>
  <c r="P21" i="1"/>
  <c r="P22" i="1"/>
  <c r="P23" i="1"/>
  <c r="P26" i="1"/>
  <c r="P33" i="1"/>
  <c r="P35" i="1"/>
  <c r="P38" i="1"/>
  <c r="P39" i="1"/>
  <c r="P40" i="1"/>
  <c r="P46" i="1"/>
  <c r="P51" i="1"/>
  <c r="P55" i="1"/>
  <c r="P57" i="1"/>
  <c r="P58" i="1"/>
  <c r="P59" i="1"/>
  <c r="P60" i="1"/>
  <c r="P61" i="1"/>
  <c r="P64" i="1"/>
  <c r="P65" i="1"/>
  <c r="P73" i="1"/>
  <c r="P74" i="1"/>
  <c r="P77" i="1"/>
  <c r="P78" i="1"/>
  <c r="P79" i="1"/>
  <c r="P86" i="1"/>
  <c r="P87" i="1"/>
  <c r="P88" i="1"/>
  <c r="P89" i="1"/>
  <c r="P90" i="1"/>
  <c r="P91" i="1"/>
  <c r="P92" i="1"/>
  <c r="P93" i="1"/>
  <c r="P99" i="1"/>
  <c r="P106" i="1"/>
  <c r="P107" i="1"/>
  <c r="P108" i="1"/>
  <c r="P109" i="1"/>
  <c r="P110" i="1"/>
  <c r="P111" i="1"/>
  <c r="P112" i="1"/>
  <c r="P113" i="1"/>
  <c r="P114" i="1"/>
  <c r="P116" i="1"/>
  <c r="P122" i="1"/>
  <c r="P123" i="1"/>
  <c r="P124" i="1"/>
  <c r="P126" i="1"/>
  <c r="P127" i="1"/>
  <c r="P128" i="1"/>
  <c r="P129" i="1"/>
  <c r="P131" i="1"/>
  <c r="P132" i="1"/>
  <c r="P134" i="1"/>
  <c r="P135" i="1"/>
  <c r="P136" i="1"/>
  <c r="P140" i="1"/>
  <c r="P143" i="1"/>
  <c r="P144" i="1"/>
  <c r="P145" i="1"/>
  <c r="P147" i="1"/>
  <c r="P148" i="1"/>
  <c r="P149" i="1"/>
  <c r="P150" i="1"/>
  <c r="P151" i="1"/>
  <c r="P156" i="1"/>
  <c r="P157" i="1"/>
  <c r="P172" i="1"/>
  <c r="P175" i="1"/>
  <c r="P176" i="1"/>
  <c r="P177" i="1"/>
  <c r="P178" i="1"/>
  <c r="P179" i="1"/>
  <c r="P181" i="1"/>
  <c r="P182" i="1"/>
  <c r="P183" i="1"/>
  <c r="P184" i="1"/>
  <c r="P185" i="1"/>
  <c r="P186" i="1"/>
  <c r="P189" i="1"/>
  <c r="P190" i="1"/>
  <c r="P191" i="1"/>
  <c r="P192" i="1"/>
  <c r="P193" i="1"/>
  <c r="P194" i="1"/>
  <c r="P195" i="1"/>
  <c r="P207" i="1"/>
  <c r="P215" i="1"/>
  <c r="P216" i="1"/>
  <c r="P217" i="1"/>
  <c r="P218" i="1"/>
  <c r="P219" i="1"/>
  <c r="P222" i="1"/>
  <c r="P223" i="1"/>
  <c r="P224" i="1"/>
  <c r="P225" i="1"/>
  <c r="P226" i="1"/>
  <c r="P227" i="1"/>
  <c r="P228" i="1"/>
  <c r="P229" i="1"/>
  <c r="P231" i="1"/>
  <c r="P232" i="1"/>
  <c r="P233" i="1"/>
  <c r="P234" i="1"/>
  <c r="P235" i="1"/>
  <c r="P239" i="1"/>
  <c r="P254" i="1"/>
  <c r="P257" i="1"/>
  <c r="P292" i="1"/>
  <c r="P293" i="1"/>
  <c r="P294" i="1"/>
  <c r="P296" i="1"/>
  <c r="P298" i="1"/>
  <c r="P299" i="1"/>
  <c r="P300" i="1"/>
  <c r="P301" i="1"/>
  <c r="P306" i="1"/>
  <c r="P314" i="1"/>
  <c r="P315" i="1"/>
  <c r="Q18" i="1"/>
  <c r="Q19" i="1"/>
  <c r="Q20" i="1"/>
  <c r="Q21" i="1"/>
  <c r="Q22" i="1"/>
  <c r="Q23" i="1"/>
  <c r="Q26" i="1"/>
  <c r="Q33" i="1"/>
  <c r="Q35" i="1"/>
  <c r="Q38" i="1"/>
  <c r="Q39" i="1"/>
  <c r="Q40" i="1"/>
  <c r="Q46" i="1"/>
  <c r="Q51" i="1"/>
  <c r="Q55" i="1"/>
  <c r="Q57" i="1"/>
  <c r="Q58" i="1"/>
  <c r="Q59" i="1"/>
  <c r="Q60" i="1"/>
  <c r="Q61" i="1"/>
  <c r="Q64" i="1"/>
  <c r="Q65" i="1"/>
  <c r="Q73" i="1"/>
  <c r="Q74" i="1"/>
  <c r="Q77" i="1"/>
  <c r="Q78" i="1"/>
  <c r="Q79" i="1"/>
  <c r="Q86" i="1"/>
  <c r="Q87" i="1"/>
  <c r="Q88" i="1"/>
  <c r="Q89" i="1"/>
  <c r="Q90" i="1"/>
  <c r="Q91" i="1"/>
  <c r="Q92" i="1"/>
  <c r="Q93" i="1"/>
  <c r="Q99" i="1"/>
  <c r="Q106" i="1"/>
  <c r="Q107" i="1"/>
  <c r="Q108" i="1"/>
  <c r="Q109" i="1"/>
  <c r="Q110" i="1"/>
  <c r="Q111" i="1"/>
  <c r="Q112" i="1"/>
  <c r="Q113" i="1"/>
  <c r="Q114" i="1"/>
  <c r="Q116" i="1"/>
  <c r="Q122" i="1"/>
  <c r="Q123" i="1"/>
  <c r="Q124" i="1"/>
  <c r="Q126" i="1"/>
  <c r="Q127" i="1"/>
  <c r="Q128" i="1"/>
  <c r="Q129" i="1"/>
  <c r="Q131" i="1"/>
  <c r="Q132" i="1"/>
  <c r="Q134" i="1"/>
  <c r="Q135" i="1"/>
  <c r="Q136" i="1"/>
  <c r="Q140" i="1"/>
  <c r="Q143" i="1"/>
  <c r="Q144" i="1"/>
  <c r="Q145" i="1"/>
  <c r="Q147" i="1"/>
  <c r="Q148" i="1"/>
  <c r="Q149" i="1"/>
  <c r="Q150" i="1"/>
  <c r="Q151" i="1"/>
  <c r="Q156" i="1"/>
  <c r="Q157" i="1"/>
  <c r="Q172" i="1"/>
  <c r="Q175" i="1"/>
  <c r="Q176" i="1"/>
  <c r="Q177" i="1"/>
  <c r="Q178" i="1"/>
  <c r="Q179" i="1"/>
  <c r="Q181" i="1"/>
  <c r="Q182" i="1"/>
  <c r="Q183" i="1"/>
  <c r="Q184" i="1"/>
  <c r="Q185" i="1"/>
  <c r="Q186" i="1"/>
  <c r="Q189" i="1"/>
  <c r="Q190" i="1"/>
  <c r="Q191" i="1"/>
  <c r="Q192" i="1"/>
  <c r="Q193" i="1"/>
  <c r="Q194" i="1"/>
  <c r="Q195" i="1"/>
  <c r="Q207" i="1"/>
  <c r="Q215" i="1"/>
  <c r="Q216" i="1"/>
  <c r="Q217" i="1"/>
  <c r="Q218" i="1"/>
  <c r="Q219" i="1"/>
  <c r="Q222" i="1"/>
  <c r="Q223" i="1"/>
  <c r="Q224" i="1"/>
  <c r="Q225" i="1"/>
  <c r="Q226" i="1"/>
  <c r="Q227" i="1"/>
  <c r="Q228" i="1"/>
  <c r="Q229" i="1"/>
  <c r="Q231" i="1"/>
  <c r="Q232" i="1"/>
  <c r="Q233" i="1"/>
  <c r="Q234" i="1"/>
  <c r="Q235" i="1"/>
  <c r="Q239" i="1"/>
  <c r="Q254" i="1"/>
  <c r="Q257" i="1"/>
  <c r="Q292" i="1"/>
  <c r="Q293" i="1"/>
  <c r="Q294" i="1"/>
  <c r="Q296" i="1"/>
  <c r="Q298" i="1"/>
  <c r="Q299" i="1"/>
  <c r="Q300" i="1"/>
  <c r="Q301" i="1"/>
  <c r="Q306" i="1"/>
  <c r="Q314" i="1"/>
  <c r="Q315" i="1"/>
  <c r="R18" i="1"/>
  <c r="R19" i="1"/>
  <c r="R20" i="1"/>
  <c r="R21" i="1"/>
  <c r="R22" i="1"/>
  <c r="R23" i="1"/>
  <c r="R26" i="1"/>
  <c r="R33" i="1"/>
  <c r="R35" i="1"/>
  <c r="R38" i="1"/>
  <c r="R39" i="1"/>
  <c r="R40" i="1"/>
  <c r="R46" i="1"/>
  <c r="R51" i="1"/>
  <c r="R55" i="1"/>
  <c r="R57" i="1"/>
  <c r="R58" i="1"/>
  <c r="R59" i="1"/>
  <c r="R60" i="1"/>
  <c r="R61" i="1"/>
  <c r="R64" i="1"/>
  <c r="R65" i="1"/>
  <c r="R73" i="1"/>
  <c r="R74" i="1"/>
  <c r="R77" i="1"/>
  <c r="R78" i="1"/>
  <c r="R79" i="1"/>
  <c r="R86" i="1"/>
  <c r="R87" i="1"/>
  <c r="R88" i="1"/>
  <c r="R89" i="1"/>
  <c r="R90" i="1"/>
  <c r="R91" i="1"/>
  <c r="R92" i="1"/>
  <c r="R93" i="1"/>
  <c r="R99" i="1"/>
  <c r="R106" i="1"/>
  <c r="R107" i="1"/>
  <c r="R108" i="1"/>
  <c r="R109" i="1"/>
  <c r="R110" i="1"/>
  <c r="R111" i="1"/>
  <c r="R112" i="1"/>
  <c r="R113" i="1"/>
  <c r="R114" i="1"/>
  <c r="R116" i="1"/>
  <c r="R122" i="1"/>
  <c r="R123" i="1"/>
  <c r="R124" i="1"/>
  <c r="R126" i="1"/>
  <c r="R127" i="1"/>
  <c r="R128" i="1"/>
  <c r="R129" i="1"/>
  <c r="R131" i="1"/>
  <c r="R132" i="1"/>
  <c r="R134" i="1"/>
  <c r="R135" i="1"/>
  <c r="R136" i="1"/>
  <c r="R140" i="1"/>
  <c r="R143" i="1"/>
  <c r="R144" i="1"/>
  <c r="R145" i="1"/>
  <c r="R147" i="1"/>
  <c r="R148" i="1"/>
  <c r="R149" i="1"/>
  <c r="R150" i="1"/>
  <c r="R151" i="1"/>
  <c r="R156" i="1"/>
  <c r="R157" i="1"/>
  <c r="R172" i="1"/>
  <c r="R175" i="1"/>
  <c r="R176" i="1"/>
  <c r="R177" i="1"/>
  <c r="R178" i="1"/>
  <c r="R179" i="1"/>
  <c r="R181" i="1"/>
  <c r="R182" i="1"/>
  <c r="R183" i="1"/>
  <c r="R184" i="1"/>
  <c r="R185" i="1"/>
  <c r="R186" i="1"/>
  <c r="R189" i="1"/>
  <c r="R190" i="1"/>
  <c r="R191" i="1"/>
  <c r="R192" i="1"/>
  <c r="R193" i="1"/>
  <c r="R194" i="1"/>
  <c r="R195" i="1"/>
  <c r="R207" i="1"/>
  <c r="R215" i="1"/>
  <c r="R216" i="1"/>
  <c r="R217" i="1"/>
  <c r="R218" i="1"/>
  <c r="R219" i="1"/>
  <c r="R222" i="1"/>
  <c r="R223" i="1"/>
  <c r="R224" i="1"/>
  <c r="R225" i="1"/>
  <c r="R226" i="1"/>
  <c r="R227" i="1"/>
  <c r="R228" i="1"/>
  <c r="R229" i="1"/>
  <c r="R231" i="1"/>
  <c r="R232" i="1"/>
  <c r="R233" i="1"/>
  <c r="R234" i="1"/>
  <c r="R235" i="1"/>
  <c r="R239" i="1"/>
  <c r="R254" i="1"/>
  <c r="R257" i="1"/>
  <c r="R292" i="1"/>
  <c r="R293" i="1"/>
  <c r="R294" i="1"/>
  <c r="R296" i="1"/>
  <c r="R298" i="1"/>
  <c r="R299" i="1"/>
  <c r="R300" i="1"/>
  <c r="R301" i="1"/>
  <c r="R306" i="1"/>
  <c r="R314" i="1"/>
  <c r="R315" i="1"/>
  <c r="S18" i="1"/>
  <c r="S19" i="1"/>
  <c r="S20" i="1"/>
  <c r="S21" i="1"/>
  <c r="S22" i="1"/>
  <c r="S23" i="1"/>
  <c r="S26" i="1"/>
  <c r="S33" i="1"/>
  <c r="S35" i="1"/>
  <c r="S38" i="1"/>
  <c r="S39" i="1"/>
  <c r="S40" i="1"/>
  <c r="S46" i="1"/>
  <c r="S51" i="1"/>
  <c r="S55" i="1"/>
  <c r="S57" i="1"/>
  <c r="S58" i="1"/>
  <c r="S59" i="1"/>
  <c r="S60" i="1"/>
  <c r="S61" i="1"/>
  <c r="S64" i="1"/>
  <c r="S65" i="1"/>
  <c r="S73" i="1"/>
  <c r="S74" i="1"/>
  <c r="S77" i="1"/>
  <c r="S78" i="1"/>
  <c r="S79" i="1"/>
  <c r="S86" i="1"/>
  <c r="S87" i="1"/>
  <c r="S88" i="1"/>
  <c r="S89" i="1"/>
  <c r="S90" i="1"/>
  <c r="S91" i="1"/>
  <c r="S92" i="1"/>
  <c r="S93" i="1"/>
  <c r="S99" i="1"/>
  <c r="S106" i="1"/>
  <c r="S107" i="1"/>
  <c r="S108" i="1"/>
  <c r="S109" i="1"/>
  <c r="S110" i="1"/>
  <c r="S111" i="1"/>
  <c r="S112" i="1"/>
  <c r="S113" i="1"/>
  <c r="S114" i="1"/>
  <c r="S116" i="1"/>
  <c r="S122" i="1"/>
  <c r="S123" i="1"/>
  <c r="S124" i="1"/>
  <c r="S126" i="1"/>
  <c r="S127" i="1"/>
  <c r="S128" i="1"/>
  <c r="S129" i="1"/>
  <c r="S131" i="1"/>
  <c r="S132" i="1"/>
  <c r="S134" i="1"/>
  <c r="S135" i="1"/>
  <c r="S136" i="1"/>
  <c r="S140" i="1"/>
  <c r="S143" i="1"/>
  <c r="S144" i="1"/>
  <c r="S145" i="1"/>
  <c r="S147" i="1"/>
  <c r="S148" i="1"/>
  <c r="S149" i="1"/>
  <c r="S150" i="1"/>
  <c r="S151" i="1"/>
  <c r="S156" i="1"/>
  <c r="S157" i="1"/>
  <c r="S172" i="1"/>
  <c r="S175" i="1"/>
  <c r="S176" i="1"/>
  <c r="S177" i="1"/>
  <c r="S178" i="1"/>
  <c r="S179" i="1"/>
  <c r="S181" i="1"/>
  <c r="S182" i="1"/>
  <c r="S183" i="1"/>
  <c r="S184" i="1"/>
  <c r="S185" i="1"/>
  <c r="S186" i="1"/>
  <c r="S189" i="1"/>
  <c r="S190" i="1"/>
  <c r="S191" i="1"/>
  <c r="S192" i="1"/>
  <c r="S193" i="1"/>
  <c r="S194" i="1"/>
  <c r="S195" i="1"/>
  <c r="S207" i="1"/>
  <c r="S215" i="1"/>
  <c r="S216" i="1"/>
  <c r="S217" i="1"/>
  <c r="S218" i="1"/>
  <c r="S219" i="1"/>
  <c r="S222" i="1"/>
  <c r="S223" i="1"/>
  <c r="S224" i="1"/>
  <c r="S225" i="1"/>
  <c r="S226" i="1"/>
  <c r="S227" i="1"/>
  <c r="S228" i="1"/>
  <c r="S229" i="1"/>
  <c r="S231" i="1"/>
  <c r="S232" i="1"/>
  <c r="S233" i="1"/>
  <c r="S234" i="1"/>
  <c r="S235" i="1"/>
  <c r="S239" i="1"/>
  <c r="S254" i="1"/>
  <c r="S257" i="1"/>
  <c r="S292" i="1"/>
  <c r="S293" i="1"/>
  <c r="S294" i="1"/>
  <c r="S296" i="1"/>
  <c r="S298" i="1"/>
  <c r="S299" i="1"/>
  <c r="S300" i="1"/>
  <c r="S301" i="1"/>
  <c r="S306" i="1"/>
  <c r="S314" i="1"/>
  <c r="S315" i="1"/>
  <c r="C15" i="27"/>
  <c r="C16" i="27"/>
  <c r="C17" i="27"/>
  <c r="D135" i="23"/>
  <c r="I161" i="29"/>
  <c r="AD90" i="32"/>
  <c r="AJ31" i="23"/>
  <c r="AM113" i="18"/>
  <c r="U132" i="32"/>
  <c r="D88" i="32"/>
  <c r="AG13" i="18"/>
  <c r="AJ90" i="32"/>
  <c r="D175" i="32"/>
  <c r="I90" i="32"/>
  <c r="I32" i="23"/>
  <c r="F30" i="23"/>
  <c r="X87" i="32"/>
  <c r="F112" i="18"/>
  <c r="AD167" i="29"/>
  <c r="R165" i="29"/>
  <c r="I160" i="29"/>
  <c r="L128" i="32"/>
  <c r="AG175" i="32"/>
  <c r="AJ87" i="32"/>
  <c r="R175" i="32"/>
  <c r="AD30" i="23"/>
  <c r="X92" i="32"/>
  <c r="L177" i="32"/>
  <c r="I36" i="23"/>
  <c r="AM36" i="23"/>
  <c r="U161" i="29"/>
  <c r="AG146" i="32"/>
  <c r="AG89" i="32"/>
  <c r="X185" i="32"/>
  <c r="O31" i="23"/>
  <c r="F93" i="32"/>
  <c r="AG113" i="18"/>
  <c r="AJ13" i="18"/>
  <c r="I159" i="29"/>
  <c r="F31" i="23"/>
  <c r="R146" i="32"/>
  <c r="R147" i="32"/>
  <c r="R90" i="32"/>
  <c r="AJ21" i="32"/>
  <c r="O114" i="18"/>
  <c r="L160" i="29"/>
  <c r="L159" i="29"/>
  <c r="O93" i="32"/>
  <c r="AA32" i="23"/>
  <c r="AA93" i="32"/>
  <c r="D185" i="32"/>
  <c r="R184" i="32"/>
  <c r="L174" i="32"/>
  <c r="AG161" i="29"/>
  <c r="AJ111" i="18"/>
  <c r="AA159" i="29"/>
  <c r="I178" i="32"/>
  <c r="U127" i="32"/>
  <c r="AD132" i="32"/>
  <c r="AG114" i="18"/>
  <c r="F185" i="32"/>
  <c r="F166" i="29"/>
  <c r="R176" i="32"/>
  <c r="AJ184" i="32"/>
  <c r="K16" i="25"/>
  <c r="X159" i="29"/>
  <c r="D144" i="32"/>
  <c r="AJ166" i="29"/>
  <c r="U31" i="23"/>
  <c r="L36" i="23"/>
  <c r="AJ88" i="32"/>
  <c r="AJ146" i="32"/>
  <c r="O30" i="23"/>
  <c r="D18" i="32"/>
  <c r="O88" i="32"/>
  <c r="AM31" i="23"/>
  <c r="AG166" i="29"/>
  <c r="AD91" i="32"/>
  <c r="AD184" i="32"/>
  <c r="AJ185" i="32"/>
  <c r="R84" i="32"/>
  <c r="AD166" i="29"/>
  <c r="L110" i="18"/>
  <c r="AG178" i="32"/>
  <c r="O15" i="32"/>
  <c r="AJ144" i="32"/>
  <c r="X167" i="29"/>
  <c r="D174" i="32"/>
  <c r="AA174" i="32"/>
  <c r="F161" i="29"/>
  <c r="AG32" i="23"/>
  <c r="AA179" i="32"/>
  <c r="AA95" i="32"/>
  <c r="AA167" i="29"/>
  <c r="O91" i="32"/>
  <c r="R18" i="32"/>
  <c r="U15" i="32"/>
  <c r="AA21" i="32"/>
  <c r="I185" i="32"/>
  <c r="D91" i="32"/>
  <c r="U54" i="32"/>
  <c r="AD21" i="32"/>
  <c r="I89" i="32"/>
  <c r="D15" i="32"/>
  <c r="AD54" i="32"/>
  <c r="AG90" i="32"/>
  <c r="X130" i="32"/>
  <c r="U128" i="32"/>
  <c r="AA90" i="32"/>
  <c r="U21" i="32"/>
  <c r="AG92" i="32"/>
  <c r="AG54" i="32"/>
  <c r="X161" i="29"/>
  <c r="I15" i="32"/>
  <c r="AM111" i="18"/>
  <c r="AG132" i="32"/>
  <c r="X112" i="18"/>
  <c r="X114" i="18"/>
  <c r="I46" i="32"/>
  <c r="F160" i="29"/>
  <c r="AG127" i="32"/>
  <c r="X113" i="18"/>
  <c r="I87" i="32"/>
  <c r="AA54" i="32"/>
  <c r="AG46" i="32"/>
  <c r="O179" i="32"/>
  <c r="AA175" i="32"/>
  <c r="X111" i="18"/>
  <c r="AJ114" i="18"/>
  <c r="D176" i="32"/>
  <c r="I30" i="23"/>
  <c r="R166" i="29"/>
  <c r="AG177" i="32"/>
  <c r="L84" i="32"/>
  <c r="AG91" i="32"/>
  <c r="X110" i="18"/>
  <c r="F179" i="32"/>
  <c r="AA84" i="32"/>
  <c r="AM12" i="18"/>
  <c r="AD93" i="32"/>
  <c r="AD15" i="32"/>
  <c r="AA87" i="32"/>
  <c r="F36" i="23"/>
  <c r="F46" i="32"/>
  <c r="L88" i="32"/>
  <c r="AJ175" i="32"/>
  <c r="L144" i="32"/>
  <c r="L112" i="18"/>
  <c r="I54" i="32"/>
  <c r="D160" i="29"/>
  <c r="AM112" i="18"/>
  <c r="AD46" i="32"/>
  <c r="AA46" i="32"/>
  <c r="X84" i="32"/>
  <c r="L95" i="32"/>
  <c r="U36" i="23"/>
  <c r="F21" i="32"/>
  <c r="X146" i="32"/>
  <c r="O144" i="32"/>
  <c r="AM30" i="23"/>
  <c r="X36" i="23"/>
  <c r="AA178" i="32"/>
  <c r="F92" i="32"/>
  <c r="D89" i="32"/>
  <c r="L175" i="32"/>
  <c r="AA13" i="18"/>
  <c r="R32" i="23"/>
  <c r="AG15" i="32"/>
  <c r="F159" i="29"/>
  <c r="X176" i="32"/>
  <c r="AG87" i="32"/>
  <c r="AJ178" i="32"/>
  <c r="O113" i="18"/>
  <c r="L176" i="32"/>
  <c r="F184" i="32"/>
  <c r="U113" i="18"/>
  <c r="F54" i="32"/>
  <c r="AJ32" i="23"/>
  <c r="U177" i="32"/>
  <c r="O167" i="29"/>
  <c r="F130" i="32"/>
  <c r="AG112" i="18"/>
  <c r="D127" i="32"/>
  <c r="O174" i="32"/>
  <c r="AD146" i="32"/>
  <c r="R93" i="32"/>
  <c r="AA111" i="18"/>
  <c r="R144" i="32"/>
  <c r="O184" i="32"/>
  <c r="L132" i="32"/>
  <c r="I92" i="32"/>
  <c r="U147" i="32"/>
  <c r="AD36" i="23"/>
  <c r="O87" i="32"/>
  <c r="AM32" i="23"/>
  <c r="D130" i="32"/>
  <c r="U146" i="32"/>
  <c r="X89" i="32"/>
  <c r="O166" i="29"/>
  <c r="L185" i="32"/>
  <c r="I177" i="32"/>
  <c r="AJ89" i="32"/>
  <c r="AD144" i="32"/>
  <c r="O62" i="18"/>
  <c r="L91" i="32"/>
  <c r="AD95" i="32"/>
  <c r="R135" i="32"/>
  <c r="AD31" i="23"/>
  <c r="O32" i="23"/>
  <c r="L21" i="32"/>
  <c r="AD87" i="32"/>
  <c r="U112" i="18"/>
  <c r="AG31" i="23"/>
  <c r="AA89" i="32"/>
  <c r="R179" i="32"/>
  <c r="L92" i="32"/>
  <c r="AA88" i="32"/>
  <c r="X95" i="32"/>
  <c r="L114" i="18"/>
  <c r="I166" i="29"/>
  <c r="U92" i="32"/>
  <c r="AG18" i="32"/>
  <c r="R113" i="18"/>
  <c r="F177" i="32"/>
  <c r="R132" i="32"/>
  <c r="AA110" i="18"/>
  <c r="AM13" i="18"/>
  <c r="O159" i="29"/>
  <c r="X91" i="32"/>
  <c r="X32" i="23"/>
  <c r="R15" i="32"/>
  <c r="X174" i="32"/>
  <c r="U87" i="32"/>
  <c r="O135" i="32"/>
  <c r="AJ54" i="32"/>
  <c r="O111" i="18"/>
  <c r="O127" i="32"/>
  <c r="AD113" i="18"/>
  <c r="R130" i="32"/>
  <c r="F95" i="32"/>
  <c r="O92" i="32"/>
  <c r="U159" i="29"/>
  <c r="O175" i="32"/>
  <c r="AJ113" i="18"/>
  <c r="U160" i="29"/>
  <c r="D179" i="32"/>
  <c r="O21" i="32"/>
  <c r="O89" i="32"/>
  <c r="AA185" i="32"/>
  <c r="L12" i="18"/>
  <c r="U166" i="29"/>
  <c r="U135" i="32"/>
  <c r="F111" i="18"/>
  <c r="F167" i="29"/>
  <c r="AJ147" i="32"/>
  <c r="AJ128" i="32"/>
  <c r="U178" i="32"/>
  <c r="L179" i="32"/>
  <c r="R40" i="32"/>
  <c r="F178" i="32"/>
  <c r="I62" i="18"/>
  <c r="X160" i="29"/>
  <c r="AJ46" i="32"/>
  <c r="AG135" i="32"/>
  <c r="AJ91" i="32"/>
  <c r="O18" i="32"/>
  <c r="O12" i="18"/>
  <c r="X18" i="32"/>
  <c r="D167" i="29"/>
  <c r="AD111" i="18"/>
  <c r="R62" i="18"/>
  <c r="I132" i="32"/>
  <c r="F32" i="23"/>
  <c r="AD89" i="32"/>
  <c r="L167" i="29"/>
  <c r="AD112" i="18"/>
  <c r="AG160" i="29"/>
  <c r="O147" i="32"/>
  <c r="X88" i="32"/>
  <c r="AA127" i="32"/>
  <c r="L166" i="29"/>
  <c r="F146" i="32"/>
  <c r="R177" i="32"/>
  <c r="AD130" i="32"/>
  <c r="U93" i="32"/>
  <c r="AJ127" i="32"/>
  <c r="U174" i="32"/>
  <c r="X135" i="32"/>
  <c r="F174" i="32"/>
  <c r="AA160" i="29"/>
  <c r="X12" i="18"/>
  <c r="U88" i="32"/>
  <c r="U130" i="32"/>
  <c r="R87" i="32"/>
  <c r="AD92" i="32"/>
  <c r="AG128" i="32"/>
  <c r="AJ167" i="29"/>
  <c r="L127" i="32"/>
  <c r="O178" i="32"/>
  <c r="AJ112" i="18"/>
  <c r="R46" i="32"/>
  <c r="L90" i="32"/>
  <c r="D46" i="32"/>
  <c r="AD147" i="32"/>
  <c r="AA147" i="32"/>
  <c r="AA31" i="23"/>
  <c r="AJ15" i="32"/>
  <c r="AJ84" i="32"/>
  <c r="X178" i="32"/>
  <c r="AM114" i="18"/>
  <c r="O161" i="29"/>
  <c r="AA161" i="29"/>
  <c r="AG110" i="18"/>
  <c r="R127" i="32"/>
  <c r="AJ95" i="32"/>
  <c r="R112" i="18"/>
  <c r="AJ18" i="32"/>
  <c r="R178" i="32"/>
  <c r="F132" i="32"/>
  <c r="D135" i="32"/>
  <c r="I176" i="32"/>
  <c r="X13" i="18"/>
  <c r="R12" i="18"/>
  <c r="O84" i="32"/>
  <c r="L46" i="32"/>
  <c r="L161" i="29"/>
  <c r="X144" i="32"/>
  <c r="O54" i="32"/>
  <c r="R91" i="32"/>
  <c r="D90" i="32"/>
  <c r="O90" i="32"/>
  <c r="U167" i="29"/>
  <c r="AA112" i="18"/>
  <c r="AD174" i="32"/>
  <c r="AG111" i="18"/>
  <c r="AA176" i="32"/>
  <c r="AG130" i="32"/>
  <c r="O185" i="32"/>
  <c r="O176" i="32"/>
  <c r="F65" i="29"/>
  <c r="R167" i="29"/>
  <c r="AD175" i="32"/>
  <c r="D54" i="32"/>
  <c r="F84" i="32"/>
  <c r="AG30" i="23"/>
  <c r="AA18" i="32"/>
  <c r="AG88" i="32"/>
  <c r="AG179" i="32"/>
  <c r="R89" i="32"/>
  <c r="AJ130" i="32"/>
  <c r="D147" i="32"/>
  <c r="L146" i="32"/>
  <c r="F127" i="32"/>
  <c r="AD12" i="18"/>
  <c r="I146" i="32"/>
  <c r="D95" i="32"/>
  <c r="F144" i="32"/>
  <c r="O46" i="32"/>
  <c r="L62" i="18"/>
  <c r="F12" i="18"/>
  <c r="AJ12" i="18"/>
  <c r="F90" i="32"/>
  <c r="D87" i="32"/>
  <c r="AA166" i="29"/>
  <c r="AD177" i="32"/>
  <c r="F89" i="32"/>
  <c r="R36" i="23"/>
  <c r="I110" i="18"/>
  <c r="AA144" i="32"/>
  <c r="AA146" i="32"/>
  <c r="AD88" i="32"/>
  <c r="L147" i="32"/>
  <c r="AG95" i="32"/>
  <c r="U13" i="18"/>
  <c r="AD178" i="32"/>
  <c r="AM110" i="18"/>
  <c r="I167" i="29"/>
  <c r="AD127" i="32"/>
  <c r="AJ176" i="32"/>
  <c r="L113" i="18"/>
  <c r="R92" i="32"/>
  <c r="AD176" i="32"/>
  <c r="F18" i="32"/>
  <c r="I175" i="32"/>
  <c r="D178" i="32"/>
  <c r="U144" i="32"/>
  <c r="L30" i="23"/>
  <c r="R185" i="32"/>
  <c r="R159" i="29"/>
  <c r="I111" i="18"/>
  <c r="I18" i="32"/>
  <c r="X31" i="23"/>
  <c r="I184" i="32"/>
  <c r="AD18" i="32"/>
  <c r="AA132" i="32"/>
  <c r="X184" i="32"/>
  <c r="U89" i="32"/>
  <c r="I128" i="32"/>
  <c r="X93" i="32"/>
  <c r="AA30" i="23"/>
  <c r="AG21" i="32"/>
  <c r="D146" i="32"/>
  <c r="O132" i="32"/>
  <c r="I135" i="32"/>
  <c r="O146" i="32"/>
  <c r="AD128" i="32"/>
  <c r="L31" i="23"/>
  <c r="F13" i="18"/>
  <c r="I21" i="32"/>
  <c r="O36" i="23"/>
  <c r="AG36" i="23"/>
  <c r="AD135" i="32"/>
  <c r="AJ36" i="23"/>
  <c r="AG84" i="32"/>
  <c r="X147" i="32"/>
  <c r="X54" i="32"/>
  <c r="R174" i="32"/>
  <c r="R161" i="29"/>
  <c r="X175" i="32"/>
  <c r="D92" i="32"/>
  <c r="U46" i="32"/>
  <c r="AD185" i="32"/>
  <c r="X166" i="29"/>
  <c r="D166" i="29"/>
  <c r="D184" i="32"/>
  <c r="U84" i="32"/>
  <c r="I88" i="32"/>
  <c r="U184" i="32"/>
  <c r="AA184" i="32"/>
  <c r="O95" i="32"/>
  <c r="F110" i="18"/>
  <c r="U114" i="18"/>
  <c r="AA177" i="32"/>
  <c r="AD84" i="32"/>
  <c r="I84" i="32"/>
  <c r="U30" i="23"/>
  <c r="F15" i="32"/>
  <c r="AG93" i="32"/>
  <c r="L93" i="32"/>
  <c r="D84" i="32"/>
  <c r="R111" i="18"/>
  <c r="F147" i="32"/>
  <c r="I93" i="32"/>
  <c r="I13" i="18"/>
  <c r="X46" i="32"/>
  <c r="AG147" i="32"/>
  <c r="D93" i="32"/>
  <c r="AA92" i="32"/>
  <c r="R95" i="32"/>
  <c r="I91" i="32"/>
  <c r="AG12" i="18"/>
  <c r="AA130" i="32"/>
  <c r="L18" i="32"/>
  <c r="U18" i="32"/>
  <c r="AG159" i="29"/>
  <c r="AJ174" i="32"/>
  <c r="AA113" i="18"/>
  <c r="U111" i="18"/>
  <c r="L111" i="18"/>
  <c r="U110" i="18"/>
  <c r="U179" i="32"/>
  <c r="O130" i="32"/>
  <c r="R128" i="32"/>
  <c r="D128" i="32"/>
  <c r="D132" i="32"/>
  <c r="D21" i="32"/>
  <c r="X177" i="32"/>
  <c r="O110" i="18"/>
  <c r="AJ110" i="18"/>
  <c r="R114" i="18"/>
  <c r="F175" i="32"/>
  <c r="I130" i="32"/>
  <c r="R54" i="32"/>
  <c r="AJ177" i="32"/>
  <c r="L184" i="32"/>
  <c r="F113" i="18"/>
  <c r="L87" i="32"/>
  <c r="AG176" i="32"/>
  <c r="R110" i="18"/>
  <c r="F135" i="32"/>
  <c r="AD159" i="29"/>
  <c r="AJ179" i="32"/>
  <c r="I12" i="18"/>
  <c r="AD114" i="18"/>
  <c r="AA135" i="32"/>
  <c r="U185" i="32"/>
  <c r="X179" i="32"/>
  <c r="AG184" i="32"/>
  <c r="I127" i="32"/>
  <c r="AD160" i="29"/>
  <c r="AA12" i="18"/>
  <c r="U95" i="32"/>
  <c r="R160" i="29"/>
  <c r="F87" i="32"/>
  <c r="F88" i="32"/>
  <c r="AD32" i="23"/>
  <c r="X127" i="32"/>
  <c r="L13" i="18"/>
  <c r="O177" i="32"/>
  <c r="I144" i="32"/>
  <c r="R31" i="23"/>
  <c r="F128" i="32"/>
  <c r="F176" i="32"/>
  <c r="I31" i="23"/>
  <c r="O160" i="29"/>
  <c r="X128" i="32"/>
  <c r="X21" i="32"/>
  <c r="L178" i="32"/>
  <c r="F91" i="32"/>
  <c r="D159" i="29"/>
  <c r="D161" i="29"/>
  <c r="O13" i="18"/>
  <c r="AA128" i="32"/>
  <c r="U12" i="18"/>
  <c r="X90" i="32"/>
  <c r="U90" i="32"/>
  <c r="R88" i="32"/>
  <c r="I147" i="32"/>
  <c r="R21" i="32"/>
  <c r="AD110" i="18"/>
  <c r="I95" i="32"/>
  <c r="AD13" i="18"/>
  <c r="X15" i="32"/>
  <c r="AG185" i="32"/>
  <c r="AJ93" i="32"/>
  <c r="I179" i="32"/>
  <c r="AJ135" i="32"/>
  <c r="AA114" i="18"/>
  <c r="AJ30" i="23"/>
  <c r="D177" i="32"/>
  <c r="U91" i="32"/>
  <c r="AD179" i="32"/>
  <c r="AG144" i="32"/>
  <c r="O128" i="32"/>
  <c r="AG174" i="32"/>
  <c r="O112" i="18"/>
  <c r="I114" i="18"/>
  <c r="I174" i="32"/>
  <c r="L130" i="32"/>
  <c r="AA91" i="32"/>
  <c r="U176" i="32"/>
  <c r="I113" i="18"/>
  <c r="AA36" i="23"/>
  <c r="L32" i="23"/>
  <c r="L54" i="32"/>
  <c r="U175" i="32"/>
  <c r="AG167" i="29"/>
  <c r="X30" i="23"/>
  <c r="X132" i="32"/>
  <c r="R30" i="23"/>
  <c r="L15" i="32"/>
  <c r="F114" i="18"/>
  <c r="L135" i="32"/>
  <c r="U32" i="23"/>
  <c r="L89" i="32"/>
  <c r="AJ92" i="32"/>
  <c r="R13" i="18"/>
  <c r="AD161" i="29"/>
  <c r="AA15" i="32"/>
  <c r="AJ132" i="32"/>
  <c r="I112" i="18"/>
  <c r="AJ160" i="29"/>
  <c r="AJ159" i="29"/>
  <c r="AJ161" i="29"/>
  <c r="D19" i="25"/>
  <c r="C262" i="16" l="1"/>
  <c r="C263" i="17"/>
  <c r="C261" i="16"/>
  <c r="C262" i="17"/>
  <c r="C211" i="14"/>
  <c r="D262" i="16"/>
  <c r="D263" i="17"/>
  <c r="D261" i="16"/>
  <c r="D262" i="17"/>
  <c r="C247" i="11"/>
  <c r="C251" i="16"/>
  <c r="D247" i="11"/>
  <c r="D251" i="16"/>
  <c r="D170" i="13"/>
  <c r="D172" i="16"/>
  <c r="D256" i="14"/>
  <c r="D255" i="15"/>
  <c r="C259" i="15"/>
  <c r="C256" i="13"/>
  <c r="C260" i="14"/>
  <c r="D256" i="13"/>
  <c r="D259" i="15"/>
  <c r="D260" i="14"/>
  <c r="D161" i="13"/>
  <c r="C257" i="13"/>
  <c r="C260" i="15"/>
  <c r="C246" i="11"/>
  <c r="C246" i="13"/>
  <c r="D171" i="13"/>
  <c r="D171" i="15"/>
  <c r="C258" i="14"/>
  <c r="C257" i="15"/>
  <c r="C221" i="14"/>
  <c r="C220" i="13"/>
  <c r="D257" i="13"/>
  <c r="D260" i="15"/>
  <c r="D246" i="11"/>
  <c r="D246" i="13"/>
  <c r="C257" i="14"/>
  <c r="C254" i="13"/>
  <c r="C219" i="15"/>
  <c r="C218" i="14"/>
  <c r="C203" i="15"/>
  <c r="D258" i="14"/>
  <c r="D257" i="15"/>
  <c r="D221" i="14"/>
  <c r="D220" i="13"/>
  <c r="C244" i="16"/>
  <c r="C258" i="15"/>
  <c r="C259" i="14"/>
  <c r="C256" i="14"/>
  <c r="C255" i="15"/>
  <c r="D257" i="14"/>
  <c r="D254" i="13"/>
  <c r="D219" i="15"/>
  <c r="D218" i="14"/>
  <c r="D244" i="16"/>
  <c r="D258" i="15"/>
  <c r="D259" i="14"/>
  <c r="C247" i="9"/>
  <c r="C252" i="11"/>
  <c r="C246" i="10"/>
  <c r="C252" i="12"/>
  <c r="D248" i="9"/>
  <c r="D253" i="11"/>
  <c r="D247" i="10"/>
  <c r="C250" i="10"/>
  <c r="C256" i="11"/>
  <c r="C256" i="12"/>
  <c r="C245" i="9"/>
  <c r="C250" i="11"/>
  <c r="D247" i="9"/>
  <c r="D252" i="11"/>
  <c r="D246" i="10"/>
  <c r="D252" i="12"/>
  <c r="D250" i="10"/>
  <c r="D256" i="12"/>
  <c r="D256" i="11"/>
  <c r="D245" i="9"/>
  <c r="D250" i="11"/>
  <c r="C257" i="11"/>
  <c r="C251" i="10"/>
  <c r="C257" i="12"/>
  <c r="C255" i="12"/>
  <c r="C255" i="11"/>
  <c r="C249" i="10"/>
  <c r="D257" i="11"/>
  <c r="D257" i="12"/>
  <c r="D251" i="10"/>
  <c r="C249" i="9"/>
  <c r="C254" i="12"/>
  <c r="C254" i="11"/>
  <c r="C248" i="10"/>
  <c r="D255" i="12"/>
  <c r="D255" i="11"/>
  <c r="D249" i="10"/>
  <c r="C248" i="9"/>
  <c r="C253" i="11"/>
  <c r="C247" i="10"/>
  <c r="D249" i="9"/>
  <c r="D254" i="11"/>
  <c r="D254" i="12"/>
  <c r="D248" i="10"/>
  <c r="C251" i="9"/>
  <c r="C243" i="8"/>
  <c r="D251" i="9"/>
  <c r="D243" i="8"/>
  <c r="C242" i="2"/>
  <c r="C252" i="9"/>
  <c r="C244" i="8"/>
  <c r="C250" i="9"/>
  <c r="C242" i="8"/>
  <c r="D242" i="2"/>
  <c r="D252" i="9"/>
  <c r="D244" i="8"/>
  <c r="D250" i="9"/>
  <c r="D242" i="8"/>
  <c r="C236" i="11"/>
  <c r="C238" i="10"/>
  <c r="C236" i="12"/>
  <c r="C240" i="16"/>
  <c r="C240" i="15"/>
  <c r="C235" i="13"/>
  <c r="C242" i="17"/>
  <c r="C241" i="2"/>
  <c r="C245" i="16"/>
  <c r="C238" i="16"/>
  <c r="C240" i="17"/>
  <c r="C238" i="15"/>
  <c r="D238" i="10"/>
  <c r="D236" i="11"/>
  <c r="D242" i="17"/>
  <c r="D240" i="16"/>
  <c r="D235" i="13"/>
  <c r="D236" i="12"/>
  <c r="D240" i="15"/>
  <c r="D178" i="16"/>
  <c r="D180" i="17"/>
  <c r="D28" i="14"/>
  <c r="D28" i="16"/>
  <c r="D241" i="2"/>
  <c r="D245" i="16"/>
  <c r="D241" i="15"/>
  <c r="D243" i="17"/>
  <c r="D241" i="16"/>
  <c r="D192" i="8"/>
  <c r="D179" i="16"/>
  <c r="C238" i="14"/>
  <c r="C238" i="17"/>
  <c r="C236" i="15"/>
  <c r="C236" i="16"/>
  <c r="C205" i="13"/>
  <c r="D238" i="16"/>
  <c r="D238" i="15"/>
  <c r="D240" i="17"/>
  <c r="C235" i="16"/>
  <c r="C237" i="17"/>
  <c r="C235" i="15"/>
  <c r="D236" i="15"/>
  <c r="D236" i="16"/>
  <c r="D238" i="14"/>
  <c r="D238" i="17"/>
  <c r="D205" i="13"/>
  <c r="C232" i="10"/>
  <c r="C234" i="16"/>
  <c r="C230" i="12"/>
  <c r="C229" i="13"/>
  <c r="C236" i="17"/>
  <c r="C234" i="15"/>
  <c r="C230" i="11"/>
  <c r="D235" i="15"/>
  <c r="D235" i="16"/>
  <c r="D237" i="17"/>
  <c r="D189" i="17"/>
  <c r="D28" i="10"/>
  <c r="D28" i="17"/>
  <c r="C239" i="17"/>
  <c r="C237" i="16"/>
  <c r="C237" i="15"/>
  <c r="C245" i="17"/>
  <c r="C243" i="16"/>
  <c r="C240" i="2"/>
  <c r="D236" i="17"/>
  <c r="D232" i="10"/>
  <c r="D230" i="12"/>
  <c r="D234" i="15"/>
  <c r="D229" i="13"/>
  <c r="D234" i="16"/>
  <c r="D230" i="11"/>
  <c r="D239" i="17"/>
  <c r="D237" i="16"/>
  <c r="D237" i="15"/>
  <c r="C242" i="16"/>
  <c r="C244" i="17"/>
  <c r="C239" i="2"/>
  <c r="D245" i="17"/>
  <c r="D243" i="16"/>
  <c r="D240" i="2"/>
  <c r="C241" i="15"/>
  <c r="C241" i="16"/>
  <c r="C243" i="17"/>
  <c r="D242" i="16"/>
  <c r="D244" i="17"/>
  <c r="D239" i="2"/>
  <c r="AO32" i="23"/>
  <c r="AI91" i="32"/>
  <c r="AF13" i="18"/>
  <c r="AI132" i="32"/>
  <c r="AI88" i="32"/>
  <c r="AI18" i="32"/>
  <c r="AF132" i="32"/>
  <c r="AF90" i="32"/>
  <c r="AF88" i="32"/>
  <c r="AI46" i="32"/>
  <c r="AI84" i="32"/>
  <c r="AF130" i="32"/>
  <c r="AF54" i="32"/>
  <c r="AF87" i="32"/>
  <c r="AF18" i="32"/>
  <c r="AI31" i="23"/>
  <c r="AC132" i="32"/>
  <c r="AC90" i="32"/>
  <c r="AC88" i="32"/>
  <c r="AF32" i="23"/>
  <c r="Z91" i="32"/>
  <c r="Z89" i="32"/>
  <c r="AC36" i="23"/>
  <c r="W92" i="32"/>
  <c r="Z30" i="23"/>
  <c r="Z12" i="18"/>
  <c r="T135" i="32"/>
  <c r="T93" i="32"/>
  <c r="T21" i="32"/>
  <c r="W13" i="18"/>
  <c r="Q95" i="32"/>
  <c r="K46" i="32"/>
  <c r="K84" i="32"/>
  <c r="H130" i="32"/>
  <c r="H54" i="32"/>
  <c r="H87" i="32"/>
  <c r="H18" i="32"/>
  <c r="K31" i="23"/>
  <c r="H31" i="23"/>
  <c r="AL15" i="32"/>
  <c r="N15" i="32"/>
  <c r="AL147" i="32"/>
  <c r="N147" i="32"/>
  <c r="Z146" i="32"/>
  <c r="T144" i="32"/>
  <c r="AL132" i="32"/>
  <c r="AL32" i="23"/>
  <c r="AI130" i="32"/>
  <c r="AI54" i="32"/>
  <c r="AL31" i="23"/>
  <c r="AL95" i="32"/>
  <c r="AF46" i="32"/>
  <c r="AF84" i="32"/>
  <c r="AC130" i="32"/>
  <c r="AC54" i="32"/>
  <c r="AC87" i="32"/>
  <c r="AC18" i="32"/>
  <c r="AF31" i="23"/>
  <c r="Z132" i="32"/>
  <c r="Z90" i="32"/>
  <c r="Z88" i="32"/>
  <c r="AC32" i="23"/>
  <c r="W91" i="32"/>
  <c r="W89" i="32"/>
  <c r="Z36" i="23"/>
  <c r="T92" i="32"/>
  <c r="W30" i="23"/>
  <c r="W12" i="18"/>
  <c r="Q135" i="32"/>
  <c r="Q93" i="32"/>
  <c r="Q21" i="32"/>
  <c r="T13" i="18"/>
  <c r="N95" i="32"/>
  <c r="H46" i="32"/>
  <c r="H84" i="32"/>
  <c r="AI15" i="32"/>
  <c r="K15" i="32"/>
  <c r="AI147" i="32"/>
  <c r="K147" i="32"/>
  <c r="W146" i="32"/>
  <c r="Q144" i="32"/>
  <c r="AO31" i="23"/>
  <c r="AI87" i="32"/>
  <c r="AL135" i="32"/>
  <c r="AL93" i="32"/>
  <c r="AL21" i="32"/>
  <c r="AO13" i="18"/>
  <c r="AI95" i="32"/>
  <c r="AC46" i="32"/>
  <c r="AC84" i="32"/>
  <c r="Z130" i="32"/>
  <c r="Z54" i="32"/>
  <c r="Z87" i="32"/>
  <c r="Z18" i="32"/>
  <c r="AC31" i="23"/>
  <c r="W132" i="32"/>
  <c r="W90" i="32"/>
  <c r="W88" i="32"/>
  <c r="Z32" i="23"/>
  <c r="T91" i="32"/>
  <c r="T89" i="32"/>
  <c r="W36" i="23"/>
  <c r="Q92" i="32"/>
  <c r="T30" i="23"/>
  <c r="T12" i="18"/>
  <c r="N135" i="32"/>
  <c r="N93" i="32"/>
  <c r="N21" i="32"/>
  <c r="Q13" i="18"/>
  <c r="K95" i="32"/>
  <c r="AF15" i="32"/>
  <c r="H15" i="32"/>
  <c r="AF147" i="32"/>
  <c r="H147" i="32"/>
  <c r="T146" i="32"/>
  <c r="AL144" i="32"/>
  <c r="N144" i="32"/>
  <c r="AL36" i="23"/>
  <c r="AF92" i="32"/>
  <c r="AI30" i="23"/>
  <c r="AC93" i="32"/>
  <c r="AL130" i="32"/>
  <c r="AL18" i="32"/>
  <c r="AI90" i="32"/>
  <c r="AF91" i="32"/>
  <c r="AL84" i="32"/>
  <c r="AL92" i="32"/>
  <c r="AO30" i="23"/>
  <c r="AO12" i="18"/>
  <c r="AI135" i="32"/>
  <c r="AI93" i="32"/>
  <c r="AI21" i="32"/>
  <c r="AL13" i="18"/>
  <c r="AF95" i="32"/>
  <c r="Z46" i="32"/>
  <c r="Z84" i="32"/>
  <c r="W130" i="32"/>
  <c r="W54" i="32"/>
  <c r="W87" i="32"/>
  <c r="W18" i="32"/>
  <c r="Z31" i="23"/>
  <c r="T132" i="32"/>
  <c r="T90" i="32"/>
  <c r="T88" i="32"/>
  <c r="W32" i="23"/>
  <c r="Q91" i="32"/>
  <c r="Q89" i="32"/>
  <c r="T36" i="23"/>
  <c r="N92" i="32"/>
  <c r="Q30" i="23"/>
  <c r="Q12" i="18"/>
  <c r="K135" i="32"/>
  <c r="K93" i="32"/>
  <c r="K21" i="32"/>
  <c r="N13" i="18"/>
  <c r="H95" i="32"/>
  <c r="AC15" i="32"/>
  <c r="AC147" i="32"/>
  <c r="Q146" i="32"/>
  <c r="AI144" i="32"/>
  <c r="K144" i="32"/>
  <c r="AL90" i="32"/>
  <c r="AI12" i="18"/>
  <c r="AC21" i="32"/>
  <c r="AL54" i="32"/>
  <c r="AL91" i="32"/>
  <c r="AL89" i="32"/>
  <c r="AO36" i="23"/>
  <c r="AI92" i="32"/>
  <c r="AL30" i="23"/>
  <c r="AL12" i="18"/>
  <c r="AF135" i="32"/>
  <c r="AF93" i="32"/>
  <c r="AF21" i="32"/>
  <c r="AI13" i="18"/>
  <c r="AC95" i="32"/>
  <c r="W46" i="32"/>
  <c r="W84" i="32"/>
  <c r="T130" i="32"/>
  <c r="T54" i="32"/>
  <c r="T87" i="32"/>
  <c r="T18" i="32"/>
  <c r="W31" i="23"/>
  <c r="Q132" i="32"/>
  <c r="Q90" i="32"/>
  <c r="Q88" i="32"/>
  <c r="T32" i="23"/>
  <c r="N91" i="32"/>
  <c r="N89" i="32"/>
  <c r="Q36" i="23"/>
  <c r="K92" i="32"/>
  <c r="N30" i="23"/>
  <c r="N12" i="18"/>
  <c r="H135" i="32"/>
  <c r="H93" i="32"/>
  <c r="H21" i="32"/>
  <c r="K13" i="18"/>
  <c r="H13" i="18"/>
  <c r="Z15" i="32"/>
  <c r="Z147" i="32"/>
  <c r="AL146" i="32"/>
  <c r="N146" i="32"/>
  <c r="AF144" i="32"/>
  <c r="H144" i="32"/>
  <c r="T46" i="32"/>
  <c r="T84" i="32"/>
  <c r="Q130" i="32"/>
  <c r="Q54" i="32"/>
  <c r="Q87" i="32"/>
  <c r="Q18" i="32"/>
  <c r="T31" i="23"/>
  <c r="N132" i="32"/>
  <c r="N90" i="32"/>
  <c r="N88" i="32"/>
  <c r="Q32" i="23"/>
  <c r="K91" i="32"/>
  <c r="K89" i="32"/>
  <c r="N36" i="23"/>
  <c r="H92" i="32"/>
  <c r="K30" i="23"/>
  <c r="K12" i="18"/>
  <c r="H30" i="23"/>
  <c r="H12" i="18"/>
  <c r="W15" i="32"/>
  <c r="W147" i="32"/>
  <c r="AI146" i="32"/>
  <c r="K146" i="32"/>
  <c r="AC144" i="32"/>
  <c r="Z95" i="32"/>
  <c r="AF89" i="32"/>
  <c r="AI36" i="23"/>
  <c r="AC92" i="32"/>
  <c r="AF30" i="23"/>
  <c r="AF12" i="18"/>
  <c r="Z135" i="32"/>
  <c r="Z93" i="32"/>
  <c r="Z21" i="32"/>
  <c r="AC13" i="18"/>
  <c r="W95" i="32"/>
  <c r="Q46" i="32"/>
  <c r="Q84" i="32"/>
  <c r="N130" i="32"/>
  <c r="N54" i="32"/>
  <c r="N87" i="32"/>
  <c r="N18" i="32"/>
  <c r="Q31" i="23"/>
  <c r="K132" i="32"/>
  <c r="K90" i="32"/>
  <c r="K88" i="32"/>
  <c r="N32" i="23"/>
  <c r="H91" i="32"/>
  <c r="H89" i="32"/>
  <c r="K36" i="23"/>
  <c r="H36" i="23"/>
  <c r="T15" i="32"/>
  <c r="T147" i="32"/>
  <c r="AF146" i="32"/>
  <c r="H146" i="32"/>
  <c r="Z144" i="32"/>
  <c r="AL88" i="32"/>
  <c r="AI89" i="32"/>
  <c r="AC135" i="32"/>
  <c r="AL87" i="32"/>
  <c r="AL46" i="32"/>
  <c r="AI32" i="23"/>
  <c r="AC91" i="32"/>
  <c r="AC89" i="32"/>
  <c r="AF36" i="23"/>
  <c r="Z92" i="32"/>
  <c r="AC30" i="23"/>
  <c r="AC12" i="18"/>
  <c r="W135" i="32"/>
  <c r="W93" i="32"/>
  <c r="W21" i="32"/>
  <c r="Z13" i="18"/>
  <c r="T95" i="32"/>
  <c r="N46" i="32"/>
  <c r="N84" i="32"/>
  <c r="K130" i="32"/>
  <c r="K54" i="32"/>
  <c r="K87" i="32"/>
  <c r="K18" i="32"/>
  <c r="N31" i="23"/>
  <c r="H132" i="32"/>
  <c r="H90" i="32"/>
  <c r="H88" i="32"/>
  <c r="K32" i="23"/>
  <c r="H32" i="23"/>
  <c r="Q15" i="32"/>
  <c r="Q147" i="32"/>
  <c r="AC146" i="32"/>
  <c r="W144" i="32"/>
  <c r="C251" i="2"/>
  <c r="C266" i="9"/>
  <c r="C264" i="7"/>
  <c r="C269" i="15"/>
  <c r="C271" i="14"/>
  <c r="C264" i="11"/>
  <c r="C264" i="13"/>
  <c r="C265" i="10"/>
  <c r="C271" i="17"/>
  <c r="C262" i="8"/>
  <c r="C264" i="12"/>
  <c r="C262" i="2"/>
  <c r="C207" i="13"/>
  <c r="C212" i="14"/>
  <c r="D270" i="15"/>
  <c r="D265" i="11"/>
  <c r="D267" i="9"/>
  <c r="D272" i="14"/>
  <c r="D265" i="7"/>
  <c r="D266" i="10"/>
  <c r="D272" i="17"/>
  <c r="D265" i="12"/>
  <c r="D265" i="13"/>
  <c r="D263" i="8"/>
  <c r="D270" i="16"/>
  <c r="D196" i="7"/>
  <c r="D216" i="14"/>
  <c r="D214" i="15"/>
  <c r="D215" i="9"/>
  <c r="D216" i="17"/>
  <c r="D168" i="12"/>
  <c r="D202" i="14"/>
  <c r="D200" i="10"/>
  <c r="D113" i="17"/>
  <c r="C256" i="2"/>
  <c r="C271" i="9"/>
  <c r="C269" i="7"/>
  <c r="C276" i="17"/>
  <c r="C267" i="8"/>
  <c r="C269" i="11"/>
  <c r="C274" i="16"/>
  <c r="C270" i="10"/>
  <c r="C274" i="15"/>
  <c r="C269" i="12"/>
  <c r="C263" i="2"/>
  <c r="C269" i="13"/>
  <c r="C276" i="14"/>
  <c r="C222" i="17"/>
  <c r="C218" i="11"/>
  <c r="C222" i="14"/>
  <c r="C220" i="16"/>
  <c r="C220" i="10"/>
  <c r="C220" i="15"/>
  <c r="C221" i="9"/>
  <c r="C217" i="13"/>
  <c r="C218" i="12"/>
  <c r="C249" i="2"/>
  <c r="C260" i="8"/>
  <c r="C263" i="10"/>
  <c r="C264" i="9"/>
  <c r="C262" i="11"/>
  <c r="C269" i="14"/>
  <c r="C262" i="7"/>
  <c r="C267" i="15"/>
  <c r="C262" i="12"/>
  <c r="C267" i="16"/>
  <c r="C261" i="2"/>
  <c r="D251" i="2"/>
  <c r="D264" i="7"/>
  <c r="D266" i="9"/>
  <c r="D269" i="15"/>
  <c r="D264" i="11"/>
  <c r="D271" i="17"/>
  <c r="D271" i="14"/>
  <c r="D265" i="10"/>
  <c r="D262" i="8"/>
  <c r="D264" i="13"/>
  <c r="D264" i="12"/>
  <c r="D262" i="2"/>
  <c r="D207" i="13"/>
  <c r="D212" i="14"/>
  <c r="D200" i="9"/>
  <c r="D201" i="15"/>
  <c r="D256" i="2"/>
  <c r="D269" i="7"/>
  <c r="D271" i="9"/>
  <c r="D269" i="11"/>
  <c r="D270" i="10"/>
  <c r="D276" i="17"/>
  <c r="D274" i="16"/>
  <c r="D274" i="15"/>
  <c r="D276" i="14"/>
  <c r="D267" i="8"/>
  <c r="D269" i="13"/>
  <c r="D269" i="12"/>
  <c r="D263" i="2"/>
  <c r="D222" i="17"/>
  <c r="D220" i="10"/>
  <c r="D221" i="9"/>
  <c r="D222" i="14"/>
  <c r="D220" i="15"/>
  <c r="D218" i="11"/>
  <c r="D220" i="16"/>
  <c r="D218" i="12"/>
  <c r="D217" i="13"/>
  <c r="C247" i="2"/>
  <c r="C261" i="10"/>
  <c r="C262" i="9"/>
  <c r="C260" i="7"/>
  <c r="C260" i="11"/>
  <c r="C267" i="14"/>
  <c r="C258" i="8"/>
  <c r="C265" i="16"/>
  <c r="C259" i="2"/>
  <c r="C260" i="13"/>
  <c r="C267" i="17"/>
  <c r="D249" i="2"/>
  <c r="D262" i="11"/>
  <c r="D263" i="10"/>
  <c r="D264" i="9"/>
  <c r="D262" i="7"/>
  <c r="D260" i="8"/>
  <c r="D267" i="15"/>
  <c r="D269" i="14"/>
  <c r="D262" i="12"/>
  <c r="D261" i="2"/>
  <c r="D267" i="16"/>
  <c r="D211" i="14"/>
  <c r="D209" i="16"/>
  <c r="D195" i="13"/>
  <c r="D200" i="14"/>
  <c r="C273" i="10"/>
  <c r="C270" i="8"/>
  <c r="C274" i="9"/>
  <c r="C272" i="11"/>
  <c r="C272" i="12"/>
  <c r="C280" i="17"/>
  <c r="C277" i="16"/>
  <c r="C272" i="13"/>
  <c r="C277" i="15"/>
  <c r="C264" i="2"/>
  <c r="C279" i="14"/>
  <c r="C199" i="10"/>
  <c r="C221" i="15"/>
  <c r="C221" i="16"/>
  <c r="C223" i="14"/>
  <c r="C219" i="12"/>
  <c r="C221" i="10"/>
  <c r="C220" i="2"/>
  <c r="C218" i="13"/>
  <c r="C223" i="17"/>
  <c r="C222" i="9"/>
  <c r="C219" i="11"/>
  <c r="C246" i="2"/>
  <c r="C266" i="14"/>
  <c r="C259" i="11"/>
  <c r="C259" i="13"/>
  <c r="C264" i="16"/>
  <c r="C259" i="12"/>
  <c r="C266" i="17"/>
  <c r="C202" i="13"/>
  <c r="C207" i="15"/>
  <c r="C203" i="12"/>
  <c r="C203" i="11"/>
  <c r="D247" i="2"/>
  <c r="D261" i="10"/>
  <c r="D260" i="11"/>
  <c r="D260" i="7"/>
  <c r="D258" i="8"/>
  <c r="D262" i="9"/>
  <c r="D267" i="14"/>
  <c r="D259" i="2"/>
  <c r="D265" i="16"/>
  <c r="D260" i="13"/>
  <c r="D267" i="17"/>
  <c r="D190" i="17"/>
  <c r="D199" i="9"/>
  <c r="D274" i="9"/>
  <c r="D272" i="11"/>
  <c r="D272" i="12"/>
  <c r="D273" i="10"/>
  <c r="D270" i="8"/>
  <c r="D280" i="17"/>
  <c r="D277" i="16"/>
  <c r="D279" i="14"/>
  <c r="D264" i="2"/>
  <c r="D272" i="13"/>
  <c r="D277" i="15"/>
  <c r="D199" i="10"/>
  <c r="D221" i="15"/>
  <c r="D220" i="2"/>
  <c r="D221" i="16"/>
  <c r="D223" i="17"/>
  <c r="D218" i="13"/>
  <c r="D223" i="14"/>
  <c r="D219" i="12"/>
  <c r="D221" i="10"/>
  <c r="D222" i="7"/>
  <c r="D222" i="9"/>
  <c r="D219" i="11"/>
  <c r="C274" i="11"/>
  <c r="C274" i="12"/>
  <c r="C275" i="10"/>
  <c r="C272" i="8"/>
  <c r="C276" i="9"/>
  <c r="C266" i="2"/>
  <c r="C274" i="13"/>
  <c r="C281" i="14"/>
  <c r="C282" i="17"/>
  <c r="C279" i="16"/>
  <c r="C279" i="15"/>
  <c r="C245" i="2"/>
  <c r="C261" i="9"/>
  <c r="C257" i="8"/>
  <c r="C258" i="11"/>
  <c r="C260" i="10"/>
  <c r="C259" i="7"/>
  <c r="C258" i="2"/>
  <c r="C265" i="14"/>
  <c r="C263" i="16"/>
  <c r="C258" i="13"/>
  <c r="C265" i="17"/>
  <c r="C263" i="15"/>
  <c r="C258" i="12"/>
  <c r="C201" i="13"/>
  <c r="C206" i="14"/>
  <c r="C206" i="15"/>
  <c r="C202" i="11"/>
  <c r="D246" i="2"/>
  <c r="D266" i="14"/>
  <c r="D259" i="11"/>
  <c r="D264" i="16"/>
  <c r="D259" i="13"/>
  <c r="D259" i="12"/>
  <c r="D266" i="17"/>
  <c r="D202" i="13"/>
  <c r="D207" i="15"/>
  <c r="D203" i="11"/>
  <c r="D203" i="12"/>
  <c r="D207" i="16"/>
  <c r="D170" i="15"/>
  <c r="D170" i="14"/>
  <c r="C248" i="2"/>
  <c r="C266" i="15"/>
  <c r="C263" i="9"/>
  <c r="C268" i="14"/>
  <c r="C261" i="11"/>
  <c r="C262" i="10"/>
  <c r="C261" i="7"/>
  <c r="C259" i="8"/>
  <c r="C260" i="2"/>
  <c r="C261" i="13"/>
  <c r="C266" i="16"/>
  <c r="C224" i="17"/>
  <c r="C222" i="15"/>
  <c r="C219" i="13"/>
  <c r="C222" i="16"/>
  <c r="C224" i="14"/>
  <c r="C221" i="2"/>
  <c r="C220" i="11"/>
  <c r="C223" i="9"/>
  <c r="C220" i="12"/>
  <c r="C222" i="10"/>
  <c r="C268" i="10"/>
  <c r="C265" i="8"/>
  <c r="C267" i="13"/>
  <c r="C272" i="16"/>
  <c r="C274" i="14"/>
  <c r="C269" i="9"/>
  <c r="C274" i="17"/>
  <c r="C272" i="15"/>
  <c r="C267" i="12"/>
  <c r="C267" i="7"/>
  <c r="C267" i="11"/>
  <c r="C232" i="17"/>
  <c r="C228" i="11"/>
  <c r="C230" i="10"/>
  <c r="C230" i="15"/>
  <c r="C228" i="12"/>
  <c r="C231" i="9"/>
  <c r="C232" i="14"/>
  <c r="C230" i="16"/>
  <c r="C227" i="13"/>
  <c r="D272" i="8"/>
  <c r="D276" i="9"/>
  <c r="D274" i="11"/>
  <c r="D274" i="12"/>
  <c r="D275" i="10"/>
  <c r="D266" i="2"/>
  <c r="D281" i="14"/>
  <c r="D279" i="16"/>
  <c r="D279" i="15"/>
  <c r="D274" i="13"/>
  <c r="D282" i="17"/>
  <c r="D245" i="2"/>
  <c r="D261" i="9"/>
  <c r="D258" i="11"/>
  <c r="D257" i="8"/>
  <c r="D259" i="7"/>
  <c r="D258" i="2"/>
  <c r="D265" i="14"/>
  <c r="D260" i="10"/>
  <c r="D265" i="17"/>
  <c r="D263" i="16"/>
  <c r="D258" i="13"/>
  <c r="D258" i="12"/>
  <c r="D263" i="15"/>
  <c r="D201" i="13"/>
  <c r="D206" i="14"/>
  <c r="D202" i="11"/>
  <c r="D206" i="15"/>
  <c r="D168" i="9"/>
  <c r="D198" i="7"/>
  <c r="D169" i="15"/>
  <c r="D169" i="14"/>
  <c r="D248" i="2"/>
  <c r="D262" i="10"/>
  <c r="D268" i="14"/>
  <c r="D261" i="7"/>
  <c r="D263" i="9"/>
  <c r="D266" i="15"/>
  <c r="D259" i="8"/>
  <c r="D261" i="11"/>
  <c r="D260" i="2"/>
  <c r="D266" i="16"/>
  <c r="D261" i="13"/>
  <c r="D224" i="17"/>
  <c r="D222" i="15"/>
  <c r="D219" i="13"/>
  <c r="D222" i="16"/>
  <c r="D221" i="2"/>
  <c r="D224" i="14"/>
  <c r="D223" i="7"/>
  <c r="D220" i="12"/>
  <c r="D222" i="10"/>
  <c r="D223" i="9"/>
  <c r="D220" i="11"/>
  <c r="C264" i="8"/>
  <c r="C271" i="15"/>
  <c r="C268" i="9"/>
  <c r="C271" i="16"/>
  <c r="C266" i="13"/>
  <c r="C266" i="7"/>
  <c r="C273" i="17"/>
  <c r="C266" i="12"/>
  <c r="C267" i="10"/>
  <c r="C266" i="11"/>
  <c r="C273" i="14"/>
  <c r="C227" i="10"/>
  <c r="C227" i="15"/>
  <c r="C228" i="9"/>
  <c r="C229" i="17"/>
  <c r="C224" i="13"/>
  <c r="C225" i="12"/>
  <c r="C229" i="14"/>
  <c r="C225" i="11"/>
  <c r="C228" i="7"/>
  <c r="C227" i="16"/>
  <c r="D267" i="13"/>
  <c r="D267" i="11"/>
  <c r="D274" i="17"/>
  <c r="D269" i="9"/>
  <c r="D272" i="15"/>
  <c r="D268" i="10"/>
  <c r="D274" i="14"/>
  <c r="D265" i="8"/>
  <c r="D267" i="12"/>
  <c r="D272" i="16"/>
  <c r="D267" i="7"/>
  <c r="D219" i="2"/>
  <c r="D232" i="17"/>
  <c r="D230" i="10"/>
  <c r="D228" i="11"/>
  <c r="D227" i="13"/>
  <c r="D230" i="15"/>
  <c r="D231" i="9"/>
  <c r="D232" i="14"/>
  <c r="D228" i="12"/>
  <c r="D230" i="16"/>
  <c r="D185" i="17"/>
  <c r="D192" i="10"/>
  <c r="D196" i="17"/>
  <c r="C268" i="7"/>
  <c r="C268" i="12"/>
  <c r="C270" i="9"/>
  <c r="C268" i="11"/>
  <c r="C275" i="17"/>
  <c r="C273" i="15"/>
  <c r="C269" i="10"/>
  <c r="C273" i="16"/>
  <c r="C268" i="13"/>
  <c r="C266" i="8"/>
  <c r="C275" i="14"/>
  <c r="C220" i="14"/>
  <c r="C218" i="15"/>
  <c r="C218" i="16"/>
  <c r="C215" i="13"/>
  <c r="C220" i="17"/>
  <c r="C263" i="8"/>
  <c r="C267" i="9"/>
  <c r="C265" i="13"/>
  <c r="C265" i="7"/>
  <c r="C266" i="10"/>
  <c r="C270" i="15"/>
  <c r="C265" i="12"/>
  <c r="C272" i="14"/>
  <c r="C270" i="16"/>
  <c r="C265" i="11"/>
  <c r="C272" i="17"/>
  <c r="C216" i="14"/>
  <c r="C214" i="15"/>
  <c r="C215" i="9"/>
  <c r="C202" i="14"/>
  <c r="C200" i="10"/>
  <c r="D271" i="15"/>
  <c r="D273" i="14"/>
  <c r="D264" i="8"/>
  <c r="D271" i="16"/>
  <c r="D266" i="7"/>
  <c r="D266" i="11"/>
  <c r="D268" i="9"/>
  <c r="D267" i="10"/>
  <c r="D266" i="12"/>
  <c r="D266" i="13"/>
  <c r="D273" i="17"/>
  <c r="D225" i="11"/>
  <c r="D228" i="7"/>
  <c r="D227" i="15"/>
  <c r="D228" i="9"/>
  <c r="D227" i="10"/>
  <c r="D225" i="12"/>
  <c r="D224" i="13"/>
  <c r="D229" i="14"/>
  <c r="D227" i="16"/>
  <c r="D229" i="17"/>
  <c r="D226" i="8"/>
  <c r="D203" i="15"/>
  <c r="D199" i="12"/>
  <c r="D266" i="8"/>
  <c r="D273" i="16"/>
  <c r="D268" i="12"/>
  <c r="D268" i="13"/>
  <c r="D268" i="7"/>
  <c r="D270" i="9"/>
  <c r="D275" i="17"/>
  <c r="D273" i="15"/>
  <c r="D268" i="11"/>
  <c r="D269" i="10"/>
  <c r="D275" i="14"/>
  <c r="D198" i="8"/>
  <c r="D218" i="15"/>
  <c r="D220" i="14"/>
  <c r="D218" i="16"/>
  <c r="D215" i="13"/>
  <c r="D220" i="17"/>
  <c r="D218" i="2"/>
  <c r="T128" i="32"/>
  <c r="AI166" i="29"/>
  <c r="W179" i="32"/>
  <c r="H111" i="18"/>
  <c r="AI159" i="29"/>
  <c r="H113" i="18"/>
  <c r="W185" i="32"/>
  <c r="W160" i="29"/>
  <c r="AI177" i="32"/>
  <c r="AI161" i="29"/>
  <c r="Z177" i="32"/>
  <c r="Q114" i="18"/>
  <c r="Q176" i="32"/>
  <c r="W166" i="29"/>
  <c r="N174" i="32"/>
  <c r="T185" i="32"/>
  <c r="N110" i="18"/>
  <c r="AL184" i="32"/>
  <c r="AO112" i="18"/>
  <c r="AC112" i="18"/>
  <c r="AC167" i="29"/>
  <c r="AL160" i="29"/>
  <c r="W174" i="32"/>
  <c r="H114" i="18"/>
  <c r="W184" i="32"/>
  <c r="AL161" i="29"/>
  <c r="W176" i="32"/>
  <c r="Q160" i="29"/>
  <c r="Z167" i="29"/>
  <c r="N114" i="18"/>
  <c r="H177" i="32"/>
  <c r="AF175" i="32"/>
  <c r="AI112" i="18"/>
  <c r="W113" i="18"/>
  <c r="T176" i="32"/>
  <c r="AL111" i="18"/>
  <c r="T166" i="29"/>
  <c r="W110" i="18"/>
  <c r="N179" i="32"/>
  <c r="AF160" i="29"/>
  <c r="AI174" i="32"/>
  <c r="AL174" i="32"/>
  <c r="Z185" i="32"/>
  <c r="Q179" i="32"/>
  <c r="AC177" i="32"/>
  <c r="W175" i="32"/>
  <c r="Z128" i="32"/>
  <c r="Z113" i="18"/>
  <c r="K175" i="32"/>
  <c r="AF161" i="29"/>
  <c r="Q128" i="32"/>
  <c r="AC110" i="18"/>
  <c r="T159" i="29"/>
  <c r="AL113" i="18"/>
  <c r="AF178" i="32"/>
  <c r="H159" i="29"/>
  <c r="AL128" i="32"/>
  <c r="K166" i="29"/>
  <c r="AL159" i="29"/>
  <c r="AC161" i="29"/>
  <c r="AC111" i="18"/>
  <c r="AF111" i="18"/>
  <c r="W112" i="18"/>
  <c r="W161" i="29"/>
  <c r="N113" i="18"/>
  <c r="AF166" i="29"/>
  <c r="AC160" i="29"/>
  <c r="AC128" i="32"/>
  <c r="K161" i="29"/>
  <c r="AL112" i="18"/>
  <c r="AL167" i="29"/>
  <c r="N160" i="29"/>
  <c r="H179" i="32"/>
  <c r="W128" i="32"/>
  <c r="T175" i="32"/>
  <c r="Z159" i="29"/>
  <c r="AI128" i="32"/>
  <c r="T110" i="18"/>
  <c r="AF177" i="32"/>
  <c r="AC114" i="18"/>
  <c r="AO113" i="18"/>
  <c r="K110" i="18"/>
  <c r="H176" i="32"/>
  <c r="T112" i="18"/>
  <c r="K111" i="18"/>
  <c r="AL176" i="32"/>
  <c r="AC178" i="32"/>
  <c r="AF184" i="32"/>
  <c r="H174" i="32"/>
  <c r="Z174" i="32"/>
  <c r="AI127" i="32"/>
  <c r="Z160" i="29"/>
  <c r="K174" i="32"/>
  <c r="T167" i="29"/>
  <c r="AL114" i="18"/>
  <c r="K128" i="32"/>
  <c r="Q174" i="32"/>
  <c r="AC174" i="32"/>
  <c r="T161" i="29"/>
  <c r="T179" i="32"/>
  <c r="T177" i="32"/>
  <c r="Z178" i="32"/>
  <c r="N177" i="32"/>
  <c r="Q110" i="18"/>
  <c r="Z110" i="18"/>
  <c r="AF167" i="29"/>
  <c r="Q167" i="29"/>
  <c r="N185" i="32"/>
  <c r="AF127" i="32"/>
  <c r="AC185" i="32"/>
  <c r="W114" i="18"/>
  <c r="T111" i="18"/>
  <c r="AF128" i="32"/>
  <c r="H185" i="32"/>
  <c r="Q185" i="32"/>
  <c r="AL166" i="29"/>
  <c r="H127" i="32"/>
  <c r="H161" i="29"/>
  <c r="K160" i="29"/>
  <c r="N111" i="18"/>
  <c r="N178" i="32"/>
  <c r="AI179" i="32"/>
  <c r="Z184" i="32"/>
  <c r="AI175" i="32"/>
  <c r="K114" i="18"/>
  <c r="Q113" i="18"/>
  <c r="AL177" i="32"/>
  <c r="Q178" i="32"/>
  <c r="T113" i="18"/>
  <c r="W167" i="29"/>
  <c r="AL179" i="32"/>
  <c r="AI110" i="18"/>
  <c r="N167" i="29"/>
  <c r="N127" i="32"/>
  <c r="K176" i="32"/>
  <c r="T127" i="32"/>
  <c r="Z176" i="32"/>
  <c r="T178" i="32"/>
  <c r="Q184" i="32"/>
  <c r="AF159" i="29"/>
  <c r="K177" i="32"/>
  <c r="Q112" i="18"/>
  <c r="Z161" i="29"/>
  <c r="W111" i="18"/>
  <c r="AC113" i="18"/>
  <c r="AL110" i="18"/>
  <c r="AI184" i="32"/>
  <c r="AI160" i="29"/>
  <c r="AI185" i="32"/>
  <c r="T174" i="32"/>
  <c r="H166" i="29"/>
  <c r="Q161" i="29"/>
  <c r="K112" i="18"/>
  <c r="AF114" i="18"/>
  <c r="AF110" i="18"/>
  <c r="N184" i="32"/>
  <c r="AC127" i="32"/>
  <c r="AO111" i="18"/>
  <c r="K167" i="29"/>
  <c r="N175" i="32"/>
  <c r="N161" i="29"/>
  <c r="Q166" i="29"/>
  <c r="W178" i="32"/>
  <c r="AL178" i="32"/>
  <c r="Z179" i="32"/>
  <c r="AI178" i="32"/>
  <c r="K127" i="32"/>
  <c r="K179" i="32"/>
  <c r="T114" i="18"/>
  <c r="AC184" i="32"/>
  <c r="H128" i="32"/>
  <c r="AI111" i="18"/>
  <c r="AL185" i="32"/>
  <c r="Q127" i="32"/>
  <c r="AC175" i="32"/>
  <c r="W127" i="32"/>
  <c r="Z166" i="29"/>
  <c r="K178" i="32"/>
  <c r="N112" i="18"/>
  <c r="N128" i="32"/>
  <c r="AI176" i="32"/>
  <c r="H112" i="18"/>
  <c r="Z112" i="18"/>
  <c r="AF174" i="32"/>
  <c r="AI114" i="18"/>
  <c r="K184" i="32"/>
  <c r="W159" i="29"/>
  <c r="T160" i="29"/>
  <c r="K159" i="29"/>
  <c r="AI167" i="29"/>
  <c r="AC166" i="29"/>
  <c r="H178" i="32"/>
  <c r="AC179" i="32"/>
  <c r="Q175" i="32"/>
  <c r="H160" i="29"/>
  <c r="N159" i="29"/>
  <c r="Q159" i="29"/>
  <c r="Z127" i="32"/>
  <c r="AF185" i="32"/>
  <c r="AO114" i="18"/>
  <c r="H167" i="29"/>
  <c r="K113" i="18"/>
  <c r="AL175" i="32"/>
  <c r="Q177" i="32"/>
  <c r="AO110" i="18"/>
  <c r="Q111" i="18"/>
  <c r="K185" i="32"/>
  <c r="AF113" i="18"/>
  <c r="Z114" i="18"/>
  <c r="W177" i="32"/>
  <c r="AL127" i="32"/>
  <c r="N176" i="32"/>
  <c r="AF179" i="32"/>
  <c r="AC159" i="29"/>
  <c r="Z175" i="32"/>
  <c r="N166" i="29"/>
  <c r="AF112" i="18"/>
  <c r="H184" i="32"/>
  <c r="H110" i="18"/>
  <c r="AI113" i="18"/>
  <c r="H175" i="32"/>
  <c r="T184" i="32"/>
  <c r="AF176" i="32"/>
  <c r="AC176" i="32"/>
  <c r="Z111" i="18"/>
  <c r="C239" i="13"/>
  <c r="C254" i="2"/>
  <c r="D239" i="13"/>
  <c r="D254" i="2"/>
  <c r="C240" i="13"/>
  <c r="C255" i="2"/>
  <c r="C237" i="13"/>
  <c r="C252" i="2"/>
  <c r="D238" i="13"/>
  <c r="D253" i="2"/>
  <c r="D240" i="13"/>
  <c r="D255" i="2"/>
  <c r="C238" i="13"/>
  <c r="C253" i="2"/>
  <c r="D237" i="13"/>
  <c r="D252" i="2"/>
  <c r="C245" i="14"/>
  <c r="C257" i="2"/>
  <c r="D245" i="14"/>
  <c r="D257" i="2"/>
  <c r="C230" i="13"/>
  <c r="C233" i="14"/>
  <c r="D231" i="13"/>
  <c r="D234" i="14"/>
  <c r="C233" i="13"/>
  <c r="C236" i="14"/>
  <c r="D230" i="13"/>
  <c r="D233" i="14"/>
  <c r="D233" i="13"/>
  <c r="D236" i="14"/>
  <c r="C203" i="13"/>
  <c r="C204" i="14"/>
  <c r="D203" i="13"/>
  <c r="D204" i="14"/>
  <c r="D39" i="14"/>
  <c r="C236" i="13"/>
  <c r="C239" i="14"/>
  <c r="C234" i="13"/>
  <c r="C237" i="14"/>
  <c r="D236" i="13"/>
  <c r="D239" i="14"/>
  <c r="C232" i="13"/>
  <c r="C235" i="14"/>
  <c r="D234" i="13"/>
  <c r="D237" i="14"/>
  <c r="C231" i="13"/>
  <c r="C234" i="14"/>
  <c r="D232" i="13"/>
  <c r="D235" i="14"/>
  <c r="C215" i="16"/>
  <c r="C206" i="13"/>
  <c r="D153" i="13"/>
  <c r="D215" i="16"/>
  <c r="D206" i="13"/>
  <c r="D28" i="12"/>
  <c r="D28" i="13"/>
  <c r="C236" i="2"/>
  <c r="C239" i="8"/>
  <c r="C240" i="7"/>
  <c r="D242" i="7"/>
  <c r="D238" i="2"/>
  <c r="D241" i="8"/>
  <c r="D236" i="2"/>
  <c r="D240" i="7"/>
  <c r="D239" i="8"/>
  <c r="C241" i="8"/>
  <c r="C238" i="2"/>
  <c r="C242" i="7"/>
  <c r="C237" i="2"/>
  <c r="C240" i="8"/>
  <c r="C241" i="7"/>
  <c r="D241" i="7"/>
  <c r="D237" i="2"/>
  <c r="D240" i="8"/>
  <c r="C233" i="8"/>
  <c r="C234" i="7"/>
  <c r="C230" i="2"/>
  <c r="D230" i="2"/>
  <c r="D233" i="8"/>
  <c r="D234" i="7"/>
  <c r="C225" i="2"/>
  <c r="C233" i="9"/>
  <c r="C231" i="11"/>
  <c r="C231" i="12"/>
  <c r="C233" i="10"/>
  <c r="C229" i="7"/>
  <c r="D226" i="2"/>
  <c r="D234" i="10"/>
  <c r="D234" i="9"/>
  <c r="D232" i="12"/>
  <c r="D229" i="8"/>
  <c r="D232" i="11"/>
  <c r="D230" i="7"/>
  <c r="C242" i="11"/>
  <c r="C244" i="10"/>
  <c r="C235" i="2"/>
  <c r="C244" i="9"/>
  <c r="C238" i="8"/>
  <c r="C239" i="7"/>
  <c r="C236" i="9"/>
  <c r="C236" i="10"/>
  <c r="C228" i="2"/>
  <c r="C232" i="7"/>
  <c r="C231" i="8"/>
  <c r="C234" i="11"/>
  <c r="C234" i="12"/>
  <c r="C233" i="2"/>
  <c r="C236" i="8"/>
  <c r="C242" i="10"/>
  <c r="C237" i="7"/>
  <c r="C242" i="9"/>
  <c r="D244" i="10"/>
  <c r="D244" i="9"/>
  <c r="D242" i="11"/>
  <c r="D235" i="2"/>
  <c r="D239" i="7"/>
  <c r="D238" i="8"/>
  <c r="D225" i="2"/>
  <c r="D231" i="11"/>
  <c r="D233" i="9"/>
  <c r="D231" i="12"/>
  <c r="D229" i="7"/>
  <c r="D233" i="10"/>
  <c r="D228" i="2"/>
  <c r="D236" i="10"/>
  <c r="D236" i="9"/>
  <c r="D232" i="7"/>
  <c r="D231" i="8"/>
  <c r="D234" i="11"/>
  <c r="D234" i="12"/>
  <c r="C232" i="2"/>
  <c r="C241" i="9"/>
  <c r="C235" i="8"/>
  <c r="C241" i="10"/>
  <c r="C236" i="7"/>
  <c r="C214" i="16"/>
  <c r="C204" i="12"/>
  <c r="C204" i="11"/>
  <c r="D233" i="2"/>
  <c r="D242" i="9"/>
  <c r="D236" i="8"/>
  <c r="D237" i="7"/>
  <c r="D242" i="10"/>
  <c r="D170" i="12"/>
  <c r="D190" i="7"/>
  <c r="C234" i="8"/>
  <c r="C240" i="10"/>
  <c r="C240" i="9"/>
  <c r="C231" i="2"/>
  <c r="C235" i="7"/>
  <c r="C238" i="12"/>
  <c r="D232" i="2"/>
  <c r="D235" i="8"/>
  <c r="D236" i="7"/>
  <c r="D241" i="9"/>
  <c r="D241" i="10"/>
  <c r="D214" i="16"/>
  <c r="D204" i="11"/>
  <c r="D204" i="12"/>
  <c r="C239" i="9"/>
  <c r="C239" i="10"/>
  <c r="C237" i="12"/>
  <c r="D231" i="2"/>
  <c r="D240" i="10"/>
  <c r="D235" i="7"/>
  <c r="D240" i="9"/>
  <c r="D234" i="8"/>
  <c r="D238" i="12"/>
  <c r="C243" i="10"/>
  <c r="C234" i="2"/>
  <c r="C243" i="9"/>
  <c r="C237" i="8"/>
  <c r="C238" i="7"/>
  <c r="C241" i="11"/>
  <c r="C232" i="8"/>
  <c r="C229" i="2"/>
  <c r="C237" i="10"/>
  <c r="C237" i="9"/>
  <c r="C233" i="7"/>
  <c r="C235" i="11"/>
  <c r="C235" i="12"/>
  <c r="D239" i="9"/>
  <c r="D239" i="10"/>
  <c r="D237" i="12"/>
  <c r="D243" i="9"/>
  <c r="D243" i="10"/>
  <c r="D234" i="2"/>
  <c r="D241" i="11"/>
  <c r="D238" i="7"/>
  <c r="D237" i="8"/>
  <c r="C235" i="9"/>
  <c r="C235" i="10"/>
  <c r="C227" i="2"/>
  <c r="C231" i="7"/>
  <c r="C230" i="8"/>
  <c r="C233" i="12"/>
  <c r="C233" i="11"/>
  <c r="D237" i="10"/>
  <c r="D237" i="9"/>
  <c r="D229" i="2"/>
  <c r="D232" i="8"/>
  <c r="D233" i="7"/>
  <c r="D235" i="11"/>
  <c r="D235" i="12"/>
  <c r="C234" i="10"/>
  <c r="C226" i="2"/>
  <c r="C234" i="9"/>
  <c r="C232" i="12"/>
  <c r="C232" i="11"/>
  <c r="C229" i="8"/>
  <c r="C230" i="7"/>
  <c r="D235" i="10"/>
  <c r="D235" i="9"/>
  <c r="D227" i="2"/>
  <c r="D231" i="7"/>
  <c r="D233" i="11"/>
  <c r="D233" i="12"/>
  <c r="D230" i="8"/>
  <c r="C210" i="11"/>
  <c r="C211" i="12"/>
  <c r="C213" i="9"/>
  <c r="C213" i="10"/>
  <c r="C215" i="11"/>
  <c r="C218" i="10"/>
  <c r="C216" i="12"/>
  <c r="C218" i="9"/>
  <c r="D211" i="12"/>
  <c r="D213" i="10"/>
  <c r="D213" i="9"/>
  <c r="C214" i="11"/>
  <c r="C217" i="9"/>
  <c r="C217" i="10"/>
  <c r="C215" i="12"/>
  <c r="D215" i="11"/>
  <c r="D218" i="10"/>
  <c r="D218" i="9"/>
  <c r="D216" i="12"/>
  <c r="C216" i="9"/>
  <c r="C216" i="10"/>
  <c r="C214" i="12"/>
  <c r="D214" i="11"/>
  <c r="D215" i="12"/>
  <c r="D217" i="10"/>
  <c r="D217" i="9"/>
  <c r="D170" i="11"/>
  <c r="D169" i="12"/>
  <c r="D216" i="9"/>
  <c r="D216" i="10"/>
  <c r="D214" i="12"/>
  <c r="C216" i="11"/>
  <c r="C219" i="10"/>
  <c r="C217" i="12"/>
  <c r="C219" i="9"/>
  <c r="C217" i="11"/>
  <c r="C212" i="11"/>
  <c r="C212" i="12"/>
  <c r="C214" i="9"/>
  <c r="C214" i="10"/>
  <c r="D168" i="11"/>
  <c r="D216" i="11"/>
  <c r="D219" i="10"/>
  <c r="D217" i="12"/>
  <c r="D219" i="9"/>
  <c r="D217" i="11"/>
  <c r="C210" i="12"/>
  <c r="C212" i="10"/>
  <c r="C212" i="9"/>
  <c r="D211" i="11"/>
  <c r="D212" i="11"/>
  <c r="D212" i="12"/>
  <c r="D214" i="9"/>
  <c r="D214" i="10"/>
  <c r="D191" i="17"/>
  <c r="D168" i="10"/>
  <c r="D209" i="11"/>
  <c r="D212" i="9"/>
  <c r="D212" i="10"/>
  <c r="D210" i="12"/>
  <c r="C202" i="10"/>
  <c r="C201" i="9"/>
  <c r="D200" i="7"/>
  <c r="D199" i="8"/>
  <c r="D201" i="9"/>
  <c r="D188" i="17"/>
  <c r="D169" i="10"/>
  <c r="D203" i="8"/>
  <c r="D210" i="11"/>
  <c r="C208" i="9"/>
  <c r="C213" i="11"/>
  <c r="C207" i="9"/>
  <c r="D206" i="7"/>
  <c r="D213" i="11"/>
  <c r="D207" i="9"/>
  <c r="D193" i="17"/>
  <c r="D169" i="11"/>
  <c r="C206" i="9"/>
  <c r="C211" i="11"/>
  <c r="D29" i="10"/>
  <c r="D28" i="11"/>
  <c r="C204" i="10"/>
  <c r="C209" i="11"/>
  <c r="C203" i="10"/>
  <c r="D211" i="9"/>
  <c r="D211" i="10"/>
  <c r="D206" i="9"/>
  <c r="D204" i="8"/>
  <c r="D204" i="10"/>
  <c r="D202" i="8"/>
  <c r="D203" i="10"/>
  <c r="D202" i="7"/>
  <c r="C210" i="10"/>
  <c r="C210" i="9"/>
  <c r="D202" i="10"/>
  <c r="D201" i="7"/>
  <c r="D200" i="8"/>
  <c r="C209" i="9"/>
  <c r="C209" i="10"/>
  <c r="D210" i="10"/>
  <c r="D201" i="2"/>
  <c r="D210" i="9"/>
  <c r="D200" i="2"/>
  <c r="D209" i="9"/>
  <c r="D209" i="10"/>
  <c r="D184" i="17"/>
  <c r="D167" i="9"/>
  <c r="D199" i="2"/>
  <c r="D207" i="7"/>
  <c r="D208" i="9"/>
  <c r="D183" i="17"/>
  <c r="D166" i="9"/>
  <c r="C211" i="9"/>
  <c r="C211" i="10"/>
  <c r="D22" i="17"/>
  <c r="D20" i="17"/>
  <c r="D45" i="17"/>
  <c r="D33" i="17"/>
  <c r="D19" i="17"/>
  <c r="D105" i="12"/>
  <c r="C250" i="16"/>
  <c r="C244" i="14"/>
  <c r="C243" i="12"/>
  <c r="C246" i="15"/>
  <c r="C245" i="13"/>
  <c r="C250" i="17"/>
  <c r="D252" i="17"/>
  <c r="D248" i="15"/>
  <c r="D252" i="16"/>
  <c r="D247" i="13"/>
  <c r="D246" i="14"/>
  <c r="D245" i="12"/>
  <c r="D195" i="7"/>
  <c r="D197" i="8"/>
  <c r="D197" i="11"/>
  <c r="D199" i="14"/>
  <c r="D194" i="9"/>
  <c r="D198" i="12"/>
  <c r="D200" i="15"/>
  <c r="D161" i="7"/>
  <c r="D192" i="17"/>
  <c r="D182" i="17"/>
  <c r="D183" i="16"/>
  <c r="D162" i="11"/>
  <c r="D162" i="10"/>
  <c r="D164" i="13"/>
  <c r="D257" i="16"/>
  <c r="D253" i="15"/>
  <c r="D257" i="17"/>
  <c r="D251" i="14"/>
  <c r="D252" i="13"/>
  <c r="D250" i="12"/>
  <c r="D209" i="15"/>
  <c r="D208" i="14"/>
  <c r="D207" i="12"/>
  <c r="D209" i="13"/>
  <c r="D203" i="9"/>
  <c r="D206" i="11"/>
  <c r="D206" i="10"/>
  <c r="D206" i="8"/>
  <c r="D211" i="16"/>
  <c r="D161" i="10"/>
  <c r="D162" i="15"/>
  <c r="D161" i="12"/>
  <c r="D162" i="14"/>
  <c r="D163" i="13"/>
  <c r="C258" i="17"/>
  <c r="C252" i="14"/>
  <c r="C251" i="12"/>
  <c r="C258" i="16"/>
  <c r="C253" i="13"/>
  <c r="C254" i="15"/>
  <c r="C210" i="15"/>
  <c r="C209" i="14"/>
  <c r="C210" i="13"/>
  <c r="C207" i="11"/>
  <c r="C208" i="12"/>
  <c r="C207" i="10"/>
  <c r="C204" i="9"/>
  <c r="C261" i="14"/>
  <c r="C268" i="16"/>
  <c r="C264" i="15"/>
  <c r="C262" i="13"/>
  <c r="C260" i="12"/>
  <c r="C268" i="17"/>
  <c r="C247" i="17"/>
  <c r="C241" i="14"/>
  <c r="C247" i="16"/>
  <c r="C243" i="15"/>
  <c r="C242" i="13"/>
  <c r="C240" i="12"/>
  <c r="C238" i="11"/>
  <c r="D261" i="12"/>
  <c r="D269" i="16"/>
  <c r="D265" i="15"/>
  <c r="D262" i="14"/>
  <c r="D269" i="17"/>
  <c r="D263" i="13"/>
  <c r="D248" i="16"/>
  <c r="D242" i="14"/>
  <c r="D248" i="17"/>
  <c r="D244" i="15"/>
  <c r="D243" i="13"/>
  <c r="D241" i="12"/>
  <c r="D239" i="11"/>
  <c r="D167" i="8"/>
  <c r="D195" i="8"/>
  <c r="D195" i="11"/>
  <c r="D197" i="14"/>
  <c r="D192" i="9"/>
  <c r="D193" i="7"/>
  <c r="D198" i="15"/>
  <c r="D196" i="12"/>
  <c r="D198" i="13"/>
  <c r="D195" i="10"/>
  <c r="D172" i="15"/>
  <c r="D169" i="9"/>
  <c r="D171" i="12"/>
  <c r="D172" i="14"/>
  <c r="D174" i="16"/>
  <c r="D258" i="17"/>
  <c r="D254" i="15"/>
  <c r="D252" i="14"/>
  <c r="D253" i="13"/>
  <c r="D258" i="16"/>
  <c r="D251" i="12"/>
  <c r="D210" i="15"/>
  <c r="D209" i="14"/>
  <c r="D210" i="13"/>
  <c r="D208" i="12"/>
  <c r="D204" i="9"/>
  <c r="D207" i="10"/>
  <c r="D207" i="11"/>
  <c r="D207" i="8"/>
  <c r="D204" i="7"/>
  <c r="D212" i="16"/>
  <c r="C248" i="16"/>
  <c r="C244" i="15"/>
  <c r="C241" i="12"/>
  <c r="C248" i="17"/>
  <c r="C242" i="14"/>
  <c r="C243" i="13"/>
  <c r="C239" i="11"/>
  <c r="D244" i="14"/>
  <c r="D250" i="17"/>
  <c r="D245" i="13"/>
  <c r="D243" i="12"/>
  <c r="D250" i="16"/>
  <c r="D246" i="15"/>
  <c r="C255" i="13"/>
  <c r="C260" i="16"/>
  <c r="C256" i="15"/>
  <c r="C253" i="12"/>
  <c r="C254" i="14"/>
  <c r="C239" i="12"/>
  <c r="C246" i="17"/>
  <c r="C246" i="16"/>
  <c r="C240" i="14"/>
  <c r="C242" i="15"/>
  <c r="C237" i="11"/>
  <c r="C241" i="13"/>
  <c r="D264" i="15"/>
  <c r="D262" i="13"/>
  <c r="D260" i="12"/>
  <c r="D268" i="17"/>
  <c r="D261" i="14"/>
  <c r="D268" i="16"/>
  <c r="D247" i="16"/>
  <c r="D247" i="17"/>
  <c r="D243" i="15"/>
  <c r="D240" i="12"/>
  <c r="D242" i="13"/>
  <c r="D238" i="11"/>
  <c r="D241" i="14"/>
  <c r="D166" i="8"/>
  <c r="D194" i="8"/>
  <c r="D194" i="10"/>
  <c r="D194" i="11"/>
  <c r="D195" i="12"/>
  <c r="D192" i="7"/>
  <c r="D196" i="14"/>
  <c r="D197" i="15"/>
  <c r="D197" i="13"/>
  <c r="D168" i="14"/>
  <c r="D165" i="9"/>
  <c r="D168" i="15"/>
  <c r="D167" i="11"/>
  <c r="D167" i="10"/>
  <c r="D167" i="12"/>
  <c r="D169" i="13"/>
  <c r="D42" i="17"/>
  <c r="D29" i="16"/>
  <c r="D29" i="14"/>
  <c r="D29" i="12"/>
  <c r="D29" i="13"/>
  <c r="D29" i="17"/>
  <c r="C249" i="17"/>
  <c r="C249" i="16"/>
  <c r="C245" i="15"/>
  <c r="C243" i="14"/>
  <c r="C242" i="12"/>
  <c r="C244" i="13"/>
  <c r="C240" i="11"/>
  <c r="C209" i="12"/>
  <c r="C210" i="14"/>
  <c r="C211" i="15"/>
  <c r="C211" i="13"/>
  <c r="C208" i="11"/>
  <c r="C205" i="9"/>
  <c r="C208" i="10"/>
  <c r="C249" i="14"/>
  <c r="C255" i="17"/>
  <c r="C251" i="15"/>
  <c r="C248" i="12"/>
  <c r="C250" i="13"/>
  <c r="C255" i="16"/>
  <c r="D254" i="14"/>
  <c r="D260" i="17"/>
  <c r="D255" i="13"/>
  <c r="D253" i="12"/>
  <c r="D260" i="16"/>
  <c r="D256" i="15"/>
  <c r="D240" i="14"/>
  <c r="D246" i="16"/>
  <c r="D242" i="15"/>
  <c r="D241" i="13"/>
  <c r="D239" i="12"/>
  <c r="D237" i="11"/>
  <c r="D246" i="17"/>
  <c r="D196" i="15"/>
  <c r="D195" i="14"/>
  <c r="D193" i="11"/>
  <c r="D194" i="12"/>
  <c r="D193" i="8"/>
  <c r="D197" i="17"/>
  <c r="D196" i="13"/>
  <c r="D193" i="10"/>
  <c r="D191" i="7"/>
  <c r="D166" i="11"/>
  <c r="D166" i="12"/>
  <c r="D164" i="9"/>
  <c r="D167" i="14"/>
  <c r="D167" i="15"/>
  <c r="D168" i="13"/>
  <c r="D166" i="10"/>
  <c r="D26" i="17"/>
  <c r="D25" i="17"/>
  <c r="D25" i="15"/>
  <c r="D25" i="14"/>
  <c r="D25" i="13"/>
  <c r="D25" i="16"/>
  <c r="D25" i="12"/>
  <c r="D243" i="14"/>
  <c r="D249" i="16"/>
  <c r="D245" i="15"/>
  <c r="D242" i="12"/>
  <c r="D249" i="17"/>
  <c r="D240" i="11"/>
  <c r="D244" i="13"/>
  <c r="D211" i="15"/>
  <c r="D210" i="14"/>
  <c r="D211" i="13"/>
  <c r="D208" i="10"/>
  <c r="D209" i="12"/>
  <c r="D208" i="11"/>
  <c r="D205" i="9"/>
  <c r="D205" i="7"/>
  <c r="D208" i="8"/>
  <c r="C254" i="17"/>
  <c r="C254" i="16"/>
  <c r="C247" i="12"/>
  <c r="C248" i="14"/>
  <c r="C250" i="15"/>
  <c r="C249" i="13"/>
  <c r="D251" i="15"/>
  <c r="D250" i="13"/>
  <c r="D248" i="12"/>
  <c r="D255" i="16"/>
  <c r="D255" i="17"/>
  <c r="D249" i="14"/>
  <c r="D164" i="8"/>
  <c r="D195" i="17"/>
  <c r="D191" i="8"/>
  <c r="D194" i="13"/>
  <c r="D189" i="7"/>
  <c r="D165" i="11"/>
  <c r="D165" i="10"/>
  <c r="D166" i="15"/>
  <c r="D165" i="12"/>
  <c r="D167" i="13"/>
  <c r="D166" i="14"/>
  <c r="D163" i="9"/>
  <c r="D155" i="12"/>
  <c r="D156" i="14"/>
  <c r="D156" i="15"/>
  <c r="D38" i="17"/>
  <c r="D38" i="16"/>
  <c r="C256" i="17"/>
  <c r="C251" i="13"/>
  <c r="C256" i="16"/>
  <c r="C252" i="15"/>
  <c r="C249" i="12"/>
  <c r="C250" i="14"/>
  <c r="C208" i="13"/>
  <c r="C208" i="15"/>
  <c r="C207" i="14"/>
  <c r="C202" i="9"/>
  <c r="C205" i="10"/>
  <c r="C205" i="11"/>
  <c r="C206" i="12"/>
  <c r="D194" i="7"/>
  <c r="D199" i="15"/>
  <c r="D196" i="8"/>
  <c r="D197" i="12"/>
  <c r="D198" i="14"/>
  <c r="D199" i="13"/>
  <c r="D193" i="9"/>
  <c r="D196" i="11"/>
  <c r="D196" i="10"/>
  <c r="D145" i="17"/>
  <c r="D182" i="16"/>
  <c r="C253" i="17"/>
  <c r="C253" i="16"/>
  <c r="C248" i="13"/>
  <c r="C249" i="15"/>
  <c r="C246" i="12"/>
  <c r="C247" i="14"/>
  <c r="C202" i="12"/>
  <c r="C204" i="15"/>
  <c r="C204" i="13"/>
  <c r="C201" i="10"/>
  <c r="C203" i="14"/>
  <c r="C201" i="11"/>
  <c r="D250" i="15"/>
  <c r="D247" i="12"/>
  <c r="D254" i="17"/>
  <c r="D254" i="16"/>
  <c r="D249" i="13"/>
  <c r="D248" i="14"/>
  <c r="D163" i="8"/>
  <c r="D194" i="17"/>
  <c r="D188" i="7"/>
  <c r="D165" i="14"/>
  <c r="D166" i="13"/>
  <c r="D162" i="9"/>
  <c r="D165" i="15"/>
  <c r="D164" i="12"/>
  <c r="D164" i="10"/>
  <c r="D164" i="11"/>
  <c r="D114" i="17"/>
  <c r="D251" i="13"/>
  <c r="D249" i="12"/>
  <c r="D252" i="15"/>
  <c r="D256" i="17"/>
  <c r="D256" i="16"/>
  <c r="D250" i="14"/>
  <c r="D208" i="15"/>
  <c r="D206" i="12"/>
  <c r="D208" i="13"/>
  <c r="D205" i="11"/>
  <c r="D205" i="10"/>
  <c r="D202" i="9"/>
  <c r="D207" i="14"/>
  <c r="D210" i="16"/>
  <c r="D203" i="7"/>
  <c r="D205" i="8"/>
  <c r="C269" i="16"/>
  <c r="C269" i="17"/>
  <c r="C261" i="12"/>
  <c r="C263" i="13"/>
  <c r="C262" i="14"/>
  <c r="C265" i="15"/>
  <c r="C252" i="17"/>
  <c r="C245" i="12"/>
  <c r="C247" i="13"/>
  <c r="C248" i="15"/>
  <c r="C246" i="14"/>
  <c r="C252" i="16"/>
  <c r="D253" i="16"/>
  <c r="D246" i="12"/>
  <c r="D249" i="15"/>
  <c r="D247" i="14"/>
  <c r="D253" i="17"/>
  <c r="D248" i="13"/>
  <c r="D203" i="14"/>
  <c r="D202" i="12"/>
  <c r="D204" i="15"/>
  <c r="D204" i="13"/>
  <c r="D201" i="11"/>
  <c r="D201" i="10"/>
  <c r="D199" i="7"/>
  <c r="D201" i="8"/>
  <c r="D164" i="14"/>
  <c r="D165" i="13"/>
  <c r="D163" i="10"/>
  <c r="D163" i="12"/>
  <c r="D164" i="15"/>
  <c r="D163" i="11"/>
  <c r="D155" i="13"/>
  <c r="D154" i="14"/>
  <c r="D154" i="15"/>
  <c r="D153" i="12"/>
  <c r="D21" i="17"/>
  <c r="C257" i="16"/>
  <c r="C251" i="14"/>
  <c r="C250" i="12"/>
  <c r="C252" i="13"/>
  <c r="C257" i="17"/>
  <c r="C253" i="15"/>
  <c r="C208" i="14"/>
  <c r="C209" i="15"/>
  <c r="C209" i="13"/>
  <c r="C206" i="11"/>
  <c r="C206" i="10"/>
  <c r="C207" i="12"/>
  <c r="C203" i="9"/>
  <c r="C260" i="17"/>
  <c r="D74" i="17"/>
  <c r="D36" i="16"/>
  <c r="D36" i="17"/>
  <c r="B43" i="17"/>
  <c r="B32" i="17"/>
  <c r="D43" i="17"/>
  <c r="D44" i="17"/>
  <c r="B97" i="17"/>
  <c r="B104" i="17"/>
  <c r="B74" i="17"/>
  <c r="D26" i="15"/>
  <c r="D26" i="16"/>
  <c r="D23" i="15"/>
  <c r="D23" i="16"/>
  <c r="D41" i="17"/>
  <c r="D39" i="13"/>
  <c r="D39" i="11"/>
  <c r="D39" i="12"/>
  <c r="D39" i="15"/>
  <c r="D36" i="13"/>
  <c r="D36" i="12"/>
  <c r="D36" i="10"/>
  <c r="D106" i="14"/>
  <c r="D193" i="2"/>
  <c r="D196" i="2"/>
  <c r="D195" i="2"/>
  <c r="D198" i="2"/>
  <c r="B168" i="2"/>
  <c r="D105" i="13"/>
  <c r="D194" i="2"/>
  <c r="D197" i="2"/>
  <c r="D112" i="17"/>
  <c r="D104" i="10"/>
  <c r="D189" i="2"/>
  <c r="D32" i="17"/>
  <c r="D29" i="15"/>
  <c r="D31" i="17"/>
  <c r="D28" i="15"/>
  <c r="D105" i="11"/>
  <c r="D106" i="15"/>
  <c r="D35" i="17"/>
  <c r="D36" i="15"/>
  <c r="D34" i="17"/>
  <c r="D36" i="14"/>
  <c r="D26" i="12"/>
  <c r="D26" i="13"/>
  <c r="D26" i="14"/>
  <c r="D23" i="14"/>
  <c r="D23" i="13"/>
  <c r="D23" i="11"/>
  <c r="D23" i="12"/>
  <c r="D25" i="11"/>
  <c r="D26" i="11"/>
  <c r="B167" i="2"/>
  <c r="D30" i="17"/>
  <c r="D29" i="11"/>
  <c r="D37" i="17"/>
  <c r="D36" i="11"/>
  <c r="D170" i="2"/>
  <c r="D191" i="2"/>
  <c r="D188" i="2"/>
  <c r="D27" i="17"/>
  <c r="D26" i="10"/>
  <c r="D39" i="17"/>
  <c r="D38" i="10"/>
  <c r="D24" i="17"/>
  <c r="D23" i="10"/>
  <c r="D190" i="2"/>
  <c r="D187" i="2"/>
  <c r="B171" i="2"/>
  <c r="D167" i="2"/>
  <c r="D214" i="8"/>
  <c r="B216" i="8"/>
  <c r="D211" i="8"/>
  <c r="D177" i="17"/>
  <c r="D192" i="2"/>
  <c r="B228" i="8"/>
  <c r="B215" i="8"/>
  <c r="D215" i="8"/>
  <c r="D228" i="8"/>
  <c r="D210" i="8"/>
  <c r="D209" i="8"/>
  <c r="D218" i="8"/>
  <c r="B211" i="8"/>
  <c r="B217" i="8"/>
  <c r="D217" i="8"/>
  <c r="B219" i="8"/>
  <c r="B210" i="8"/>
  <c r="B209" i="8"/>
  <c r="B30" i="17"/>
  <c r="B27" i="17"/>
  <c r="B194" i="7"/>
  <c r="B195" i="8"/>
  <c r="B208" i="8"/>
  <c r="B219" i="2"/>
  <c r="B205" i="7"/>
  <c r="B197" i="7"/>
  <c r="B200" i="7"/>
  <c r="B191" i="7"/>
  <c r="B188" i="2"/>
  <c r="B201" i="8"/>
  <c r="B200" i="8"/>
  <c r="B191" i="2"/>
  <c r="B194" i="2"/>
  <c r="B188" i="7"/>
  <c r="B190" i="2"/>
  <c r="B223" i="8"/>
  <c r="B192" i="7"/>
  <c r="B197" i="8"/>
  <c r="B203" i="8"/>
  <c r="B193" i="2"/>
  <c r="B201" i="2"/>
  <c r="B195" i="2"/>
  <c r="B190" i="7"/>
  <c r="B189" i="7"/>
  <c r="B170" i="2"/>
  <c r="B199" i="2"/>
  <c r="B206" i="8"/>
  <c r="B204" i="8"/>
  <c r="B199" i="7"/>
  <c r="B207" i="7"/>
  <c r="B201" i="7"/>
  <c r="B202" i="7"/>
  <c r="B187" i="2"/>
  <c r="B189" i="2"/>
  <c r="B193" i="7"/>
  <c r="B202" i="8"/>
  <c r="B224" i="8"/>
  <c r="B196" i="7"/>
  <c r="B223" i="7"/>
  <c r="B192" i="2"/>
  <c r="B200" i="2"/>
  <c r="B196" i="2"/>
  <c r="B203" i="7"/>
  <c r="B198" i="2"/>
  <c r="B195" i="7"/>
  <c r="B199" i="8"/>
  <c r="B196" i="8"/>
  <c r="B224" i="7"/>
  <c r="B198" i="7"/>
  <c r="B206" i="7"/>
  <c r="B197" i="2"/>
  <c r="B204" i="7"/>
  <c r="B198" i="8"/>
  <c r="B207" i="8"/>
  <c r="B218" i="2"/>
  <c r="B205" i="8"/>
  <c r="B222" i="7"/>
  <c r="B225" i="8"/>
  <c r="B226" i="8"/>
  <c r="B227" i="8"/>
  <c r="B35" i="17"/>
  <c r="B22" i="17"/>
  <c r="D220" i="8"/>
  <c r="D216" i="2"/>
  <c r="D168" i="8"/>
  <c r="D168" i="2"/>
  <c r="D221" i="8"/>
  <c r="D217" i="2"/>
  <c r="D222" i="8"/>
  <c r="B213" i="8"/>
  <c r="B214" i="8"/>
  <c r="D165" i="8"/>
  <c r="D212" i="8"/>
  <c r="B221" i="8"/>
  <c r="B222" i="8"/>
  <c r="B217" i="2"/>
  <c r="B212" i="8"/>
  <c r="B220" i="8"/>
  <c r="B216" i="2"/>
  <c r="D219" i="8"/>
  <c r="D216" i="8"/>
  <c r="D169" i="2"/>
  <c r="D171" i="2"/>
  <c r="D162" i="8"/>
  <c r="B218" i="8"/>
  <c r="D23" i="2"/>
  <c r="D213" i="8"/>
  <c r="D220" i="7"/>
  <c r="D214" i="2"/>
  <c r="D215" i="2"/>
  <c r="D221" i="7"/>
  <c r="B215" i="2"/>
  <c r="B221" i="7"/>
  <c r="B214" i="2"/>
  <c r="B220" i="7"/>
  <c r="B15" i="2"/>
  <c r="B29" i="17"/>
  <c r="B191" i="17"/>
  <c r="B198" i="15"/>
  <c r="B197" i="15"/>
  <c r="B29" i="14"/>
  <c r="B172" i="15"/>
  <c r="B23" i="16"/>
  <c r="B165" i="10"/>
  <c r="B196" i="12"/>
  <c r="B164" i="9"/>
  <c r="B23" i="17"/>
  <c r="B106" i="15"/>
  <c r="B170" i="15"/>
  <c r="B181" i="16"/>
  <c r="B165" i="14"/>
  <c r="B29" i="16"/>
  <c r="B194" i="8"/>
  <c r="B166" i="15"/>
  <c r="B23" i="15"/>
  <c r="B168" i="14"/>
  <c r="B39" i="14"/>
  <c r="B28" i="14"/>
  <c r="B169" i="14"/>
  <c r="B153" i="13"/>
  <c r="B196" i="14"/>
  <c r="B26" i="10"/>
  <c r="B192" i="17"/>
  <c r="B185" i="17"/>
  <c r="B175" i="16"/>
  <c r="B171" i="14"/>
  <c r="B154" i="15"/>
  <c r="B165" i="15"/>
  <c r="B29" i="15"/>
  <c r="B156" i="14"/>
  <c r="B199" i="15"/>
  <c r="B26" i="15"/>
  <c r="B168" i="15"/>
  <c r="B162" i="15"/>
  <c r="B39" i="13"/>
  <c r="B28" i="13"/>
  <c r="B194" i="13"/>
  <c r="B183" i="17"/>
  <c r="B195" i="17"/>
  <c r="B187" i="17"/>
  <c r="B182" i="17"/>
  <c r="B196" i="17"/>
  <c r="B176" i="16"/>
  <c r="B183" i="16"/>
  <c r="B172" i="16"/>
  <c r="B177" i="16"/>
  <c r="B156" i="15"/>
  <c r="B197" i="12"/>
  <c r="B106" i="14"/>
  <c r="B162" i="14"/>
  <c r="B167" i="13"/>
  <c r="B169" i="12"/>
  <c r="B171" i="12"/>
  <c r="B164" i="12"/>
  <c r="B28" i="10"/>
  <c r="B170" i="12"/>
  <c r="B162" i="10"/>
  <c r="B167" i="10"/>
  <c r="B165" i="8"/>
  <c r="B184" i="17"/>
  <c r="B173" i="15"/>
  <c r="B171" i="15"/>
  <c r="B174" i="16"/>
  <c r="B198" i="14"/>
  <c r="B105" i="13"/>
  <c r="B197" i="14"/>
  <c r="B161" i="13"/>
  <c r="B170" i="14"/>
  <c r="B28" i="12"/>
  <c r="B163" i="12"/>
  <c r="B165" i="12"/>
  <c r="B167" i="9"/>
  <c r="B28" i="17"/>
  <c r="B193" i="17"/>
  <c r="B179" i="16"/>
  <c r="B170" i="13"/>
  <c r="B168" i="9"/>
  <c r="B164" i="10"/>
  <c r="B44" i="17"/>
  <c r="B189" i="17"/>
  <c r="B186" i="17"/>
  <c r="B38" i="16"/>
  <c r="B210" i="16"/>
  <c r="B153" i="12"/>
  <c r="B28" i="16"/>
  <c r="B40" i="16"/>
  <c r="B168" i="13"/>
  <c r="B197" i="17"/>
  <c r="B194" i="17"/>
  <c r="B209" i="16"/>
  <c r="B26" i="16"/>
  <c r="B38" i="17"/>
  <c r="B28" i="15"/>
  <c r="B178" i="16"/>
  <c r="B196" i="13"/>
  <c r="B39" i="15"/>
  <c r="B163" i="13"/>
  <c r="B169" i="15"/>
  <c r="B40" i="17"/>
  <c r="B190" i="17"/>
  <c r="B180" i="17"/>
  <c r="B26" i="17"/>
  <c r="B188" i="17"/>
  <c r="B180" i="16"/>
  <c r="B182" i="16"/>
  <c r="B195" i="13"/>
  <c r="B167" i="15"/>
  <c r="B172" i="14"/>
  <c r="B29" i="13"/>
  <c r="B164" i="15"/>
  <c r="B196" i="15"/>
  <c r="B165" i="13"/>
  <c r="B23" i="13"/>
  <c r="B195" i="14"/>
  <c r="B155" i="13"/>
  <c r="B29" i="12"/>
  <c r="B169" i="10"/>
  <c r="B104" i="10"/>
  <c r="B193" i="10"/>
  <c r="B168" i="8"/>
  <c r="B166" i="10"/>
  <c r="B193" i="8"/>
  <c r="B163" i="8"/>
  <c r="B164" i="13"/>
  <c r="B154" i="14"/>
  <c r="B38" i="10"/>
  <c r="B105" i="12"/>
  <c r="B168" i="10"/>
  <c r="B164" i="8"/>
  <c r="B39" i="12"/>
  <c r="B192" i="10"/>
  <c r="B166" i="12"/>
  <c r="B23" i="14"/>
  <c r="B29" i="10"/>
  <c r="B161" i="12"/>
  <c r="B191" i="8"/>
  <c r="B163" i="9"/>
  <c r="B192" i="8"/>
  <c r="B167" i="14"/>
  <c r="B26" i="12"/>
  <c r="B163" i="10"/>
  <c r="B164" i="14"/>
  <c r="B155" i="12"/>
  <c r="B166" i="8"/>
  <c r="B162" i="8"/>
  <c r="B165" i="9"/>
  <c r="B161" i="10"/>
  <c r="B197" i="13"/>
  <c r="B26" i="14"/>
  <c r="B167" i="12"/>
  <c r="B168" i="12"/>
  <c r="B194" i="10"/>
  <c r="B167" i="8"/>
  <c r="B192" i="9"/>
  <c r="B26" i="13"/>
  <c r="B171" i="13"/>
  <c r="B23" i="10"/>
  <c r="B166" i="9"/>
  <c r="B166" i="14"/>
  <c r="B194" i="12"/>
  <c r="B169" i="13"/>
  <c r="B166" i="13"/>
  <c r="B23" i="12"/>
  <c r="B195" i="12"/>
  <c r="B169" i="9"/>
  <c r="B162" i="9"/>
  <c r="B25" i="15"/>
  <c r="B25" i="10"/>
  <c r="B25" i="17"/>
  <c r="B25" i="12"/>
  <c r="B25" i="14"/>
  <c r="B25" i="13"/>
  <c r="B25" i="16"/>
  <c r="B216" i="17"/>
  <c r="B200" i="15"/>
  <c r="B198" i="12"/>
  <c r="B194" i="9"/>
  <c r="B193" i="9"/>
  <c r="B36" i="16"/>
  <c r="B36" i="14"/>
  <c r="B200" i="14"/>
  <c r="B36" i="15"/>
  <c r="B36" i="13"/>
  <c r="B199" i="13"/>
  <c r="B36" i="17"/>
  <c r="B207" i="16"/>
  <c r="B199" i="14"/>
  <c r="B196" i="10"/>
  <c r="B212" i="16"/>
  <c r="B198" i="13"/>
  <c r="B199" i="12"/>
  <c r="B201" i="15"/>
  <c r="B36" i="10"/>
  <c r="B211" i="16"/>
  <c r="B36" i="12"/>
  <c r="B195" i="10"/>
  <c r="D212" i="2"/>
  <c r="D218" i="7"/>
  <c r="B215" i="7"/>
  <c r="B209" i="2"/>
  <c r="B167" i="17"/>
  <c r="B166" i="2"/>
  <c r="D212" i="7"/>
  <c r="D206" i="2"/>
  <c r="D167" i="17"/>
  <c r="D166" i="2"/>
  <c r="B208" i="2"/>
  <c r="B214" i="7"/>
  <c r="B165" i="2"/>
  <c r="B167" i="7"/>
  <c r="B202" i="2"/>
  <c r="B208" i="7"/>
  <c r="D204" i="2"/>
  <c r="D210" i="7"/>
  <c r="D166" i="17"/>
  <c r="D167" i="7"/>
  <c r="D165" i="2"/>
  <c r="D219" i="7"/>
  <c r="D213" i="2"/>
  <c r="B213" i="7"/>
  <c r="B207" i="2"/>
  <c r="B164" i="2"/>
  <c r="B166" i="7"/>
  <c r="D203" i="2"/>
  <c r="D209" i="7"/>
  <c r="D164" i="2"/>
  <c r="D166" i="7"/>
  <c r="B212" i="7"/>
  <c r="B206" i="2"/>
  <c r="B158" i="17"/>
  <c r="B163" i="2"/>
  <c r="B165" i="7"/>
  <c r="D208" i="7"/>
  <c r="D202" i="2"/>
  <c r="D163" i="2"/>
  <c r="D165" i="7"/>
  <c r="D205" i="2"/>
  <c r="D211" i="7"/>
  <c r="B213" i="2"/>
  <c r="B219" i="7"/>
  <c r="B211" i="7"/>
  <c r="B205" i="2"/>
  <c r="B164" i="7"/>
  <c r="B162" i="2"/>
  <c r="D214" i="7"/>
  <c r="D208" i="2"/>
  <c r="D160" i="2"/>
  <c r="D162" i="7"/>
  <c r="B212" i="17"/>
  <c r="B216" i="7"/>
  <c r="B210" i="2"/>
  <c r="D216" i="7"/>
  <c r="D210" i="2"/>
  <c r="D164" i="7"/>
  <c r="D162" i="2"/>
  <c r="B218" i="7"/>
  <c r="B212" i="2"/>
  <c r="B210" i="7"/>
  <c r="B204" i="2"/>
  <c r="B156" i="17"/>
  <c r="B161" i="2"/>
  <c r="B163" i="7"/>
  <c r="D207" i="2"/>
  <c r="D213" i="7"/>
  <c r="D215" i="7"/>
  <c r="D209" i="2"/>
  <c r="D161" i="2"/>
  <c r="D163" i="7"/>
  <c r="D213" i="17"/>
  <c r="D217" i="7"/>
  <c r="D211" i="2"/>
  <c r="B213" i="17"/>
  <c r="B211" i="2"/>
  <c r="B217" i="7"/>
  <c r="B203" i="2"/>
  <c r="B209" i="7"/>
  <c r="B164" i="17"/>
  <c r="B169" i="2"/>
  <c r="B162" i="7"/>
  <c r="B160" i="2"/>
  <c r="D168" i="17"/>
  <c r="B145" i="17"/>
  <c r="B61" i="17"/>
  <c r="D99" i="17"/>
  <c r="D89" i="17"/>
  <c r="D148" i="17"/>
  <c r="D57" i="17"/>
  <c r="B155" i="17"/>
  <c r="B101" i="17"/>
  <c r="D202" i="17"/>
  <c r="D172" i="7"/>
  <c r="D178" i="15"/>
  <c r="D175" i="11"/>
  <c r="D174" i="10"/>
  <c r="D176" i="13"/>
  <c r="D176" i="12"/>
  <c r="D174" i="9"/>
  <c r="D177" i="14"/>
  <c r="D173" i="8"/>
  <c r="D122" i="17"/>
  <c r="D104" i="13"/>
  <c r="D104" i="11"/>
  <c r="D105" i="15"/>
  <c r="D105" i="14"/>
  <c r="D104" i="12"/>
  <c r="D103" i="10"/>
  <c r="D84" i="17"/>
  <c r="D83" i="17"/>
  <c r="B179" i="12"/>
  <c r="B180" i="14"/>
  <c r="B179" i="13"/>
  <c r="B181" i="15"/>
  <c r="B155" i="15"/>
  <c r="B155" i="14"/>
  <c r="B152" i="10"/>
  <c r="B154" i="13"/>
  <c r="B174" i="17"/>
  <c r="B154" i="12"/>
  <c r="B122" i="17"/>
  <c r="B105" i="14"/>
  <c r="B104" i="13"/>
  <c r="B104" i="12"/>
  <c r="B105" i="15"/>
  <c r="B103" i="10"/>
  <c r="D170" i="7"/>
  <c r="D175" i="14"/>
  <c r="D171" i="8"/>
  <c r="D174" i="13"/>
  <c r="D172" i="9"/>
  <c r="D173" i="11"/>
  <c r="D172" i="10"/>
  <c r="D176" i="15"/>
  <c r="D174" i="12"/>
  <c r="D134" i="14"/>
  <c r="D133" i="13"/>
  <c r="D134" i="15"/>
  <c r="D132" i="10"/>
  <c r="D133" i="12"/>
  <c r="D133" i="11"/>
  <c r="D112" i="13"/>
  <c r="D112" i="12"/>
  <c r="D113" i="14"/>
  <c r="D112" i="11"/>
  <c r="D111" i="10"/>
  <c r="D113" i="15"/>
  <c r="D121" i="17"/>
  <c r="D61" i="17"/>
  <c r="D92" i="14"/>
  <c r="D92" i="15"/>
  <c r="B176" i="10"/>
  <c r="B179" i="14"/>
  <c r="B180" i="15"/>
  <c r="B178" i="13"/>
  <c r="B178" i="12"/>
  <c r="B132" i="10"/>
  <c r="B133" i="12"/>
  <c r="B134" i="15"/>
  <c r="B134" i="14"/>
  <c r="B133" i="13"/>
  <c r="B113" i="14"/>
  <c r="B111" i="10"/>
  <c r="B112" i="12"/>
  <c r="B112" i="13"/>
  <c r="B113" i="15"/>
  <c r="B77" i="14"/>
  <c r="B77" i="13"/>
  <c r="B76" i="10"/>
  <c r="B77" i="12"/>
  <c r="B77" i="15"/>
  <c r="B60" i="17"/>
  <c r="D218" i="17"/>
  <c r="D194" i="15"/>
  <c r="D192" i="13"/>
  <c r="D192" i="12"/>
  <c r="D193" i="14"/>
  <c r="D205" i="16"/>
  <c r="D199" i="17"/>
  <c r="D175" i="15"/>
  <c r="D171" i="10"/>
  <c r="D173" i="13"/>
  <c r="D173" i="12"/>
  <c r="D174" i="14"/>
  <c r="D171" i="9"/>
  <c r="D169" i="7"/>
  <c r="D172" i="11"/>
  <c r="D170" i="8"/>
  <c r="D151" i="17"/>
  <c r="D132" i="13"/>
  <c r="D131" i="10"/>
  <c r="D132" i="11"/>
  <c r="D132" i="12"/>
  <c r="D133" i="15"/>
  <c r="D133" i="14"/>
  <c r="D120" i="13"/>
  <c r="D119" i="10"/>
  <c r="D120" i="12"/>
  <c r="D120" i="11"/>
  <c r="D121" i="15"/>
  <c r="D121" i="14"/>
  <c r="D129" i="17"/>
  <c r="D120" i="17"/>
  <c r="D100" i="17"/>
  <c r="D90" i="17"/>
  <c r="D77" i="15"/>
  <c r="D77" i="14"/>
  <c r="D76" i="10"/>
  <c r="D77" i="12"/>
  <c r="D77" i="13"/>
  <c r="D77" i="11"/>
  <c r="D60" i="17"/>
  <c r="B218" i="17"/>
  <c r="B192" i="12"/>
  <c r="B205" i="16"/>
  <c r="B193" i="14"/>
  <c r="B194" i="15"/>
  <c r="B192" i="13"/>
  <c r="B203" i="17"/>
  <c r="B179" i="15"/>
  <c r="B175" i="10"/>
  <c r="B177" i="12"/>
  <c r="B178" i="14"/>
  <c r="B177" i="13"/>
  <c r="B151" i="17"/>
  <c r="B133" i="14"/>
  <c r="B131" i="10"/>
  <c r="B132" i="13"/>
  <c r="B133" i="15"/>
  <c r="B132" i="12"/>
  <c r="B120" i="13"/>
  <c r="B119" i="10"/>
  <c r="B121" i="15"/>
  <c r="B120" i="12"/>
  <c r="B121" i="14"/>
  <c r="B129" i="17"/>
  <c r="B120" i="17"/>
  <c r="B92" i="15"/>
  <c r="B92" i="14"/>
  <c r="B89" i="17"/>
  <c r="B80" i="17"/>
  <c r="B51" i="17"/>
  <c r="B44" i="16"/>
  <c r="B43" i="15"/>
  <c r="B43" i="14"/>
  <c r="B43" i="13"/>
  <c r="B42" i="10"/>
  <c r="B43" i="12"/>
  <c r="D198" i="17"/>
  <c r="D174" i="15"/>
  <c r="D172" i="12"/>
  <c r="D171" i="11"/>
  <c r="D170" i="10"/>
  <c r="D173" i="14"/>
  <c r="D168" i="7"/>
  <c r="D170" i="9"/>
  <c r="D172" i="13"/>
  <c r="D169" i="8"/>
  <c r="D150" i="17"/>
  <c r="D130" i="10"/>
  <c r="D131" i="13"/>
  <c r="D131" i="12"/>
  <c r="D131" i="11"/>
  <c r="D132" i="14"/>
  <c r="D132" i="15"/>
  <c r="D43" i="13"/>
  <c r="D43" i="15"/>
  <c r="D42" i="10"/>
  <c r="D44" i="16"/>
  <c r="D43" i="12"/>
  <c r="D43" i="14"/>
  <c r="D43" i="11"/>
  <c r="D201" i="17"/>
  <c r="D176" i="14"/>
  <c r="D175" i="13"/>
  <c r="D173" i="10"/>
  <c r="D177" i="15"/>
  <c r="D173" i="9"/>
  <c r="D172" i="8"/>
  <c r="D174" i="11"/>
  <c r="D171" i="7"/>
  <c r="D175" i="12"/>
  <c r="B202" i="17"/>
  <c r="B177" i="14"/>
  <c r="B176" i="12"/>
  <c r="B176" i="13"/>
  <c r="B178" i="15"/>
  <c r="B173" i="8"/>
  <c r="B174" i="9"/>
  <c r="B172" i="7"/>
  <c r="B174" i="10"/>
  <c r="B150" i="17"/>
  <c r="B131" i="13"/>
  <c r="B131" i="12"/>
  <c r="B132" i="15"/>
  <c r="B132" i="14"/>
  <c r="B130" i="10"/>
  <c r="D155" i="14"/>
  <c r="D154" i="12"/>
  <c r="D153" i="11"/>
  <c r="D155" i="15"/>
  <c r="D174" i="17"/>
  <c r="D154" i="13"/>
  <c r="D152" i="10"/>
  <c r="D149" i="17"/>
  <c r="D130" i="11"/>
  <c r="D131" i="15"/>
  <c r="D129" i="10"/>
  <c r="D130" i="12"/>
  <c r="D130" i="13"/>
  <c r="D131" i="14"/>
  <c r="D118" i="17"/>
  <c r="D117" i="17"/>
  <c r="B201" i="17"/>
  <c r="B175" i="12"/>
  <c r="B177" i="15"/>
  <c r="B176" i="14"/>
  <c r="B173" i="9"/>
  <c r="B171" i="7"/>
  <c r="B172" i="8"/>
  <c r="B173" i="10"/>
  <c r="B175" i="13"/>
  <c r="B149" i="17"/>
  <c r="B129" i="10"/>
  <c r="B130" i="13"/>
  <c r="B130" i="12"/>
  <c r="B131" i="14"/>
  <c r="B131" i="15"/>
  <c r="B127" i="17"/>
  <c r="B118" i="17"/>
  <c r="B117" i="17"/>
  <c r="B67" i="17"/>
  <c r="B57" i="17"/>
  <c r="B49" i="17"/>
  <c r="D181" i="15"/>
  <c r="D180" i="14"/>
  <c r="D179" i="12"/>
  <c r="D179" i="13"/>
  <c r="D49" i="17"/>
  <c r="D81" i="15"/>
  <c r="D81" i="11"/>
  <c r="D81" i="13"/>
  <c r="D81" i="14"/>
  <c r="D80" i="10"/>
  <c r="D81" i="12"/>
  <c r="B200" i="17"/>
  <c r="B175" i="14"/>
  <c r="B171" i="8"/>
  <c r="B174" i="12"/>
  <c r="B174" i="13"/>
  <c r="B170" i="7"/>
  <c r="B176" i="15"/>
  <c r="B172" i="9"/>
  <c r="B172" i="10"/>
  <c r="B94" i="17"/>
  <c r="B81" i="13"/>
  <c r="B81" i="15"/>
  <c r="B81" i="14"/>
  <c r="B80" i="10"/>
  <c r="B81" i="12"/>
  <c r="B64" i="14"/>
  <c r="B65" i="16"/>
  <c r="B64" i="13"/>
  <c r="B63" i="10"/>
  <c r="B64" i="15"/>
  <c r="B64" i="12"/>
  <c r="D178" i="13"/>
  <c r="D177" i="11"/>
  <c r="D176" i="10"/>
  <c r="D180" i="15"/>
  <c r="D178" i="12"/>
  <c r="D179" i="14"/>
  <c r="D147" i="17"/>
  <c r="D129" i="14"/>
  <c r="D128" i="11"/>
  <c r="D128" i="13"/>
  <c r="D129" i="15"/>
  <c r="D127" i="10"/>
  <c r="D128" i="12"/>
  <c r="D64" i="12"/>
  <c r="D64" i="11"/>
  <c r="D64" i="13"/>
  <c r="D64" i="14"/>
  <c r="D63" i="10"/>
  <c r="D65" i="16"/>
  <c r="D64" i="15"/>
  <c r="B199" i="17"/>
  <c r="B173" i="12"/>
  <c r="B171" i="10"/>
  <c r="B174" i="14"/>
  <c r="B171" i="9"/>
  <c r="B170" i="8"/>
  <c r="B173" i="13"/>
  <c r="B175" i="15"/>
  <c r="B169" i="7"/>
  <c r="B147" i="17"/>
  <c r="B127" i="10"/>
  <c r="B128" i="12"/>
  <c r="B129" i="14"/>
  <c r="B129" i="15"/>
  <c r="B128" i="13"/>
  <c r="B85" i="17"/>
  <c r="B78" i="16"/>
  <c r="B63" i="15"/>
  <c r="B63" i="12"/>
  <c r="B63" i="14"/>
  <c r="B63" i="13"/>
  <c r="B64" i="16"/>
  <c r="B62" i="10"/>
  <c r="B46" i="10"/>
  <c r="B48" i="16"/>
  <c r="B47" i="12"/>
  <c r="B47" i="14"/>
  <c r="B47" i="15"/>
  <c r="B47" i="13"/>
  <c r="D203" i="17"/>
  <c r="D177" i="13"/>
  <c r="D177" i="12"/>
  <c r="D176" i="11"/>
  <c r="D175" i="10"/>
  <c r="D178" i="14"/>
  <c r="D179" i="15"/>
  <c r="D123" i="17"/>
  <c r="D107" i="15"/>
  <c r="D105" i="10"/>
  <c r="D106" i="11"/>
  <c r="D106" i="12"/>
  <c r="D107" i="14"/>
  <c r="D106" i="13"/>
  <c r="D95" i="17"/>
  <c r="D85" i="17"/>
  <c r="D78" i="16"/>
  <c r="D63" i="11"/>
  <c r="D62" i="10"/>
  <c r="D63" i="14"/>
  <c r="D63" i="13"/>
  <c r="D63" i="12"/>
  <c r="D64" i="16"/>
  <c r="D63" i="15"/>
  <c r="D47" i="14"/>
  <c r="D47" i="11"/>
  <c r="D48" i="16"/>
  <c r="D47" i="13"/>
  <c r="D47" i="15"/>
  <c r="D46" i="10"/>
  <c r="D47" i="12"/>
  <c r="D104" i="17"/>
  <c r="B172" i="13"/>
  <c r="B169" i="8"/>
  <c r="B168" i="7"/>
  <c r="B173" i="14"/>
  <c r="B172" i="12"/>
  <c r="B170" i="10"/>
  <c r="B174" i="15"/>
  <c r="B170" i="9"/>
  <c r="B124" i="17"/>
  <c r="B106" i="13"/>
  <c r="B123" i="17"/>
  <c r="B107" i="14"/>
  <c r="B107" i="15"/>
  <c r="B105" i="10"/>
  <c r="B106" i="12"/>
  <c r="B84" i="17"/>
  <c r="B83" i="17"/>
  <c r="D52" i="17"/>
  <c r="B50" i="17"/>
  <c r="D156" i="17"/>
  <c r="D164" i="17"/>
  <c r="D155" i="17"/>
  <c r="D86" i="17"/>
  <c r="D56" i="17"/>
  <c r="D158" i="17"/>
  <c r="D97" i="17"/>
  <c r="D67" i="17"/>
  <c r="D54" i="17"/>
  <c r="B96" i="17"/>
  <c r="D127" i="17"/>
  <c r="D88" i="17"/>
  <c r="D126" i="17"/>
  <c r="B126" i="17"/>
  <c r="B86" i="17"/>
  <c r="B55" i="17"/>
  <c r="B46" i="17"/>
  <c r="D152" i="17"/>
  <c r="D130" i="17"/>
  <c r="D101" i="17"/>
  <c r="D91" i="17"/>
  <c r="D159" i="17"/>
  <c r="D165" i="17"/>
  <c r="D138" i="17"/>
  <c r="D144" i="17"/>
  <c r="D81" i="17"/>
  <c r="D87" i="17"/>
  <c r="B172" i="17"/>
  <c r="B178" i="17"/>
  <c r="B159" i="17"/>
  <c r="B165" i="17"/>
  <c r="B138" i="17"/>
  <c r="B144" i="17"/>
  <c r="B105" i="17"/>
  <c r="B111" i="17"/>
  <c r="B69" i="17"/>
  <c r="B75" i="17"/>
  <c r="B59" i="17"/>
  <c r="B65" i="17"/>
  <c r="D211" i="17"/>
  <c r="D217" i="17"/>
  <c r="D137" i="17"/>
  <c r="D143" i="17"/>
  <c r="D128" i="17"/>
  <c r="D80" i="17"/>
  <c r="D69" i="17"/>
  <c r="D75" i="17"/>
  <c r="D59" i="17"/>
  <c r="D65" i="17"/>
  <c r="D51" i="17"/>
  <c r="D109" i="17"/>
  <c r="D115" i="17"/>
  <c r="D172" i="17"/>
  <c r="D178" i="17"/>
  <c r="B211" i="17"/>
  <c r="B217" i="17"/>
  <c r="B137" i="17"/>
  <c r="B143" i="17"/>
  <c r="B128" i="17"/>
  <c r="B88" i="17"/>
  <c r="B68" i="17"/>
  <c r="B58" i="17"/>
  <c r="B64" i="17"/>
  <c r="D206" i="17"/>
  <c r="D212" i="17"/>
  <c r="D175" i="17"/>
  <c r="D181" i="17"/>
  <c r="D157" i="17"/>
  <c r="D163" i="17"/>
  <c r="D136" i="17"/>
  <c r="D142" i="17"/>
  <c r="D68" i="17"/>
  <c r="D58" i="17"/>
  <c r="D64" i="17"/>
  <c r="D50" i="17"/>
  <c r="B209" i="17"/>
  <c r="B215" i="17"/>
  <c r="B170" i="17"/>
  <c r="B176" i="17"/>
  <c r="B157" i="17"/>
  <c r="B163" i="17"/>
  <c r="B136" i="17"/>
  <c r="B142" i="17"/>
  <c r="B103" i="17"/>
  <c r="B95" i="17"/>
  <c r="B73" i="17"/>
  <c r="B79" i="17"/>
  <c r="D173" i="17"/>
  <c r="D179" i="17"/>
  <c r="D135" i="17"/>
  <c r="D141" i="17"/>
  <c r="D73" i="17"/>
  <c r="D79" i="17"/>
  <c r="D110" i="17"/>
  <c r="D116" i="17"/>
  <c r="D94" i="17"/>
  <c r="B208" i="17"/>
  <c r="B214" i="17"/>
  <c r="B135" i="17"/>
  <c r="B141" i="17"/>
  <c r="B110" i="17"/>
  <c r="B116" i="17"/>
  <c r="B72" i="17"/>
  <c r="B78" i="17"/>
  <c r="B47" i="17"/>
  <c r="B48" i="17"/>
  <c r="D204" i="17"/>
  <c r="D210" i="17"/>
  <c r="D125" i="17"/>
  <c r="D131" i="17"/>
  <c r="D96" i="17"/>
  <c r="D72" i="17"/>
  <c r="D78" i="17"/>
  <c r="D66" i="17"/>
  <c r="D47" i="17"/>
  <c r="D48" i="17"/>
  <c r="B125" i="17"/>
  <c r="B131" i="17"/>
  <c r="B109" i="17"/>
  <c r="B115" i="17"/>
  <c r="B71" i="17"/>
  <c r="B77" i="17"/>
  <c r="D154" i="17"/>
  <c r="D146" i="17"/>
  <c r="D133" i="17"/>
  <c r="D139" i="17"/>
  <c r="D124" i="17"/>
  <c r="D103" i="17"/>
  <c r="D71" i="17"/>
  <c r="D77" i="17"/>
  <c r="D63" i="17"/>
  <c r="D55" i="17"/>
  <c r="D46" i="17"/>
  <c r="D208" i="17"/>
  <c r="D214" i="17"/>
  <c r="D170" i="17"/>
  <c r="D176" i="17"/>
  <c r="B162" i="17"/>
  <c r="B168" i="17"/>
  <c r="B154" i="17"/>
  <c r="B133" i="17"/>
  <c r="B139" i="17"/>
  <c r="B100" i="17"/>
  <c r="B92" i="17"/>
  <c r="B98" i="17"/>
  <c r="B70" i="17"/>
  <c r="B76" i="17"/>
  <c r="B62" i="17"/>
  <c r="D153" i="17"/>
  <c r="D132" i="17"/>
  <c r="D102" i="17"/>
  <c r="D92" i="17"/>
  <c r="D98" i="17"/>
  <c r="D70" i="17"/>
  <c r="D76" i="17"/>
  <c r="D62" i="17"/>
  <c r="B175" i="17"/>
  <c r="B181" i="17"/>
  <c r="B153" i="17"/>
  <c r="B132" i="17"/>
  <c r="B99" i="17"/>
  <c r="B91" i="17"/>
  <c r="D53" i="17"/>
  <c r="D209" i="17"/>
  <c r="D215" i="17"/>
  <c r="D105" i="17"/>
  <c r="D111" i="17"/>
  <c r="B204" i="17"/>
  <c r="B210" i="17"/>
  <c r="B173" i="17"/>
  <c r="B179" i="17"/>
  <c r="B160" i="17"/>
  <c r="B166" i="17"/>
  <c r="B152" i="17"/>
  <c r="B140" i="17"/>
  <c r="B130" i="17"/>
  <c r="B90" i="17"/>
  <c r="B81" i="17"/>
  <c r="B87" i="17"/>
  <c r="B52" i="17"/>
  <c r="D200" i="17"/>
  <c r="D114" i="16"/>
  <c r="D119" i="17"/>
  <c r="D93" i="16"/>
  <c r="D93" i="17"/>
  <c r="B169" i="16"/>
  <c r="B171" i="17"/>
  <c r="B114" i="16"/>
  <c r="B119" i="17"/>
  <c r="D200" i="16"/>
  <c r="D205" i="17"/>
  <c r="D108" i="16"/>
  <c r="D108" i="17"/>
  <c r="D106" i="16"/>
  <c r="D106" i="17"/>
  <c r="D202" i="16"/>
  <c r="D207" i="17"/>
  <c r="D167" i="16"/>
  <c r="D169" i="17"/>
  <c r="B167" i="16"/>
  <c r="B169" i="17"/>
  <c r="D134" i="16"/>
  <c r="D134" i="17"/>
  <c r="D107" i="16"/>
  <c r="D107" i="17"/>
  <c r="B202" i="16"/>
  <c r="B207" i="17"/>
  <c r="B134" i="16"/>
  <c r="B134" i="17"/>
  <c r="B93" i="16"/>
  <c r="B93" i="17"/>
  <c r="D157" i="16"/>
  <c r="D162" i="17"/>
  <c r="B196" i="16"/>
  <c r="B206" i="17"/>
  <c r="B198" i="17"/>
  <c r="B108" i="16"/>
  <c r="B108" i="17"/>
  <c r="D156" i="16"/>
  <c r="D161" i="17"/>
  <c r="B200" i="16"/>
  <c r="B205" i="17"/>
  <c r="B156" i="16"/>
  <c r="B161" i="17"/>
  <c r="B107" i="16"/>
  <c r="B107" i="17"/>
  <c r="B82" i="16"/>
  <c r="B82" i="17"/>
  <c r="D155" i="16"/>
  <c r="D160" i="17"/>
  <c r="D135" i="16"/>
  <c r="D140" i="17"/>
  <c r="D82" i="16"/>
  <c r="D82" i="17"/>
  <c r="D169" i="16"/>
  <c r="D171" i="17"/>
  <c r="B106" i="16"/>
  <c r="B106" i="17"/>
  <c r="B157" i="16"/>
  <c r="B133" i="16"/>
  <c r="B199" i="16"/>
  <c r="B130" i="16"/>
  <c r="B168" i="16"/>
  <c r="B173" i="16"/>
  <c r="D199" i="16"/>
  <c r="B166" i="16"/>
  <c r="B171" i="16"/>
  <c r="B155" i="16"/>
  <c r="B135" i="16"/>
  <c r="D208" i="16"/>
  <c r="D213" i="16"/>
  <c r="D133" i="16"/>
  <c r="B208" i="16"/>
  <c r="B213" i="16"/>
  <c r="B165" i="16"/>
  <c r="B170" i="16"/>
  <c r="D201" i="16"/>
  <c r="D206" i="16"/>
  <c r="D132" i="16"/>
  <c r="D165" i="16"/>
  <c r="D170" i="16"/>
  <c r="B201" i="16"/>
  <c r="B206" i="16"/>
  <c r="B132" i="16"/>
  <c r="D196" i="16"/>
  <c r="D168" i="16"/>
  <c r="D173" i="16"/>
  <c r="D122" i="16"/>
  <c r="B163" i="16"/>
  <c r="B122" i="16"/>
  <c r="D166" i="16"/>
  <c r="D171" i="16"/>
  <c r="D130" i="16"/>
  <c r="B198" i="16"/>
  <c r="B203" i="16"/>
  <c r="D198" i="16"/>
  <c r="D203" i="16"/>
  <c r="D163" i="16"/>
  <c r="D192" i="16"/>
  <c r="D190" i="15"/>
  <c r="D188" i="16"/>
  <c r="D186" i="15"/>
  <c r="D164" i="16"/>
  <c r="D163" i="15"/>
  <c r="D161" i="11"/>
  <c r="D160" i="10"/>
  <c r="D161" i="8"/>
  <c r="D152" i="16"/>
  <c r="D151" i="15"/>
  <c r="D148" i="16"/>
  <c r="D147" i="15"/>
  <c r="D144" i="16"/>
  <c r="D143" i="15"/>
  <c r="D140" i="16"/>
  <c r="D139" i="15"/>
  <c r="D136" i="16"/>
  <c r="D135" i="15"/>
  <c r="D127" i="16"/>
  <c r="D126" i="15"/>
  <c r="D123" i="16"/>
  <c r="D122" i="15"/>
  <c r="D118" i="16"/>
  <c r="D117" i="15"/>
  <c r="D113" i="16"/>
  <c r="D112" i="15"/>
  <c r="D109" i="16"/>
  <c r="D108" i="15"/>
  <c r="D97" i="16"/>
  <c r="D96" i="15"/>
  <c r="D87" i="16"/>
  <c r="D86" i="15"/>
  <c r="D83" i="16"/>
  <c r="D82" i="15"/>
  <c r="D79" i="16"/>
  <c r="D78" i="15"/>
  <c r="D74" i="16"/>
  <c r="D73" i="15"/>
  <c r="D70" i="16"/>
  <c r="D69" i="15"/>
  <c r="D68" i="16"/>
  <c r="D67" i="15"/>
  <c r="D62" i="16"/>
  <c r="D61" i="15"/>
  <c r="D58" i="16"/>
  <c r="D57" i="15"/>
  <c r="D54" i="16"/>
  <c r="D53" i="15"/>
  <c r="D50" i="16"/>
  <c r="D49" i="15"/>
  <c r="D45" i="16"/>
  <c r="D44" i="15"/>
  <c r="D39" i="16"/>
  <c r="D38" i="15"/>
  <c r="D33" i="16"/>
  <c r="D33" i="15"/>
  <c r="D24" i="16"/>
  <c r="D24" i="15"/>
  <c r="D19" i="16"/>
  <c r="D19" i="15"/>
  <c r="B195" i="16"/>
  <c r="B193" i="15"/>
  <c r="B189" i="10"/>
  <c r="B191" i="16"/>
  <c r="B189" i="15"/>
  <c r="B187" i="16"/>
  <c r="B185" i="15"/>
  <c r="B164" i="16"/>
  <c r="B163" i="15"/>
  <c r="B161" i="8"/>
  <c r="B160" i="10"/>
  <c r="B159" i="16"/>
  <c r="B158" i="15"/>
  <c r="B152" i="16"/>
  <c r="B151" i="15"/>
  <c r="B148" i="16"/>
  <c r="B147" i="15"/>
  <c r="B144" i="16"/>
  <c r="B143" i="15"/>
  <c r="B140" i="16"/>
  <c r="B139" i="15"/>
  <c r="B136" i="16"/>
  <c r="B135" i="15"/>
  <c r="B127" i="16"/>
  <c r="B126" i="15"/>
  <c r="B123" i="16"/>
  <c r="B122" i="15"/>
  <c r="B118" i="16"/>
  <c r="B117" i="15"/>
  <c r="B113" i="16"/>
  <c r="B112" i="15"/>
  <c r="B109" i="16"/>
  <c r="B108" i="15"/>
  <c r="B102" i="16"/>
  <c r="B101" i="15"/>
  <c r="B97" i="15"/>
  <c r="B98" i="16"/>
  <c r="B93" i="15"/>
  <c r="B94" i="16"/>
  <c r="B90" i="16"/>
  <c r="B89" i="15"/>
  <c r="B86" i="16"/>
  <c r="B85" i="15"/>
  <c r="B77" i="16"/>
  <c r="B76" i="15"/>
  <c r="B73" i="16"/>
  <c r="B72" i="15"/>
  <c r="B67" i="16"/>
  <c r="B66" i="15"/>
  <c r="B61" i="16"/>
  <c r="B60" i="15"/>
  <c r="B57" i="16"/>
  <c r="B56" i="15"/>
  <c r="B53" i="16"/>
  <c r="B52" i="15"/>
  <c r="B49" i="16"/>
  <c r="B48" i="15"/>
  <c r="B43" i="16"/>
  <c r="B42" i="15"/>
  <c r="B37" i="16"/>
  <c r="B37" i="15"/>
  <c r="B32" i="16"/>
  <c r="B32" i="15"/>
  <c r="B24" i="16"/>
  <c r="B24" i="15"/>
  <c r="B19" i="16"/>
  <c r="B19" i="15"/>
  <c r="D191" i="16"/>
  <c r="D189" i="15"/>
  <c r="D186" i="16"/>
  <c r="D184" i="15"/>
  <c r="D162" i="16"/>
  <c r="D161" i="15"/>
  <c r="D158" i="10"/>
  <c r="D159" i="11"/>
  <c r="D151" i="16"/>
  <c r="D150" i="15"/>
  <c r="D147" i="16"/>
  <c r="D146" i="15"/>
  <c r="D143" i="16"/>
  <c r="D142" i="15"/>
  <c r="D138" i="15"/>
  <c r="D139" i="16"/>
  <c r="D131" i="16"/>
  <c r="D130" i="15"/>
  <c r="D126" i="16"/>
  <c r="D125" i="15"/>
  <c r="D121" i="16"/>
  <c r="D120" i="15"/>
  <c r="D117" i="16"/>
  <c r="D116" i="15"/>
  <c r="D112" i="16"/>
  <c r="D111" i="15"/>
  <c r="D103" i="16"/>
  <c r="D102" i="15"/>
  <c r="D96" i="16"/>
  <c r="D95" i="15"/>
  <c r="D92" i="16"/>
  <c r="D91" i="15"/>
  <c r="D86" i="16"/>
  <c r="D85" i="15"/>
  <c r="D77" i="16"/>
  <c r="D76" i="15"/>
  <c r="D73" i="16"/>
  <c r="D72" i="15"/>
  <c r="D67" i="16"/>
  <c r="D66" i="15"/>
  <c r="D61" i="16"/>
  <c r="D60" i="15"/>
  <c r="D57" i="16"/>
  <c r="D56" i="15"/>
  <c r="D53" i="16"/>
  <c r="D52" i="15"/>
  <c r="D49" i="16"/>
  <c r="D48" i="15"/>
  <c r="D43" i="16"/>
  <c r="D42" i="15"/>
  <c r="D37" i="16"/>
  <c r="D37" i="15"/>
  <c r="D32" i="16"/>
  <c r="D32" i="15"/>
  <c r="D22" i="16"/>
  <c r="D22" i="15"/>
  <c r="D18" i="16"/>
  <c r="D18" i="15"/>
  <c r="D101" i="16"/>
  <c r="D100" i="15"/>
  <c r="D105" i="16"/>
  <c r="D104" i="15"/>
  <c r="D195" i="16"/>
  <c r="D193" i="15"/>
  <c r="D190" i="11"/>
  <c r="D189" i="10"/>
  <c r="D193" i="16"/>
  <c r="D191" i="15"/>
  <c r="D89" i="16"/>
  <c r="D88" i="15"/>
  <c r="D100" i="16"/>
  <c r="D99" i="15"/>
  <c r="D160" i="16"/>
  <c r="D159" i="15"/>
  <c r="D158" i="16"/>
  <c r="D157" i="15"/>
  <c r="B194" i="16"/>
  <c r="B192" i="15"/>
  <c r="B190" i="16"/>
  <c r="B188" i="15"/>
  <c r="B186" i="16"/>
  <c r="B184" i="15"/>
  <c r="B162" i="16"/>
  <c r="B161" i="15"/>
  <c r="B158" i="10"/>
  <c r="B158" i="16"/>
  <c r="B157" i="15"/>
  <c r="B151" i="16"/>
  <c r="B150" i="15"/>
  <c r="B147" i="16"/>
  <c r="B146" i="15"/>
  <c r="B143" i="16"/>
  <c r="B142" i="15"/>
  <c r="B139" i="16"/>
  <c r="B138" i="15"/>
  <c r="B131" i="16"/>
  <c r="B130" i="15"/>
  <c r="B126" i="16"/>
  <c r="B125" i="15"/>
  <c r="B121" i="16"/>
  <c r="B120" i="15"/>
  <c r="B117" i="16"/>
  <c r="B116" i="15"/>
  <c r="B112" i="16"/>
  <c r="B111" i="15"/>
  <c r="B105" i="16"/>
  <c r="B104" i="15"/>
  <c r="B101" i="16"/>
  <c r="B100" i="15"/>
  <c r="B97" i="16"/>
  <c r="B96" i="15"/>
  <c r="B89" i="16"/>
  <c r="B88" i="15"/>
  <c r="B85" i="16"/>
  <c r="B84" i="15"/>
  <c r="B81" i="16"/>
  <c r="B80" i="15"/>
  <c r="B76" i="16"/>
  <c r="B75" i="15"/>
  <c r="B72" i="16"/>
  <c r="B71" i="15"/>
  <c r="B65" i="15"/>
  <c r="B66" i="16"/>
  <c r="B60" i="16"/>
  <c r="B59" i="15"/>
  <c r="B56" i="16"/>
  <c r="B55" i="15"/>
  <c r="B52" i="16"/>
  <c r="B51" i="15"/>
  <c r="B47" i="16"/>
  <c r="B46" i="15"/>
  <c r="B42" i="16"/>
  <c r="B41" i="15"/>
  <c r="B35" i="16"/>
  <c r="B35" i="15"/>
  <c r="B31" i="16"/>
  <c r="B31" i="15"/>
  <c r="B22" i="16"/>
  <c r="B22" i="15"/>
  <c r="B18" i="15"/>
  <c r="B18" i="16"/>
  <c r="D204" i="16"/>
  <c r="D198" i="9"/>
  <c r="D198" i="10"/>
  <c r="D199" i="11"/>
  <c r="D202" i="15"/>
  <c r="D190" i="16"/>
  <c r="D188" i="15"/>
  <c r="D185" i="16"/>
  <c r="D183" i="15"/>
  <c r="D154" i="16"/>
  <c r="D153" i="15"/>
  <c r="D150" i="16"/>
  <c r="D149" i="15"/>
  <c r="D146" i="16"/>
  <c r="D145" i="15"/>
  <c r="D142" i="16"/>
  <c r="D141" i="15"/>
  <c r="D138" i="16"/>
  <c r="D137" i="15"/>
  <c r="D129" i="16"/>
  <c r="D128" i="15"/>
  <c r="D125" i="16"/>
  <c r="D124" i="15"/>
  <c r="D120" i="16"/>
  <c r="D119" i="15"/>
  <c r="D116" i="16"/>
  <c r="D115" i="15"/>
  <c r="D111" i="16"/>
  <c r="D110" i="15"/>
  <c r="D102" i="16"/>
  <c r="D101" i="15"/>
  <c r="D95" i="16"/>
  <c r="D94" i="15"/>
  <c r="D91" i="16"/>
  <c r="D90" i="15"/>
  <c r="D85" i="16"/>
  <c r="D84" i="15"/>
  <c r="D81" i="16"/>
  <c r="D80" i="15"/>
  <c r="D76" i="16"/>
  <c r="D75" i="15"/>
  <c r="D72" i="16"/>
  <c r="D71" i="15"/>
  <c r="D66" i="16"/>
  <c r="D65" i="15"/>
  <c r="D60" i="16"/>
  <c r="D59" i="15"/>
  <c r="D56" i="16"/>
  <c r="D55" i="15"/>
  <c r="D52" i="16"/>
  <c r="D51" i="15"/>
  <c r="D47" i="16"/>
  <c r="D46" i="15"/>
  <c r="D42" i="16"/>
  <c r="D41" i="15"/>
  <c r="D35" i="16"/>
  <c r="D35" i="15"/>
  <c r="D30" i="16"/>
  <c r="D30" i="15"/>
  <c r="D21" i="16"/>
  <c r="D21" i="15"/>
  <c r="B204" i="16"/>
  <c r="B198" i="10"/>
  <c r="B198" i="9"/>
  <c r="B202" i="15"/>
  <c r="B193" i="16"/>
  <c r="B191" i="15"/>
  <c r="B189" i="16"/>
  <c r="B187" i="15"/>
  <c r="B185" i="16"/>
  <c r="B183" i="15"/>
  <c r="B161" i="16"/>
  <c r="B160" i="15"/>
  <c r="B154" i="16"/>
  <c r="B153" i="15"/>
  <c r="B150" i="16"/>
  <c r="B149" i="15"/>
  <c r="B146" i="16"/>
  <c r="B145" i="15"/>
  <c r="B142" i="16"/>
  <c r="B141" i="15"/>
  <c r="B138" i="16"/>
  <c r="B137" i="15"/>
  <c r="B129" i="16"/>
  <c r="B128" i="15"/>
  <c r="B125" i="16"/>
  <c r="B124" i="15"/>
  <c r="B120" i="16"/>
  <c r="B119" i="15"/>
  <c r="B116" i="16"/>
  <c r="B115" i="15"/>
  <c r="B111" i="16"/>
  <c r="B110" i="15"/>
  <c r="B104" i="16"/>
  <c r="B103" i="15"/>
  <c r="B100" i="16"/>
  <c r="B99" i="15"/>
  <c r="B96" i="16"/>
  <c r="B95" i="15"/>
  <c r="B92" i="16"/>
  <c r="B91" i="15"/>
  <c r="B88" i="16"/>
  <c r="B87" i="15"/>
  <c r="B84" i="16"/>
  <c r="B83" i="15"/>
  <c r="B80" i="16"/>
  <c r="B79" i="15"/>
  <c r="B75" i="16"/>
  <c r="B74" i="15"/>
  <c r="B71" i="16"/>
  <c r="B70" i="15"/>
  <c r="B69" i="16"/>
  <c r="B68" i="15"/>
  <c r="B63" i="16"/>
  <c r="B62" i="15"/>
  <c r="B59" i="16"/>
  <c r="B58" i="15"/>
  <c r="B55" i="16"/>
  <c r="B54" i="15"/>
  <c r="B51" i="16"/>
  <c r="B50" i="15"/>
  <c r="B45" i="15"/>
  <c r="B46" i="16"/>
  <c r="B41" i="16"/>
  <c r="B40" i="15"/>
  <c r="B34" i="16"/>
  <c r="B34" i="15"/>
  <c r="B30" i="16"/>
  <c r="B30" i="15"/>
  <c r="B21" i="16"/>
  <c r="B21" i="15"/>
  <c r="D197" i="16"/>
  <c r="D195" i="15"/>
  <c r="D191" i="10"/>
  <c r="D192" i="11"/>
  <c r="D190" i="8"/>
  <c r="D191" i="9"/>
  <c r="D189" i="16"/>
  <c r="D187" i="15"/>
  <c r="D184" i="16"/>
  <c r="D182" i="15"/>
  <c r="D153" i="16"/>
  <c r="D152" i="15"/>
  <c r="D149" i="16"/>
  <c r="D148" i="15"/>
  <c r="D145" i="16"/>
  <c r="D144" i="15"/>
  <c r="D141" i="16"/>
  <c r="D140" i="15"/>
  <c r="D137" i="16"/>
  <c r="D136" i="15"/>
  <c r="D128" i="16"/>
  <c r="D127" i="15"/>
  <c r="D124" i="16"/>
  <c r="D123" i="15"/>
  <c r="D119" i="16"/>
  <c r="D118" i="15"/>
  <c r="D115" i="16"/>
  <c r="D114" i="15"/>
  <c r="D110" i="16"/>
  <c r="D109" i="15"/>
  <c r="D98" i="16"/>
  <c r="D97" i="15"/>
  <c r="D94" i="16"/>
  <c r="D93" i="15"/>
  <c r="D90" i="16"/>
  <c r="D89" i="15"/>
  <c r="D84" i="16"/>
  <c r="D83" i="15"/>
  <c r="D80" i="16"/>
  <c r="D79" i="15"/>
  <c r="D74" i="15"/>
  <c r="D75" i="16"/>
  <c r="D71" i="16"/>
  <c r="D70" i="15"/>
  <c r="D69" i="16"/>
  <c r="D68" i="15"/>
  <c r="D63" i="16"/>
  <c r="D62" i="15"/>
  <c r="D59" i="16"/>
  <c r="D58" i="15"/>
  <c r="D55" i="16"/>
  <c r="D54" i="15"/>
  <c r="D51" i="16"/>
  <c r="D50" i="15"/>
  <c r="D46" i="16"/>
  <c r="D45" i="15"/>
  <c r="D41" i="16"/>
  <c r="D40" i="15"/>
  <c r="D34" i="16"/>
  <c r="D34" i="15"/>
  <c r="D27" i="16"/>
  <c r="D27" i="15"/>
  <c r="D20" i="16"/>
  <c r="D20" i="15"/>
  <c r="D31" i="15"/>
  <c r="D31" i="16"/>
  <c r="D187" i="16"/>
  <c r="D185" i="15"/>
  <c r="D104" i="16"/>
  <c r="D103" i="15"/>
  <c r="D194" i="16"/>
  <c r="D192" i="15"/>
  <c r="D88" i="16"/>
  <c r="D87" i="15"/>
  <c r="D99" i="16"/>
  <c r="D98" i="15"/>
  <c r="D161" i="16"/>
  <c r="D160" i="15"/>
  <c r="D159" i="16"/>
  <c r="D158" i="15"/>
  <c r="B197" i="16"/>
  <c r="B195" i="15"/>
  <c r="B190" i="8"/>
  <c r="B191" i="10"/>
  <c r="B191" i="9"/>
  <c r="B192" i="16"/>
  <c r="B190" i="15"/>
  <c r="B188" i="16"/>
  <c r="B186" i="15"/>
  <c r="B184" i="16"/>
  <c r="B182" i="15"/>
  <c r="B160" i="16"/>
  <c r="B159" i="15"/>
  <c r="B153" i="16"/>
  <c r="B152" i="15"/>
  <c r="B149" i="16"/>
  <c r="B148" i="15"/>
  <c r="B145" i="16"/>
  <c r="B144" i="15"/>
  <c r="B141" i="16"/>
  <c r="B140" i="15"/>
  <c r="B137" i="16"/>
  <c r="B136" i="15"/>
  <c r="B128" i="16"/>
  <c r="B127" i="15"/>
  <c r="B124" i="16"/>
  <c r="B123" i="15"/>
  <c r="B119" i="16"/>
  <c r="B118" i="15"/>
  <c r="B115" i="16"/>
  <c r="B114" i="15"/>
  <c r="B109" i="15"/>
  <c r="B110" i="16"/>
  <c r="B103" i="16"/>
  <c r="B102" i="15"/>
  <c r="B99" i="16"/>
  <c r="B98" i="15"/>
  <c r="B95" i="16"/>
  <c r="B94" i="15"/>
  <c r="B91" i="16"/>
  <c r="B90" i="15"/>
  <c r="B87" i="16"/>
  <c r="B86" i="15"/>
  <c r="B83" i="16"/>
  <c r="B82" i="15"/>
  <c r="B79" i="16"/>
  <c r="B78" i="15"/>
  <c r="B74" i="16"/>
  <c r="B73" i="15"/>
  <c r="B70" i="16"/>
  <c r="B69" i="15"/>
  <c r="B68" i="16"/>
  <c r="B67" i="15"/>
  <c r="B61" i="15"/>
  <c r="B62" i="16"/>
  <c r="B58" i="16"/>
  <c r="B57" i="15"/>
  <c r="B54" i="16"/>
  <c r="B53" i="15"/>
  <c r="B49" i="15"/>
  <c r="B50" i="16"/>
  <c r="B45" i="16"/>
  <c r="B44" i="15"/>
  <c r="B39" i="16"/>
  <c r="B38" i="15"/>
  <c r="B33" i="16"/>
  <c r="B33" i="15"/>
  <c r="B27" i="16"/>
  <c r="B27" i="15"/>
  <c r="B20" i="16"/>
  <c r="B20" i="15"/>
  <c r="D189" i="14"/>
  <c r="D188" i="13"/>
  <c r="D185" i="14"/>
  <c r="D184" i="13"/>
  <c r="D162" i="13"/>
  <c r="D163" i="14"/>
  <c r="D151" i="14"/>
  <c r="D150" i="13"/>
  <c r="D146" i="13"/>
  <c r="D147" i="14"/>
  <c r="D143" i="14"/>
  <c r="D142" i="13"/>
  <c r="D139" i="14"/>
  <c r="D138" i="13"/>
  <c r="D135" i="14"/>
  <c r="D134" i="13"/>
  <c r="D126" i="14"/>
  <c r="D125" i="13"/>
  <c r="D122" i="14"/>
  <c r="D121" i="13"/>
  <c r="D117" i="14"/>
  <c r="D116" i="13"/>
  <c r="D112" i="14"/>
  <c r="D111" i="13"/>
  <c r="D108" i="14"/>
  <c r="D107" i="13"/>
  <c r="D96" i="14"/>
  <c r="D95" i="13"/>
  <c r="D86" i="14"/>
  <c r="D86" i="13"/>
  <c r="D82" i="14"/>
  <c r="D82" i="13"/>
  <c r="D78" i="14"/>
  <c r="D78" i="13"/>
  <c r="D73" i="14"/>
  <c r="D73" i="13"/>
  <c r="D69" i="14"/>
  <c r="D69" i="13"/>
  <c r="D67" i="14"/>
  <c r="D67" i="13"/>
  <c r="D61" i="14"/>
  <c r="D61" i="13"/>
  <c r="D57" i="14"/>
  <c r="D57" i="13"/>
  <c r="D53" i="14"/>
  <c r="D53" i="13"/>
  <c r="D49" i="14"/>
  <c r="D49" i="13"/>
  <c r="D44" i="14"/>
  <c r="D44" i="13"/>
  <c r="D38" i="14"/>
  <c r="D38" i="13"/>
  <c r="D33" i="14"/>
  <c r="D33" i="13"/>
  <c r="D24" i="14"/>
  <c r="D24" i="13"/>
  <c r="D19" i="14"/>
  <c r="D19" i="13"/>
  <c r="B192" i="14"/>
  <c r="B191" i="13"/>
  <c r="B188" i="14"/>
  <c r="B187" i="13"/>
  <c r="B184" i="14"/>
  <c r="B183" i="13"/>
  <c r="B163" i="14"/>
  <c r="B162" i="13"/>
  <c r="B158" i="14"/>
  <c r="B157" i="13"/>
  <c r="B151" i="14"/>
  <c r="B150" i="13"/>
  <c r="B147" i="14"/>
  <c r="B146" i="13"/>
  <c r="B143" i="14"/>
  <c r="B142" i="13"/>
  <c r="B139" i="14"/>
  <c r="B138" i="13"/>
  <c r="B135" i="14"/>
  <c r="B134" i="13"/>
  <c r="B125" i="13"/>
  <c r="B126" i="14"/>
  <c r="B122" i="14"/>
  <c r="B121" i="13"/>
  <c r="B117" i="14"/>
  <c r="B116" i="13"/>
  <c r="B112" i="14"/>
  <c r="B111" i="13"/>
  <c r="B108" i="14"/>
  <c r="B107" i="13"/>
  <c r="B101" i="14"/>
  <c r="B100" i="13"/>
  <c r="B97" i="14"/>
  <c r="B96" i="13"/>
  <c r="B93" i="14"/>
  <c r="B92" i="13"/>
  <c r="B89" i="14"/>
  <c r="B89" i="13"/>
  <c r="B85" i="14"/>
  <c r="B85" i="13"/>
  <c r="B76" i="14"/>
  <c r="B76" i="13"/>
  <c r="B72" i="14"/>
  <c r="B72" i="13"/>
  <c r="B66" i="14"/>
  <c r="B66" i="13"/>
  <c r="B60" i="14"/>
  <c r="B60" i="13"/>
  <c r="B56" i="14"/>
  <c r="B56" i="13"/>
  <c r="B52" i="14"/>
  <c r="B52" i="13"/>
  <c r="B48" i="14"/>
  <c r="B48" i="13"/>
  <c r="B42" i="14"/>
  <c r="B42" i="13"/>
  <c r="B37" i="14"/>
  <c r="B37" i="13"/>
  <c r="B32" i="14"/>
  <c r="B32" i="13"/>
  <c r="B24" i="14"/>
  <c r="B24" i="13"/>
  <c r="B19" i="14"/>
  <c r="B19" i="13"/>
  <c r="D188" i="14"/>
  <c r="D187" i="13"/>
  <c r="D183" i="14"/>
  <c r="D182" i="13"/>
  <c r="D161" i="14"/>
  <c r="D160" i="13"/>
  <c r="D150" i="14"/>
  <c r="D149" i="13"/>
  <c r="D146" i="14"/>
  <c r="D145" i="13"/>
  <c r="D142" i="14"/>
  <c r="D141" i="13"/>
  <c r="D138" i="14"/>
  <c r="D137" i="13"/>
  <c r="D130" i="14"/>
  <c r="D129" i="13"/>
  <c r="D125" i="14"/>
  <c r="D124" i="13"/>
  <c r="D120" i="14"/>
  <c r="D119" i="13"/>
  <c r="D116" i="14"/>
  <c r="D115" i="13"/>
  <c r="D111" i="14"/>
  <c r="D110" i="13"/>
  <c r="D102" i="14"/>
  <c r="D101" i="13"/>
  <c r="D95" i="14"/>
  <c r="D94" i="13"/>
  <c r="D91" i="14"/>
  <c r="D91" i="13"/>
  <c r="D85" i="14"/>
  <c r="D85" i="13"/>
  <c r="D76" i="14"/>
  <c r="D76" i="13"/>
  <c r="D72" i="14"/>
  <c r="D72" i="13"/>
  <c r="D66" i="14"/>
  <c r="D66" i="13"/>
  <c r="D60" i="14"/>
  <c r="D60" i="13"/>
  <c r="D56" i="14"/>
  <c r="D56" i="13"/>
  <c r="D52" i="14"/>
  <c r="D52" i="13"/>
  <c r="D48" i="14"/>
  <c r="D48" i="13"/>
  <c r="D42" i="14"/>
  <c r="D42" i="13"/>
  <c r="D37" i="14"/>
  <c r="D37" i="13"/>
  <c r="D32" i="14"/>
  <c r="D32" i="13"/>
  <c r="D22" i="14"/>
  <c r="D22" i="13"/>
  <c r="D18" i="14"/>
  <c r="D18" i="13"/>
  <c r="D100" i="14"/>
  <c r="D99" i="13"/>
  <c r="D104" i="14"/>
  <c r="D103" i="13"/>
  <c r="D192" i="14"/>
  <c r="D191" i="13"/>
  <c r="D190" i="14"/>
  <c r="D189" i="13"/>
  <c r="D88" i="14"/>
  <c r="D88" i="13"/>
  <c r="D98" i="13"/>
  <c r="D99" i="14"/>
  <c r="D159" i="14"/>
  <c r="D158" i="13"/>
  <c r="D157" i="14"/>
  <c r="D156" i="13"/>
  <c r="B191" i="14"/>
  <c r="B190" i="13"/>
  <c r="B187" i="14"/>
  <c r="B186" i="13"/>
  <c r="B183" i="14"/>
  <c r="B182" i="13"/>
  <c r="B161" i="14"/>
  <c r="B160" i="13"/>
  <c r="B157" i="14"/>
  <c r="B156" i="13"/>
  <c r="B150" i="14"/>
  <c r="B149" i="13"/>
  <c r="B146" i="14"/>
  <c r="B145" i="13"/>
  <c r="B142" i="14"/>
  <c r="B141" i="13"/>
  <c r="B138" i="14"/>
  <c r="B137" i="13"/>
  <c r="B130" i="14"/>
  <c r="B129" i="13"/>
  <c r="B125" i="14"/>
  <c r="B124" i="13"/>
  <c r="B120" i="14"/>
  <c r="B119" i="13"/>
  <c r="B116" i="14"/>
  <c r="B115" i="13"/>
  <c r="B111" i="14"/>
  <c r="B110" i="13"/>
  <c r="B104" i="14"/>
  <c r="B103" i="13"/>
  <c r="B100" i="14"/>
  <c r="B99" i="13"/>
  <c r="B96" i="14"/>
  <c r="B95" i="13"/>
  <c r="B88" i="14"/>
  <c r="B88" i="13"/>
  <c r="B84" i="14"/>
  <c r="B84" i="13"/>
  <c r="B80" i="14"/>
  <c r="B80" i="13"/>
  <c r="B75" i="14"/>
  <c r="B75" i="13"/>
  <c r="B71" i="14"/>
  <c r="B71" i="13"/>
  <c r="B65" i="14"/>
  <c r="B65" i="13"/>
  <c r="B59" i="14"/>
  <c r="B59" i="13"/>
  <c r="B55" i="14"/>
  <c r="B55" i="13"/>
  <c r="B51" i="14"/>
  <c r="B51" i="13"/>
  <c r="B46" i="14"/>
  <c r="B46" i="13"/>
  <c r="B41" i="14"/>
  <c r="B41" i="13"/>
  <c r="B35" i="14"/>
  <c r="B35" i="13"/>
  <c r="B31" i="14"/>
  <c r="B31" i="13"/>
  <c r="B22" i="14"/>
  <c r="B22" i="13"/>
  <c r="B18" i="13"/>
  <c r="B18" i="14"/>
  <c r="D201" i="14"/>
  <c r="D200" i="13"/>
  <c r="D187" i="14"/>
  <c r="D186" i="13"/>
  <c r="D182" i="14"/>
  <c r="D181" i="13"/>
  <c r="D153" i="14"/>
  <c r="D152" i="13"/>
  <c r="D149" i="14"/>
  <c r="D148" i="13"/>
  <c r="D145" i="14"/>
  <c r="D144" i="13"/>
  <c r="D141" i="14"/>
  <c r="D140" i="13"/>
  <c r="D137" i="14"/>
  <c r="D136" i="13"/>
  <c r="D128" i="14"/>
  <c r="D127" i="13"/>
  <c r="D124" i="14"/>
  <c r="D123" i="13"/>
  <c r="D119" i="14"/>
  <c r="D118" i="13"/>
  <c r="D115" i="14"/>
  <c r="D114" i="13"/>
  <c r="D110" i="14"/>
  <c r="D109" i="13"/>
  <c r="D101" i="14"/>
  <c r="D100" i="13"/>
  <c r="D94" i="14"/>
  <c r="D93" i="13"/>
  <c r="D90" i="14"/>
  <c r="D90" i="13"/>
  <c r="D84" i="14"/>
  <c r="D84" i="13"/>
  <c r="D80" i="14"/>
  <c r="D80" i="13"/>
  <c r="D75" i="14"/>
  <c r="D75" i="13"/>
  <c r="D71" i="14"/>
  <c r="D71" i="13"/>
  <c r="D65" i="14"/>
  <c r="D65" i="13"/>
  <c r="D59" i="14"/>
  <c r="D59" i="13"/>
  <c r="D55" i="13"/>
  <c r="D55" i="14"/>
  <c r="D51" i="14"/>
  <c r="D51" i="13"/>
  <c r="D46" i="14"/>
  <c r="D46" i="13"/>
  <c r="D41" i="14"/>
  <c r="D41" i="13"/>
  <c r="D35" i="14"/>
  <c r="D35" i="13"/>
  <c r="D30" i="14"/>
  <c r="D30" i="13"/>
  <c r="D21" i="14"/>
  <c r="D21" i="13"/>
  <c r="B201" i="14"/>
  <c r="B200" i="13"/>
  <c r="B189" i="13"/>
  <c r="B190" i="14"/>
  <c r="B186" i="14"/>
  <c r="B185" i="13"/>
  <c r="B182" i="14"/>
  <c r="B181" i="13"/>
  <c r="B160" i="14"/>
  <c r="B159" i="13"/>
  <c r="B153" i="14"/>
  <c r="B152" i="13"/>
  <c r="B149" i="14"/>
  <c r="B148" i="13"/>
  <c r="B145" i="14"/>
  <c r="B144" i="13"/>
  <c r="B141" i="14"/>
  <c r="B140" i="13"/>
  <c r="B137" i="14"/>
  <c r="B136" i="13"/>
  <c r="B128" i="14"/>
  <c r="B127" i="13"/>
  <c r="B124" i="14"/>
  <c r="B123" i="13"/>
  <c r="B119" i="14"/>
  <c r="B118" i="13"/>
  <c r="B115" i="14"/>
  <c r="B114" i="13"/>
  <c r="B109" i="13"/>
  <c r="B110" i="14"/>
  <c r="B103" i="14"/>
  <c r="B102" i="13"/>
  <c r="B99" i="14"/>
  <c r="B98" i="13"/>
  <c r="B95" i="14"/>
  <c r="B94" i="13"/>
  <c r="B91" i="14"/>
  <c r="B91" i="13"/>
  <c r="B87" i="14"/>
  <c r="B87" i="13"/>
  <c r="B83" i="14"/>
  <c r="B83" i="13"/>
  <c r="B79" i="14"/>
  <c r="B79" i="13"/>
  <c r="B74" i="14"/>
  <c r="B74" i="13"/>
  <c r="B70" i="14"/>
  <c r="B70" i="13"/>
  <c r="B68" i="14"/>
  <c r="B68" i="13"/>
  <c r="B62" i="14"/>
  <c r="B62" i="13"/>
  <c r="B58" i="14"/>
  <c r="B58" i="13"/>
  <c r="B54" i="14"/>
  <c r="B54" i="13"/>
  <c r="B50" i="14"/>
  <c r="B50" i="13"/>
  <c r="B45" i="14"/>
  <c r="B45" i="13"/>
  <c r="B40" i="14"/>
  <c r="B40" i="13"/>
  <c r="B34" i="14"/>
  <c r="B34" i="13"/>
  <c r="B30" i="14"/>
  <c r="B30" i="13"/>
  <c r="B21" i="14"/>
  <c r="B21" i="13"/>
  <c r="D194" i="14"/>
  <c r="D193" i="13"/>
  <c r="D186" i="14"/>
  <c r="D185" i="13"/>
  <c r="D181" i="14"/>
  <c r="D180" i="13"/>
  <c r="D152" i="14"/>
  <c r="D151" i="13"/>
  <c r="D148" i="14"/>
  <c r="D147" i="13"/>
  <c r="D144" i="14"/>
  <c r="D143" i="13"/>
  <c r="D140" i="14"/>
  <c r="D139" i="13"/>
  <c r="D136" i="14"/>
  <c r="D135" i="13"/>
  <c r="D127" i="14"/>
  <c r="D126" i="13"/>
  <c r="D123" i="14"/>
  <c r="D122" i="13"/>
  <c r="D118" i="14"/>
  <c r="D117" i="13"/>
  <c r="D114" i="14"/>
  <c r="D113" i="13"/>
  <c r="D109" i="14"/>
  <c r="D108" i="13"/>
  <c r="D97" i="14"/>
  <c r="D96" i="13"/>
  <c r="D93" i="14"/>
  <c r="D92" i="13"/>
  <c r="D89" i="14"/>
  <c r="D89" i="13"/>
  <c r="D83" i="14"/>
  <c r="D83" i="13"/>
  <c r="D79" i="14"/>
  <c r="D79" i="13"/>
  <c r="D74" i="14"/>
  <c r="D74" i="13"/>
  <c r="D70" i="14"/>
  <c r="D70" i="13"/>
  <c r="D68" i="14"/>
  <c r="D68" i="13"/>
  <c r="D62" i="14"/>
  <c r="D62" i="13"/>
  <c r="D58" i="14"/>
  <c r="D58" i="13"/>
  <c r="D54" i="14"/>
  <c r="D54" i="13"/>
  <c r="D50" i="14"/>
  <c r="D50" i="13"/>
  <c r="D45" i="14"/>
  <c r="D45" i="13"/>
  <c r="D40" i="14"/>
  <c r="D40" i="13"/>
  <c r="D34" i="14"/>
  <c r="D34" i="13"/>
  <c r="D27" i="14"/>
  <c r="D27" i="13"/>
  <c r="D20" i="14"/>
  <c r="D20" i="13"/>
  <c r="D31" i="14"/>
  <c r="D31" i="13"/>
  <c r="D184" i="14"/>
  <c r="D183" i="13"/>
  <c r="D103" i="14"/>
  <c r="D102" i="13"/>
  <c r="D191" i="14"/>
  <c r="D190" i="13"/>
  <c r="D87" i="14"/>
  <c r="D87" i="13"/>
  <c r="D98" i="14"/>
  <c r="D97" i="13"/>
  <c r="D160" i="14"/>
  <c r="D159" i="13"/>
  <c r="D158" i="14"/>
  <c r="D157" i="13"/>
  <c r="B194" i="14"/>
  <c r="B193" i="13"/>
  <c r="B189" i="14"/>
  <c r="B188" i="13"/>
  <c r="B185" i="14"/>
  <c r="B184" i="13"/>
  <c r="B181" i="14"/>
  <c r="B180" i="13"/>
  <c r="B159" i="14"/>
  <c r="B158" i="13"/>
  <c r="B152" i="14"/>
  <c r="B151" i="13"/>
  <c r="B148" i="14"/>
  <c r="B147" i="13"/>
  <c r="B144" i="14"/>
  <c r="B143" i="13"/>
  <c r="B140" i="14"/>
  <c r="B139" i="13"/>
  <c r="B136" i="14"/>
  <c r="B135" i="13"/>
  <c r="B127" i="14"/>
  <c r="B126" i="13"/>
  <c r="B123" i="14"/>
  <c r="B122" i="13"/>
  <c r="B118" i="14"/>
  <c r="B117" i="13"/>
  <c r="B114" i="14"/>
  <c r="B113" i="13"/>
  <c r="B109" i="14"/>
  <c r="B108" i="13"/>
  <c r="B102" i="14"/>
  <c r="B101" i="13"/>
  <c r="B98" i="14"/>
  <c r="B97" i="13"/>
  <c r="B94" i="14"/>
  <c r="B93" i="13"/>
  <c r="B90" i="14"/>
  <c r="B90" i="13"/>
  <c r="B86" i="14"/>
  <c r="B86" i="13"/>
  <c r="B82" i="14"/>
  <c r="B82" i="13"/>
  <c r="B78" i="14"/>
  <c r="B78" i="13"/>
  <c r="B73" i="14"/>
  <c r="B73" i="13"/>
  <c r="B69" i="14"/>
  <c r="B69" i="13"/>
  <c r="B67" i="14"/>
  <c r="B67" i="13"/>
  <c r="B61" i="14"/>
  <c r="B61" i="13"/>
  <c r="B57" i="14"/>
  <c r="B57" i="13"/>
  <c r="B53" i="14"/>
  <c r="B53" i="13"/>
  <c r="B49" i="14"/>
  <c r="B49" i="13"/>
  <c r="B44" i="14"/>
  <c r="B44" i="13"/>
  <c r="B38" i="14"/>
  <c r="B38" i="13"/>
  <c r="B33" i="14"/>
  <c r="B33" i="13"/>
  <c r="B27" i="14"/>
  <c r="B27" i="13"/>
  <c r="B20" i="14"/>
  <c r="B20" i="13"/>
  <c r="D181" i="10"/>
  <c r="D184" i="12"/>
  <c r="D182" i="11"/>
  <c r="D149" i="10"/>
  <c r="D150" i="11"/>
  <c r="D150" i="12"/>
  <c r="D141" i="10"/>
  <c r="D142" i="11"/>
  <c r="D142" i="12"/>
  <c r="D133" i="10"/>
  <c r="D134" i="11"/>
  <c r="D134" i="12"/>
  <c r="D120" i="10"/>
  <c r="D121" i="12"/>
  <c r="D121" i="11"/>
  <c r="D110" i="10"/>
  <c r="D111" i="12"/>
  <c r="D111" i="11"/>
  <c r="D94" i="10"/>
  <c r="D95" i="12"/>
  <c r="D95" i="11"/>
  <c r="D85" i="10"/>
  <c r="D86" i="11"/>
  <c r="D86" i="12"/>
  <c r="D77" i="10"/>
  <c r="D78" i="11"/>
  <c r="D78" i="12"/>
  <c r="D68" i="10"/>
  <c r="D69" i="12"/>
  <c r="D69" i="11"/>
  <c r="D60" i="10"/>
  <c r="D61" i="12"/>
  <c r="D61" i="11"/>
  <c r="D52" i="10"/>
  <c r="D53" i="12"/>
  <c r="D53" i="11"/>
  <c r="D43" i="10"/>
  <c r="D44" i="12"/>
  <c r="D44" i="11"/>
  <c r="D33" i="10"/>
  <c r="D33" i="12"/>
  <c r="D33" i="11"/>
  <c r="D19" i="10"/>
  <c r="D19" i="12"/>
  <c r="D19" i="11"/>
  <c r="B184" i="10"/>
  <c r="B187" i="12"/>
  <c r="B162" i="12"/>
  <c r="B149" i="10"/>
  <c r="B150" i="12"/>
  <c r="B141" i="10"/>
  <c r="B142" i="12"/>
  <c r="B133" i="10"/>
  <c r="B134" i="12"/>
  <c r="B120" i="10"/>
  <c r="B121" i="12"/>
  <c r="B110" i="10"/>
  <c r="B111" i="12"/>
  <c r="B99" i="10"/>
  <c r="B100" i="12"/>
  <c r="B91" i="10"/>
  <c r="B92" i="12"/>
  <c r="B84" i="10"/>
  <c r="B85" i="12"/>
  <c r="B75" i="10"/>
  <c r="B76" i="12"/>
  <c r="B59" i="10"/>
  <c r="B60" i="12"/>
  <c r="B51" i="10"/>
  <c r="B52" i="12"/>
  <c r="B41" i="10"/>
  <c r="B42" i="12"/>
  <c r="B32" i="10"/>
  <c r="B32" i="12"/>
  <c r="B19" i="10"/>
  <c r="B19" i="12"/>
  <c r="D179" i="10"/>
  <c r="D180" i="11"/>
  <c r="D182" i="12"/>
  <c r="D148" i="10"/>
  <c r="D149" i="12"/>
  <c r="D149" i="11"/>
  <c r="D140" i="10"/>
  <c r="D141" i="12"/>
  <c r="D141" i="11"/>
  <c r="D128" i="10"/>
  <c r="D129" i="12"/>
  <c r="D129" i="11"/>
  <c r="D118" i="10"/>
  <c r="D119" i="12"/>
  <c r="D119" i="11"/>
  <c r="D109" i="10"/>
  <c r="D110" i="12"/>
  <c r="D110" i="11"/>
  <c r="D93" i="10"/>
  <c r="D94" i="11"/>
  <c r="D94" i="12"/>
  <c r="D84" i="10"/>
  <c r="D85" i="12"/>
  <c r="D85" i="11"/>
  <c r="D75" i="10"/>
  <c r="D76" i="12"/>
  <c r="D76" i="11"/>
  <c r="D59" i="10"/>
  <c r="D60" i="12"/>
  <c r="D60" i="11"/>
  <c r="D51" i="10"/>
  <c r="D52" i="12"/>
  <c r="D52" i="11"/>
  <c r="D41" i="10"/>
  <c r="D42" i="12"/>
  <c r="D42" i="11"/>
  <c r="D32" i="10"/>
  <c r="D32" i="12"/>
  <c r="D32" i="11"/>
  <c r="D18" i="10"/>
  <c r="D18" i="12"/>
  <c r="D18" i="11"/>
  <c r="D191" i="12"/>
  <c r="D189" i="11"/>
  <c r="D97" i="10"/>
  <c r="D98" i="12"/>
  <c r="D98" i="11"/>
  <c r="D155" i="10"/>
  <c r="D158" i="12"/>
  <c r="D156" i="11"/>
  <c r="B183" i="10"/>
  <c r="B186" i="12"/>
  <c r="B160" i="12"/>
  <c r="B148" i="10"/>
  <c r="B149" i="12"/>
  <c r="B140" i="10"/>
  <c r="B141" i="12"/>
  <c r="B128" i="10"/>
  <c r="B129" i="12"/>
  <c r="B118" i="10"/>
  <c r="B119" i="12"/>
  <c r="B109" i="10"/>
  <c r="B110" i="12"/>
  <c r="B98" i="10"/>
  <c r="B99" i="12"/>
  <c r="B83" i="10"/>
  <c r="B84" i="12"/>
  <c r="B74" i="10"/>
  <c r="B75" i="12"/>
  <c r="B58" i="10"/>
  <c r="B59" i="12"/>
  <c r="B50" i="10"/>
  <c r="B51" i="12"/>
  <c r="B40" i="10"/>
  <c r="B41" i="12"/>
  <c r="B31" i="10"/>
  <c r="B31" i="12"/>
  <c r="B18" i="10"/>
  <c r="B18" i="12"/>
  <c r="D200" i="12"/>
  <c r="D198" i="11"/>
  <c r="D178" i="10"/>
  <c r="D181" i="12"/>
  <c r="D179" i="11"/>
  <c r="D147" i="10"/>
  <c r="D148" i="12"/>
  <c r="D148" i="11"/>
  <c r="D139" i="10"/>
  <c r="D140" i="12"/>
  <c r="D140" i="11"/>
  <c r="D126" i="10"/>
  <c r="D127" i="12"/>
  <c r="D127" i="11"/>
  <c r="D117" i="10"/>
  <c r="D118" i="12"/>
  <c r="D118" i="11"/>
  <c r="D108" i="10"/>
  <c r="D109" i="12"/>
  <c r="D109" i="11"/>
  <c r="D92" i="10"/>
  <c r="D93" i="12"/>
  <c r="D93" i="11"/>
  <c r="D83" i="10"/>
  <c r="D84" i="12"/>
  <c r="D84" i="11"/>
  <c r="D74" i="10"/>
  <c r="D75" i="12"/>
  <c r="D75" i="11"/>
  <c r="D58" i="10"/>
  <c r="D59" i="12"/>
  <c r="D59" i="11"/>
  <c r="D50" i="10"/>
  <c r="D51" i="12"/>
  <c r="D51" i="11"/>
  <c r="D40" i="10"/>
  <c r="D41" i="12"/>
  <c r="D41" i="11"/>
  <c r="D30" i="10"/>
  <c r="D30" i="11"/>
  <c r="D30" i="12"/>
  <c r="B200" i="12"/>
  <c r="B182" i="10"/>
  <c r="B185" i="12"/>
  <c r="B156" i="10"/>
  <c r="B159" i="12"/>
  <c r="B147" i="10"/>
  <c r="B148" i="12"/>
  <c r="B139" i="10"/>
  <c r="B140" i="12"/>
  <c r="B126" i="10"/>
  <c r="B127" i="12"/>
  <c r="B117" i="10"/>
  <c r="B118" i="12"/>
  <c r="B108" i="10"/>
  <c r="B109" i="12"/>
  <c r="B97" i="10"/>
  <c r="B98" i="12"/>
  <c r="B90" i="10"/>
  <c r="B91" i="12"/>
  <c r="B82" i="10"/>
  <c r="B83" i="12"/>
  <c r="B73" i="10"/>
  <c r="B74" i="12"/>
  <c r="B67" i="10"/>
  <c r="B68" i="12"/>
  <c r="B57" i="10"/>
  <c r="B58" i="12"/>
  <c r="B49" i="10"/>
  <c r="B50" i="12"/>
  <c r="B39" i="10"/>
  <c r="B40" i="12"/>
  <c r="B30" i="10"/>
  <c r="B30" i="12"/>
  <c r="D193" i="12"/>
  <c r="D191" i="11"/>
  <c r="D177" i="10"/>
  <c r="D180" i="12"/>
  <c r="D178" i="11"/>
  <c r="D146" i="10"/>
  <c r="D147" i="12"/>
  <c r="D147" i="11"/>
  <c r="D138" i="10"/>
  <c r="D139" i="12"/>
  <c r="D139" i="11"/>
  <c r="D125" i="10"/>
  <c r="D126" i="12"/>
  <c r="D126" i="11"/>
  <c r="D116" i="10"/>
  <c r="D117" i="12"/>
  <c r="D117" i="11"/>
  <c r="D107" i="10"/>
  <c r="D108" i="12"/>
  <c r="D108" i="11"/>
  <c r="D91" i="10"/>
  <c r="D92" i="12"/>
  <c r="D92" i="11"/>
  <c r="D82" i="10"/>
  <c r="D83" i="12"/>
  <c r="D83" i="11"/>
  <c r="D73" i="10"/>
  <c r="D74" i="12"/>
  <c r="D74" i="11"/>
  <c r="D67" i="10"/>
  <c r="D68" i="12"/>
  <c r="D68" i="11"/>
  <c r="D57" i="10"/>
  <c r="D58" i="12"/>
  <c r="D58" i="11"/>
  <c r="D49" i="10"/>
  <c r="D50" i="12"/>
  <c r="D50" i="11"/>
  <c r="D39" i="10"/>
  <c r="D40" i="12"/>
  <c r="D40" i="11"/>
  <c r="D27" i="10"/>
  <c r="D27" i="12"/>
  <c r="D27" i="11"/>
  <c r="D180" i="10"/>
  <c r="D183" i="12"/>
  <c r="D181" i="11"/>
  <c r="D101" i="10"/>
  <c r="D102" i="11"/>
  <c r="D102" i="12"/>
  <c r="D86" i="10"/>
  <c r="D87" i="12"/>
  <c r="D87" i="11"/>
  <c r="D156" i="10"/>
  <c r="D159" i="12"/>
  <c r="D157" i="11"/>
  <c r="B193" i="12"/>
  <c r="B181" i="10"/>
  <c r="B184" i="12"/>
  <c r="B155" i="10"/>
  <c r="B158" i="12"/>
  <c r="B146" i="10"/>
  <c r="B147" i="12"/>
  <c r="B138" i="10"/>
  <c r="B139" i="12"/>
  <c r="B125" i="10"/>
  <c r="B126" i="12"/>
  <c r="B116" i="10"/>
  <c r="B117" i="12"/>
  <c r="B107" i="10"/>
  <c r="B108" i="12"/>
  <c r="B96" i="10"/>
  <c r="B97" i="12"/>
  <c r="B89" i="10"/>
  <c r="B90" i="12"/>
  <c r="B81" i="10"/>
  <c r="B82" i="12"/>
  <c r="B72" i="10"/>
  <c r="B73" i="12"/>
  <c r="B66" i="10"/>
  <c r="B67" i="12"/>
  <c r="B56" i="10"/>
  <c r="B57" i="12"/>
  <c r="B48" i="10"/>
  <c r="B49" i="12"/>
  <c r="B38" i="12"/>
  <c r="B27" i="10"/>
  <c r="B27" i="12"/>
  <c r="D185" i="10"/>
  <c r="D188" i="12"/>
  <c r="D186" i="11"/>
  <c r="D162" i="12"/>
  <c r="D160" i="11"/>
  <c r="D145" i="10"/>
  <c r="D146" i="12"/>
  <c r="D146" i="11"/>
  <c r="D137" i="10"/>
  <c r="D138" i="12"/>
  <c r="D138" i="11"/>
  <c r="D124" i="10"/>
  <c r="D125" i="12"/>
  <c r="D125" i="11"/>
  <c r="D115" i="10"/>
  <c r="D116" i="12"/>
  <c r="D116" i="11"/>
  <c r="D106" i="10"/>
  <c r="D107" i="12"/>
  <c r="D107" i="11"/>
  <c r="D81" i="10"/>
  <c r="D82" i="12"/>
  <c r="D82" i="11"/>
  <c r="D72" i="10"/>
  <c r="D73" i="12"/>
  <c r="D73" i="11"/>
  <c r="D66" i="10"/>
  <c r="D67" i="12"/>
  <c r="D67" i="11"/>
  <c r="D56" i="10"/>
  <c r="D57" i="12"/>
  <c r="D57" i="11"/>
  <c r="D48" i="10"/>
  <c r="D49" i="12"/>
  <c r="D49" i="11"/>
  <c r="D38" i="11"/>
  <c r="D38" i="12"/>
  <c r="D24" i="10"/>
  <c r="D24" i="12"/>
  <c r="D24" i="11"/>
  <c r="B191" i="12"/>
  <c r="B180" i="10"/>
  <c r="B183" i="12"/>
  <c r="B154" i="10"/>
  <c r="B157" i="12"/>
  <c r="B145" i="10"/>
  <c r="B146" i="12"/>
  <c r="B137" i="10"/>
  <c r="B138" i="12"/>
  <c r="B124" i="10"/>
  <c r="B125" i="12"/>
  <c r="B115" i="10"/>
  <c r="B116" i="12"/>
  <c r="B106" i="10"/>
  <c r="B107" i="12"/>
  <c r="B95" i="10"/>
  <c r="B96" i="12"/>
  <c r="B88" i="10"/>
  <c r="B89" i="12"/>
  <c r="B71" i="10"/>
  <c r="B72" i="12"/>
  <c r="B65" i="10"/>
  <c r="B66" i="12"/>
  <c r="B55" i="10"/>
  <c r="B56" i="12"/>
  <c r="B47" i="10"/>
  <c r="B48" i="12"/>
  <c r="B37" i="10"/>
  <c r="B37" i="12"/>
  <c r="B24" i="10"/>
  <c r="B24" i="12"/>
  <c r="D184" i="10"/>
  <c r="D187" i="12"/>
  <c r="D185" i="11"/>
  <c r="D160" i="12"/>
  <c r="D158" i="11"/>
  <c r="D144" i="10"/>
  <c r="D145" i="12"/>
  <c r="D145" i="11"/>
  <c r="D136" i="10"/>
  <c r="D137" i="12"/>
  <c r="D137" i="11"/>
  <c r="D123" i="10"/>
  <c r="D124" i="12"/>
  <c r="D124" i="11"/>
  <c r="D114" i="10"/>
  <c r="D115" i="12"/>
  <c r="D115" i="11"/>
  <c r="D100" i="10"/>
  <c r="D101" i="12"/>
  <c r="D101" i="11"/>
  <c r="D90" i="10"/>
  <c r="D91" i="12"/>
  <c r="D91" i="11"/>
  <c r="D71" i="10"/>
  <c r="D72" i="12"/>
  <c r="D72" i="11"/>
  <c r="D65" i="10"/>
  <c r="D66" i="12"/>
  <c r="D66" i="11"/>
  <c r="D55" i="10"/>
  <c r="D56" i="12"/>
  <c r="D56" i="11"/>
  <c r="D47" i="10"/>
  <c r="D48" i="12"/>
  <c r="D48" i="11"/>
  <c r="D37" i="10"/>
  <c r="D37" i="12"/>
  <c r="D37" i="11"/>
  <c r="D22" i="10"/>
  <c r="D22" i="11"/>
  <c r="D22" i="12"/>
  <c r="D98" i="10"/>
  <c r="D99" i="12"/>
  <c r="D99" i="11"/>
  <c r="D102" i="10"/>
  <c r="D103" i="12"/>
  <c r="D103" i="11"/>
  <c r="D186" i="10"/>
  <c r="D189" i="12"/>
  <c r="D187" i="11"/>
  <c r="D87" i="10"/>
  <c r="D88" i="12"/>
  <c r="D88" i="11"/>
  <c r="D153" i="10"/>
  <c r="D156" i="12"/>
  <c r="D154" i="11"/>
  <c r="B187" i="10"/>
  <c r="B190" i="12"/>
  <c r="B179" i="10"/>
  <c r="B182" i="12"/>
  <c r="B153" i="10"/>
  <c r="B156" i="12"/>
  <c r="B144" i="10"/>
  <c r="B145" i="12"/>
  <c r="B136" i="10"/>
  <c r="B137" i="12"/>
  <c r="B123" i="10"/>
  <c r="B124" i="12"/>
  <c r="B114" i="10"/>
  <c r="B115" i="12"/>
  <c r="B102" i="10"/>
  <c r="B103" i="12"/>
  <c r="B94" i="10"/>
  <c r="B95" i="12"/>
  <c r="B87" i="10"/>
  <c r="B88" i="12"/>
  <c r="B79" i="10"/>
  <c r="B80" i="12"/>
  <c r="B70" i="10"/>
  <c r="B71" i="12"/>
  <c r="B64" i="10"/>
  <c r="B65" i="12"/>
  <c r="B54" i="10"/>
  <c r="B55" i="12"/>
  <c r="B45" i="10"/>
  <c r="B46" i="12"/>
  <c r="B35" i="10"/>
  <c r="B35" i="12"/>
  <c r="B22" i="10"/>
  <c r="B22" i="12"/>
  <c r="D183" i="10"/>
  <c r="D186" i="12"/>
  <c r="D184" i="11"/>
  <c r="D151" i="10"/>
  <c r="D152" i="12"/>
  <c r="D152" i="11"/>
  <c r="D143" i="10"/>
  <c r="D144" i="12"/>
  <c r="D144" i="11"/>
  <c r="D135" i="10"/>
  <c r="D136" i="12"/>
  <c r="D136" i="11"/>
  <c r="D122" i="10"/>
  <c r="D123" i="12"/>
  <c r="D123" i="11"/>
  <c r="D113" i="10"/>
  <c r="D114" i="12"/>
  <c r="D114" i="11"/>
  <c r="D99" i="10"/>
  <c r="D100" i="12"/>
  <c r="D100" i="11"/>
  <c r="D89" i="10"/>
  <c r="D90" i="12"/>
  <c r="D90" i="11"/>
  <c r="D79" i="10"/>
  <c r="D80" i="12"/>
  <c r="D80" i="11"/>
  <c r="D70" i="10"/>
  <c r="D71" i="12"/>
  <c r="D71" i="11"/>
  <c r="D64" i="10"/>
  <c r="D65" i="12"/>
  <c r="D65" i="11"/>
  <c r="D54" i="10"/>
  <c r="D55" i="12"/>
  <c r="D55" i="11"/>
  <c r="D45" i="10"/>
  <c r="D46" i="12"/>
  <c r="D46" i="11"/>
  <c r="D35" i="10"/>
  <c r="D35" i="12"/>
  <c r="D35" i="11"/>
  <c r="D21" i="10"/>
  <c r="D21" i="12"/>
  <c r="D21" i="11"/>
  <c r="B186" i="10"/>
  <c r="B189" i="12"/>
  <c r="B178" i="10"/>
  <c r="B181" i="12"/>
  <c r="B151" i="10"/>
  <c r="B152" i="12"/>
  <c r="B143" i="10"/>
  <c r="B144" i="12"/>
  <c r="B135" i="10"/>
  <c r="B136" i="12"/>
  <c r="B122" i="10"/>
  <c r="B123" i="12"/>
  <c r="B113" i="10"/>
  <c r="B114" i="12"/>
  <c r="B101" i="10"/>
  <c r="B102" i="12"/>
  <c r="B93" i="10"/>
  <c r="B94" i="12"/>
  <c r="B86" i="10"/>
  <c r="B87" i="12"/>
  <c r="B78" i="10"/>
  <c r="B79" i="12"/>
  <c r="B69" i="10"/>
  <c r="B70" i="12"/>
  <c r="B61" i="10"/>
  <c r="B62" i="12"/>
  <c r="B53" i="10"/>
  <c r="B54" i="12"/>
  <c r="B44" i="10"/>
  <c r="B45" i="12"/>
  <c r="B34" i="10"/>
  <c r="B34" i="12"/>
  <c r="B21" i="10"/>
  <c r="B21" i="12"/>
  <c r="D182" i="10"/>
  <c r="D185" i="12"/>
  <c r="D183" i="11"/>
  <c r="D150" i="10"/>
  <c r="D151" i="12"/>
  <c r="D151" i="11"/>
  <c r="D142" i="10"/>
  <c r="D143" i="12"/>
  <c r="D143" i="11"/>
  <c r="D134" i="10"/>
  <c r="D135" i="12"/>
  <c r="D135" i="11"/>
  <c r="D121" i="10"/>
  <c r="D122" i="12"/>
  <c r="D122" i="11"/>
  <c r="D112" i="10"/>
  <c r="D113" i="12"/>
  <c r="D113" i="11"/>
  <c r="D95" i="10"/>
  <c r="D96" i="12"/>
  <c r="D96" i="11"/>
  <c r="D88" i="10"/>
  <c r="D89" i="12"/>
  <c r="D89" i="11"/>
  <c r="D78" i="10"/>
  <c r="D79" i="12"/>
  <c r="D79" i="11"/>
  <c r="D69" i="10"/>
  <c r="D70" i="11"/>
  <c r="D70" i="12"/>
  <c r="D61" i="10"/>
  <c r="D62" i="12"/>
  <c r="D62" i="11"/>
  <c r="D53" i="10"/>
  <c r="D54" i="12"/>
  <c r="D54" i="11"/>
  <c r="D44" i="10"/>
  <c r="D45" i="12"/>
  <c r="D45" i="11"/>
  <c r="D34" i="10"/>
  <c r="D34" i="12"/>
  <c r="D34" i="11"/>
  <c r="D20" i="10"/>
  <c r="D20" i="12"/>
  <c r="D20" i="11"/>
  <c r="D31" i="10"/>
  <c r="D31" i="12"/>
  <c r="D31" i="11"/>
  <c r="D187" i="10"/>
  <c r="D188" i="11"/>
  <c r="D190" i="12"/>
  <c r="D96" i="10"/>
  <c r="D97" i="12"/>
  <c r="D97" i="11"/>
  <c r="D154" i="10"/>
  <c r="D157" i="12"/>
  <c r="D155" i="11"/>
  <c r="B185" i="10"/>
  <c r="B188" i="12"/>
  <c r="B177" i="10"/>
  <c r="B180" i="12"/>
  <c r="B150" i="10"/>
  <c r="B151" i="12"/>
  <c r="B142" i="10"/>
  <c r="B143" i="12"/>
  <c r="B134" i="10"/>
  <c r="B135" i="12"/>
  <c r="B121" i="10"/>
  <c r="B122" i="12"/>
  <c r="B112" i="10"/>
  <c r="B113" i="12"/>
  <c r="B100" i="10"/>
  <c r="B101" i="12"/>
  <c r="B92" i="10"/>
  <c r="B93" i="12"/>
  <c r="B85" i="10"/>
  <c r="B86" i="12"/>
  <c r="B77" i="10"/>
  <c r="B78" i="12"/>
  <c r="B68" i="10"/>
  <c r="B69" i="12"/>
  <c r="B60" i="10"/>
  <c r="B61" i="12"/>
  <c r="B52" i="10"/>
  <c r="B53" i="12"/>
  <c r="B43" i="10"/>
  <c r="B44" i="12"/>
  <c r="B33" i="10"/>
  <c r="B33" i="12"/>
  <c r="B20" i="10"/>
  <c r="B20" i="12"/>
  <c r="D188" i="10"/>
  <c r="D186" i="2"/>
  <c r="D187" i="7"/>
  <c r="B157" i="8"/>
  <c r="B157" i="10"/>
  <c r="D196" i="9"/>
  <c r="D197" i="10"/>
  <c r="D197" i="9"/>
  <c r="B196" i="9"/>
  <c r="B197" i="9"/>
  <c r="B197" i="10"/>
  <c r="B159" i="2"/>
  <c r="B159" i="10"/>
  <c r="B160" i="7"/>
  <c r="B160" i="8"/>
  <c r="B160" i="9"/>
  <c r="D190" i="10"/>
  <c r="D189" i="8"/>
  <c r="D190" i="9"/>
  <c r="B190" i="10"/>
  <c r="B189" i="8"/>
  <c r="B190" i="9"/>
  <c r="D159" i="10"/>
  <c r="D159" i="2"/>
  <c r="D160" i="7"/>
  <c r="D160" i="8"/>
  <c r="D160" i="9"/>
  <c r="B188" i="10"/>
  <c r="B186" i="2"/>
  <c r="B187" i="7"/>
  <c r="D157" i="8"/>
  <c r="D157" i="10"/>
  <c r="B159" i="7"/>
  <c r="B159" i="8"/>
  <c r="B158" i="2"/>
  <c r="B159" i="9"/>
  <c r="D186" i="7"/>
  <c r="D185" i="2"/>
  <c r="D186" i="8"/>
  <c r="D187" i="9"/>
  <c r="D189" i="9"/>
  <c r="D188" i="8"/>
  <c r="B189" i="9"/>
  <c r="B188" i="8"/>
  <c r="D158" i="2"/>
  <c r="D159" i="8"/>
  <c r="D159" i="7"/>
  <c r="D159" i="9"/>
  <c r="B186" i="7"/>
  <c r="B185" i="2"/>
  <c r="B187" i="9"/>
  <c r="B186" i="8"/>
  <c r="B158" i="7"/>
  <c r="B157" i="2"/>
  <c r="D185" i="7"/>
  <c r="D184" i="2"/>
  <c r="B154" i="2"/>
  <c r="B156" i="7"/>
  <c r="B155" i="2"/>
  <c r="D158" i="7"/>
  <c r="D157" i="2"/>
  <c r="B184" i="2"/>
  <c r="B185" i="7"/>
  <c r="D154" i="2"/>
  <c r="D156" i="7"/>
  <c r="D155" i="2"/>
  <c r="B179" i="2"/>
  <c r="B180" i="7"/>
  <c r="B182" i="9"/>
  <c r="B181" i="8"/>
  <c r="D174" i="2"/>
  <c r="D176" i="8"/>
  <c r="D177" i="9"/>
  <c r="D175" i="7"/>
  <c r="D183" i="2"/>
  <c r="D184" i="7"/>
  <c r="D185" i="8"/>
  <c r="D186" i="9"/>
  <c r="B178" i="2"/>
  <c r="B179" i="7"/>
  <c r="B181" i="9"/>
  <c r="B180" i="8"/>
  <c r="D161" i="9"/>
  <c r="D195" i="9"/>
  <c r="D173" i="2"/>
  <c r="D175" i="8"/>
  <c r="D176" i="9"/>
  <c r="D174" i="7"/>
  <c r="B161" i="9"/>
  <c r="B195" i="9"/>
  <c r="B177" i="2"/>
  <c r="B180" i="9"/>
  <c r="B179" i="8"/>
  <c r="B178" i="7"/>
  <c r="D176" i="2"/>
  <c r="D177" i="7"/>
  <c r="D178" i="8"/>
  <c r="D179" i="9"/>
  <c r="B156" i="2"/>
  <c r="B157" i="7"/>
  <c r="D158" i="8"/>
  <c r="D187" i="8"/>
  <c r="D188" i="9"/>
  <c r="D172" i="2"/>
  <c r="D175" i="9"/>
  <c r="D173" i="7"/>
  <c r="D174" i="8"/>
  <c r="D175" i="2"/>
  <c r="D177" i="8"/>
  <c r="D178" i="9"/>
  <c r="D176" i="7"/>
  <c r="B158" i="8"/>
  <c r="B188" i="9"/>
  <c r="B187" i="8"/>
  <c r="B176" i="2"/>
  <c r="B179" i="9"/>
  <c r="B178" i="8"/>
  <c r="B177" i="7"/>
  <c r="D180" i="2"/>
  <c r="D183" i="9"/>
  <c r="D182" i="8"/>
  <c r="D181" i="7"/>
  <c r="D156" i="2"/>
  <c r="D157" i="7"/>
  <c r="B183" i="2"/>
  <c r="B185" i="8"/>
  <c r="B186" i="9"/>
  <c r="B184" i="7"/>
  <c r="B175" i="2"/>
  <c r="B177" i="8"/>
  <c r="B176" i="7"/>
  <c r="B178" i="9"/>
  <c r="D179" i="2"/>
  <c r="D180" i="7"/>
  <c r="D182" i="9"/>
  <c r="D181" i="8"/>
  <c r="D181" i="2"/>
  <c r="D183" i="8"/>
  <c r="D184" i="9"/>
  <c r="D182" i="7"/>
  <c r="B182" i="2"/>
  <c r="B183" i="7"/>
  <c r="B184" i="8"/>
  <c r="B185" i="9"/>
  <c r="B174" i="2"/>
  <c r="B175" i="7"/>
  <c r="B176" i="8"/>
  <c r="B177" i="9"/>
  <c r="D178" i="2"/>
  <c r="D179" i="7"/>
  <c r="D180" i="8"/>
  <c r="D181" i="9"/>
  <c r="B181" i="2"/>
  <c r="B182" i="7"/>
  <c r="B184" i="9"/>
  <c r="B183" i="8"/>
  <c r="B173" i="2"/>
  <c r="B174" i="7"/>
  <c r="B176" i="9"/>
  <c r="B175" i="8"/>
  <c r="D177" i="2"/>
  <c r="D178" i="7"/>
  <c r="D179" i="8"/>
  <c r="D180" i="9"/>
  <c r="D182" i="2"/>
  <c r="D184" i="8"/>
  <c r="D185" i="9"/>
  <c r="D183" i="7"/>
  <c r="B180" i="2"/>
  <c r="B181" i="7"/>
  <c r="B183" i="9"/>
  <c r="B182" i="8"/>
  <c r="B172" i="2"/>
  <c r="B173" i="7"/>
  <c r="B175" i="9"/>
  <c r="B174" i="8"/>
  <c r="B15" i="8"/>
  <c r="B158" i="9"/>
  <c r="B24" i="9"/>
  <c r="B103" i="9"/>
  <c r="B152" i="9"/>
  <c r="B143" i="7"/>
  <c r="B39" i="7"/>
  <c r="B137" i="2"/>
  <c r="B30" i="2"/>
  <c r="B150" i="8"/>
  <c r="B135" i="2"/>
  <c r="B151" i="9"/>
  <c r="B32" i="9"/>
  <c r="B147" i="8"/>
  <c r="B39" i="8"/>
  <c r="B145" i="7"/>
  <c r="B31" i="7"/>
  <c r="B149" i="9"/>
  <c r="B41" i="9"/>
  <c r="B149" i="8"/>
  <c r="B31" i="8"/>
  <c r="B15" i="9"/>
  <c r="B17" i="10"/>
  <c r="B17" i="12"/>
  <c r="B15" i="13"/>
  <c r="B17" i="14"/>
  <c r="B15" i="15"/>
  <c r="B17" i="16"/>
  <c r="B15" i="17"/>
  <c r="B16" i="10"/>
  <c r="B16" i="12"/>
  <c r="B16" i="14"/>
  <c r="B16" i="16"/>
  <c r="B150" i="2"/>
  <c r="B39" i="9"/>
  <c r="B17" i="7"/>
  <c r="B15" i="10"/>
  <c r="B15" i="12"/>
  <c r="B17" i="13"/>
  <c r="B15" i="14"/>
  <c r="B17" i="15"/>
  <c r="B15" i="16"/>
  <c r="B17" i="17"/>
  <c r="B16" i="8"/>
  <c r="B16" i="13"/>
  <c r="B16" i="15"/>
  <c r="B16" i="17"/>
  <c r="B17" i="9"/>
  <c r="B16" i="9"/>
  <c r="B155" i="9"/>
  <c r="B153" i="8"/>
  <c r="B140" i="2"/>
  <c r="B148" i="7"/>
  <c r="B144" i="9"/>
  <c r="B142" i="8"/>
  <c r="B138" i="7"/>
  <c r="B130" i="2"/>
  <c r="B136" i="9"/>
  <c r="B134" i="8"/>
  <c r="B130" i="7"/>
  <c r="B123" i="2"/>
  <c r="B128" i="9"/>
  <c r="B126" i="8"/>
  <c r="B122" i="7"/>
  <c r="B115" i="2"/>
  <c r="B120" i="9"/>
  <c r="B118" i="8"/>
  <c r="B114" i="7"/>
  <c r="B107" i="2"/>
  <c r="B112" i="9"/>
  <c r="B110" i="8"/>
  <c r="B106" i="7"/>
  <c r="B99" i="2"/>
  <c r="B104" i="9"/>
  <c r="B102" i="8"/>
  <c r="B101" i="7"/>
  <c r="B94" i="2"/>
  <c r="B96" i="9"/>
  <c r="B95" i="8"/>
  <c r="B94" i="7"/>
  <c r="B82" i="8"/>
  <c r="B83" i="9"/>
  <c r="B82" i="7"/>
  <c r="B78" i="2"/>
  <c r="B77" i="9"/>
  <c r="B76" i="8"/>
  <c r="B76" i="7"/>
  <c r="B72" i="2"/>
  <c r="B69" i="9"/>
  <c r="B68" i="8"/>
  <c r="B68" i="7"/>
  <c r="B64" i="2"/>
  <c r="B61" i="9"/>
  <c r="B60" i="8"/>
  <c r="B60" i="7"/>
  <c r="B56" i="2"/>
  <c r="B53" i="9"/>
  <c r="B52" i="8"/>
  <c r="B52" i="7"/>
  <c r="B48" i="2"/>
  <c r="B45" i="9"/>
  <c r="B44" i="8"/>
  <c r="B44" i="7"/>
  <c r="B40" i="2"/>
  <c r="B37" i="9"/>
  <c r="B36" i="8"/>
  <c r="B33" i="2"/>
  <c r="B36" i="7"/>
  <c r="B27" i="8"/>
  <c r="B28" i="9"/>
  <c r="B27" i="7"/>
  <c r="B26" i="2"/>
  <c r="B19" i="8"/>
  <c r="B19" i="9"/>
  <c r="B19" i="7"/>
  <c r="B19" i="2"/>
  <c r="B155" i="7"/>
  <c r="B146" i="2"/>
  <c r="B154" i="9"/>
  <c r="B147" i="7"/>
  <c r="B152" i="8"/>
  <c r="B139" i="2"/>
  <c r="B143" i="9"/>
  <c r="B141" i="8"/>
  <c r="B129" i="2"/>
  <c r="B137" i="7"/>
  <c r="B135" i="9"/>
  <c r="B133" i="8"/>
  <c r="B129" i="7"/>
  <c r="B122" i="2"/>
  <c r="B127" i="9"/>
  <c r="B125" i="8"/>
  <c r="B121" i="7"/>
  <c r="B114" i="2"/>
  <c r="B119" i="9"/>
  <c r="B117" i="8"/>
  <c r="B113" i="7"/>
  <c r="B106" i="2"/>
  <c r="B111" i="9"/>
  <c r="B109" i="8"/>
  <c r="B105" i="7"/>
  <c r="B98" i="2"/>
  <c r="B95" i="9"/>
  <c r="B94" i="8"/>
  <c r="B93" i="7"/>
  <c r="B88" i="2"/>
  <c r="B82" i="9"/>
  <c r="B81" i="8"/>
  <c r="B77" i="2"/>
  <c r="B81" i="7"/>
  <c r="B75" i="8"/>
  <c r="B76" i="9"/>
  <c r="B75" i="7"/>
  <c r="B71" i="2"/>
  <c r="B67" i="8"/>
  <c r="B68" i="9"/>
  <c r="B67" i="7"/>
  <c r="B63" i="2"/>
  <c r="B59" i="8"/>
  <c r="B59" i="7"/>
  <c r="B60" i="9"/>
  <c r="B55" i="2"/>
  <c r="B51" i="8"/>
  <c r="B52" i="9"/>
  <c r="B51" i="7"/>
  <c r="B47" i="2"/>
  <c r="B43" i="8"/>
  <c r="B44" i="9"/>
  <c r="B43" i="7"/>
  <c r="B39" i="2"/>
  <c r="B35" i="8"/>
  <c r="B36" i="9"/>
  <c r="B35" i="7"/>
  <c r="B32" i="2"/>
  <c r="B27" i="9"/>
  <c r="B26" i="8"/>
  <c r="B26" i="7"/>
  <c r="B18" i="9"/>
  <c r="B18" i="8"/>
  <c r="B18" i="7"/>
  <c r="B18" i="2"/>
  <c r="B154" i="7"/>
  <c r="B145" i="2"/>
  <c r="B153" i="9"/>
  <c r="B151" i="8"/>
  <c r="B146" i="7"/>
  <c r="B138" i="2"/>
  <c r="B142" i="9"/>
  <c r="B140" i="8"/>
  <c r="B136" i="7"/>
  <c r="B128" i="2"/>
  <c r="B133" i="9"/>
  <c r="B131" i="8"/>
  <c r="B120" i="2"/>
  <c r="B127" i="7"/>
  <c r="B126" i="9"/>
  <c r="B124" i="8"/>
  <c r="B113" i="2"/>
  <c r="B120" i="7"/>
  <c r="B118" i="9"/>
  <c r="B116" i="8"/>
  <c r="B105" i="2"/>
  <c r="B112" i="7"/>
  <c r="B110" i="9"/>
  <c r="B108" i="8"/>
  <c r="B102" i="9"/>
  <c r="B101" i="8"/>
  <c r="B100" i="7"/>
  <c r="B93" i="2"/>
  <c r="B94" i="9"/>
  <c r="B93" i="8"/>
  <c r="B92" i="7"/>
  <c r="B87" i="2"/>
  <c r="B89" i="9"/>
  <c r="B88" i="8"/>
  <c r="B81" i="9"/>
  <c r="B80" i="8"/>
  <c r="B76" i="2"/>
  <c r="B80" i="7"/>
  <c r="B75" i="9"/>
  <c r="B74" i="8"/>
  <c r="B74" i="7"/>
  <c r="B70" i="2"/>
  <c r="B67" i="9"/>
  <c r="B66" i="8"/>
  <c r="B66" i="7"/>
  <c r="B62" i="2"/>
  <c r="B59" i="9"/>
  <c r="B58" i="8"/>
  <c r="B58" i="7"/>
  <c r="B54" i="2"/>
  <c r="B50" i="8"/>
  <c r="B51" i="9"/>
  <c r="B50" i="7"/>
  <c r="B46" i="2"/>
  <c r="B43" i="9"/>
  <c r="B42" i="8"/>
  <c r="B42" i="7"/>
  <c r="B38" i="2"/>
  <c r="B35" i="9"/>
  <c r="B34" i="8"/>
  <c r="B34" i="7"/>
  <c r="B26" i="9"/>
  <c r="B25" i="8"/>
  <c r="B25" i="2"/>
  <c r="B25" i="7"/>
  <c r="B153" i="2"/>
  <c r="B153" i="7"/>
  <c r="B150" i="9"/>
  <c r="B148" i="8"/>
  <c r="B144" i="7"/>
  <c r="B136" i="2"/>
  <c r="B141" i="9"/>
  <c r="B139" i="8"/>
  <c r="B135" i="7"/>
  <c r="B127" i="2"/>
  <c r="B132" i="9"/>
  <c r="B130" i="8"/>
  <c r="B126" i="7"/>
  <c r="B119" i="2"/>
  <c r="B125" i="9"/>
  <c r="B123" i="8"/>
  <c r="B119" i="7"/>
  <c r="B112" i="2"/>
  <c r="B117" i="9"/>
  <c r="B115" i="8"/>
  <c r="B111" i="7"/>
  <c r="B104" i="2"/>
  <c r="B109" i="9"/>
  <c r="B107" i="8"/>
  <c r="B101" i="9"/>
  <c r="B100" i="8"/>
  <c r="B99" i="7"/>
  <c r="B92" i="2"/>
  <c r="B93" i="9"/>
  <c r="B92" i="8"/>
  <c r="B91" i="7"/>
  <c r="B86" i="2"/>
  <c r="B88" i="9"/>
  <c r="B87" i="8"/>
  <c r="B87" i="7"/>
  <c r="B80" i="9"/>
  <c r="B79" i="8"/>
  <c r="B79" i="7"/>
  <c r="B75" i="2"/>
  <c r="B74" i="9"/>
  <c r="B73" i="8"/>
  <c r="B69" i="2"/>
  <c r="B73" i="7"/>
  <c r="B66" i="9"/>
  <c r="B65" i="8"/>
  <c r="B65" i="7"/>
  <c r="B61" i="2"/>
  <c r="B58" i="9"/>
  <c r="B57" i="8"/>
  <c r="B57" i="7"/>
  <c r="B53" i="2"/>
  <c r="B50" i="9"/>
  <c r="B49" i="8"/>
  <c r="B45" i="2"/>
  <c r="B49" i="7"/>
  <c r="B42" i="9"/>
  <c r="B41" i="8"/>
  <c r="B37" i="2"/>
  <c r="B41" i="7"/>
  <c r="B34" i="9"/>
  <c r="B33" i="8"/>
  <c r="B33" i="7"/>
  <c r="B25" i="9"/>
  <c r="B24" i="8"/>
  <c r="B24" i="7"/>
  <c r="B24" i="2"/>
  <c r="B152" i="2"/>
  <c r="B152" i="7"/>
  <c r="B144" i="2"/>
  <c r="B148" i="9"/>
  <c r="B146" i="8"/>
  <c r="B142" i="7"/>
  <c r="B134" i="2"/>
  <c r="B140" i="9"/>
  <c r="B138" i="8"/>
  <c r="B134" i="7"/>
  <c r="B131" i="9"/>
  <c r="B129" i="8"/>
  <c r="B125" i="7"/>
  <c r="B118" i="2"/>
  <c r="B124" i="9"/>
  <c r="B122" i="8"/>
  <c r="B118" i="7"/>
  <c r="B111" i="2"/>
  <c r="B114" i="8"/>
  <c r="B116" i="9"/>
  <c r="B110" i="7"/>
  <c r="B103" i="2"/>
  <c r="B106" i="8"/>
  <c r="B108" i="9"/>
  <c r="B99" i="8"/>
  <c r="B100" i="9"/>
  <c r="B98" i="7"/>
  <c r="B91" i="2"/>
  <c r="B91" i="8"/>
  <c r="B92" i="9"/>
  <c r="B90" i="7"/>
  <c r="B85" i="2"/>
  <c r="B87" i="9"/>
  <c r="B86" i="8"/>
  <c r="B86" i="7"/>
  <c r="B82" i="2"/>
  <c r="B79" i="9"/>
  <c r="B78" i="8"/>
  <c r="B78" i="7"/>
  <c r="B74" i="2"/>
  <c r="B73" i="9"/>
  <c r="B72" i="8"/>
  <c r="B68" i="2"/>
  <c r="B72" i="7"/>
  <c r="B65" i="9"/>
  <c r="B64" i="8"/>
  <c r="B64" i="7"/>
  <c r="B60" i="2"/>
  <c r="B57" i="9"/>
  <c r="B56" i="8"/>
  <c r="B56" i="7"/>
  <c r="B52" i="2"/>
  <c r="B49" i="9"/>
  <c r="B48" i="8"/>
  <c r="B44" i="2"/>
  <c r="B48" i="7"/>
  <c r="B40" i="8"/>
  <c r="B36" i="2"/>
  <c r="B40" i="7"/>
  <c r="B33" i="9"/>
  <c r="B32" i="8"/>
  <c r="B32" i="7"/>
  <c r="B31" i="2"/>
  <c r="B23" i="9"/>
  <c r="B23" i="8"/>
  <c r="B23" i="7"/>
  <c r="B23" i="2"/>
  <c r="B151" i="2"/>
  <c r="B156" i="8"/>
  <c r="B151" i="7"/>
  <c r="B143" i="2"/>
  <c r="B147" i="9"/>
  <c r="B145" i="8"/>
  <c r="B141" i="7"/>
  <c r="B133" i="2"/>
  <c r="B139" i="9"/>
  <c r="B137" i="8"/>
  <c r="B133" i="7"/>
  <c r="B126" i="2"/>
  <c r="B130" i="9"/>
  <c r="B128" i="8"/>
  <c r="B117" i="2"/>
  <c r="B124" i="7"/>
  <c r="B123" i="9"/>
  <c r="B121" i="8"/>
  <c r="B117" i="7"/>
  <c r="B110" i="2"/>
  <c r="B113" i="8"/>
  <c r="B115" i="9"/>
  <c r="B109" i="7"/>
  <c r="B102" i="2"/>
  <c r="B105" i="8"/>
  <c r="B107" i="9"/>
  <c r="B97" i="2"/>
  <c r="B104" i="7"/>
  <c r="B99" i="9"/>
  <c r="B98" i="8"/>
  <c r="B97" i="7"/>
  <c r="B90" i="2"/>
  <c r="B91" i="9"/>
  <c r="B89" i="7"/>
  <c r="B84" i="2"/>
  <c r="B90" i="8"/>
  <c r="B86" i="9"/>
  <c r="B85" i="8"/>
  <c r="B85" i="7"/>
  <c r="B81" i="2"/>
  <c r="B72" i="9"/>
  <c r="B71" i="8"/>
  <c r="B71" i="7"/>
  <c r="B67" i="2"/>
  <c r="B64" i="9"/>
  <c r="B63" i="8"/>
  <c r="B59" i="2"/>
  <c r="B63" i="7"/>
  <c r="B56" i="9"/>
  <c r="B55" i="8"/>
  <c r="B55" i="7"/>
  <c r="B51" i="2"/>
  <c r="B48" i="9"/>
  <c r="B47" i="8"/>
  <c r="B47" i="7"/>
  <c r="B43" i="2"/>
  <c r="B40" i="9"/>
  <c r="B38" i="8"/>
  <c r="B38" i="7"/>
  <c r="B35" i="2"/>
  <c r="B31" i="9"/>
  <c r="B30" i="8"/>
  <c r="B29" i="2"/>
  <c r="B30" i="7"/>
  <c r="B22" i="9"/>
  <c r="B22" i="8"/>
  <c r="B22" i="7"/>
  <c r="B22" i="2"/>
  <c r="B147" i="2"/>
  <c r="B149" i="2"/>
  <c r="B157" i="9"/>
  <c r="B155" i="8"/>
  <c r="B150" i="7"/>
  <c r="B142" i="2"/>
  <c r="B146" i="9"/>
  <c r="B144" i="8"/>
  <c r="B140" i="7"/>
  <c r="B132" i="2"/>
  <c r="B138" i="9"/>
  <c r="B136" i="8"/>
  <c r="B132" i="7"/>
  <c r="B125" i="2"/>
  <c r="B134" i="9"/>
  <c r="B132" i="8"/>
  <c r="B128" i="7"/>
  <c r="B121" i="2"/>
  <c r="B122" i="9"/>
  <c r="B120" i="8"/>
  <c r="B109" i="2"/>
  <c r="B116" i="7"/>
  <c r="B114" i="9"/>
  <c r="B112" i="8"/>
  <c r="B108" i="7"/>
  <c r="B101" i="2"/>
  <c r="B106" i="9"/>
  <c r="B104" i="8"/>
  <c r="B103" i="7"/>
  <c r="B96" i="2"/>
  <c r="B98" i="9"/>
  <c r="B97" i="8"/>
  <c r="B96" i="7"/>
  <c r="B90" i="9"/>
  <c r="B89" i="8"/>
  <c r="B88" i="7"/>
  <c r="B83" i="2"/>
  <c r="B85" i="9"/>
  <c r="B84" i="8"/>
  <c r="B80" i="2"/>
  <c r="B84" i="7"/>
  <c r="B71" i="9"/>
  <c r="B70" i="8"/>
  <c r="B70" i="7"/>
  <c r="B66" i="2"/>
  <c r="B63" i="9"/>
  <c r="B62" i="8"/>
  <c r="B62" i="7"/>
  <c r="B58" i="2"/>
  <c r="B55" i="9"/>
  <c r="B54" i="8"/>
  <c r="B54" i="7"/>
  <c r="B50" i="2"/>
  <c r="B47" i="9"/>
  <c r="B46" i="8"/>
  <c r="B46" i="7"/>
  <c r="B42" i="2"/>
  <c r="B30" i="9"/>
  <c r="B29" i="8"/>
  <c r="B29" i="7"/>
  <c r="B28" i="2"/>
  <c r="B21" i="9"/>
  <c r="B21" i="8"/>
  <c r="B21" i="7"/>
  <c r="B21" i="2"/>
  <c r="B148" i="2"/>
  <c r="B156" i="9"/>
  <c r="B149" i="7"/>
  <c r="B154" i="8"/>
  <c r="B141" i="2"/>
  <c r="B145" i="9"/>
  <c r="B143" i="8"/>
  <c r="B139" i="7"/>
  <c r="B131" i="2"/>
  <c r="B137" i="9"/>
  <c r="B135" i="8"/>
  <c r="B131" i="7"/>
  <c r="B124" i="2"/>
  <c r="B129" i="9"/>
  <c r="B127" i="8"/>
  <c r="B123" i="7"/>
  <c r="B116" i="2"/>
  <c r="B121" i="9"/>
  <c r="B115" i="7"/>
  <c r="B119" i="8"/>
  <c r="B108" i="2"/>
  <c r="B113" i="9"/>
  <c r="B107" i="7"/>
  <c r="B111" i="8"/>
  <c r="B100" i="2"/>
  <c r="B105" i="9"/>
  <c r="B103" i="8"/>
  <c r="B102" i="7"/>
  <c r="B95" i="2"/>
  <c r="B97" i="9"/>
  <c r="B96" i="8"/>
  <c r="B89" i="2"/>
  <c r="B95" i="7"/>
  <c r="B83" i="8"/>
  <c r="B84" i="9"/>
  <c r="B83" i="7"/>
  <c r="B79" i="2"/>
  <c r="B78" i="9"/>
  <c r="B77" i="8"/>
  <c r="B77" i="7"/>
  <c r="B73" i="2"/>
  <c r="B70" i="9"/>
  <c r="B69" i="8"/>
  <c r="B69" i="7"/>
  <c r="B65" i="2"/>
  <c r="B62" i="9"/>
  <c r="B61" i="7"/>
  <c r="B57" i="2"/>
  <c r="B61" i="8"/>
  <c r="B54" i="9"/>
  <c r="B53" i="8"/>
  <c r="B53" i="7"/>
  <c r="B49" i="2"/>
  <c r="B46" i="9"/>
  <c r="B45" i="8"/>
  <c r="B45" i="7"/>
  <c r="B41" i="2"/>
  <c r="B38" i="9"/>
  <c r="B37" i="7"/>
  <c r="B37" i="8"/>
  <c r="B34" i="2"/>
  <c r="B29" i="9"/>
  <c r="B28" i="8"/>
  <c r="B28" i="7"/>
  <c r="B27" i="2"/>
  <c r="B20" i="8"/>
  <c r="B20" i="9"/>
  <c r="B20" i="2"/>
  <c r="B20" i="7"/>
  <c r="B17" i="8"/>
  <c r="B16" i="2"/>
  <c r="B16" i="7"/>
  <c r="B17" i="2"/>
  <c r="B15" i="7"/>
  <c r="H108" i="28"/>
  <c r="H163" i="28"/>
  <c r="H115" i="28"/>
  <c r="H151" i="28"/>
  <c r="H155" i="28"/>
  <c r="H122" i="28"/>
  <c r="H166" i="28"/>
  <c r="H143" i="28"/>
  <c r="H134" i="28"/>
  <c r="H126" i="28"/>
  <c r="H114" i="28"/>
  <c r="H93" i="28"/>
  <c r="H141" i="28"/>
  <c r="H156" i="28"/>
  <c r="H106" i="28"/>
  <c r="H128" i="28"/>
  <c r="H117" i="28"/>
  <c r="H92" i="28"/>
  <c r="H109" i="28"/>
  <c r="J143" i="28"/>
  <c r="J134" i="28"/>
  <c r="J109" i="28"/>
  <c r="J159" i="28"/>
  <c r="J141" i="28"/>
  <c r="J146" i="28"/>
  <c r="J133" i="28"/>
  <c r="J125" i="28"/>
  <c r="J117" i="28"/>
  <c r="J108" i="28"/>
  <c r="J126" i="28"/>
  <c r="J158" i="28"/>
  <c r="J144" i="28"/>
  <c r="J131" i="28"/>
  <c r="J115" i="28"/>
  <c r="J105" i="28"/>
  <c r="J90" i="28"/>
  <c r="J116" i="28"/>
  <c r="J168" i="28"/>
  <c r="J151" i="28"/>
  <c r="I135" i="28"/>
  <c r="I106" i="28"/>
  <c r="I115" i="28"/>
  <c r="I105" i="28"/>
  <c r="I144" i="28"/>
  <c r="I114" i="28"/>
  <c r="I171" i="28"/>
  <c r="I93" i="28"/>
  <c r="I92" i="28"/>
  <c r="I156" i="28"/>
  <c r="I143" i="28"/>
  <c r="I127" i="28"/>
  <c r="I113" i="28"/>
  <c r="I134" i="28"/>
  <c r="I157" i="28"/>
  <c r="I126" i="28"/>
  <c r="I112" i="28"/>
  <c r="I154" i="28"/>
  <c r="I139" i="28"/>
  <c r="I131" i="28"/>
  <c r="I167" i="28"/>
  <c r="I130" i="28"/>
  <c r="I122" i="28"/>
  <c r="H120" i="28"/>
  <c r="H140" i="28"/>
  <c r="H119" i="28"/>
  <c r="H161" i="28"/>
  <c r="H139" i="28"/>
  <c r="H131" i="28"/>
  <c r="H138" i="28"/>
  <c r="H152" i="28"/>
  <c r="H137" i="28"/>
  <c r="H129" i="28"/>
  <c r="H121" i="28"/>
  <c r="H95" i="28"/>
  <c r="H132" i="28"/>
  <c r="H154" i="28"/>
  <c r="H130" i="28"/>
  <c r="H110" i="28"/>
  <c r="H135" i="28"/>
  <c r="H116" i="28"/>
  <c r="H176" i="28"/>
  <c r="H165" i="28"/>
  <c r="H162" i="28"/>
  <c r="H94" i="28"/>
  <c r="U45" i="32"/>
  <c r="AM95" i="18"/>
  <c r="O20" i="29"/>
  <c r="AM28" i="23"/>
  <c r="F95" i="18"/>
  <c r="D42" i="32"/>
  <c r="I25" i="23"/>
  <c r="AD13" i="29"/>
  <c r="L53" i="32"/>
  <c r="O17" i="32"/>
  <c r="X47" i="32"/>
  <c r="AG13" i="29"/>
  <c r="L28" i="23"/>
  <c r="L17" i="29"/>
  <c r="AG45" i="32"/>
  <c r="U12" i="29"/>
  <c r="F19" i="29"/>
  <c r="L12" i="32"/>
  <c r="AA95" i="18"/>
  <c r="AG9" i="29"/>
  <c r="O21" i="29"/>
  <c r="AJ51" i="32"/>
  <c r="AD12" i="29"/>
  <c r="R9" i="29"/>
  <c r="AJ17" i="29"/>
  <c r="U50" i="32"/>
  <c r="AJ49" i="32"/>
  <c r="AD45" i="32"/>
  <c r="AA13" i="32"/>
  <c r="O12" i="29"/>
  <c r="I49" i="32"/>
  <c r="O18" i="29"/>
  <c r="L45" i="32"/>
  <c r="U48" i="32"/>
  <c r="AD20" i="29"/>
  <c r="L47" i="32"/>
  <c r="O50" i="32"/>
  <c r="AJ53" i="32"/>
  <c r="AG48" i="32"/>
  <c r="AA18" i="29"/>
  <c r="O12" i="32"/>
  <c r="X17" i="32"/>
  <c r="X19" i="29"/>
  <c r="R53" i="32"/>
  <c r="R29" i="23"/>
  <c r="AJ17" i="32"/>
  <c r="R42" i="32"/>
  <c r="X51" i="32"/>
  <c r="R17" i="32"/>
  <c r="AD50" i="32"/>
  <c r="AG11" i="18"/>
  <c r="D15" i="29"/>
  <c r="U51" i="32"/>
  <c r="O42" i="32"/>
  <c r="AA12" i="32"/>
  <c r="U53" i="32"/>
  <c r="L51" i="32"/>
  <c r="U47" i="32"/>
  <c r="R51" i="32"/>
  <c r="AJ43" i="32"/>
  <c r="U42" i="32"/>
  <c r="AG12" i="29"/>
  <c r="AJ12" i="32"/>
  <c r="I29" i="23"/>
  <c r="D18" i="29"/>
  <c r="AJ12" i="29"/>
  <c r="AA19" i="29"/>
  <c r="AJ16" i="32"/>
  <c r="U95" i="18"/>
  <c r="R49" i="32"/>
  <c r="AG15" i="29"/>
  <c r="I95" i="18"/>
  <c r="O19" i="29"/>
  <c r="AD18" i="29"/>
  <c r="O9" i="29"/>
  <c r="U9" i="29"/>
  <c r="AA45" i="32"/>
  <c r="I13" i="32"/>
  <c r="D12" i="29"/>
  <c r="AD95" i="18"/>
  <c r="O11" i="29"/>
  <c r="D49" i="32"/>
  <c r="R43" i="32"/>
  <c r="I16" i="32"/>
  <c r="AA12" i="29"/>
  <c r="L17" i="32"/>
  <c r="F16" i="29"/>
  <c r="AA16" i="29"/>
  <c r="L50" i="32"/>
  <c r="AD53" i="32"/>
  <c r="X28" i="23"/>
  <c r="U21" i="29"/>
  <c r="AD10" i="29"/>
  <c r="U20" i="29"/>
  <c r="U11" i="29"/>
  <c r="AA43" i="32"/>
  <c r="D14" i="29"/>
  <c r="X45" i="32"/>
  <c r="I12" i="29"/>
  <c r="AA47" i="32"/>
  <c r="AA15" i="29"/>
  <c r="D20" i="29"/>
  <c r="F20" i="29"/>
  <c r="X15" i="29"/>
  <c r="I17" i="29"/>
  <c r="AJ20" i="29"/>
  <c r="L25" i="23"/>
  <c r="AA42" i="32"/>
  <c r="X11" i="18"/>
  <c r="AG43" i="32"/>
  <c r="AJ44" i="23"/>
  <c r="F11" i="29"/>
  <c r="AD14" i="18"/>
  <c r="F43" i="32"/>
  <c r="AG47" i="32"/>
  <c r="AJ13" i="32"/>
  <c r="L9" i="29"/>
  <c r="O14" i="18"/>
  <c r="AA14" i="18"/>
  <c r="X29" i="23"/>
  <c r="I50" i="32"/>
  <c r="AD9" i="29"/>
  <c r="U29" i="23"/>
  <c r="AG19" i="29"/>
  <c r="AD17" i="32"/>
  <c r="AA17" i="32"/>
  <c r="AD14" i="29"/>
  <c r="AG10" i="29"/>
  <c r="U44" i="32"/>
  <c r="AG14" i="29"/>
  <c r="R47" i="32"/>
  <c r="R14" i="18"/>
  <c r="AA13" i="29"/>
  <c r="I18" i="29"/>
  <c r="I42" i="32"/>
  <c r="L43" i="32"/>
  <c r="R21" i="29"/>
  <c r="O13" i="32"/>
  <c r="U16" i="29"/>
  <c r="AA53" i="32"/>
  <c r="R20" i="29"/>
  <c r="U10" i="29"/>
  <c r="X12" i="29"/>
  <c r="F47" i="32"/>
  <c r="F21" i="29"/>
  <c r="U49" i="32"/>
  <c r="R13" i="29"/>
  <c r="F14" i="29"/>
  <c r="U28" i="23"/>
  <c r="L21" i="29"/>
  <c r="U13" i="29"/>
  <c r="R11" i="29"/>
  <c r="U18" i="29"/>
  <c r="I12" i="32"/>
  <c r="O44" i="32"/>
  <c r="AG16" i="32"/>
  <c r="F29" i="23"/>
  <c r="I53" i="32"/>
  <c r="X49" i="32"/>
  <c r="O47" i="32"/>
  <c r="AA14" i="29"/>
  <c r="F12" i="32"/>
  <c r="U15" i="29"/>
  <c r="X21" i="29"/>
  <c r="L11" i="29"/>
  <c r="U17" i="32"/>
  <c r="AG42" i="32"/>
  <c r="I17" i="32"/>
  <c r="AA48" i="32"/>
  <c r="O95" i="18"/>
  <c r="L14" i="29"/>
  <c r="F48" i="32"/>
  <c r="L10" i="29"/>
  <c r="AA11" i="18"/>
  <c r="AJ19" i="29"/>
  <c r="O51" i="32"/>
  <c r="I48" i="32"/>
  <c r="D17" i="32"/>
  <c r="AD29" i="23"/>
  <c r="F51" i="32"/>
  <c r="R45" i="32"/>
  <c r="D10" i="29"/>
  <c r="AA9" i="29"/>
  <c r="R17" i="29"/>
  <c r="O11" i="18"/>
  <c r="R11" i="18"/>
  <c r="O48" i="32"/>
  <c r="I14" i="29"/>
  <c r="O15" i="29"/>
  <c r="X16" i="32"/>
  <c r="I47" i="32"/>
  <c r="AA17" i="29"/>
  <c r="AD42" i="32"/>
  <c r="X17" i="29"/>
  <c r="L44" i="32"/>
  <c r="AG16" i="29"/>
  <c r="AD17" i="29"/>
  <c r="AA21" i="29"/>
  <c r="D13" i="32"/>
  <c r="F42" i="32"/>
  <c r="R16" i="32"/>
  <c r="O13" i="29"/>
  <c r="U52" i="32"/>
  <c r="X53" i="32"/>
  <c r="L29" i="23"/>
  <c r="X16" i="29"/>
  <c r="R95" i="18"/>
  <c r="X43" i="32"/>
  <c r="AJ9" i="29"/>
  <c r="AM11" i="18"/>
  <c r="I11" i="18"/>
  <c r="I10" i="29"/>
  <c r="L49" i="32"/>
  <c r="AD52" i="32"/>
  <c r="X12" i="32"/>
  <c r="AG44" i="32"/>
  <c r="O16" i="32"/>
  <c r="X9" i="29"/>
  <c r="I21" i="29"/>
  <c r="AA51" i="32"/>
  <c r="O45" i="32"/>
  <c r="F17" i="32"/>
  <c r="R28" i="23"/>
  <c r="L11" i="18"/>
  <c r="AJ15" i="29"/>
  <c r="AD43" i="32"/>
  <c r="O43" i="32"/>
  <c r="AD16" i="32"/>
  <c r="F13" i="29"/>
  <c r="X44" i="32"/>
  <c r="L20" i="29"/>
  <c r="R13" i="32"/>
  <c r="AG17" i="29"/>
  <c r="X14" i="29"/>
  <c r="D51" i="32"/>
  <c r="AA28" i="23"/>
  <c r="F28" i="23"/>
  <c r="AJ10" i="29"/>
  <c r="O17" i="29"/>
  <c r="AG49" i="32"/>
  <c r="AD16" i="29"/>
  <c r="R15" i="29"/>
  <c r="AG12" i="32"/>
  <c r="L14" i="18"/>
  <c r="AD21" i="29"/>
  <c r="AJ42" i="32"/>
  <c r="I28" i="23"/>
  <c r="AD44" i="32"/>
  <c r="F13" i="32"/>
  <c r="AG17" i="32"/>
  <c r="R25" i="23"/>
  <c r="D13" i="29"/>
  <c r="L42" i="32"/>
  <c r="I11" i="29"/>
  <c r="AD13" i="32"/>
  <c r="AA16" i="32"/>
  <c r="I52" i="32"/>
  <c r="I45" i="32"/>
  <c r="L52" i="32"/>
  <c r="R19" i="29"/>
  <c r="AG50" i="32"/>
  <c r="O25" i="23"/>
  <c r="L48" i="32"/>
  <c r="AG21" i="29"/>
  <c r="D50" i="32"/>
  <c r="AJ11" i="18"/>
  <c r="I13" i="29"/>
  <c r="O52" i="32"/>
  <c r="F18" i="29"/>
  <c r="O49" i="32"/>
  <c r="AJ45" i="32"/>
  <c r="F49" i="32"/>
  <c r="U11" i="18"/>
  <c r="F9" i="29"/>
  <c r="D11" i="29"/>
  <c r="AG14" i="18"/>
  <c r="AJ44" i="32"/>
  <c r="AD15" i="29"/>
  <c r="AD47" i="32"/>
  <c r="D19" i="29"/>
  <c r="F53" i="32"/>
  <c r="AJ52" i="32"/>
  <c r="R16" i="29"/>
  <c r="F10" i="29"/>
  <c r="AA50" i="32"/>
  <c r="U43" i="32"/>
  <c r="AG52" i="32"/>
  <c r="AA20" i="29"/>
  <c r="R14" i="29"/>
  <c r="X50" i="32"/>
  <c r="O53" i="32"/>
  <c r="AJ13" i="29"/>
  <c r="I20" i="29"/>
  <c r="AG51" i="32"/>
  <c r="D48" i="32"/>
  <c r="U19" i="29"/>
  <c r="U12" i="32"/>
  <c r="AG118" i="18"/>
  <c r="AG20" i="29"/>
  <c r="AG53" i="32"/>
  <c r="AG13" i="32"/>
  <c r="D44" i="32"/>
  <c r="F17" i="29"/>
  <c r="D9" i="29"/>
  <c r="I15" i="29"/>
  <c r="I19" i="29"/>
  <c r="F44" i="32"/>
  <c r="D47" i="32"/>
  <c r="D17" i="29"/>
  <c r="AD48" i="32"/>
  <c r="F15" i="29"/>
  <c r="L95" i="18"/>
  <c r="I43" i="32"/>
  <c r="AD28" i="23"/>
  <c r="AJ47" i="32"/>
  <c r="L19" i="29"/>
  <c r="R18" i="29"/>
  <c r="AA29" i="23"/>
  <c r="X20" i="29"/>
  <c r="AJ14" i="29"/>
  <c r="AJ11" i="29"/>
  <c r="X52" i="32"/>
  <c r="AJ29" i="23"/>
  <c r="X11" i="29"/>
  <c r="D53" i="32"/>
  <c r="AJ18" i="29"/>
  <c r="X10" i="29"/>
  <c r="I16" i="29"/>
  <c r="D52" i="32"/>
  <c r="U14" i="18"/>
  <c r="AJ48" i="32"/>
  <c r="X18" i="29"/>
  <c r="AJ50" i="32"/>
  <c r="O14" i="29"/>
  <c r="AJ95" i="18"/>
  <c r="AA44" i="32"/>
  <c r="AM29" i="23"/>
  <c r="O28" i="23"/>
  <c r="L16" i="29"/>
  <c r="AJ16" i="29"/>
  <c r="AG11" i="29"/>
  <c r="AD11" i="18"/>
  <c r="L13" i="32"/>
  <c r="L15" i="29"/>
  <c r="R52" i="32"/>
  <c r="I14" i="18"/>
  <c r="R12" i="32"/>
  <c r="AG28" i="23"/>
  <c r="R10" i="29"/>
  <c r="R50" i="32"/>
  <c r="F45" i="32"/>
  <c r="AM14" i="18"/>
  <c r="I44" i="32"/>
  <c r="F11" i="18"/>
  <c r="F52" i="32"/>
  <c r="X42" i="32"/>
  <c r="X14" i="18"/>
  <c r="D14" i="25"/>
  <c r="D45" i="32"/>
  <c r="X13" i="29"/>
  <c r="O16" i="29"/>
  <c r="L18" i="29"/>
  <c r="AG95" i="18"/>
  <c r="R44" i="32"/>
  <c r="I9" i="29"/>
  <c r="AD51" i="32"/>
  <c r="F50" i="32"/>
  <c r="L16" i="32"/>
  <c r="S13" i="25"/>
  <c r="AD19" i="29"/>
  <c r="U13" i="32"/>
  <c r="AJ21" i="29"/>
  <c r="U14" i="29"/>
  <c r="D43" i="32"/>
  <c r="X95" i="18"/>
  <c r="U16" i="32"/>
  <c r="AA52" i="32"/>
  <c r="I51" i="32"/>
  <c r="D21" i="29"/>
  <c r="X48" i="32"/>
  <c r="F12" i="29"/>
  <c r="AG18" i="29"/>
  <c r="AA11" i="29"/>
  <c r="AJ14" i="18"/>
  <c r="F14" i="18"/>
  <c r="F16" i="32"/>
  <c r="AG29" i="23"/>
  <c r="AA10" i="29"/>
  <c r="S25" i="25"/>
  <c r="D16" i="32"/>
  <c r="D12" i="32"/>
  <c r="AA49" i="32"/>
  <c r="R48" i="32"/>
  <c r="U17" i="29"/>
  <c r="AD49" i="32"/>
  <c r="X13" i="32"/>
  <c r="D16" i="29"/>
  <c r="R12" i="29"/>
  <c r="O10" i="29"/>
  <c r="AD12" i="32"/>
  <c r="O29" i="23"/>
  <c r="AD11" i="29"/>
  <c r="AJ28" i="23"/>
  <c r="AI14" i="29" l="1"/>
  <c r="Q44" i="32"/>
  <c r="AC14" i="29"/>
  <c r="Z95" i="18"/>
  <c r="K53" i="32"/>
  <c r="AC50" i="32"/>
  <c r="AF95" i="18"/>
  <c r="AF49" i="32"/>
  <c r="AL51" i="32"/>
  <c r="W16" i="29"/>
  <c r="Q16" i="32"/>
  <c r="AI48" i="32"/>
  <c r="H42" i="32"/>
  <c r="AI50" i="32"/>
  <c r="AI95" i="18"/>
  <c r="AL52" i="32"/>
  <c r="AI45" i="32"/>
  <c r="W12" i="29"/>
  <c r="AI47" i="32"/>
  <c r="AF11" i="29"/>
  <c r="H50" i="32"/>
  <c r="N29" i="23"/>
  <c r="AI16" i="29"/>
  <c r="AL20" i="29"/>
  <c r="AF17" i="29"/>
  <c r="AI51" i="32"/>
  <c r="AF14" i="29"/>
  <c r="W14" i="18"/>
  <c r="AI18" i="29"/>
  <c r="AC42" i="32"/>
  <c r="Z13" i="32"/>
  <c r="T43" i="32"/>
  <c r="Z49" i="32"/>
  <c r="T18" i="29"/>
  <c r="AL12" i="32"/>
  <c r="N48" i="32"/>
  <c r="AF44" i="32"/>
  <c r="Q52" i="32"/>
  <c r="W15" i="29"/>
  <c r="AI42" i="32"/>
  <c r="W17" i="29"/>
  <c r="AC44" i="32"/>
  <c r="H14" i="18"/>
  <c r="AL14" i="18"/>
  <c r="H95" i="18"/>
  <c r="W17" i="32"/>
  <c r="K20" i="29"/>
  <c r="Z13" i="29"/>
  <c r="W11" i="18"/>
  <c r="W52" i="32"/>
  <c r="N11" i="18"/>
  <c r="N20" i="29"/>
  <c r="Q10" i="29"/>
  <c r="K50" i="32"/>
  <c r="AI52" i="32"/>
  <c r="AI28" i="23"/>
  <c r="T19" i="29"/>
  <c r="Q51" i="32"/>
  <c r="T13" i="29"/>
  <c r="N9" i="29"/>
  <c r="AC43" i="32"/>
  <c r="AF11" i="18"/>
  <c r="Z51" i="32"/>
  <c r="AC29" i="23"/>
  <c r="AO11" i="18"/>
  <c r="W53" i="32"/>
  <c r="Q95" i="18"/>
  <c r="Q20" i="29"/>
  <c r="AC21" i="29"/>
  <c r="Q14" i="18"/>
  <c r="AI13" i="32"/>
  <c r="AC11" i="29"/>
  <c r="N42" i="32"/>
  <c r="AF48" i="32"/>
  <c r="AL15" i="29"/>
  <c r="T17" i="29"/>
  <c r="Q42" i="32"/>
  <c r="AC12" i="29"/>
  <c r="Q21" i="29"/>
  <c r="Q18" i="29"/>
  <c r="Z11" i="29"/>
  <c r="W10" i="29"/>
  <c r="Z15" i="29"/>
  <c r="Z45" i="32"/>
  <c r="Z16" i="32"/>
  <c r="AF9" i="29"/>
  <c r="N44" i="32"/>
  <c r="AL17" i="29"/>
  <c r="AI17" i="32"/>
  <c r="AL45" i="32"/>
  <c r="N47" i="32"/>
  <c r="T53" i="32"/>
  <c r="K18" i="29"/>
  <c r="N52" i="32"/>
  <c r="AC9" i="29"/>
  <c r="AL13" i="29"/>
  <c r="AI44" i="32"/>
  <c r="H28" i="23"/>
  <c r="W19" i="29"/>
  <c r="AF28" i="23"/>
  <c r="AF16" i="29"/>
  <c r="AL42" i="32"/>
  <c r="T48" i="32"/>
  <c r="H12" i="32"/>
  <c r="AC95" i="18"/>
  <c r="AF51" i="32"/>
  <c r="H16" i="32"/>
  <c r="N12" i="32"/>
  <c r="N16" i="32"/>
  <c r="W29" i="23"/>
  <c r="T14" i="18"/>
  <c r="AC18" i="29"/>
  <c r="Q47" i="32"/>
  <c r="AC14" i="18"/>
  <c r="AL43" i="32"/>
  <c r="T44" i="32"/>
  <c r="W45" i="32"/>
  <c r="AI15" i="29"/>
  <c r="Z18" i="29"/>
  <c r="Z9" i="29"/>
  <c r="W47" i="32"/>
  <c r="N43" i="32"/>
  <c r="Z29" i="23"/>
  <c r="N14" i="18"/>
  <c r="T45" i="32"/>
  <c r="H48" i="32"/>
  <c r="AF12" i="32"/>
  <c r="Z12" i="29"/>
  <c r="T13" i="32"/>
  <c r="K11" i="18"/>
  <c r="AC13" i="32"/>
  <c r="K52" i="32"/>
  <c r="Q50" i="32"/>
  <c r="Q49" i="32"/>
  <c r="T51" i="32"/>
  <c r="AF12" i="29"/>
  <c r="W95" i="18"/>
  <c r="Z50" i="32"/>
  <c r="AC19" i="29"/>
  <c r="AO28" i="23"/>
  <c r="Z14" i="18"/>
  <c r="Q43" i="32"/>
  <c r="AF50" i="32"/>
  <c r="W28" i="23"/>
  <c r="AL49" i="32"/>
  <c r="K12" i="32"/>
  <c r="AI20" i="29"/>
  <c r="Q14" i="29"/>
  <c r="W9" i="29"/>
  <c r="T16" i="32"/>
  <c r="AL29" i="23"/>
  <c r="N17" i="32"/>
  <c r="Z17" i="32"/>
  <c r="T16" i="29"/>
  <c r="AF15" i="29"/>
  <c r="H12" i="29"/>
  <c r="AC15" i="29"/>
  <c r="H29" i="23"/>
  <c r="AL47" i="32"/>
  <c r="AL10" i="29"/>
  <c r="T12" i="29"/>
  <c r="W16" i="32"/>
  <c r="K45" i="32"/>
  <c r="K14" i="18"/>
  <c r="Q29" i="23"/>
  <c r="K95" i="18"/>
  <c r="Z42" i="32"/>
  <c r="Z11" i="18"/>
  <c r="H11" i="18"/>
  <c r="H53" i="32"/>
  <c r="Q48" i="32"/>
  <c r="AF52" i="32"/>
  <c r="AC49" i="32"/>
  <c r="AL11" i="18"/>
  <c r="Z53" i="32"/>
  <c r="H45" i="32"/>
  <c r="W48" i="32"/>
  <c r="K43" i="32"/>
  <c r="AC17" i="32"/>
  <c r="K42" i="32"/>
  <c r="AF21" i="29"/>
  <c r="K47" i="32"/>
  <c r="AC28" i="23"/>
  <c r="W20" i="29"/>
  <c r="N28" i="23"/>
  <c r="H52" i="32"/>
  <c r="Z47" i="32"/>
  <c r="T28" i="23"/>
  <c r="AL9" i="29"/>
  <c r="T11" i="29"/>
  <c r="Z48" i="32"/>
  <c r="AI21" i="29"/>
  <c r="AC10" i="29"/>
  <c r="AL53" i="32"/>
  <c r="Q11" i="29"/>
  <c r="AI11" i="18"/>
  <c r="AI13" i="29"/>
  <c r="T15" i="29"/>
  <c r="K13" i="29"/>
  <c r="H47" i="32"/>
  <c r="AO95" i="18"/>
  <c r="K16" i="32"/>
  <c r="Z21" i="29"/>
  <c r="Z43" i="32"/>
  <c r="Q13" i="32"/>
  <c r="AF20" i="29"/>
  <c r="Q19" i="29"/>
  <c r="AL16" i="32"/>
  <c r="T20" i="29"/>
  <c r="N53" i="32"/>
  <c r="N95" i="18"/>
  <c r="AF19" i="29"/>
  <c r="W21" i="29"/>
  <c r="AF10" i="29"/>
  <c r="AI10" i="29"/>
  <c r="H43" i="32"/>
  <c r="Q9" i="29"/>
  <c r="AC51" i="32"/>
  <c r="Q17" i="29"/>
  <c r="AL44" i="32"/>
  <c r="AI12" i="29"/>
  <c r="AF14" i="18"/>
  <c r="W50" i="32"/>
  <c r="AI14" i="18"/>
  <c r="H44" i="32"/>
  <c r="T95" i="18"/>
  <c r="W51" i="32"/>
  <c r="W44" i="32"/>
  <c r="AL14" i="29"/>
  <c r="AF13" i="29"/>
  <c r="Z14" i="29"/>
  <c r="AF45" i="32"/>
  <c r="W49" i="32"/>
  <c r="T29" i="23"/>
  <c r="K48" i="32"/>
  <c r="W13" i="29"/>
  <c r="K44" i="32"/>
  <c r="T17" i="32"/>
  <c r="N13" i="32"/>
  <c r="AC16" i="29"/>
  <c r="Q45" i="32"/>
  <c r="AI9" i="29"/>
  <c r="AL16" i="29"/>
  <c r="K29" i="23"/>
  <c r="N15" i="29"/>
  <c r="AF17" i="32"/>
  <c r="Z17" i="29"/>
  <c r="N21" i="29"/>
  <c r="K49" i="32"/>
  <c r="Q15" i="29"/>
  <c r="AI19" i="29"/>
  <c r="T49" i="32"/>
  <c r="W42" i="32"/>
  <c r="AC45" i="32"/>
  <c r="K9" i="29"/>
  <c r="AI11" i="29"/>
  <c r="AI43" i="32"/>
  <c r="W18" i="29"/>
  <c r="AC20" i="29"/>
  <c r="AI53" i="32"/>
  <c r="AL21" i="29"/>
  <c r="H17" i="32"/>
  <c r="N17" i="29"/>
  <c r="Q17" i="32"/>
  <c r="N51" i="32"/>
  <c r="AC17" i="29"/>
  <c r="T12" i="32"/>
  <c r="T9" i="29"/>
  <c r="AF18" i="29"/>
  <c r="T50" i="32"/>
  <c r="Z10" i="29"/>
  <c r="AL50" i="32"/>
  <c r="K13" i="32"/>
  <c r="AL12" i="29"/>
  <c r="T47" i="32"/>
  <c r="Q12" i="32"/>
  <c r="N18" i="29"/>
  <c r="N14" i="29"/>
  <c r="AC12" i="32"/>
  <c r="AL18" i="29"/>
  <c r="W11" i="29"/>
  <c r="Z52" i="32"/>
  <c r="AI29" i="23"/>
  <c r="Z19" i="29"/>
  <c r="H18" i="29"/>
  <c r="AL13" i="32"/>
  <c r="K17" i="32"/>
  <c r="Z28" i="23"/>
  <c r="AI17" i="29"/>
  <c r="H51" i="32"/>
  <c r="AC47" i="32"/>
  <c r="H9" i="29"/>
  <c r="K28" i="23"/>
  <c r="T42" i="32"/>
  <c r="AF42" i="32"/>
  <c r="AF29" i="23"/>
  <c r="W14" i="29"/>
  <c r="Z12" i="32"/>
  <c r="Q11" i="18"/>
  <c r="AF47" i="32"/>
  <c r="AC53" i="32"/>
  <c r="Z44" i="32"/>
  <c r="AF16" i="32"/>
  <c r="H13" i="32"/>
  <c r="T21" i="29"/>
  <c r="AI12" i="32"/>
  <c r="K51" i="32"/>
  <c r="Q16" i="29"/>
  <c r="W12" i="32"/>
  <c r="AC48" i="32"/>
  <c r="T52" i="32"/>
  <c r="T10" i="29"/>
  <c r="AL28" i="23"/>
  <c r="Q28" i="23"/>
  <c r="AI16" i="32"/>
  <c r="AF53" i="32"/>
  <c r="AC11" i="18"/>
  <c r="AL19" i="29"/>
  <c r="Q53" i="32"/>
  <c r="AC13" i="29"/>
  <c r="Z16" i="29"/>
  <c r="Z20" i="29"/>
  <c r="W13" i="32"/>
  <c r="T11" i="18"/>
  <c r="AC16" i="32"/>
  <c r="AF43" i="32"/>
  <c r="K17" i="29"/>
  <c r="AF13" i="32"/>
  <c r="AO14" i="18"/>
  <c r="AC52" i="32"/>
  <c r="AL17" i="32"/>
  <c r="H49" i="32"/>
  <c r="AL11" i="29"/>
  <c r="N45" i="32"/>
  <c r="AO29" i="23"/>
  <c r="N50" i="32"/>
  <c r="T14" i="29"/>
  <c r="AL95" i="18"/>
  <c r="N49" i="32"/>
  <c r="AL48" i="32"/>
  <c r="W43" i="32"/>
  <c r="AI49" i="32"/>
  <c r="H19" i="29"/>
  <c r="H14" i="29"/>
  <c r="K14" i="29"/>
  <c r="K21" i="29"/>
  <c r="H13" i="29"/>
  <c r="K16" i="29"/>
  <c r="N16" i="29"/>
  <c r="H17" i="29"/>
  <c r="H21" i="29"/>
  <c r="K15" i="29"/>
  <c r="H20" i="29"/>
  <c r="N10" i="29"/>
  <c r="K12" i="29"/>
  <c r="N11" i="29"/>
  <c r="N19" i="29"/>
  <c r="K19" i="29"/>
  <c r="K11" i="29"/>
  <c r="H11" i="29"/>
  <c r="K10" i="29"/>
  <c r="H15" i="29"/>
  <c r="H10" i="29"/>
  <c r="H16" i="29"/>
  <c r="O16" i="17"/>
  <c r="O17" i="17"/>
  <c r="C15" i="28" l="1"/>
  <c r="C16" i="28"/>
  <c r="C17" i="28"/>
  <c r="D153" i="18" l="1"/>
  <c r="D23" i="23" l="1"/>
  <c r="D22" i="23"/>
  <c r="D136" i="23"/>
  <c r="D142" i="23"/>
  <c r="D133" i="23" l="1"/>
  <c r="D136" i="18" l="1"/>
  <c r="D131" i="18"/>
  <c r="D50" i="18"/>
  <c r="D147" i="18" l="1"/>
  <c r="D10" i="18"/>
  <c r="D46" i="23"/>
  <c r="D45" i="23"/>
  <c r="D44" i="23"/>
  <c r="D43" i="23"/>
  <c r="H15" i="1"/>
  <c r="I15" i="1"/>
  <c r="H16" i="1"/>
  <c r="I16" i="1"/>
  <c r="H17" i="1"/>
  <c r="F15" i="33" s="1"/>
  <c r="I17" i="1"/>
  <c r="G15" i="33" s="1"/>
  <c r="D42" i="23"/>
  <c r="D41" i="23"/>
  <c r="D24" i="23"/>
  <c r="D8" i="23"/>
  <c r="D130" i="23"/>
  <c r="F20" i="33" l="1"/>
  <c r="F11" i="33"/>
  <c r="G20" i="33"/>
  <c r="G11" i="33"/>
  <c r="P38" i="30"/>
  <c r="H38" i="30"/>
  <c r="L37" i="30"/>
  <c r="N38" i="30"/>
  <c r="I37" i="30"/>
  <c r="K38" i="30"/>
  <c r="I38" i="30"/>
  <c r="O38" i="30"/>
  <c r="G38" i="30"/>
  <c r="K37" i="30"/>
  <c r="J37" i="30"/>
  <c r="N37" i="30"/>
  <c r="E37" i="30"/>
  <c r="F38" i="30"/>
  <c r="M38" i="30"/>
  <c r="F37" i="30"/>
  <c r="M37" i="30"/>
  <c r="E38" i="30"/>
  <c r="O37" i="30"/>
  <c r="L38" i="30"/>
  <c r="P37" i="30"/>
  <c r="H37" i="30"/>
  <c r="G37" i="30"/>
  <c r="J38" i="30"/>
  <c r="N36" i="30" l="1"/>
  <c r="F36" i="30"/>
  <c r="P36" i="30"/>
  <c r="H36" i="30"/>
  <c r="G36" i="30"/>
  <c r="K36" i="30"/>
  <c r="E36" i="30"/>
  <c r="D37" i="30"/>
  <c r="I36" i="30"/>
  <c r="O36" i="30"/>
  <c r="J36" i="30"/>
  <c r="L36" i="30"/>
  <c r="D38" i="30"/>
  <c r="M36" i="30"/>
  <c r="D116" i="23"/>
  <c r="D115" i="23"/>
  <c r="D119" i="23"/>
  <c r="D36" i="30" l="1"/>
  <c r="D114" i="23"/>
  <c r="D120" i="23" l="1"/>
  <c r="D118" i="23" l="1"/>
  <c r="D130" i="18" l="1"/>
  <c r="D129" i="18"/>
  <c r="D128" i="18" l="1"/>
  <c r="D152" i="18" l="1"/>
  <c r="D72" i="18" l="1"/>
  <c r="D71" i="18"/>
  <c r="D65" i="18"/>
  <c r="D61" i="18"/>
  <c r="D60" i="18" l="1"/>
  <c r="D68" i="18"/>
  <c r="D75" i="18" l="1"/>
  <c r="D74" i="18" l="1"/>
  <c r="D100" i="18" l="1"/>
  <c r="D99" i="18"/>
  <c r="D96" i="18"/>
  <c r="D55" i="18"/>
  <c r="D47" i="18"/>
  <c r="D131" i="23"/>
  <c r="D127" i="23"/>
  <c r="D126" i="23"/>
  <c r="D94" i="18" l="1"/>
  <c r="H6" i="33"/>
  <c r="K82" i="28"/>
  <c r="K149" i="28"/>
  <c r="O15" i="13"/>
  <c r="O16" i="13"/>
  <c r="O17" i="13"/>
  <c r="D15" i="28"/>
  <c r="D16" i="28"/>
  <c r="D17" i="28"/>
  <c r="D15" i="2"/>
  <c r="D16" i="1"/>
  <c r="D16" i="9" s="1"/>
  <c r="D17" i="1"/>
  <c r="D17" i="9" s="1"/>
  <c r="L12" i="29"/>
  <c r="L13" i="29"/>
  <c r="Q2" i="28"/>
  <c r="Q12" i="29" l="1"/>
  <c r="N12" i="29"/>
  <c r="Q13" i="29"/>
  <c r="N13" i="29"/>
  <c r="D15" i="9"/>
  <c r="D24" i="9"/>
  <c r="D103" i="9"/>
  <c r="D158" i="9"/>
  <c r="D149" i="9"/>
  <c r="D145" i="7"/>
  <c r="D30" i="2"/>
  <c r="D39" i="7"/>
  <c r="D147" i="8"/>
  <c r="D137" i="2"/>
  <c r="D32" i="9"/>
  <c r="D152" i="9"/>
  <c r="D149" i="8"/>
  <c r="D143" i="7"/>
  <c r="D151" i="9"/>
  <c r="D31" i="8"/>
  <c r="D41" i="9"/>
  <c r="D150" i="8"/>
  <c r="D135" i="2"/>
  <c r="D31" i="7"/>
  <c r="D39" i="8"/>
  <c r="D16" i="16"/>
  <c r="D16" i="14"/>
  <c r="D16" i="12"/>
  <c r="D16" i="10"/>
  <c r="D15" i="17"/>
  <c r="D17" i="16"/>
  <c r="D15" i="15"/>
  <c r="D17" i="14"/>
  <c r="D15" i="13"/>
  <c r="D17" i="12"/>
  <c r="D15" i="11"/>
  <c r="D17" i="10"/>
  <c r="D16" i="17"/>
  <c r="D16" i="15"/>
  <c r="D16" i="13"/>
  <c r="D16" i="11"/>
  <c r="D150" i="2"/>
  <c r="D17" i="17"/>
  <c r="D15" i="16"/>
  <c r="D17" i="15"/>
  <c r="D15" i="14"/>
  <c r="D17" i="13"/>
  <c r="D15" i="12"/>
  <c r="D17" i="11"/>
  <c r="D15" i="10"/>
  <c r="D39" i="9"/>
  <c r="D151" i="2"/>
  <c r="D92" i="2"/>
  <c r="D139" i="7"/>
  <c r="D130" i="7"/>
  <c r="D118" i="7"/>
  <c r="D110" i="7"/>
  <c r="D100" i="9"/>
  <c r="D92" i="9"/>
  <c r="D82" i="9"/>
  <c r="D74" i="9"/>
  <c r="D66" i="9"/>
  <c r="D58" i="9"/>
  <c r="D50" i="9"/>
  <c r="D42" i="9"/>
  <c r="D34" i="9"/>
  <c r="D23" i="8"/>
  <c r="D142" i="7"/>
  <c r="D151" i="7"/>
  <c r="D132" i="9"/>
  <c r="D142" i="8"/>
  <c r="D133" i="8"/>
  <c r="D121" i="8"/>
  <c r="D113" i="8"/>
  <c r="D101" i="9"/>
  <c r="D149" i="2"/>
  <c r="D131" i="2"/>
  <c r="D123" i="2"/>
  <c r="D111" i="2"/>
  <c r="D103" i="2"/>
  <c r="D99" i="8"/>
  <c r="D91" i="8"/>
  <c r="D81" i="8"/>
  <c r="D73" i="8"/>
  <c r="D65" i="8"/>
  <c r="D57" i="8"/>
  <c r="D49" i="8"/>
  <c r="D41" i="8"/>
  <c r="D33" i="8"/>
  <c r="D23" i="7"/>
  <c r="D134" i="2"/>
  <c r="D143" i="2"/>
  <c r="D130" i="8"/>
  <c r="D138" i="7"/>
  <c r="D129" i="7"/>
  <c r="D117" i="7"/>
  <c r="D109" i="7"/>
  <c r="D100" i="8"/>
  <c r="D145" i="9"/>
  <c r="D136" i="9"/>
  <c r="D124" i="9"/>
  <c r="D116" i="9"/>
  <c r="D108" i="9"/>
  <c r="D98" i="7"/>
  <c r="D90" i="7"/>
  <c r="D81" i="7"/>
  <c r="D73" i="7"/>
  <c r="D65" i="7"/>
  <c r="D57" i="7"/>
  <c r="D49" i="7"/>
  <c r="D41" i="7"/>
  <c r="D33" i="7"/>
  <c r="D148" i="9"/>
  <c r="D156" i="8"/>
  <c r="D89" i="9"/>
  <c r="D126" i="7"/>
  <c r="D148" i="2"/>
  <c r="D130" i="2"/>
  <c r="D143" i="8"/>
  <c r="D106" i="8"/>
  <c r="D69" i="2"/>
  <c r="D37" i="2"/>
  <c r="D146" i="8"/>
  <c r="D119" i="2"/>
  <c r="D144" i="9"/>
  <c r="D110" i="2"/>
  <c r="D105" i="8"/>
  <c r="D97" i="7"/>
  <c r="D80" i="8"/>
  <c r="D72" i="8"/>
  <c r="D64" i="8"/>
  <c r="D56" i="8"/>
  <c r="D48" i="7"/>
  <c r="D40" i="7"/>
  <c r="D32" i="7"/>
  <c r="D22" i="7"/>
  <c r="D131" i="7"/>
  <c r="D111" i="7"/>
  <c r="D91" i="7"/>
  <c r="D82" i="7"/>
  <c r="D66" i="7"/>
  <c r="D50" i="7"/>
  <c r="D34" i="7"/>
  <c r="D150" i="7"/>
  <c r="D137" i="7"/>
  <c r="D128" i="7"/>
  <c r="D134" i="8"/>
  <c r="D91" i="2"/>
  <c r="D61" i="2"/>
  <c r="D23" i="9"/>
  <c r="D135" i="9"/>
  <c r="D115" i="9"/>
  <c r="D104" i="7"/>
  <c r="D98" i="8"/>
  <c r="D80" i="7"/>
  <c r="D72" i="7"/>
  <c r="D64" i="7"/>
  <c r="D56" i="7"/>
  <c r="D48" i="8"/>
  <c r="D36" i="2"/>
  <c r="D31" i="2"/>
  <c r="D22" i="2"/>
  <c r="D124" i="2"/>
  <c r="D104" i="2"/>
  <c r="D86" i="2"/>
  <c r="D78" i="2"/>
  <c r="D62" i="2"/>
  <c r="D46" i="2"/>
  <c r="D142" i="2"/>
  <c r="D129" i="2"/>
  <c r="D121" i="2"/>
  <c r="D109" i="2"/>
  <c r="D122" i="8"/>
  <c r="D85" i="2"/>
  <c r="D53" i="2"/>
  <c r="D122" i="2"/>
  <c r="D102" i="2"/>
  <c r="D97" i="2"/>
  <c r="D90" i="2"/>
  <c r="D76" i="2"/>
  <c r="D68" i="2"/>
  <c r="D60" i="2"/>
  <c r="D52" i="2"/>
  <c r="D44" i="2"/>
  <c r="D33" i="9"/>
  <c r="D22" i="9"/>
  <c r="D137" i="9"/>
  <c r="D115" i="8"/>
  <c r="D93" i="9"/>
  <c r="D83" i="9"/>
  <c r="D67" i="9"/>
  <c r="D51" i="9"/>
  <c r="D35" i="9"/>
  <c r="D155" i="8"/>
  <c r="D143" i="9"/>
  <c r="D134" i="9"/>
  <c r="D122" i="9"/>
  <c r="D114" i="9"/>
  <c r="D106" i="9"/>
  <c r="D98" i="9"/>
  <c r="D80" i="9"/>
  <c r="D71" i="8"/>
  <c r="D63" i="7"/>
  <c r="D55" i="8"/>
  <c r="D47" i="8"/>
  <c r="D38" i="7"/>
  <c r="D45" i="2"/>
  <c r="D123" i="9"/>
  <c r="D73" i="9"/>
  <c r="D40" i="8"/>
  <c r="D82" i="8"/>
  <c r="D157" i="9"/>
  <c r="D116" i="7"/>
  <c r="D104" i="8"/>
  <c r="D96" i="7"/>
  <c r="D72" i="9"/>
  <c r="D59" i="2"/>
  <c r="D51" i="2"/>
  <c r="D40" i="9"/>
  <c r="D30" i="8"/>
  <c r="D21" i="7"/>
  <c r="D89" i="8"/>
  <c r="D152" i="7"/>
  <c r="D127" i="7"/>
  <c r="D156" i="9"/>
  <c r="D142" i="9"/>
  <c r="D129" i="9"/>
  <c r="D121" i="9"/>
  <c r="D113" i="9"/>
  <c r="D105" i="9"/>
  <c r="D97" i="9"/>
  <c r="D87" i="9"/>
  <c r="D79" i="9"/>
  <c r="D71" i="9"/>
  <c r="D63" i="9"/>
  <c r="D55" i="9"/>
  <c r="D47" i="9"/>
  <c r="D29" i="8"/>
  <c r="D20" i="9"/>
  <c r="D27" i="9"/>
  <c r="D107" i="9"/>
  <c r="D65" i="9"/>
  <c r="D32" i="8"/>
  <c r="D135" i="8"/>
  <c r="D66" i="8"/>
  <c r="D141" i="8"/>
  <c r="D112" i="8"/>
  <c r="D103" i="7"/>
  <c r="D79" i="8"/>
  <c r="D71" i="7"/>
  <c r="D63" i="8"/>
  <c r="D48" i="9"/>
  <c r="D38" i="8"/>
  <c r="D30" i="7"/>
  <c r="D21" i="8"/>
  <c r="D83" i="2"/>
  <c r="D144" i="2"/>
  <c r="D120" i="2"/>
  <c r="D140" i="9"/>
  <c r="D154" i="8"/>
  <c r="D140" i="8"/>
  <c r="D127" i="8"/>
  <c r="D119" i="8"/>
  <c r="D111" i="8"/>
  <c r="D103" i="8"/>
  <c r="D96" i="8"/>
  <c r="D86" i="8"/>
  <c r="D78" i="8"/>
  <c r="D70" i="8"/>
  <c r="D62" i="8"/>
  <c r="D54" i="8"/>
  <c r="D46" i="8"/>
  <c r="D29" i="7"/>
  <c r="D20" i="8"/>
  <c r="D26" i="8"/>
  <c r="D154" i="7"/>
  <c r="D114" i="8"/>
  <c r="D88" i="8"/>
  <c r="D99" i="9"/>
  <c r="D57" i="9"/>
  <c r="D22" i="8"/>
  <c r="D117" i="9"/>
  <c r="D50" i="8"/>
  <c r="D132" i="8"/>
  <c r="D108" i="7"/>
  <c r="D96" i="2"/>
  <c r="D79" i="7"/>
  <c r="D67" i="2"/>
  <c r="D56" i="9"/>
  <c r="D47" i="7"/>
  <c r="D35" i="2"/>
  <c r="D29" i="2"/>
  <c r="D21" i="2"/>
  <c r="D90" i="9"/>
  <c r="D131" i="8"/>
  <c r="D134" i="7"/>
  <c r="D149" i="7"/>
  <c r="D136" i="7"/>
  <c r="D123" i="7"/>
  <c r="D115" i="7"/>
  <c r="D107" i="7"/>
  <c r="D102" i="7"/>
  <c r="D95" i="7"/>
  <c r="D86" i="7"/>
  <c r="D78" i="7"/>
  <c r="D70" i="7"/>
  <c r="D62" i="7"/>
  <c r="D54" i="7"/>
  <c r="D46" i="7"/>
  <c r="D30" i="9"/>
  <c r="D20" i="7"/>
  <c r="D26" i="7"/>
  <c r="D145" i="2"/>
  <c r="D75" i="2"/>
  <c r="D31" i="9"/>
  <c r="D133" i="9"/>
  <c r="D141" i="2"/>
  <c r="D100" i="2"/>
  <c r="D74" i="2"/>
  <c r="D42" i="2"/>
  <c r="D155" i="9"/>
  <c r="D141" i="9"/>
  <c r="D128" i="9"/>
  <c r="D118" i="8"/>
  <c r="D112" i="9"/>
  <c r="D104" i="9"/>
  <c r="D96" i="9"/>
  <c r="D85" i="8"/>
  <c r="D77" i="8"/>
  <c r="D69" i="8"/>
  <c r="D61" i="8"/>
  <c r="D53" i="7"/>
  <c r="D45" i="8"/>
  <c r="D37" i="8"/>
  <c r="D29" i="9"/>
  <c r="D19" i="9"/>
  <c r="D90" i="8"/>
  <c r="D144" i="8"/>
  <c r="D117" i="2"/>
  <c r="D144" i="7"/>
  <c r="D119" i="7"/>
  <c r="D75" i="9"/>
  <c r="D59" i="9"/>
  <c r="D43" i="9"/>
  <c r="D25" i="9"/>
  <c r="D153" i="2"/>
  <c r="D139" i="2"/>
  <c r="D126" i="2"/>
  <c r="D114" i="2"/>
  <c r="D106" i="2"/>
  <c r="D98" i="2"/>
  <c r="D88" i="2"/>
  <c r="D80" i="2"/>
  <c r="D76" i="7"/>
  <c r="D68" i="7"/>
  <c r="D60" i="7"/>
  <c r="D52" i="7"/>
  <c r="D44" i="7"/>
  <c r="D36" i="7"/>
  <c r="D26" i="2"/>
  <c r="D18" i="2"/>
  <c r="D146" i="2"/>
  <c r="D151" i="8"/>
  <c r="D136" i="8"/>
  <c r="D124" i="8"/>
  <c r="D116" i="8"/>
  <c r="D108" i="8"/>
  <c r="D93" i="2"/>
  <c r="D87" i="2"/>
  <c r="D79" i="2"/>
  <c r="D71" i="2"/>
  <c r="D63" i="2"/>
  <c r="D55" i="2"/>
  <c r="D47" i="2"/>
  <c r="D39" i="2"/>
  <c r="D32" i="2"/>
  <c r="D25" i="2"/>
  <c r="D99" i="7"/>
  <c r="D81" i="9"/>
  <c r="D92" i="8"/>
  <c r="D120" i="8"/>
  <c r="D64" i="9"/>
  <c r="D21" i="9"/>
  <c r="D88" i="7"/>
  <c r="D128" i="2"/>
  <c r="D95" i="2"/>
  <c r="D66" i="2"/>
  <c r="D28" i="2"/>
  <c r="D153" i="8"/>
  <c r="D139" i="8"/>
  <c r="D126" i="8"/>
  <c r="D120" i="9"/>
  <c r="D110" i="8"/>
  <c r="D101" i="7"/>
  <c r="D95" i="8"/>
  <c r="D85" i="7"/>
  <c r="D77" i="7"/>
  <c r="D69" i="7"/>
  <c r="D61" i="7"/>
  <c r="D53" i="8"/>
  <c r="D45" i="7"/>
  <c r="D37" i="7"/>
  <c r="D28" i="7"/>
  <c r="D19" i="7"/>
  <c r="D89" i="7"/>
  <c r="D132" i="2"/>
  <c r="D153" i="7"/>
  <c r="D124" i="7"/>
  <c r="D136" i="2"/>
  <c r="D112" i="2"/>
  <c r="D74" i="8"/>
  <c r="D58" i="7"/>
  <c r="D42" i="8"/>
  <c r="D24" i="8"/>
  <c r="D154" i="9"/>
  <c r="D139" i="9"/>
  <c r="D127" i="9"/>
  <c r="D119" i="9"/>
  <c r="D111" i="9"/>
  <c r="D95" i="9"/>
  <c r="D85" i="9"/>
  <c r="D77" i="9"/>
  <c r="D68" i="8"/>
  <c r="D61" i="9"/>
  <c r="D53" i="9"/>
  <c r="D44" i="8"/>
  <c r="D37" i="9"/>
  <c r="D28" i="9"/>
  <c r="D18" i="9"/>
  <c r="D49" i="9"/>
  <c r="D34" i="8"/>
  <c r="D101" i="2"/>
  <c r="D55" i="7"/>
  <c r="D138" i="8"/>
  <c r="D116" i="2"/>
  <c r="D89" i="2"/>
  <c r="D58" i="2"/>
  <c r="D20" i="2"/>
  <c r="D148" i="7"/>
  <c r="D135" i="7"/>
  <c r="D122" i="7"/>
  <c r="D114" i="7"/>
  <c r="D106" i="7"/>
  <c r="D94" i="2"/>
  <c r="D94" i="7"/>
  <c r="D81" i="2"/>
  <c r="D73" i="2"/>
  <c r="D65" i="2"/>
  <c r="D57" i="2"/>
  <c r="D49" i="2"/>
  <c r="D41" i="2"/>
  <c r="D34" i="2"/>
  <c r="D27" i="2"/>
  <c r="D19" i="2"/>
  <c r="D84" i="2"/>
  <c r="D140" i="7"/>
  <c r="D130" i="9"/>
  <c r="D150" i="9"/>
  <c r="D125" i="9"/>
  <c r="D107" i="8"/>
  <c r="D74" i="7"/>
  <c r="D58" i="8"/>
  <c r="D42" i="7"/>
  <c r="D24" i="7"/>
  <c r="D152" i="8"/>
  <c r="D137" i="8"/>
  <c r="D125" i="8"/>
  <c r="D117" i="8"/>
  <c r="D109" i="8"/>
  <c r="D94" i="8"/>
  <c r="D84" i="8"/>
  <c r="D76" i="8"/>
  <c r="D69" i="9"/>
  <c r="D60" i="8"/>
  <c r="D52" i="8"/>
  <c r="D45" i="9"/>
  <c r="D36" i="8"/>
  <c r="D27" i="8"/>
  <c r="D18" i="8"/>
  <c r="D152" i="2"/>
  <c r="D138" i="2"/>
  <c r="D132" i="7"/>
  <c r="D113" i="2"/>
  <c r="D105" i="2"/>
  <c r="D101" i="8"/>
  <c r="D93" i="8"/>
  <c r="D83" i="8"/>
  <c r="D97" i="8"/>
  <c r="D50" i="2"/>
  <c r="D127" i="2"/>
  <c r="D102" i="8"/>
  <c r="D62" i="9"/>
  <c r="D28" i="8"/>
  <c r="D91" i="9"/>
  <c r="D128" i="8"/>
  <c r="D109" i="9"/>
  <c r="D24" i="2"/>
  <c r="D113" i="7"/>
  <c r="D72" i="2"/>
  <c r="D40" i="2"/>
  <c r="D155" i="7"/>
  <c r="D146" i="7"/>
  <c r="D120" i="7"/>
  <c r="D102" i="9"/>
  <c r="D84" i="9"/>
  <c r="D75" i="7"/>
  <c r="D60" i="9"/>
  <c r="D51" i="8"/>
  <c r="D43" i="7"/>
  <c r="D26" i="9"/>
  <c r="D133" i="2"/>
  <c r="D147" i="2"/>
  <c r="D131" i="9"/>
  <c r="D82" i="2"/>
  <c r="D140" i="2"/>
  <c r="D38" i="9"/>
  <c r="D121" i="7"/>
  <c r="D18" i="7"/>
  <c r="D153" i="9"/>
  <c r="D110" i="9"/>
  <c r="D67" i="7"/>
  <c r="D141" i="7"/>
  <c r="D118" i="2"/>
  <c r="D77" i="2"/>
  <c r="D43" i="2"/>
  <c r="D115" i="2"/>
  <c r="D86" i="9"/>
  <c r="D54" i="9"/>
  <c r="D19" i="8"/>
  <c r="D146" i="9"/>
  <c r="D70" i="2"/>
  <c r="D147" i="7"/>
  <c r="D105" i="7"/>
  <c r="D64" i="2"/>
  <c r="D33" i="2"/>
  <c r="D138" i="9"/>
  <c r="D118" i="9"/>
  <c r="D100" i="7"/>
  <c r="D83" i="7"/>
  <c r="D68" i="9"/>
  <c r="D59" i="8"/>
  <c r="D51" i="7"/>
  <c r="D36" i="9"/>
  <c r="D25" i="8"/>
  <c r="D145" i="8"/>
  <c r="D88" i="9"/>
  <c r="D125" i="7"/>
  <c r="D70" i="9"/>
  <c r="D123" i="8"/>
  <c r="D48" i="2"/>
  <c r="D92" i="7"/>
  <c r="D43" i="8"/>
  <c r="D108" i="2"/>
  <c r="D107" i="2"/>
  <c r="D78" i="9"/>
  <c r="D46" i="9"/>
  <c r="D148" i="8"/>
  <c r="D54" i="2"/>
  <c r="D133" i="7"/>
  <c r="D93" i="7"/>
  <c r="D56" i="2"/>
  <c r="D27" i="7"/>
  <c r="D125" i="2"/>
  <c r="D112" i="7"/>
  <c r="D94" i="9"/>
  <c r="D76" i="9"/>
  <c r="D67" i="8"/>
  <c r="D59" i="7"/>
  <c r="D44" i="9"/>
  <c r="D35" i="8"/>
  <c r="D25" i="7"/>
  <c r="D147" i="9"/>
  <c r="D87" i="8"/>
  <c r="D129" i="8"/>
  <c r="D99" i="2"/>
  <c r="D38" i="2"/>
  <c r="D84" i="7"/>
  <c r="D126" i="9"/>
  <c r="D75" i="8"/>
  <c r="D52" i="9"/>
  <c r="D35" i="7"/>
  <c r="D87" i="7"/>
  <c r="D17" i="2"/>
  <c r="D17" i="8"/>
  <c r="D17" i="7"/>
  <c r="D15" i="8"/>
  <c r="D15" i="7"/>
  <c r="D16" i="8"/>
  <c r="D16" i="7"/>
  <c r="D16" i="2"/>
  <c r="E15" i="27"/>
  <c r="E16" i="27"/>
  <c r="E17" i="27"/>
  <c r="O12" i="17" l="1"/>
  <c r="O15" i="16"/>
  <c r="O16" i="16"/>
  <c r="O17" i="16"/>
  <c r="O12" i="11"/>
  <c r="O12" i="9"/>
  <c r="O12" i="8"/>
  <c r="O12" i="7"/>
  <c r="J15" i="1"/>
  <c r="K15" i="1"/>
  <c r="J16" i="1"/>
  <c r="K16" i="1"/>
  <c r="J17" i="1"/>
  <c r="H15" i="33" s="1"/>
  <c r="K17" i="1"/>
  <c r="I15" i="33" s="1"/>
  <c r="I11" i="33" l="1"/>
  <c r="I20" i="33"/>
  <c r="H20" i="33"/>
  <c r="H11" i="33"/>
  <c r="O12" i="14"/>
  <c r="O12" i="16"/>
  <c r="D103" i="18"/>
  <c r="C2" i="31"/>
  <c r="E2" i="31" s="1"/>
  <c r="D118" i="18" l="1"/>
  <c r="D117" i="18" l="1"/>
  <c r="D33" i="18" l="1"/>
  <c r="D28" i="18"/>
  <c r="D9" i="18"/>
  <c r="D112" i="23"/>
  <c r="D60" i="23"/>
  <c r="D59" i="23"/>
  <c r="D56" i="23"/>
  <c r="D49" i="23"/>
  <c r="E15" i="28" l="1"/>
  <c r="E16" i="28"/>
  <c r="E17" i="28"/>
  <c r="E15" i="1"/>
  <c r="E16" i="1"/>
  <c r="C16" i="9" s="1"/>
  <c r="E17" i="1"/>
  <c r="C17" i="9" s="1"/>
  <c r="C297" i="16" l="1"/>
  <c r="C194" i="7"/>
  <c r="C195" i="8"/>
  <c r="C208" i="8"/>
  <c r="C195" i="7"/>
  <c r="C219" i="2"/>
  <c r="C196" i="7"/>
  <c r="C218" i="2"/>
  <c r="C204" i="7"/>
  <c r="C201" i="2"/>
  <c r="C198" i="7"/>
  <c r="C189" i="7"/>
  <c r="C189" i="2"/>
  <c r="C193" i="7"/>
  <c r="C224" i="7"/>
  <c r="C197" i="8"/>
  <c r="C201" i="8"/>
  <c r="C205" i="8"/>
  <c r="C200" i="8"/>
  <c r="C196" i="8"/>
  <c r="C193" i="2"/>
  <c r="C207" i="7"/>
  <c r="C192" i="2"/>
  <c r="C190" i="7"/>
  <c r="C188" i="2"/>
  <c r="C200" i="7"/>
  <c r="C197" i="2"/>
  <c r="C192" i="7"/>
  <c r="C203" i="8"/>
  <c r="C199" i="7"/>
  <c r="C199" i="2"/>
  <c r="C170" i="2"/>
  <c r="C187" i="2"/>
  <c r="C188" i="7"/>
  <c r="C203" i="7"/>
  <c r="C206" i="8"/>
  <c r="C204" i="8"/>
  <c r="C200" i="2"/>
  <c r="C205" i="7"/>
  <c r="C191" i="7"/>
  <c r="C223" i="8"/>
  <c r="C196" i="2"/>
  <c r="C198" i="2"/>
  <c r="C190" i="2"/>
  <c r="C199" i="8"/>
  <c r="C202" i="8"/>
  <c r="C207" i="8"/>
  <c r="C195" i="2"/>
  <c r="C222" i="7"/>
  <c r="C206" i="7"/>
  <c r="C224" i="8"/>
  <c r="C201" i="7"/>
  <c r="C194" i="2"/>
  <c r="C191" i="2"/>
  <c r="C198" i="8"/>
  <c r="C223" i="7"/>
  <c r="C202" i="7"/>
  <c r="C197" i="7"/>
  <c r="C226" i="8"/>
  <c r="C227" i="8"/>
  <c r="C225" i="8"/>
  <c r="C228" i="8"/>
  <c r="C161" i="7"/>
  <c r="C217" i="2"/>
  <c r="C166" i="7"/>
  <c r="C165" i="7"/>
  <c r="C161" i="2"/>
  <c r="C171" i="7"/>
  <c r="C160" i="7"/>
  <c r="C155" i="2"/>
  <c r="C177" i="7"/>
  <c r="C175" i="7"/>
  <c r="C210" i="8"/>
  <c r="C164" i="2"/>
  <c r="C156" i="7"/>
  <c r="C183" i="2"/>
  <c r="C217" i="8"/>
  <c r="C169" i="2"/>
  <c r="C212" i="2"/>
  <c r="C214" i="7"/>
  <c r="C184" i="7"/>
  <c r="C179" i="7"/>
  <c r="C209" i="8"/>
  <c r="C219" i="8"/>
  <c r="C211" i="8"/>
  <c r="C171" i="2"/>
  <c r="C220" i="8"/>
  <c r="C215" i="2"/>
  <c r="C220" i="7"/>
  <c r="C218" i="7"/>
  <c r="C208" i="2"/>
  <c r="C180" i="2"/>
  <c r="C178" i="2"/>
  <c r="C181" i="2"/>
  <c r="C185" i="2"/>
  <c r="C182" i="7"/>
  <c r="C159" i="2"/>
  <c r="C212" i="8"/>
  <c r="C216" i="2"/>
  <c r="C221" i="7"/>
  <c r="C214" i="2"/>
  <c r="C204" i="2"/>
  <c r="C219" i="7"/>
  <c r="C210" i="2"/>
  <c r="C207" i="2"/>
  <c r="C160" i="2"/>
  <c r="C170" i="7"/>
  <c r="C184" i="2"/>
  <c r="C181" i="7"/>
  <c r="C177" i="2"/>
  <c r="C182" i="2"/>
  <c r="C158" i="2"/>
  <c r="C166" i="2"/>
  <c r="C167" i="2"/>
  <c r="C210" i="7"/>
  <c r="C213" i="2"/>
  <c r="C208" i="7"/>
  <c r="C211" i="7"/>
  <c r="C216" i="7"/>
  <c r="C213" i="7"/>
  <c r="C209" i="2"/>
  <c r="C211" i="2"/>
  <c r="C162" i="7"/>
  <c r="C168" i="7"/>
  <c r="C186" i="2"/>
  <c r="C186" i="7"/>
  <c r="C185" i="7"/>
  <c r="C158" i="7"/>
  <c r="C172" i="2"/>
  <c r="C156" i="2"/>
  <c r="C175" i="2"/>
  <c r="C173" i="2"/>
  <c r="C179" i="2"/>
  <c r="C176" i="2"/>
  <c r="C216" i="8"/>
  <c r="C221" i="8"/>
  <c r="C213" i="8"/>
  <c r="C168" i="2"/>
  <c r="C165" i="2"/>
  <c r="C203" i="2"/>
  <c r="C202" i="2"/>
  <c r="C205" i="2"/>
  <c r="C164" i="7"/>
  <c r="C215" i="7"/>
  <c r="C217" i="7"/>
  <c r="C206" i="2"/>
  <c r="C172" i="7"/>
  <c r="C187" i="7"/>
  <c r="C159" i="7"/>
  <c r="C157" i="2"/>
  <c r="C173" i="7"/>
  <c r="C157" i="7"/>
  <c r="C176" i="7"/>
  <c r="C174" i="7"/>
  <c r="C180" i="7"/>
  <c r="C178" i="7"/>
  <c r="C183" i="7"/>
  <c r="C215" i="8"/>
  <c r="C222" i="8"/>
  <c r="C218" i="8"/>
  <c r="C214" i="8"/>
  <c r="C167" i="7"/>
  <c r="C209" i="7"/>
  <c r="C163" i="2"/>
  <c r="C162" i="2"/>
  <c r="C163" i="7"/>
  <c r="C212" i="7"/>
  <c r="C169" i="7"/>
  <c r="C154" i="2"/>
  <c r="C174" i="2"/>
  <c r="C15" i="2"/>
  <c r="C28" i="17"/>
  <c r="C183" i="17"/>
  <c r="C184" i="17"/>
  <c r="C189" i="17"/>
  <c r="C38" i="16"/>
  <c r="C199" i="15"/>
  <c r="C172" i="16"/>
  <c r="C23" i="13"/>
  <c r="C155" i="13"/>
  <c r="C164" i="14"/>
  <c r="C106" i="15"/>
  <c r="C23" i="12"/>
  <c r="C44" i="17"/>
  <c r="C194" i="17"/>
  <c r="C195" i="17"/>
  <c r="C187" i="17"/>
  <c r="C209" i="16"/>
  <c r="C38" i="17"/>
  <c r="C171" i="13"/>
  <c r="C181" i="16"/>
  <c r="C23" i="16"/>
  <c r="C165" i="15"/>
  <c r="C168" i="14"/>
  <c r="C166" i="11"/>
  <c r="C166" i="14"/>
  <c r="C170" i="13"/>
  <c r="C164" i="11"/>
  <c r="C165" i="13"/>
  <c r="C29" i="11"/>
  <c r="C164" i="8"/>
  <c r="C40" i="17"/>
  <c r="C180" i="17"/>
  <c r="C167" i="15"/>
  <c r="C29" i="15"/>
  <c r="C188" i="17"/>
  <c r="C182" i="16"/>
  <c r="C23" i="15"/>
  <c r="C29" i="13"/>
  <c r="C179" i="16"/>
  <c r="C28" i="14"/>
  <c r="C169" i="14"/>
  <c r="C196" i="12"/>
  <c r="C167" i="14"/>
  <c r="C161" i="13"/>
  <c r="C23" i="17"/>
  <c r="C26" i="17"/>
  <c r="C196" i="17"/>
  <c r="C192" i="17"/>
  <c r="C29" i="17"/>
  <c r="C164" i="15"/>
  <c r="C175" i="16"/>
  <c r="C29" i="14"/>
  <c r="C26" i="16"/>
  <c r="C196" i="14"/>
  <c r="C28" i="16"/>
  <c r="C183" i="16"/>
  <c r="C195" i="13"/>
  <c r="C197" i="14"/>
  <c r="C168" i="13"/>
  <c r="C153" i="12"/>
  <c r="C153" i="13"/>
  <c r="C28" i="10"/>
  <c r="C38" i="10"/>
  <c r="C104" i="10"/>
  <c r="C195" i="11"/>
  <c r="C171" i="12"/>
  <c r="C168" i="10"/>
  <c r="C163" i="8"/>
  <c r="C167" i="9"/>
  <c r="C210" i="16"/>
  <c r="C196" i="13"/>
  <c r="C180" i="16"/>
  <c r="C198" i="14"/>
  <c r="C172" i="15"/>
  <c r="C26" i="15"/>
  <c r="C198" i="15"/>
  <c r="C28" i="15"/>
  <c r="C178" i="16"/>
  <c r="C26" i="10"/>
  <c r="C190" i="17"/>
  <c r="C29" i="16"/>
  <c r="C194" i="12"/>
  <c r="C167" i="13"/>
  <c r="C105" i="13"/>
  <c r="C28" i="12"/>
  <c r="C39" i="12"/>
  <c r="C105" i="12"/>
  <c r="C163" i="11"/>
  <c r="C185" i="17"/>
  <c r="C197" i="17"/>
  <c r="C191" i="17"/>
  <c r="C154" i="14"/>
  <c r="C39" i="14"/>
  <c r="C194" i="8"/>
  <c r="C156" i="15"/>
  <c r="C177" i="16"/>
  <c r="C165" i="14"/>
  <c r="C170" i="15"/>
  <c r="C166" i="13"/>
  <c r="C182" i="17"/>
  <c r="C193" i="17"/>
  <c r="C196" i="15"/>
  <c r="C40" i="16"/>
  <c r="C166" i="15"/>
  <c r="C186" i="17"/>
  <c r="C173" i="15"/>
  <c r="C168" i="15"/>
  <c r="C174" i="16"/>
  <c r="C176" i="16"/>
  <c r="C171" i="15"/>
  <c r="C39" i="15"/>
  <c r="C162" i="15"/>
  <c r="C106" i="14"/>
  <c r="C197" i="15"/>
  <c r="C26" i="14"/>
  <c r="C167" i="11"/>
  <c r="C28" i="13"/>
  <c r="C171" i="14"/>
  <c r="C169" i="11"/>
  <c r="C197" i="13"/>
  <c r="C193" i="11"/>
  <c r="C23" i="10"/>
  <c r="C161" i="12"/>
  <c r="C162" i="11"/>
  <c r="C169" i="12"/>
  <c r="C192" i="8"/>
  <c r="C167" i="8"/>
  <c r="C166" i="8"/>
  <c r="C162" i="8"/>
  <c r="C154" i="15"/>
  <c r="C169" i="15"/>
  <c r="C165" i="9"/>
  <c r="C26" i="13"/>
  <c r="C170" i="14"/>
  <c r="C162" i="14"/>
  <c r="C165" i="12"/>
  <c r="C194" i="13"/>
  <c r="C172" i="14"/>
  <c r="C169" i="13"/>
  <c r="C195" i="12"/>
  <c r="C168" i="11"/>
  <c r="C165" i="11"/>
  <c r="C164" i="10"/>
  <c r="C167" i="10"/>
  <c r="C164" i="9"/>
  <c r="C155" i="12"/>
  <c r="C169" i="10"/>
  <c r="C166" i="12"/>
  <c r="C161" i="10"/>
  <c r="C194" i="11"/>
  <c r="C162" i="9"/>
  <c r="C165" i="8"/>
  <c r="C168" i="8"/>
  <c r="C170" i="11"/>
  <c r="C166" i="9"/>
  <c r="C163" i="13"/>
  <c r="C39" i="11"/>
  <c r="C167" i="12"/>
  <c r="C194" i="10"/>
  <c r="C169" i="9"/>
  <c r="C39" i="13"/>
  <c r="C170" i="12"/>
  <c r="C156" i="14"/>
  <c r="C163" i="12"/>
  <c r="C28" i="11"/>
  <c r="C193" i="8"/>
  <c r="C165" i="10"/>
  <c r="C26" i="12"/>
  <c r="C105" i="11"/>
  <c r="C162" i="10"/>
  <c r="C163" i="9"/>
  <c r="C195" i="14"/>
  <c r="C192" i="10"/>
  <c r="C197" i="12"/>
  <c r="C168" i="12"/>
  <c r="C166" i="10"/>
  <c r="C163" i="10"/>
  <c r="C26" i="11"/>
  <c r="C29" i="10"/>
  <c r="C164" i="12"/>
  <c r="C193" i="10"/>
  <c r="C192" i="9"/>
  <c r="C168" i="9"/>
  <c r="C23" i="11"/>
  <c r="C29" i="12"/>
  <c r="C164" i="13"/>
  <c r="C23" i="14"/>
  <c r="C191" i="8"/>
  <c r="C25" i="17"/>
  <c r="C25" i="10"/>
  <c r="C25" i="16"/>
  <c r="C25" i="12"/>
  <c r="C25" i="15"/>
  <c r="C25" i="11"/>
  <c r="C25" i="14"/>
  <c r="C25" i="13"/>
  <c r="C207" i="16"/>
  <c r="C36" i="15"/>
  <c r="C199" i="14"/>
  <c r="C36" i="14"/>
  <c r="C36" i="12"/>
  <c r="C216" i="17"/>
  <c r="C212" i="16"/>
  <c r="C201" i="15"/>
  <c r="C198" i="13"/>
  <c r="C36" i="13"/>
  <c r="C36" i="11"/>
  <c r="C193" i="9"/>
  <c r="C196" i="10"/>
  <c r="C199" i="12"/>
  <c r="C195" i="10"/>
  <c r="C36" i="17"/>
  <c r="C211" i="16"/>
  <c r="C200" i="15"/>
  <c r="C198" i="12"/>
  <c r="C197" i="11"/>
  <c r="C200" i="14"/>
  <c r="C196" i="11"/>
  <c r="C36" i="16"/>
  <c r="C199" i="13"/>
  <c r="C36" i="10"/>
  <c r="C194" i="9"/>
  <c r="C33" i="17"/>
  <c r="C143" i="17"/>
  <c r="C49" i="17"/>
  <c r="C34" i="17"/>
  <c r="C205" i="16"/>
  <c r="C171" i="9"/>
  <c r="C131" i="10"/>
  <c r="C120" i="12"/>
  <c r="C171" i="11"/>
  <c r="C173" i="14"/>
  <c r="C99" i="17"/>
  <c r="C43" i="13"/>
  <c r="C155" i="14"/>
  <c r="C130" i="11"/>
  <c r="C177" i="15"/>
  <c r="C179" i="13"/>
  <c r="C176" i="10"/>
  <c r="C127" i="10"/>
  <c r="C80" i="10"/>
  <c r="C177" i="12"/>
  <c r="C107" i="15"/>
  <c r="C62" i="10"/>
  <c r="C47" i="15"/>
  <c r="C174" i="10"/>
  <c r="C122" i="17"/>
  <c r="C83" i="17"/>
  <c r="C200" i="17"/>
  <c r="C112" i="12"/>
  <c r="C154" i="17"/>
  <c r="C62" i="17"/>
  <c r="C181" i="17"/>
  <c r="C178" i="17"/>
  <c r="C141" i="17"/>
  <c r="C125" i="17"/>
  <c r="C48" i="17"/>
  <c r="C76" i="17"/>
  <c r="C101" i="17"/>
  <c r="C90" i="17"/>
  <c r="C19" i="17"/>
  <c r="C41" i="17"/>
  <c r="C37" i="17"/>
  <c r="C20" i="17"/>
  <c r="C193" i="14"/>
  <c r="C170" i="8"/>
  <c r="C132" i="11"/>
  <c r="C120" i="11"/>
  <c r="C169" i="8"/>
  <c r="C150" i="17"/>
  <c r="C89" i="17"/>
  <c r="C174" i="17"/>
  <c r="C118" i="17"/>
  <c r="C173" i="10"/>
  <c r="C180" i="15"/>
  <c r="C65" i="16"/>
  <c r="C81" i="13"/>
  <c r="C178" i="14"/>
  <c r="C107" i="14"/>
  <c r="C63" i="15"/>
  <c r="C46" i="10"/>
  <c r="C178" i="15"/>
  <c r="C103" i="10"/>
  <c r="C45" i="17"/>
  <c r="C176" i="15"/>
  <c r="C173" i="11"/>
  <c r="C113" i="15"/>
  <c r="C146" i="17"/>
  <c r="C54" i="17"/>
  <c r="C55" i="17"/>
  <c r="C164" i="17"/>
  <c r="C157" i="17"/>
  <c r="C126" i="17"/>
  <c r="C131" i="17"/>
  <c r="C91" i="17"/>
  <c r="C81" i="17"/>
  <c r="C75" i="17"/>
  <c r="C206" i="17"/>
  <c r="C134" i="17"/>
  <c r="C169" i="17"/>
  <c r="C43" i="17"/>
  <c r="C27" i="17"/>
  <c r="C22" i="17"/>
  <c r="C31" i="17"/>
  <c r="C192" i="13"/>
  <c r="C172" i="11"/>
  <c r="C132" i="12"/>
  <c r="C77" i="14"/>
  <c r="C131" i="13"/>
  <c r="C43" i="14"/>
  <c r="C149" i="17"/>
  <c r="C117" i="17"/>
  <c r="C174" i="11"/>
  <c r="C147" i="17"/>
  <c r="C63" i="10"/>
  <c r="C81" i="12"/>
  <c r="C176" i="11"/>
  <c r="C106" i="12"/>
  <c r="C63" i="11"/>
  <c r="C47" i="12"/>
  <c r="C175" i="11"/>
  <c r="C104" i="12"/>
  <c r="C174" i="13"/>
  <c r="C133" i="12"/>
  <c r="C113" i="14"/>
  <c r="C103" i="17"/>
  <c r="C46" i="17"/>
  <c r="C86" i="17"/>
  <c r="C163" i="17"/>
  <c r="C97" i="17"/>
  <c r="C96" i="17"/>
  <c r="C53" i="17"/>
  <c r="C87" i="17"/>
  <c r="C59" i="17"/>
  <c r="C93" i="16"/>
  <c r="C107" i="16"/>
  <c r="C157" i="16"/>
  <c r="C155" i="16"/>
  <c r="C199" i="16"/>
  <c r="C213" i="16"/>
  <c r="C165" i="16"/>
  <c r="C190" i="16"/>
  <c r="C146" i="16"/>
  <c r="C125" i="16"/>
  <c r="C102" i="16"/>
  <c r="C81" i="16"/>
  <c r="C60" i="16"/>
  <c r="C42" i="16"/>
  <c r="C104" i="15"/>
  <c r="C88" i="15"/>
  <c r="C191" i="9"/>
  <c r="C149" i="16"/>
  <c r="C128" i="16"/>
  <c r="C110" i="16"/>
  <c r="C84" i="16"/>
  <c r="C69" i="16"/>
  <c r="C51" i="16"/>
  <c r="C27" i="16"/>
  <c r="C32" i="17"/>
  <c r="C74" i="17"/>
  <c r="C112" i="17"/>
  <c r="C168" i="17"/>
  <c r="C129" i="17"/>
  <c r="C199" i="17"/>
  <c r="C173" i="12"/>
  <c r="C144" i="17"/>
  <c r="C77" i="12"/>
  <c r="C92" i="15"/>
  <c r="C170" i="10"/>
  <c r="C130" i="10"/>
  <c r="C44" i="16"/>
  <c r="C155" i="15"/>
  <c r="C129" i="10"/>
  <c r="C201" i="17"/>
  <c r="C176" i="14"/>
  <c r="C129" i="15"/>
  <c r="C64" i="12"/>
  <c r="C81" i="15"/>
  <c r="C179" i="15"/>
  <c r="C85" i="17"/>
  <c r="C63" i="12"/>
  <c r="C176" i="12"/>
  <c r="C105" i="15"/>
  <c r="C174" i="12"/>
  <c r="C133" i="11"/>
  <c r="C112" i="13"/>
  <c r="C127" i="17"/>
  <c r="C63" i="17"/>
  <c r="C136" i="17"/>
  <c r="C73" i="17"/>
  <c r="C72" i="17"/>
  <c r="C161" i="17"/>
  <c r="C208" i="17"/>
  <c r="C105" i="17"/>
  <c r="C211" i="17"/>
  <c r="C65" i="17"/>
  <c r="C93" i="17"/>
  <c r="C107" i="17"/>
  <c r="C162" i="17"/>
  <c r="C160" i="17"/>
  <c r="C209" i="17"/>
  <c r="C170" i="16"/>
  <c r="C188" i="15"/>
  <c r="C145" i="15"/>
  <c r="C124" i="15"/>
  <c r="C101" i="15"/>
  <c r="C80" i="15"/>
  <c r="C59" i="15"/>
  <c r="C41" i="15"/>
  <c r="C195" i="16"/>
  <c r="C100" i="16"/>
  <c r="C190" i="8"/>
  <c r="C148" i="15"/>
  <c r="C127" i="15"/>
  <c r="C109" i="15"/>
  <c r="C83" i="15"/>
  <c r="C68" i="15"/>
  <c r="C50" i="15"/>
  <c r="C27" i="15"/>
  <c r="C161" i="8"/>
  <c r="C140" i="16"/>
  <c r="C118" i="16"/>
  <c r="C87" i="16"/>
  <c r="C70" i="16"/>
  <c r="C54" i="16"/>
  <c r="C33" i="16"/>
  <c r="C103" i="15"/>
  <c r="C160" i="15"/>
  <c r="C159" i="11"/>
  <c r="C138" i="15"/>
  <c r="C117" i="16"/>
  <c r="C92" i="16"/>
  <c r="C67" i="16"/>
  <c r="C49" i="16"/>
  <c r="C22" i="16"/>
  <c r="C182" i="14"/>
  <c r="C141" i="14"/>
  <c r="C119" i="14"/>
  <c r="C94" i="14"/>
  <c r="C75" i="14"/>
  <c r="C55" i="14"/>
  <c r="C35" i="14"/>
  <c r="C100" i="14"/>
  <c r="C18" i="17"/>
  <c r="C39" i="17"/>
  <c r="C113" i="17"/>
  <c r="C215" i="17"/>
  <c r="C120" i="17"/>
  <c r="C171" i="10"/>
  <c r="C175" i="15"/>
  <c r="C121" i="14"/>
  <c r="C77" i="15"/>
  <c r="C92" i="14"/>
  <c r="C170" i="9"/>
  <c r="C132" i="15"/>
  <c r="C43" i="15"/>
  <c r="C152" i="10"/>
  <c r="C130" i="12"/>
  <c r="C172" i="8"/>
  <c r="C175" i="12"/>
  <c r="C178" i="13"/>
  <c r="C128" i="13"/>
  <c r="C64" i="15"/>
  <c r="C81" i="14"/>
  <c r="C105" i="10"/>
  <c r="C78" i="16"/>
  <c r="C47" i="14"/>
  <c r="C173" i="8"/>
  <c r="C104" i="13"/>
  <c r="C172" i="9"/>
  <c r="C134" i="14"/>
  <c r="C112" i="11"/>
  <c r="C88" i="17"/>
  <c r="C142" i="17"/>
  <c r="C79" i="17"/>
  <c r="C78" i="17"/>
  <c r="C133" i="17"/>
  <c r="C167" i="17"/>
  <c r="C214" i="17"/>
  <c r="C111" i="17"/>
  <c r="C217" i="17"/>
  <c r="C51" i="17"/>
  <c r="C200" i="16"/>
  <c r="C106" i="16"/>
  <c r="C82" i="16"/>
  <c r="C169" i="16"/>
  <c r="C168" i="16"/>
  <c r="C185" i="16"/>
  <c r="C142" i="16"/>
  <c r="C120" i="16"/>
  <c r="C95" i="16"/>
  <c r="C76" i="16"/>
  <c r="C56" i="16"/>
  <c r="C35" i="16"/>
  <c r="C193" i="15"/>
  <c r="C99" i="15"/>
  <c r="C189" i="16"/>
  <c r="C145" i="16"/>
  <c r="C124" i="16"/>
  <c r="C98" i="16"/>
  <c r="C80" i="16"/>
  <c r="C63" i="16"/>
  <c r="C46" i="16"/>
  <c r="C20" i="16"/>
  <c r="C177" i="17"/>
  <c r="C24" i="17"/>
  <c r="C148" i="17"/>
  <c r="C35" i="17"/>
  <c r="C166" i="17"/>
  <c r="C212" i="17"/>
  <c r="C100" i="17"/>
  <c r="C218" i="17"/>
  <c r="C132" i="13"/>
  <c r="C121" i="15"/>
  <c r="C77" i="11"/>
  <c r="C174" i="15"/>
  <c r="C131" i="12"/>
  <c r="C42" i="10"/>
  <c r="C154" i="12"/>
  <c r="C131" i="15"/>
  <c r="C173" i="9"/>
  <c r="C180" i="14"/>
  <c r="C179" i="14"/>
  <c r="C128" i="11"/>
  <c r="C64" i="11"/>
  <c r="C81" i="11"/>
  <c r="C203" i="17"/>
  <c r="C106" i="11"/>
  <c r="C63" i="13"/>
  <c r="C47" i="13"/>
  <c r="C176" i="13"/>
  <c r="C104" i="11"/>
  <c r="C175" i="14"/>
  <c r="C133" i="13"/>
  <c r="C111" i="10"/>
  <c r="C50" i="17"/>
  <c r="C153" i="17"/>
  <c r="C52" i="17"/>
  <c r="C124" i="17"/>
  <c r="C58" i="17"/>
  <c r="C109" i="17"/>
  <c r="C173" i="17"/>
  <c r="C204" i="17"/>
  <c r="C66" i="17"/>
  <c r="C110" i="17"/>
  <c r="C139" i="17"/>
  <c r="C92" i="17"/>
  <c r="C170" i="17"/>
  <c r="C152" i="17"/>
  <c r="C159" i="17"/>
  <c r="C158" i="17"/>
  <c r="C205" i="17"/>
  <c r="C106" i="17"/>
  <c r="C82" i="17"/>
  <c r="C171" i="17"/>
  <c r="C201" i="16"/>
  <c r="C173" i="16"/>
  <c r="C156" i="16"/>
  <c r="C198" i="9"/>
  <c r="C183" i="15"/>
  <c r="C141" i="15"/>
  <c r="C119" i="15"/>
  <c r="C94" i="15"/>
  <c r="C75" i="15"/>
  <c r="C55" i="15"/>
  <c r="C35" i="15"/>
  <c r="C189" i="10"/>
  <c r="C160" i="16"/>
  <c r="C187" i="15"/>
  <c r="C144" i="15"/>
  <c r="C123" i="15"/>
  <c r="C97" i="15"/>
  <c r="C79" i="15"/>
  <c r="C62" i="15"/>
  <c r="C45" i="15"/>
  <c r="C20" i="15"/>
  <c r="C190" i="15"/>
  <c r="C152" i="16"/>
  <c r="C136" i="16"/>
  <c r="C113" i="16"/>
  <c r="C83" i="16"/>
  <c r="C68" i="16"/>
  <c r="C50" i="16"/>
  <c r="C24" i="16"/>
  <c r="C42" i="17"/>
  <c r="C114" i="17"/>
  <c r="C21" i="17"/>
  <c r="C60" i="17"/>
  <c r="C194" i="15"/>
  <c r="C174" i="14"/>
  <c r="C133" i="15"/>
  <c r="C120" i="13"/>
  <c r="C77" i="13"/>
  <c r="C172" i="13"/>
  <c r="C132" i="14"/>
  <c r="C43" i="12"/>
  <c r="C154" i="13"/>
  <c r="C130" i="13"/>
  <c r="C181" i="15"/>
  <c r="C178" i="12"/>
  <c r="C129" i="14"/>
  <c r="C64" i="13"/>
  <c r="C175" i="10"/>
  <c r="C106" i="13"/>
  <c r="C63" i="14"/>
  <c r="C48" i="16"/>
  <c r="C202" i="17"/>
  <c r="C177" i="14"/>
  <c r="C105" i="14"/>
  <c r="C104" i="17"/>
  <c r="C171" i="8"/>
  <c r="C134" i="15"/>
  <c r="C121" i="17"/>
  <c r="C132" i="17"/>
  <c r="C68" i="17"/>
  <c r="C64" i="17"/>
  <c r="C115" i="17"/>
  <c r="C179" i="17"/>
  <c r="C210" i="17"/>
  <c r="C56" i="17"/>
  <c r="C116" i="17"/>
  <c r="C71" i="17"/>
  <c r="C98" i="17"/>
  <c r="C176" i="17"/>
  <c r="C140" i="17"/>
  <c r="C165" i="17"/>
  <c r="C128" i="17"/>
  <c r="C108" i="16"/>
  <c r="C202" i="16"/>
  <c r="C133" i="16"/>
  <c r="C132" i="16"/>
  <c r="C130" i="16"/>
  <c r="C206" i="16"/>
  <c r="C122" i="16"/>
  <c r="C30" i="17"/>
  <c r="C57" i="17"/>
  <c r="C95" i="17"/>
  <c r="C213" i="17"/>
  <c r="C145" i="17"/>
  <c r="C192" i="12"/>
  <c r="C173" i="13"/>
  <c r="C133" i="14"/>
  <c r="C119" i="10"/>
  <c r="C76" i="10"/>
  <c r="C198" i="17"/>
  <c r="C172" i="12"/>
  <c r="C131" i="11"/>
  <c r="C43" i="11"/>
  <c r="C153" i="11"/>
  <c r="C131" i="14"/>
  <c r="C175" i="13"/>
  <c r="C179" i="12"/>
  <c r="C177" i="11"/>
  <c r="C128" i="12"/>
  <c r="C64" i="14"/>
  <c r="C177" i="13"/>
  <c r="C123" i="17"/>
  <c r="C64" i="16"/>
  <c r="C47" i="11"/>
  <c r="C174" i="9"/>
  <c r="C84" i="17"/>
  <c r="C172" i="10"/>
  <c r="C132" i="10"/>
  <c r="C61" i="17"/>
  <c r="C102" i="17"/>
  <c r="C156" i="17"/>
  <c r="C67" i="17"/>
  <c r="C175" i="17"/>
  <c r="C172" i="17"/>
  <c r="C135" i="17"/>
  <c r="C155" i="17"/>
  <c r="C47" i="17"/>
  <c r="C94" i="17"/>
  <c r="C77" i="17"/>
  <c r="C70" i="17"/>
  <c r="C130" i="17"/>
  <c r="C151" i="17"/>
  <c r="C80" i="17"/>
  <c r="C108" i="17"/>
  <c r="C207" i="17"/>
  <c r="C138" i="17"/>
  <c r="C137" i="17"/>
  <c r="C203" i="16"/>
  <c r="C199" i="11"/>
  <c r="C153" i="15"/>
  <c r="C137" i="15"/>
  <c r="C115" i="15"/>
  <c r="C90" i="15"/>
  <c r="C71" i="15"/>
  <c r="C51" i="15"/>
  <c r="C30" i="15"/>
  <c r="C101" i="16"/>
  <c r="C193" i="16"/>
  <c r="C158" i="16"/>
  <c r="C195" i="15"/>
  <c r="C182" i="15"/>
  <c r="C140" i="15"/>
  <c r="C118" i="15"/>
  <c r="C93" i="15"/>
  <c r="C75" i="16"/>
  <c r="C59" i="16"/>
  <c r="C40" i="15"/>
  <c r="C186" i="15"/>
  <c r="C148" i="16"/>
  <c r="C127" i="16"/>
  <c r="C109" i="16"/>
  <c r="C79" i="16"/>
  <c r="C62" i="16"/>
  <c r="C45" i="16"/>
  <c r="C19" i="16"/>
  <c r="C31" i="16"/>
  <c r="C87" i="15"/>
  <c r="C186" i="16"/>
  <c r="C147" i="16"/>
  <c r="C126" i="16"/>
  <c r="C103" i="16"/>
  <c r="C77" i="16"/>
  <c r="C57" i="16"/>
  <c r="C37" i="16"/>
  <c r="C201" i="14"/>
  <c r="C149" i="14"/>
  <c r="C128" i="14"/>
  <c r="C110" i="14"/>
  <c r="C84" i="14"/>
  <c r="C65" i="14"/>
  <c r="C46" i="14"/>
  <c r="C21" i="14"/>
  <c r="C192" i="14"/>
  <c r="C159" i="14"/>
  <c r="C181" i="14"/>
  <c r="C140" i="14"/>
  <c r="C118" i="14"/>
  <c r="C93" i="14"/>
  <c r="C74" i="14"/>
  <c r="C58" i="14"/>
  <c r="C40" i="14"/>
  <c r="C196" i="16"/>
  <c r="C163" i="16"/>
  <c r="C154" i="16"/>
  <c r="C110" i="15"/>
  <c r="C47" i="16"/>
  <c r="C157" i="15"/>
  <c r="C192" i="11"/>
  <c r="C115" i="16"/>
  <c r="C58" i="15"/>
  <c r="C161" i="11"/>
  <c r="C126" i="15"/>
  <c r="C86" i="15"/>
  <c r="C58" i="16"/>
  <c r="C24" i="15"/>
  <c r="C187" i="16"/>
  <c r="C161" i="16"/>
  <c r="C151" i="16"/>
  <c r="C125" i="15"/>
  <c r="C95" i="15"/>
  <c r="C61" i="16"/>
  <c r="C37" i="15"/>
  <c r="C186" i="13"/>
  <c r="C137" i="14"/>
  <c r="C109" i="13"/>
  <c r="C80" i="13"/>
  <c r="C51" i="14"/>
  <c r="C21" i="13"/>
  <c r="C189" i="13"/>
  <c r="C194" i="14"/>
  <c r="C147" i="13"/>
  <c r="C123" i="14"/>
  <c r="C96" i="13"/>
  <c r="C74" i="13"/>
  <c r="C54" i="13"/>
  <c r="C34" i="13"/>
  <c r="C184" i="13"/>
  <c r="C142" i="13"/>
  <c r="C121" i="13"/>
  <c r="C95" i="13"/>
  <c r="C73" i="13"/>
  <c r="C57" i="13"/>
  <c r="C38" i="13"/>
  <c r="C190" i="13"/>
  <c r="C157" i="13"/>
  <c r="C182" i="13"/>
  <c r="C141" i="13"/>
  <c r="C119" i="13"/>
  <c r="C94" i="13"/>
  <c r="C72" i="13"/>
  <c r="C52" i="13"/>
  <c r="C32" i="13"/>
  <c r="C181" i="12"/>
  <c r="C126" i="10"/>
  <c r="C109" i="11"/>
  <c r="C75" i="11"/>
  <c r="C40" i="10"/>
  <c r="C155" i="10"/>
  <c r="C147" i="11"/>
  <c r="C116" i="10"/>
  <c r="C92" i="11"/>
  <c r="C68" i="12"/>
  <c r="C39" i="10"/>
  <c r="C160" i="11"/>
  <c r="C125" i="12"/>
  <c r="C81" i="10"/>
  <c r="C67" i="11"/>
  <c r="C38" i="11"/>
  <c r="C101" i="10"/>
  <c r="C157" i="11"/>
  <c r="C144" i="10"/>
  <c r="C124" i="11"/>
  <c r="C91" i="11"/>
  <c r="C55" i="10"/>
  <c r="C37" i="11"/>
  <c r="C151" i="10"/>
  <c r="C136" i="11"/>
  <c r="C134" i="16"/>
  <c r="C135" i="16"/>
  <c r="C150" i="16"/>
  <c r="C91" i="16"/>
  <c r="C46" i="15"/>
  <c r="C184" i="16"/>
  <c r="C114" i="15"/>
  <c r="C55" i="16"/>
  <c r="C160" i="10"/>
  <c r="C122" i="15"/>
  <c r="C82" i="15"/>
  <c r="C57" i="15"/>
  <c r="C19" i="15"/>
  <c r="C185" i="15"/>
  <c r="C159" i="16"/>
  <c r="C150" i="15"/>
  <c r="C121" i="16"/>
  <c r="C91" i="15"/>
  <c r="C60" i="15"/>
  <c r="C32" i="16"/>
  <c r="C181" i="13"/>
  <c r="C136" i="13"/>
  <c r="C101" i="14"/>
  <c r="C75" i="13"/>
  <c r="C51" i="13"/>
  <c r="C88" i="14"/>
  <c r="C193" i="13"/>
  <c r="C144" i="14"/>
  <c r="C122" i="13"/>
  <c r="C92" i="13"/>
  <c r="C70" i="13"/>
  <c r="C54" i="14"/>
  <c r="C27" i="14"/>
  <c r="C163" i="14"/>
  <c r="C139" i="14"/>
  <c r="C117" i="14"/>
  <c r="C86" i="14"/>
  <c r="C69" i="14"/>
  <c r="C53" i="14"/>
  <c r="C33" i="14"/>
  <c r="C31" i="14"/>
  <c r="C87" i="14"/>
  <c r="C161" i="14"/>
  <c r="C138" i="14"/>
  <c r="C116" i="14"/>
  <c r="C91" i="14"/>
  <c r="C66" i="14"/>
  <c r="C48" i="14"/>
  <c r="C22" i="14"/>
  <c r="C179" i="11"/>
  <c r="C127" i="12"/>
  <c r="C92" i="10"/>
  <c r="C75" i="12"/>
  <c r="C41" i="12"/>
  <c r="C158" i="12"/>
  <c r="C147" i="12"/>
  <c r="C117" i="12"/>
  <c r="C82" i="10"/>
  <c r="C68" i="11"/>
  <c r="C40" i="12"/>
  <c r="C145" i="10"/>
  <c r="C125" i="11"/>
  <c r="C82" i="12"/>
  <c r="C56" i="10"/>
  <c r="C24" i="10"/>
  <c r="C102" i="12"/>
  <c r="C167" i="16"/>
  <c r="C166" i="16"/>
  <c r="C149" i="15"/>
  <c r="C85" i="16"/>
  <c r="C30" i="16"/>
  <c r="C100" i="15"/>
  <c r="C153" i="16"/>
  <c r="C94" i="16"/>
  <c r="C54" i="15"/>
  <c r="C151" i="15"/>
  <c r="C123" i="16"/>
  <c r="C78" i="15"/>
  <c r="C53" i="15"/>
  <c r="C104" i="16"/>
  <c r="C158" i="15"/>
  <c r="C191" i="16"/>
  <c r="C146" i="15"/>
  <c r="C120" i="15"/>
  <c r="C86" i="16"/>
  <c r="C56" i="15"/>
  <c r="C32" i="15"/>
  <c r="C153" i="14"/>
  <c r="C127" i="13"/>
  <c r="C100" i="13"/>
  <c r="C71" i="14"/>
  <c r="C46" i="13"/>
  <c r="C88" i="13"/>
  <c r="C186" i="14"/>
  <c r="C143" i="13"/>
  <c r="C117" i="13"/>
  <c r="C89" i="14"/>
  <c r="C70" i="14"/>
  <c r="C50" i="14"/>
  <c r="C27" i="13"/>
  <c r="C162" i="13"/>
  <c r="C138" i="13"/>
  <c r="C116" i="13"/>
  <c r="C86" i="13"/>
  <c r="C69" i="13"/>
  <c r="C53" i="13"/>
  <c r="C33" i="13"/>
  <c r="C31" i="13"/>
  <c r="C87" i="13"/>
  <c r="C160" i="13"/>
  <c r="C137" i="13"/>
  <c r="C115" i="13"/>
  <c r="C91" i="13"/>
  <c r="C66" i="13"/>
  <c r="C48" i="13"/>
  <c r="C22" i="13"/>
  <c r="C147" i="10"/>
  <c r="C127" i="11"/>
  <c r="C93" i="12"/>
  <c r="C58" i="10"/>
  <c r="C41" i="11"/>
  <c r="C156" i="11"/>
  <c r="C193" i="12"/>
  <c r="C138" i="10"/>
  <c r="C117" i="11"/>
  <c r="C83" i="11"/>
  <c r="C57" i="10"/>
  <c r="C40" i="11"/>
  <c r="C146" i="12"/>
  <c r="C115" i="10"/>
  <c r="C82" i="11"/>
  <c r="C57" i="12"/>
  <c r="C24" i="12"/>
  <c r="C102" i="11"/>
  <c r="C145" i="11"/>
  <c r="C115" i="12"/>
  <c r="C71" i="10"/>
  <c r="C56" i="11"/>
  <c r="C22" i="12"/>
  <c r="C152" i="11"/>
  <c r="C123" i="12"/>
  <c r="C89" i="10"/>
  <c r="C71" i="11"/>
  <c r="C114" i="16"/>
  <c r="C208" i="16"/>
  <c r="C171" i="16"/>
  <c r="C138" i="16"/>
  <c r="C84" i="15"/>
  <c r="C21" i="16"/>
  <c r="C105" i="16"/>
  <c r="C152" i="15"/>
  <c r="C90" i="16"/>
  <c r="C41" i="16"/>
  <c r="C147" i="15"/>
  <c r="C117" i="15"/>
  <c r="C74" i="16"/>
  <c r="C49" i="15"/>
  <c r="C194" i="16"/>
  <c r="C189" i="15"/>
  <c r="C143" i="16"/>
  <c r="C116" i="15"/>
  <c r="C85" i="15"/>
  <c r="C53" i="16"/>
  <c r="C22" i="15"/>
  <c r="C152" i="13"/>
  <c r="C124" i="14"/>
  <c r="C93" i="13"/>
  <c r="C71" i="13"/>
  <c r="C41" i="14"/>
  <c r="C99" i="13"/>
  <c r="C99" i="14"/>
  <c r="C185" i="13"/>
  <c r="C139" i="13"/>
  <c r="C114" i="14"/>
  <c r="C89" i="13"/>
  <c r="C68" i="14"/>
  <c r="C50" i="13"/>
  <c r="C20" i="14"/>
  <c r="C151" i="14"/>
  <c r="C135" i="14"/>
  <c r="C112" i="14"/>
  <c r="C82" i="14"/>
  <c r="C67" i="14"/>
  <c r="C49" i="14"/>
  <c r="C24" i="14"/>
  <c r="C184" i="14"/>
  <c r="C98" i="14"/>
  <c r="C150" i="14"/>
  <c r="C130" i="14"/>
  <c r="C111" i="14"/>
  <c r="C85" i="14"/>
  <c r="C60" i="14"/>
  <c r="C42" i="14"/>
  <c r="C18" i="14"/>
  <c r="C148" i="12"/>
  <c r="C117" i="10"/>
  <c r="C93" i="11"/>
  <c r="C59" i="12"/>
  <c r="C30" i="10"/>
  <c r="C191" i="12"/>
  <c r="C191" i="11"/>
  <c r="C139" i="11"/>
  <c r="C107" i="10"/>
  <c r="C83" i="12"/>
  <c r="C58" i="12"/>
  <c r="C27" i="10"/>
  <c r="C146" i="11"/>
  <c r="C116" i="12"/>
  <c r="C72" i="10"/>
  <c r="C57" i="11"/>
  <c r="C24" i="11"/>
  <c r="C86" i="10"/>
  <c r="C184" i="10"/>
  <c r="C136" i="10"/>
  <c r="C115" i="11"/>
  <c r="C72" i="12"/>
  <c r="C47" i="10"/>
  <c r="C22" i="11"/>
  <c r="C143" i="10"/>
  <c r="C123" i="11"/>
  <c r="C90" i="12"/>
  <c r="C64" i="10"/>
  <c r="C46" i="11"/>
  <c r="C99" i="11"/>
  <c r="C87" i="10"/>
  <c r="C150" i="10"/>
  <c r="C135" i="11"/>
  <c r="C96" i="12"/>
  <c r="C69" i="10"/>
  <c r="C54" i="11"/>
  <c r="C20" i="12"/>
  <c r="C149" i="10"/>
  <c r="C134" i="11"/>
  <c r="C95" i="12"/>
  <c r="C68" i="10"/>
  <c r="C53" i="11"/>
  <c r="C19" i="11"/>
  <c r="C31" i="12"/>
  <c r="C154" i="10"/>
  <c r="C148" i="10"/>
  <c r="C129" i="11"/>
  <c r="C94" i="12"/>
  <c r="C59" i="10"/>
  <c r="C42" i="11"/>
  <c r="C69" i="17"/>
  <c r="C119" i="17"/>
  <c r="C129" i="16"/>
  <c r="C72" i="16"/>
  <c r="C21" i="15"/>
  <c r="C190" i="11"/>
  <c r="C141" i="16"/>
  <c r="C89" i="15"/>
  <c r="C34" i="16"/>
  <c r="C192" i="16"/>
  <c r="C144" i="16"/>
  <c r="C112" i="15"/>
  <c r="C73" i="15"/>
  <c r="C44" i="15"/>
  <c r="C192" i="15"/>
  <c r="C184" i="15"/>
  <c r="C142" i="15"/>
  <c r="C112" i="16"/>
  <c r="C76" i="15"/>
  <c r="C52" i="15"/>
  <c r="C18" i="16"/>
  <c r="C148" i="13"/>
  <c r="C123" i="13"/>
  <c r="C90" i="14"/>
  <c r="C65" i="13"/>
  <c r="C41" i="13"/>
  <c r="C104" i="14"/>
  <c r="C98" i="13"/>
  <c r="C180" i="13"/>
  <c r="C136" i="14"/>
  <c r="C113" i="13"/>
  <c r="C83" i="14"/>
  <c r="C68" i="13"/>
  <c r="C45" i="14"/>
  <c r="C20" i="13"/>
  <c r="C150" i="13"/>
  <c r="C134" i="13"/>
  <c r="C111" i="13"/>
  <c r="C82" i="13"/>
  <c r="C67" i="13"/>
  <c r="C49" i="13"/>
  <c r="C24" i="13"/>
  <c r="C183" i="13"/>
  <c r="C97" i="13"/>
  <c r="C149" i="13"/>
  <c r="C129" i="13"/>
  <c r="C110" i="13"/>
  <c r="C85" i="13"/>
  <c r="C60" i="13"/>
  <c r="C42" i="13"/>
  <c r="C18" i="13"/>
  <c r="C148" i="11"/>
  <c r="C118" i="12"/>
  <c r="C83" i="10"/>
  <c r="C59" i="11"/>
  <c r="C30" i="12"/>
  <c r="C189" i="11"/>
  <c r="C177" i="10"/>
  <c r="C139" i="12"/>
  <c r="C108" i="12"/>
  <c r="C73" i="10"/>
  <c r="C58" i="11"/>
  <c r="C27" i="11"/>
  <c r="C185" i="10"/>
  <c r="C137" i="10"/>
  <c r="C116" i="11"/>
  <c r="C73" i="12"/>
  <c r="C48" i="10"/>
  <c r="C87" i="12"/>
  <c r="C185" i="11"/>
  <c r="C137" i="12"/>
  <c r="C100" i="10"/>
  <c r="C72" i="11"/>
  <c r="C48" i="12"/>
  <c r="C144" i="12"/>
  <c r="C113" i="10"/>
  <c r="C90" i="11"/>
  <c r="C65" i="12"/>
  <c r="C35" i="10"/>
  <c r="C99" i="12"/>
  <c r="C88" i="12"/>
  <c r="C151" i="12"/>
  <c r="C121" i="10"/>
  <c r="C96" i="11"/>
  <c r="C70" i="12"/>
  <c r="C204" i="16"/>
  <c r="C128" i="15"/>
  <c r="C66" i="16"/>
  <c r="C191" i="15"/>
  <c r="C137" i="16"/>
  <c r="C74" i="15"/>
  <c r="C34" i="15"/>
  <c r="C188" i="16"/>
  <c r="C143" i="15"/>
  <c r="C108" i="15"/>
  <c r="C69" i="15"/>
  <c r="C39" i="16"/>
  <c r="C88" i="16"/>
  <c r="C162" i="16"/>
  <c r="C139" i="16"/>
  <c r="C111" i="15"/>
  <c r="C73" i="16"/>
  <c r="C48" i="15"/>
  <c r="C18" i="15"/>
  <c r="C145" i="14"/>
  <c r="C118" i="13"/>
  <c r="C90" i="13"/>
  <c r="C59" i="14"/>
  <c r="C35" i="13"/>
  <c r="C103" i="13"/>
  <c r="C158" i="13"/>
  <c r="C152" i="14"/>
  <c r="C135" i="13"/>
  <c r="C109" i="14"/>
  <c r="C83" i="13"/>
  <c r="C62" i="14"/>
  <c r="C45" i="13"/>
  <c r="C189" i="14"/>
  <c r="C147" i="14"/>
  <c r="C126" i="14"/>
  <c r="C108" i="14"/>
  <c r="C78" i="14"/>
  <c r="C61" i="14"/>
  <c r="C44" i="14"/>
  <c r="C19" i="14"/>
  <c r="C103" i="14"/>
  <c r="C160" i="14"/>
  <c r="C188" i="14"/>
  <c r="C146" i="14"/>
  <c r="C125" i="14"/>
  <c r="C102" i="14"/>
  <c r="C76" i="14"/>
  <c r="C56" i="14"/>
  <c r="C37" i="14"/>
  <c r="C200" i="12"/>
  <c r="C139" i="10"/>
  <c r="C118" i="11"/>
  <c r="C84" i="12"/>
  <c r="C50" i="10"/>
  <c r="C30" i="11"/>
  <c r="C97" i="10"/>
  <c r="C180" i="12"/>
  <c r="C125" i="10"/>
  <c r="C108" i="11"/>
  <c r="C74" i="12"/>
  <c r="C49" i="10"/>
  <c r="C27" i="12"/>
  <c r="C188" i="12"/>
  <c r="C138" i="12"/>
  <c r="C106" i="10"/>
  <c r="C73" i="11"/>
  <c r="C49" i="12"/>
  <c r="C180" i="10"/>
  <c r="C87" i="11"/>
  <c r="C187" i="12"/>
  <c r="C137" i="11"/>
  <c r="C101" i="12"/>
  <c r="C65" i="10"/>
  <c r="C48" i="11"/>
  <c r="C183" i="10"/>
  <c r="C144" i="11"/>
  <c r="C114" i="12"/>
  <c r="C79" i="10"/>
  <c r="C65" i="11"/>
  <c r="C35" i="11"/>
  <c r="C102" i="10"/>
  <c r="C88" i="11"/>
  <c r="C151" i="11"/>
  <c r="C198" i="10"/>
  <c r="C116" i="16"/>
  <c r="C65" i="15"/>
  <c r="C89" i="16"/>
  <c r="C197" i="16"/>
  <c r="C136" i="15"/>
  <c r="C71" i="16"/>
  <c r="C164" i="16"/>
  <c r="C139" i="15"/>
  <c r="C97" i="16"/>
  <c r="C67" i="15"/>
  <c r="C38" i="15"/>
  <c r="C99" i="16"/>
  <c r="C161" i="15"/>
  <c r="C131" i="16"/>
  <c r="C102" i="15"/>
  <c r="C72" i="15"/>
  <c r="C42" i="15"/>
  <c r="C200" i="13"/>
  <c r="C144" i="13"/>
  <c r="C115" i="14"/>
  <c r="C84" i="13"/>
  <c r="C59" i="13"/>
  <c r="C30" i="14"/>
  <c r="C191" i="13"/>
  <c r="C157" i="14"/>
  <c r="C151" i="13"/>
  <c r="C127" i="14"/>
  <c r="C108" i="13"/>
  <c r="C79" i="14"/>
  <c r="C62" i="13"/>
  <c r="C40" i="13"/>
  <c r="C188" i="13"/>
  <c r="C146" i="13"/>
  <c r="C125" i="13"/>
  <c r="C107" i="13"/>
  <c r="C78" i="13"/>
  <c r="C61" i="13"/>
  <c r="C44" i="13"/>
  <c r="C19" i="13"/>
  <c r="C102" i="13"/>
  <c r="C159" i="13"/>
  <c r="C187" i="13"/>
  <c r="C145" i="13"/>
  <c r="C124" i="13"/>
  <c r="C101" i="13"/>
  <c r="C76" i="13"/>
  <c r="C56" i="13"/>
  <c r="C37" i="13"/>
  <c r="C198" i="11"/>
  <c r="C140" i="12"/>
  <c r="C108" i="10"/>
  <c r="C84" i="11"/>
  <c r="C51" i="12"/>
  <c r="C98" i="12"/>
  <c r="C178" i="11"/>
  <c r="C126" i="12"/>
  <c r="C91" i="10"/>
  <c r="C74" i="11"/>
  <c r="C50" i="12"/>
  <c r="C186" i="11"/>
  <c r="C138" i="11"/>
  <c r="C107" i="11"/>
  <c r="C66" i="10"/>
  <c r="C49" i="11"/>
  <c r="C183" i="12"/>
  <c r="C156" i="10"/>
  <c r="C160" i="12"/>
  <c r="C123" i="10"/>
  <c r="C101" i="11"/>
  <c r="C66" i="12"/>
  <c r="C37" i="10"/>
  <c r="C186" i="12"/>
  <c r="C135" i="10"/>
  <c r="C114" i="11"/>
  <c r="C80" i="12"/>
  <c r="C54" i="10"/>
  <c r="C198" i="16"/>
  <c r="C202" i="15"/>
  <c r="C111" i="16"/>
  <c r="C52" i="16"/>
  <c r="C159" i="15"/>
  <c r="C191" i="10"/>
  <c r="C119" i="16"/>
  <c r="C70" i="15"/>
  <c r="C163" i="15"/>
  <c r="C135" i="15"/>
  <c r="C96" i="15"/>
  <c r="C61" i="15"/>
  <c r="C33" i="15"/>
  <c r="C31" i="15"/>
  <c r="C98" i="15"/>
  <c r="C158" i="10"/>
  <c r="C130" i="15"/>
  <c r="C96" i="16"/>
  <c r="C66" i="15"/>
  <c r="C43" i="16"/>
  <c r="C187" i="14"/>
  <c r="C140" i="13"/>
  <c r="C114" i="13"/>
  <c r="C80" i="14"/>
  <c r="C55" i="13"/>
  <c r="C30" i="13"/>
  <c r="C190" i="14"/>
  <c r="C156" i="13"/>
  <c r="C148" i="14"/>
  <c r="C126" i="13"/>
  <c r="C97" i="14"/>
  <c r="C79" i="13"/>
  <c r="C58" i="13"/>
  <c r="C34" i="14"/>
  <c r="C185" i="14"/>
  <c r="C143" i="14"/>
  <c r="C122" i="14"/>
  <c r="C96" i="14"/>
  <c r="C73" i="14"/>
  <c r="C57" i="14"/>
  <c r="C38" i="14"/>
  <c r="C191" i="14"/>
  <c r="C158" i="14"/>
  <c r="C183" i="14"/>
  <c r="C142" i="14"/>
  <c r="C120" i="14"/>
  <c r="C95" i="14"/>
  <c r="C72" i="14"/>
  <c r="C52" i="14"/>
  <c r="C32" i="14"/>
  <c r="C178" i="10"/>
  <c r="C140" i="11"/>
  <c r="C109" i="12"/>
  <c r="C74" i="10"/>
  <c r="C51" i="11"/>
  <c r="C98" i="11"/>
  <c r="C146" i="10"/>
  <c r="C126" i="11"/>
  <c r="C92" i="12"/>
  <c r="C67" i="10"/>
  <c r="C50" i="11"/>
  <c r="C162" i="12"/>
  <c r="C124" i="10"/>
  <c r="C107" i="12"/>
  <c r="C67" i="12"/>
  <c r="C38" i="12"/>
  <c r="C181" i="11"/>
  <c r="C159" i="12"/>
  <c r="C158" i="11"/>
  <c r="C124" i="12"/>
  <c r="C90" i="10"/>
  <c r="C66" i="11"/>
  <c r="C37" i="12"/>
  <c r="C184" i="11"/>
  <c r="C136" i="12"/>
  <c r="C99" i="10"/>
  <c r="C80" i="11"/>
  <c r="C55" i="12"/>
  <c r="C21" i="10"/>
  <c r="C103" i="11"/>
  <c r="C156" i="12"/>
  <c r="C143" i="12"/>
  <c r="C112" i="10"/>
  <c r="C89" i="11"/>
  <c r="C62" i="12"/>
  <c r="C34" i="10"/>
  <c r="C142" i="12"/>
  <c r="C110" i="10"/>
  <c r="C86" i="11"/>
  <c r="C61" i="12"/>
  <c r="C33" i="10"/>
  <c r="C188" i="11"/>
  <c r="C141" i="12"/>
  <c r="C109" i="10"/>
  <c r="C85" i="11"/>
  <c r="C52" i="12"/>
  <c r="C18" i="10"/>
  <c r="C189" i="8"/>
  <c r="C152" i="12"/>
  <c r="C46" i="12"/>
  <c r="C187" i="11"/>
  <c r="C135" i="12"/>
  <c r="C78" i="10"/>
  <c r="C44" i="10"/>
  <c r="C142" i="11"/>
  <c r="C94" i="10"/>
  <c r="C69" i="11"/>
  <c r="C33" i="12"/>
  <c r="C157" i="12"/>
  <c r="C149" i="11"/>
  <c r="C110" i="12"/>
  <c r="C76" i="11"/>
  <c r="C32" i="12"/>
  <c r="C190" i="10"/>
  <c r="C189" i="9"/>
  <c r="C159" i="9"/>
  <c r="C187" i="8"/>
  <c r="C195" i="9"/>
  <c r="C180" i="8"/>
  <c r="C183" i="8"/>
  <c r="C179" i="9"/>
  <c r="C185" i="9"/>
  <c r="C122" i="10"/>
  <c r="C35" i="12"/>
  <c r="C153" i="10"/>
  <c r="C122" i="12"/>
  <c r="C79" i="12"/>
  <c r="C45" i="12"/>
  <c r="C133" i="10"/>
  <c r="C95" i="11"/>
  <c r="C60" i="10"/>
  <c r="C33" i="11"/>
  <c r="C31" i="10"/>
  <c r="C155" i="11"/>
  <c r="C140" i="10"/>
  <c r="C110" i="11"/>
  <c r="C60" i="12"/>
  <c r="C32" i="11"/>
  <c r="C190" i="9"/>
  <c r="C187" i="9"/>
  <c r="C178" i="8"/>
  <c r="C184" i="8"/>
  <c r="C145" i="12"/>
  <c r="C100" i="12"/>
  <c r="C21" i="12"/>
  <c r="C154" i="11"/>
  <c r="C182" i="10"/>
  <c r="C122" i="11"/>
  <c r="C79" i="11"/>
  <c r="C45" i="11"/>
  <c r="C181" i="10"/>
  <c r="C134" i="12"/>
  <c r="C85" i="10"/>
  <c r="C61" i="11"/>
  <c r="C19" i="10"/>
  <c r="C31" i="11"/>
  <c r="C141" i="11"/>
  <c r="C93" i="10"/>
  <c r="C60" i="11"/>
  <c r="C18" i="12"/>
  <c r="C159" i="10"/>
  <c r="C157" i="8"/>
  <c r="C186" i="8"/>
  <c r="C186" i="9"/>
  <c r="C184" i="9"/>
  <c r="C114" i="10"/>
  <c r="C100" i="11"/>
  <c r="C21" i="11"/>
  <c r="C185" i="12"/>
  <c r="C113" i="12"/>
  <c r="C70" i="11"/>
  <c r="C34" i="12"/>
  <c r="C184" i="12"/>
  <c r="C120" i="10"/>
  <c r="C86" i="12"/>
  <c r="C52" i="10"/>
  <c r="C19" i="12"/>
  <c r="C187" i="10"/>
  <c r="C128" i="10"/>
  <c r="C94" i="11"/>
  <c r="C51" i="10"/>
  <c r="C18" i="11"/>
  <c r="C160" i="8"/>
  <c r="C157" i="10"/>
  <c r="C175" i="9"/>
  <c r="C183" i="9"/>
  <c r="C176" i="9"/>
  <c r="C185" i="8"/>
  <c r="C91" i="12"/>
  <c r="C70" i="10"/>
  <c r="C98" i="10"/>
  <c r="C183" i="11"/>
  <c r="C113" i="11"/>
  <c r="C61" i="10"/>
  <c r="C34" i="11"/>
  <c r="C182" i="11"/>
  <c r="C121" i="12"/>
  <c r="C77" i="10"/>
  <c r="C53" i="12"/>
  <c r="C190" i="12"/>
  <c r="C179" i="10"/>
  <c r="C129" i="12"/>
  <c r="C84" i="10"/>
  <c r="C52" i="11"/>
  <c r="C196" i="9"/>
  <c r="C174" i="8"/>
  <c r="C182" i="8"/>
  <c r="C175" i="8"/>
  <c r="C177" i="9"/>
  <c r="C56" i="12"/>
  <c r="C71" i="12"/>
  <c r="C103" i="12"/>
  <c r="C142" i="10"/>
  <c r="C95" i="10"/>
  <c r="C62" i="11"/>
  <c r="C20" i="10"/>
  <c r="C150" i="12"/>
  <c r="C121" i="11"/>
  <c r="C78" i="12"/>
  <c r="C43" i="10"/>
  <c r="C96" i="10"/>
  <c r="C182" i="12"/>
  <c r="C118" i="10"/>
  <c r="C85" i="12"/>
  <c r="C41" i="10"/>
  <c r="C197" i="9"/>
  <c r="C182" i="9"/>
  <c r="C180" i="9"/>
  <c r="C176" i="8"/>
  <c r="C22" i="10"/>
  <c r="C55" i="11"/>
  <c r="C186" i="10"/>
  <c r="C143" i="11"/>
  <c r="C88" i="10"/>
  <c r="C53" i="10"/>
  <c r="C20" i="11"/>
  <c r="C150" i="11"/>
  <c r="C111" i="12"/>
  <c r="C78" i="11"/>
  <c r="C44" i="12"/>
  <c r="C97" i="12"/>
  <c r="C180" i="11"/>
  <c r="C119" i="12"/>
  <c r="C75" i="10"/>
  <c r="C42" i="12"/>
  <c r="C160" i="9"/>
  <c r="C197" i="10"/>
  <c r="C159" i="8"/>
  <c r="C158" i="8"/>
  <c r="C178" i="9"/>
  <c r="C181" i="8"/>
  <c r="C179" i="8"/>
  <c r="C45" i="10"/>
  <c r="C189" i="12"/>
  <c r="C134" i="10"/>
  <c r="C89" i="12"/>
  <c r="C54" i="12"/>
  <c r="C141" i="10"/>
  <c r="C111" i="11"/>
  <c r="C69" i="12"/>
  <c r="C44" i="11"/>
  <c r="C97" i="11"/>
  <c r="C149" i="12"/>
  <c r="C119" i="11"/>
  <c r="C76" i="12"/>
  <c r="C32" i="10"/>
  <c r="C188" i="10"/>
  <c r="C188" i="8"/>
  <c r="C188" i="9"/>
  <c r="C177" i="8"/>
  <c r="C161" i="9"/>
  <c r="C181" i="9"/>
  <c r="C15" i="9"/>
  <c r="C103" i="9"/>
  <c r="C158" i="9"/>
  <c r="C24" i="9"/>
  <c r="C149" i="9"/>
  <c r="C151" i="9"/>
  <c r="C31" i="7"/>
  <c r="C152" i="9"/>
  <c r="C147" i="8"/>
  <c r="C149" i="8"/>
  <c r="C30" i="2"/>
  <c r="C41" i="9"/>
  <c r="C150" i="8"/>
  <c r="C137" i="2"/>
  <c r="C39" i="7"/>
  <c r="C143" i="7"/>
  <c r="C145" i="7"/>
  <c r="C32" i="9"/>
  <c r="C39" i="8"/>
  <c r="C135" i="2"/>
  <c r="C31" i="8"/>
  <c r="C17" i="17"/>
  <c r="C15" i="16"/>
  <c r="C17" i="15"/>
  <c r="C15" i="14"/>
  <c r="C17" i="13"/>
  <c r="C15" i="12"/>
  <c r="C17" i="11"/>
  <c r="C15" i="10"/>
  <c r="C16" i="16"/>
  <c r="C16" i="14"/>
  <c r="C16" i="12"/>
  <c r="C16" i="10"/>
  <c r="C15" i="17"/>
  <c r="C17" i="16"/>
  <c r="C15" i="15"/>
  <c r="C17" i="14"/>
  <c r="C15" i="13"/>
  <c r="C17" i="12"/>
  <c r="C15" i="11"/>
  <c r="C17" i="10"/>
  <c r="C150" i="2"/>
  <c r="C16" i="17"/>
  <c r="C16" i="15"/>
  <c r="C16" i="13"/>
  <c r="C16" i="11"/>
  <c r="C135" i="9"/>
  <c r="C81" i="9"/>
  <c r="C132" i="9"/>
  <c r="C138" i="7"/>
  <c r="C52" i="2"/>
  <c r="C22" i="2"/>
  <c r="C155" i="8"/>
  <c r="C141" i="8"/>
  <c r="C132" i="8"/>
  <c r="C120" i="8"/>
  <c r="C112" i="8"/>
  <c r="C104" i="8"/>
  <c r="C97" i="8"/>
  <c r="C79" i="7"/>
  <c r="C71" i="7"/>
  <c r="C63" i="7"/>
  <c r="C55" i="8"/>
  <c r="C47" i="8"/>
  <c r="C38" i="7"/>
  <c r="C30" i="7"/>
  <c r="C21" i="7"/>
  <c r="C154" i="8"/>
  <c r="C140" i="8"/>
  <c r="C127" i="8"/>
  <c r="C115" i="7"/>
  <c r="C107" i="7"/>
  <c r="C103" i="8"/>
  <c r="C97" i="9"/>
  <c r="C86" i="8"/>
  <c r="C78" i="8"/>
  <c r="C70" i="8"/>
  <c r="C62" i="8"/>
  <c r="C54" i="8"/>
  <c r="C46" i="8"/>
  <c r="C29" i="7"/>
  <c r="C20" i="8"/>
  <c r="C133" i="8"/>
  <c r="C80" i="8"/>
  <c r="C156" i="8"/>
  <c r="C130" i="8"/>
  <c r="C144" i="9"/>
  <c r="C56" i="8"/>
  <c r="C22" i="9"/>
  <c r="C88" i="8"/>
  <c r="C150" i="7"/>
  <c r="C137" i="7"/>
  <c r="C128" i="7"/>
  <c r="C116" i="7"/>
  <c r="C108" i="7"/>
  <c r="C96" i="2"/>
  <c r="C96" i="7"/>
  <c r="C75" i="2"/>
  <c r="C67" i="2"/>
  <c r="C59" i="2"/>
  <c r="C51" i="2"/>
  <c r="C43" i="2"/>
  <c r="C35" i="2"/>
  <c r="C29" i="2"/>
  <c r="C21" i="2"/>
  <c r="C149" i="7"/>
  <c r="C128" i="2"/>
  <c r="C123" i="7"/>
  <c r="C119" i="8"/>
  <c r="C111" i="8"/>
  <c r="C102" i="7"/>
  <c r="C95" i="7"/>
  <c r="C86" i="7"/>
  <c r="C78" i="7"/>
  <c r="C70" i="7"/>
  <c r="C62" i="7"/>
  <c r="C50" i="2"/>
  <c r="C46" i="7"/>
  <c r="C29" i="8"/>
  <c r="C20" i="7"/>
  <c r="C129" i="7"/>
  <c r="C80" i="7"/>
  <c r="C151" i="7"/>
  <c r="C126" i="7"/>
  <c r="C142" i="8"/>
  <c r="C57" i="9"/>
  <c r="C22" i="8"/>
  <c r="C89" i="9"/>
  <c r="C142" i="2"/>
  <c r="C129" i="2"/>
  <c r="C121" i="2"/>
  <c r="C109" i="2"/>
  <c r="C101" i="2"/>
  <c r="C103" i="7"/>
  <c r="C80" i="9"/>
  <c r="C71" i="8"/>
  <c r="C64" i="9"/>
  <c r="C56" i="9"/>
  <c r="C48" i="9"/>
  <c r="C40" i="9"/>
  <c r="C31" i="9"/>
  <c r="C21" i="9"/>
  <c r="C141" i="2"/>
  <c r="C136" i="7"/>
  <c r="C116" i="2"/>
  <c r="C108" i="2"/>
  <c r="C100" i="2"/>
  <c r="C95" i="2"/>
  <c r="C89" i="2"/>
  <c r="C82" i="2"/>
  <c r="C74" i="2"/>
  <c r="C66" i="2"/>
  <c r="C58" i="2"/>
  <c r="C54" i="7"/>
  <c r="C42" i="2"/>
  <c r="C28" i="2"/>
  <c r="C20" i="2"/>
  <c r="C122" i="2"/>
  <c r="C56" i="7"/>
  <c r="C157" i="9"/>
  <c r="C114" i="9"/>
  <c r="C72" i="9"/>
  <c r="C38" i="8"/>
  <c r="C156" i="9"/>
  <c r="C113" i="9"/>
  <c r="C79" i="9"/>
  <c r="C47" i="9"/>
  <c r="C83" i="2"/>
  <c r="C152" i="7"/>
  <c r="C127" i="7"/>
  <c r="C98" i="8"/>
  <c r="C72" i="8"/>
  <c r="C40" i="7"/>
  <c r="C153" i="8"/>
  <c r="C139" i="8"/>
  <c r="C126" i="8"/>
  <c r="C118" i="8"/>
  <c r="C110" i="8"/>
  <c r="C102" i="8"/>
  <c r="C95" i="8"/>
  <c r="C85" i="7"/>
  <c r="C77" i="7"/>
  <c r="C69" i="8"/>
  <c r="C61" i="8"/>
  <c r="C53" i="8"/>
  <c r="C45" i="7"/>
  <c r="C37" i="7"/>
  <c r="C28" i="7"/>
  <c r="C19" i="8"/>
  <c r="C76" i="2"/>
  <c r="C119" i="2"/>
  <c r="C22" i="7"/>
  <c r="C143" i="9"/>
  <c r="C106" i="9"/>
  <c r="C63" i="8"/>
  <c r="C30" i="8"/>
  <c r="C142" i="9"/>
  <c r="C105" i="9"/>
  <c r="C71" i="9"/>
  <c r="C30" i="9"/>
  <c r="C90" i="9"/>
  <c r="C133" i="9"/>
  <c r="C97" i="7"/>
  <c r="C72" i="7"/>
  <c r="C36" i="2"/>
  <c r="C148" i="7"/>
  <c r="C135" i="7"/>
  <c r="C115" i="2"/>
  <c r="C107" i="2"/>
  <c r="C99" i="2"/>
  <c r="C101" i="7"/>
  <c r="C94" i="7"/>
  <c r="C81" i="2"/>
  <c r="C73" i="2"/>
  <c r="C65" i="2"/>
  <c r="C57" i="2"/>
  <c r="C49" i="2"/>
  <c r="C41" i="2"/>
  <c r="C34" i="2"/>
  <c r="C27" i="2"/>
  <c r="C19" i="2"/>
  <c r="C134" i="9"/>
  <c r="C98" i="9"/>
  <c r="C55" i="7"/>
  <c r="C21" i="8"/>
  <c r="C129" i="9"/>
  <c r="C96" i="8"/>
  <c r="C63" i="9"/>
  <c r="C20" i="9"/>
  <c r="C89" i="8"/>
  <c r="C131" i="8"/>
  <c r="C90" i="2"/>
  <c r="C68" i="2"/>
  <c r="C140" i="2"/>
  <c r="C127" i="2"/>
  <c r="C122" i="7"/>
  <c r="C114" i="7"/>
  <c r="C106" i="7"/>
  <c r="C94" i="2"/>
  <c r="C86" i="9"/>
  <c r="C78" i="9"/>
  <c r="C70" i="9"/>
  <c r="C62" i="9"/>
  <c r="C54" i="9"/>
  <c r="C46" i="9"/>
  <c r="C38" i="9"/>
  <c r="C29" i="9"/>
  <c r="C19" i="9"/>
  <c r="C143" i="2"/>
  <c r="C87" i="9"/>
  <c r="C120" i="2"/>
  <c r="C99" i="9"/>
  <c r="C155" i="9"/>
  <c r="C112" i="9"/>
  <c r="C77" i="8"/>
  <c r="C45" i="8"/>
  <c r="C26" i="8"/>
  <c r="C145" i="2"/>
  <c r="C102" i="2"/>
  <c r="C148" i="9"/>
  <c r="C154" i="9"/>
  <c r="C139" i="9"/>
  <c r="C127" i="9"/>
  <c r="C119" i="9"/>
  <c r="C111" i="9"/>
  <c r="C95" i="9"/>
  <c r="C85" i="9"/>
  <c r="C77" i="9"/>
  <c r="C69" i="9"/>
  <c r="C61" i="9"/>
  <c r="C53" i="9"/>
  <c r="C45" i="9"/>
  <c r="C37" i="9"/>
  <c r="C28" i="9"/>
  <c r="C18" i="9"/>
  <c r="C90" i="8"/>
  <c r="C144" i="8"/>
  <c r="C124" i="7"/>
  <c r="C122" i="9"/>
  <c r="C55" i="9"/>
  <c r="C88" i="7"/>
  <c r="C73" i="9"/>
  <c r="C141" i="9"/>
  <c r="C104" i="9"/>
  <c r="C69" i="7"/>
  <c r="C37" i="8"/>
  <c r="C26" i="7"/>
  <c r="C154" i="7"/>
  <c r="C115" i="9"/>
  <c r="C146" i="8"/>
  <c r="C152" i="8"/>
  <c r="C137" i="8"/>
  <c r="C121" i="7"/>
  <c r="C117" i="8"/>
  <c r="C109" i="8"/>
  <c r="C93" i="7"/>
  <c r="C84" i="8"/>
  <c r="C76" i="8"/>
  <c r="C68" i="8"/>
  <c r="C60" i="8"/>
  <c r="C52" i="8"/>
  <c r="C44" i="7"/>
  <c r="C36" i="8"/>
  <c r="C27" i="8"/>
  <c r="C18" i="8"/>
  <c r="C89" i="7"/>
  <c r="C140" i="7"/>
  <c r="C153" i="7"/>
  <c r="C117" i="2"/>
  <c r="C130" i="2"/>
  <c r="C79" i="8"/>
  <c r="C144" i="2"/>
  <c r="C40" i="8"/>
  <c r="C128" i="9"/>
  <c r="C96" i="9"/>
  <c r="C61" i="7"/>
  <c r="C28" i="8"/>
  <c r="C113" i="8"/>
  <c r="C142" i="7"/>
  <c r="C147" i="7"/>
  <c r="C133" i="7"/>
  <c r="C114" i="2"/>
  <c r="C113" i="7"/>
  <c r="C105" i="7"/>
  <c r="C94" i="8"/>
  <c r="C80" i="2"/>
  <c r="C76" i="7"/>
  <c r="C68" i="7"/>
  <c r="C56" i="2"/>
  <c r="C48" i="2"/>
  <c r="C44" i="8"/>
  <c r="C36" i="7"/>
  <c r="C27" i="7"/>
  <c r="C18" i="7"/>
  <c r="C84" i="2"/>
  <c r="C132" i="2"/>
  <c r="C130" i="9"/>
  <c r="C120" i="9"/>
  <c r="C153" i="2"/>
  <c r="C106" i="2"/>
  <c r="C72" i="2"/>
  <c r="C40" i="2"/>
  <c r="C110" i="2"/>
  <c r="C44" i="2"/>
  <c r="C153" i="9"/>
  <c r="C138" i="9"/>
  <c r="C126" i="9"/>
  <c r="C118" i="9"/>
  <c r="C110" i="9"/>
  <c r="C100" i="7"/>
  <c r="C92" i="7"/>
  <c r="C83" i="7"/>
  <c r="C71" i="2"/>
  <c r="C67" i="7"/>
  <c r="C59" i="7"/>
  <c r="C51" i="7"/>
  <c r="C39" i="2"/>
  <c r="C35" i="7"/>
  <c r="C25" i="7"/>
  <c r="C104" i="7"/>
  <c r="C64" i="7"/>
  <c r="C32" i="7"/>
  <c r="C150" i="9"/>
  <c r="C137" i="9"/>
  <c r="C125" i="9"/>
  <c r="C117" i="9"/>
  <c r="C109" i="9"/>
  <c r="C100" i="8"/>
  <c r="C91" i="7"/>
  <c r="C82" i="7"/>
  <c r="C74" i="7"/>
  <c r="C66" i="7"/>
  <c r="C58" i="7"/>
  <c r="C50" i="7"/>
  <c r="C42" i="7"/>
  <c r="C34" i="7"/>
  <c r="C24" i="2"/>
  <c r="C133" i="2"/>
  <c r="C147" i="2"/>
  <c r="C131" i="9"/>
  <c r="C143" i="8"/>
  <c r="C134" i="8"/>
  <c r="C122" i="8"/>
  <c r="C114" i="8"/>
  <c r="C106" i="8"/>
  <c r="C91" i="2"/>
  <c r="C85" i="2"/>
  <c r="C77" i="2"/>
  <c r="C69" i="2"/>
  <c r="C65" i="7"/>
  <c r="C53" i="2"/>
  <c r="C45" i="2"/>
  <c r="C37" i="2"/>
  <c r="C23" i="9"/>
  <c r="C85" i="8"/>
  <c r="C109" i="7"/>
  <c r="C139" i="2"/>
  <c r="C98" i="2"/>
  <c r="C64" i="2"/>
  <c r="C33" i="2"/>
  <c r="C91" i="9"/>
  <c r="C128" i="8"/>
  <c r="C123" i="9"/>
  <c r="C49" i="9"/>
  <c r="C151" i="8"/>
  <c r="C136" i="8"/>
  <c r="C124" i="8"/>
  <c r="C116" i="8"/>
  <c r="C108" i="8"/>
  <c r="C93" i="2"/>
  <c r="C87" i="2"/>
  <c r="C79" i="2"/>
  <c r="C75" i="8"/>
  <c r="C63" i="2"/>
  <c r="C55" i="2"/>
  <c r="C47" i="2"/>
  <c r="C43" i="7"/>
  <c r="C32" i="2"/>
  <c r="C25" i="2"/>
  <c r="C155" i="7"/>
  <c r="C148" i="2"/>
  <c r="C97" i="2"/>
  <c r="C60" i="2"/>
  <c r="C31" i="2"/>
  <c r="C148" i="8"/>
  <c r="C135" i="8"/>
  <c r="C123" i="8"/>
  <c r="C115" i="8"/>
  <c r="C107" i="8"/>
  <c r="C92" i="2"/>
  <c r="C86" i="2"/>
  <c r="C78" i="2"/>
  <c r="C70" i="2"/>
  <c r="C62" i="2"/>
  <c r="C54" i="2"/>
  <c r="C46" i="2"/>
  <c r="C38" i="2"/>
  <c r="C24" i="8"/>
  <c r="C147" i="9"/>
  <c r="C88" i="9"/>
  <c r="C129" i="8"/>
  <c r="C139" i="7"/>
  <c r="C123" i="2"/>
  <c r="C47" i="7"/>
  <c r="C53" i="7"/>
  <c r="C27" i="9"/>
  <c r="C126" i="2"/>
  <c r="C88" i="2"/>
  <c r="C60" i="7"/>
  <c r="C26" i="2"/>
  <c r="C146" i="9"/>
  <c r="C121" i="8"/>
  <c r="C48" i="8"/>
  <c r="C152" i="2"/>
  <c r="C146" i="7"/>
  <c r="C132" i="7"/>
  <c r="C120" i="7"/>
  <c r="C112" i="7"/>
  <c r="C102" i="9"/>
  <c r="C94" i="9"/>
  <c r="C84" i="9"/>
  <c r="C76" i="9"/>
  <c r="C68" i="9"/>
  <c r="C60" i="9"/>
  <c r="C52" i="9"/>
  <c r="C44" i="9"/>
  <c r="C36" i="9"/>
  <c r="C26" i="9"/>
  <c r="C146" i="2"/>
  <c r="C107" i="9"/>
  <c r="C64" i="8"/>
  <c r="C32" i="8"/>
  <c r="C136" i="2"/>
  <c r="C131" i="7"/>
  <c r="C112" i="2"/>
  <c r="C104" i="2"/>
  <c r="C101" i="9"/>
  <c r="C93" i="9"/>
  <c r="C83" i="9"/>
  <c r="C75" i="9"/>
  <c r="C67" i="9"/>
  <c r="C59" i="9"/>
  <c r="C51" i="9"/>
  <c r="C43" i="9"/>
  <c r="C35" i="9"/>
  <c r="C25" i="9"/>
  <c r="C145" i="8"/>
  <c r="C87" i="8"/>
  <c r="C125" i="7"/>
  <c r="C149" i="2"/>
  <c r="C131" i="2"/>
  <c r="C130" i="7"/>
  <c r="C111" i="2"/>
  <c r="C103" i="2"/>
  <c r="C99" i="8"/>
  <c r="C91" i="8"/>
  <c r="C81" i="8"/>
  <c r="C73" i="8"/>
  <c r="C65" i="8"/>
  <c r="C57" i="8"/>
  <c r="C49" i="8"/>
  <c r="C41" i="8"/>
  <c r="C33" i="8"/>
  <c r="C23" i="7"/>
  <c r="C18" i="2"/>
  <c r="C48" i="7"/>
  <c r="C138" i="2"/>
  <c r="C101" i="8"/>
  <c r="C67" i="8"/>
  <c r="C35" i="8"/>
  <c r="C33" i="9"/>
  <c r="C119" i="7"/>
  <c r="C82" i="8"/>
  <c r="C50" i="8"/>
  <c r="C136" i="9"/>
  <c r="C110" i="7"/>
  <c r="C92" i="9"/>
  <c r="C74" i="9"/>
  <c r="C58" i="9"/>
  <c r="C42" i="9"/>
  <c r="C23" i="8"/>
  <c r="C138" i="8"/>
  <c r="C134" i="2"/>
  <c r="C75" i="7"/>
  <c r="C65" i="9"/>
  <c r="C58" i="8"/>
  <c r="C145" i="9"/>
  <c r="C81" i="7"/>
  <c r="C33" i="7"/>
  <c r="C140" i="9"/>
  <c r="C121" i="9"/>
  <c r="C125" i="8"/>
  <c r="C125" i="2"/>
  <c r="C93" i="8"/>
  <c r="C59" i="8"/>
  <c r="C25" i="8"/>
  <c r="C151" i="2"/>
  <c r="C111" i="7"/>
  <c r="C74" i="8"/>
  <c r="C42" i="8"/>
  <c r="C87" i="7"/>
  <c r="C124" i="9"/>
  <c r="C108" i="9"/>
  <c r="C90" i="7"/>
  <c r="C73" i="7"/>
  <c r="C57" i="7"/>
  <c r="C41" i="7"/>
  <c r="C23" i="2"/>
  <c r="C134" i="7"/>
  <c r="C19" i="7"/>
  <c r="C117" i="7"/>
  <c r="C105" i="2"/>
  <c r="C92" i="8"/>
  <c r="C98" i="7"/>
  <c r="C49" i="7"/>
  <c r="C84" i="7"/>
  <c r="C113" i="2"/>
  <c r="C83" i="8"/>
  <c r="C51" i="8"/>
  <c r="C105" i="8"/>
  <c r="C144" i="7"/>
  <c r="C99" i="7"/>
  <c r="C66" i="8"/>
  <c r="C34" i="8"/>
  <c r="C141" i="7"/>
  <c r="C118" i="2"/>
  <c r="C118" i="7"/>
  <c r="C100" i="9"/>
  <c r="C82" i="9"/>
  <c r="C66" i="9"/>
  <c r="C50" i="9"/>
  <c r="C34" i="9"/>
  <c r="C39" i="9"/>
  <c r="C52" i="7"/>
  <c r="C43" i="8"/>
  <c r="C124" i="2"/>
  <c r="C24" i="7"/>
  <c r="C116" i="9"/>
  <c r="C61" i="2"/>
  <c r="C17" i="7"/>
  <c r="C17" i="2"/>
  <c r="C17" i="8"/>
  <c r="C16" i="7"/>
  <c r="C16" i="2"/>
  <c r="C16" i="8"/>
  <c r="C15" i="8"/>
  <c r="C15" i="7"/>
  <c r="D102" i="23" l="1"/>
  <c r="D66" i="23" s="1"/>
  <c r="D109" i="23" l="1"/>
  <c r="D105" i="23"/>
  <c r="D104" i="23" l="1"/>
  <c r="D36" i="18"/>
  <c r="H15" i="28" l="1"/>
  <c r="H16" i="28"/>
  <c r="H17" i="28"/>
  <c r="F12" i="28" l="1"/>
  <c r="F12" i="1"/>
  <c r="F10" i="1" l="1"/>
  <c r="S15" i="28"/>
  <c r="S16" i="28"/>
  <c r="S17" i="28"/>
  <c r="R15" i="28"/>
  <c r="R16" i="28"/>
  <c r="R17" i="28"/>
  <c r="Q15" i="28"/>
  <c r="Q16" i="28"/>
  <c r="Q17" i="28"/>
  <c r="P15" i="28"/>
  <c r="P16" i="28"/>
  <c r="P17" i="28"/>
  <c r="O15" i="28"/>
  <c r="O16" i="28"/>
  <c r="O17" i="28"/>
  <c r="N15" i="28"/>
  <c r="N16" i="28"/>
  <c r="N17" i="28"/>
  <c r="M15" i="28"/>
  <c r="M16" i="28"/>
  <c r="M17" i="28"/>
  <c r="L15" i="28"/>
  <c r="L16" i="28"/>
  <c r="L17" i="28"/>
  <c r="K15" i="28"/>
  <c r="K16" i="28"/>
  <c r="K17" i="28"/>
  <c r="J15" i="28"/>
  <c r="J16" i="28"/>
  <c r="J17" i="28"/>
  <c r="I15" i="28"/>
  <c r="I16" i="28"/>
  <c r="I17" i="28"/>
  <c r="P28" i="30" l="1"/>
  <c r="H28" i="30"/>
  <c r="L12" i="30"/>
  <c r="P7" i="30"/>
  <c r="H7" i="30"/>
  <c r="G7" i="30"/>
  <c r="K7" i="30"/>
  <c r="F12" i="30"/>
  <c r="E12" i="30"/>
  <c r="O28" i="30"/>
  <c r="G28" i="30"/>
  <c r="K12" i="30"/>
  <c r="O7" i="30"/>
  <c r="G12" i="30"/>
  <c r="I28" i="30"/>
  <c r="N28" i="30"/>
  <c r="F28" i="30"/>
  <c r="J12" i="30"/>
  <c r="N7" i="30"/>
  <c r="F7" i="30"/>
  <c r="N12" i="30"/>
  <c r="M28" i="30"/>
  <c r="E28" i="30"/>
  <c r="I12" i="30"/>
  <c r="M7" i="30"/>
  <c r="E7" i="30"/>
  <c r="K28" i="30"/>
  <c r="J28" i="30"/>
  <c r="J7" i="30"/>
  <c r="I7" i="30"/>
  <c r="L28" i="30"/>
  <c r="P12" i="30"/>
  <c r="H12" i="30"/>
  <c r="L7" i="30"/>
  <c r="O12" i="30"/>
  <c r="M12" i="30"/>
  <c r="P33" i="30"/>
  <c r="O19" i="30"/>
  <c r="O22" i="30"/>
  <c r="N33" i="30"/>
  <c r="M19" i="30"/>
  <c r="M22" i="30"/>
  <c r="L33" i="30"/>
  <c r="K19" i="30"/>
  <c r="K22" i="30"/>
  <c r="J20" i="30"/>
  <c r="J6" i="30"/>
  <c r="J17" i="30"/>
  <c r="I33" i="30"/>
  <c r="H34" i="30"/>
  <c r="H18" i="30"/>
  <c r="H21" i="30"/>
  <c r="G17" i="30"/>
  <c r="G20" i="30"/>
  <c r="G6" i="30"/>
  <c r="F34" i="30"/>
  <c r="F18" i="30"/>
  <c r="F21" i="30"/>
  <c r="E17" i="30"/>
  <c r="E20" i="30"/>
  <c r="E6" i="30"/>
  <c r="P22" i="30"/>
  <c r="P19" i="30"/>
  <c r="O18" i="30"/>
  <c r="O21" i="30"/>
  <c r="O34" i="30"/>
  <c r="N22" i="30"/>
  <c r="N19" i="30"/>
  <c r="M18" i="30"/>
  <c r="M21" i="30"/>
  <c r="M34" i="30"/>
  <c r="L22" i="30"/>
  <c r="L19" i="30"/>
  <c r="K18" i="30"/>
  <c r="K21" i="30"/>
  <c r="K34" i="30"/>
  <c r="J33" i="30"/>
  <c r="I19" i="30"/>
  <c r="I22" i="30"/>
  <c r="H20" i="30"/>
  <c r="H6" i="30"/>
  <c r="H17" i="30"/>
  <c r="G33" i="30"/>
  <c r="F20" i="30"/>
  <c r="F6" i="30"/>
  <c r="F17" i="30"/>
  <c r="E33" i="30"/>
  <c r="P34" i="30"/>
  <c r="P18" i="30"/>
  <c r="P21" i="30"/>
  <c r="O17" i="30"/>
  <c r="O20" i="30"/>
  <c r="O6" i="30"/>
  <c r="N34" i="30"/>
  <c r="N18" i="30"/>
  <c r="N21" i="30"/>
  <c r="M17" i="30"/>
  <c r="M20" i="30"/>
  <c r="M6" i="30"/>
  <c r="L34" i="30"/>
  <c r="L18" i="30"/>
  <c r="L21" i="30"/>
  <c r="K17" i="30"/>
  <c r="K20" i="30"/>
  <c r="K6" i="30"/>
  <c r="J22" i="30"/>
  <c r="J19" i="30"/>
  <c r="I18" i="30"/>
  <c r="I21" i="30"/>
  <c r="I34" i="30"/>
  <c r="H33" i="30"/>
  <c r="G19" i="30"/>
  <c r="G22" i="30"/>
  <c r="F33" i="30"/>
  <c r="E19" i="30"/>
  <c r="E22" i="30"/>
  <c r="P20" i="30"/>
  <c r="P6" i="30"/>
  <c r="P17" i="30"/>
  <c r="O33" i="30"/>
  <c r="N20" i="30"/>
  <c r="N6" i="30"/>
  <c r="N17" i="30"/>
  <c r="M33" i="30"/>
  <c r="L20" i="30"/>
  <c r="L6" i="30"/>
  <c r="L17" i="30"/>
  <c r="K33" i="30"/>
  <c r="J34" i="30"/>
  <c r="J18" i="30"/>
  <c r="J21" i="30"/>
  <c r="I17" i="30"/>
  <c r="I20" i="30"/>
  <c r="I6" i="30"/>
  <c r="H22" i="30"/>
  <c r="H19" i="30"/>
  <c r="G18" i="30"/>
  <c r="G21" i="30"/>
  <c r="G34" i="30"/>
  <c r="F22" i="30"/>
  <c r="F19" i="30"/>
  <c r="E18" i="30"/>
  <c r="E21" i="30"/>
  <c r="E34" i="30"/>
  <c r="S12" i="28"/>
  <c r="R12" i="28"/>
  <c r="I12" i="28"/>
  <c r="H12" i="28"/>
  <c r="P12" i="28"/>
  <c r="O12" i="28"/>
  <c r="N12" i="28"/>
  <c r="M12" i="28"/>
  <c r="L12" i="28"/>
  <c r="K12" i="28"/>
  <c r="J12" i="28"/>
  <c r="Q12" i="28"/>
  <c r="K32" i="30" l="1"/>
  <c r="L9" i="30"/>
  <c r="P9" i="30"/>
  <c r="H32" i="30"/>
  <c r="N9" i="30"/>
  <c r="O32" i="30"/>
  <c r="N32" i="30"/>
  <c r="E32" i="30"/>
  <c r="J32" i="30"/>
  <c r="P32" i="30"/>
  <c r="M32" i="30"/>
  <c r="G32" i="30"/>
  <c r="L32" i="30"/>
  <c r="F32" i="30"/>
  <c r="I32" i="30"/>
  <c r="F9" i="30"/>
  <c r="M9" i="30"/>
  <c r="H9" i="30"/>
  <c r="O9" i="30"/>
  <c r="G9" i="30"/>
  <c r="I9" i="30"/>
  <c r="J9" i="30"/>
  <c r="P16" i="30"/>
  <c r="M16" i="30"/>
  <c r="I16" i="30"/>
  <c r="H16" i="30"/>
  <c r="E16" i="30"/>
  <c r="K16" i="30"/>
  <c r="F16" i="30"/>
  <c r="N16" i="30"/>
  <c r="J16" i="30"/>
  <c r="L16" i="30"/>
  <c r="O16" i="30"/>
  <c r="G16" i="30"/>
  <c r="E9" i="30"/>
  <c r="K9" i="30"/>
  <c r="D28" i="30"/>
  <c r="D7" i="30"/>
  <c r="D12" i="30"/>
  <c r="D19" i="30"/>
  <c r="D21" i="30"/>
  <c r="D18" i="30"/>
  <c r="D20" i="30"/>
  <c r="D6" i="30"/>
  <c r="D33" i="30"/>
  <c r="D22" i="30"/>
  <c r="D17" i="30"/>
  <c r="D34" i="30"/>
  <c r="D32" i="30" l="1"/>
  <c r="D16" i="30"/>
  <c r="D9" i="30"/>
  <c r="E14" i="30"/>
  <c r="E24" i="30" l="1"/>
  <c r="E26" i="30" l="1"/>
  <c r="E30" i="30" s="1"/>
  <c r="D55" i="23" l="1"/>
  <c r="D40" i="23"/>
  <c r="D21" i="23"/>
  <c r="D31" i="18"/>
  <c r="D20" i="18"/>
  <c r="D8" i="18"/>
  <c r="F15" i="2"/>
  <c r="G15" i="2" s="1"/>
  <c r="F16" i="2"/>
  <c r="G16" i="2" s="1"/>
  <c r="F17" i="2"/>
  <c r="G17" i="2" s="1"/>
  <c r="R12" i="27"/>
  <c r="Q12" i="27"/>
  <c r="N12" i="27"/>
  <c r="M12" i="27"/>
  <c r="J12" i="27"/>
  <c r="I12" i="27"/>
  <c r="D35" i="18" l="1"/>
  <c r="F12" i="2"/>
  <c r="G12" i="2"/>
  <c r="O12" i="27"/>
  <c r="H12" i="27"/>
  <c r="P12" i="27"/>
  <c r="K12" i="27"/>
  <c r="S12" i="27"/>
  <c r="L12" i="27"/>
  <c r="L15" i="1" l="1"/>
  <c r="M15" i="1"/>
  <c r="N15" i="1"/>
  <c r="O15" i="1"/>
  <c r="P15" i="1"/>
  <c r="Q15" i="1"/>
  <c r="R15" i="1"/>
  <c r="L16" i="1"/>
  <c r="M16" i="1"/>
  <c r="N16" i="1"/>
  <c r="O16" i="1"/>
  <c r="M20" i="33" s="1"/>
  <c r="P16" i="1"/>
  <c r="Q16" i="1"/>
  <c r="R16" i="1"/>
  <c r="L17" i="1"/>
  <c r="J15" i="33" s="1"/>
  <c r="M17" i="1"/>
  <c r="K15" i="33" s="1"/>
  <c r="N17" i="1"/>
  <c r="L15" i="33" s="1"/>
  <c r="O17" i="1"/>
  <c r="M15" i="33" s="1"/>
  <c r="P17" i="1"/>
  <c r="N15" i="33" s="1"/>
  <c r="Q17" i="1"/>
  <c r="O15" i="33" s="1"/>
  <c r="R17" i="1"/>
  <c r="P15" i="33" s="1"/>
  <c r="K11" i="33" l="1"/>
  <c r="K20" i="33"/>
  <c r="J11" i="33"/>
  <c r="J20" i="33"/>
  <c r="P20" i="33"/>
  <c r="P11" i="33"/>
  <c r="Q20" i="33"/>
  <c r="O11" i="33"/>
  <c r="O6" i="33"/>
  <c r="P6" i="33"/>
  <c r="N20" i="33"/>
  <c r="N11" i="33"/>
  <c r="N6" i="33"/>
  <c r="O20" i="33"/>
  <c r="L20" i="33"/>
  <c r="L11" i="33"/>
  <c r="M6" i="33"/>
  <c r="M11" i="33"/>
  <c r="L6" i="33"/>
  <c r="S16" i="1"/>
  <c r="S17" i="1"/>
  <c r="Q15" i="33" s="1"/>
  <c r="Q11" i="33" l="1"/>
  <c r="Q6" i="33"/>
  <c r="N12" i="17"/>
  <c r="M12" i="17"/>
  <c r="L12" i="17"/>
  <c r="K12" i="17"/>
  <c r="N12" i="16"/>
  <c r="M12" i="16"/>
  <c r="L12" i="16"/>
  <c r="K12" i="16"/>
  <c r="N12" i="15"/>
  <c r="O12" i="15"/>
  <c r="M12" i="15"/>
  <c r="L12" i="15"/>
  <c r="K12" i="15"/>
  <c r="N12" i="14"/>
  <c r="M12" i="14"/>
  <c r="L12" i="14"/>
  <c r="K12" i="14"/>
  <c r="N12" i="13"/>
  <c r="O12" i="13"/>
  <c r="M12" i="13"/>
  <c r="L12" i="13"/>
  <c r="K12" i="13"/>
  <c r="N12" i="12"/>
  <c r="O12" i="12"/>
  <c r="M12" i="12"/>
  <c r="L12" i="12"/>
  <c r="K12" i="12"/>
  <c r="N12" i="11"/>
  <c r="M12" i="11"/>
  <c r="L12" i="11"/>
  <c r="K12" i="11"/>
  <c r="N12" i="10"/>
  <c r="O12" i="10"/>
  <c r="M12" i="10"/>
  <c r="L12" i="10"/>
  <c r="K12" i="10"/>
  <c r="N12" i="9"/>
  <c r="M12" i="9"/>
  <c r="L12" i="9"/>
  <c r="K12" i="9"/>
  <c r="N12" i="8"/>
  <c r="M12" i="8"/>
  <c r="L12" i="8"/>
  <c r="K12" i="8"/>
  <c r="N12" i="7"/>
  <c r="M12" i="7"/>
  <c r="L12" i="7"/>
  <c r="K12" i="7"/>
  <c r="L12" i="2"/>
  <c r="M12" i="2"/>
  <c r="O12" i="2"/>
  <c r="N12" i="2"/>
  <c r="K12" i="2"/>
  <c r="B12" i="1" l="1"/>
  <c r="D39" i="23"/>
  <c r="F15" i="17" l="1"/>
  <c r="F16" i="17"/>
  <c r="G16" i="17" s="1"/>
  <c r="F17" i="17"/>
  <c r="G17" i="17" s="1"/>
  <c r="F15" i="16"/>
  <c r="F16" i="16"/>
  <c r="G16" i="16" s="1"/>
  <c r="F17" i="16"/>
  <c r="G17" i="16" s="1"/>
  <c r="F15" i="15"/>
  <c r="F16" i="15"/>
  <c r="G16" i="15" s="1"/>
  <c r="F17" i="15"/>
  <c r="G17" i="15" s="1"/>
  <c r="F15" i="14"/>
  <c r="F16" i="14"/>
  <c r="G16" i="14" s="1"/>
  <c r="F17" i="14"/>
  <c r="G17" i="14" s="1"/>
  <c r="F15" i="13"/>
  <c r="G15" i="13" s="1"/>
  <c r="F16" i="13"/>
  <c r="G16" i="13" s="1"/>
  <c r="F17" i="13"/>
  <c r="G17" i="13" s="1"/>
  <c r="F15" i="12"/>
  <c r="G15" i="12" s="1"/>
  <c r="F16" i="12"/>
  <c r="G16" i="12" s="1"/>
  <c r="F17" i="12"/>
  <c r="G17" i="12" s="1"/>
  <c r="F15" i="11"/>
  <c r="G15" i="11" s="1"/>
  <c r="F16" i="11"/>
  <c r="G16" i="11" s="1"/>
  <c r="F17" i="11"/>
  <c r="G17" i="11" s="1"/>
  <c r="F17" i="10"/>
  <c r="G17" i="10" s="1"/>
  <c r="F16" i="10"/>
  <c r="G16" i="10" s="1"/>
  <c r="F15" i="10"/>
  <c r="F15" i="9"/>
  <c r="G15" i="9" s="1"/>
  <c r="F16" i="9"/>
  <c r="G16" i="9" s="1"/>
  <c r="F17" i="9"/>
  <c r="G17" i="9" s="1"/>
  <c r="F15" i="8"/>
  <c r="F16" i="8"/>
  <c r="G16" i="8" s="1"/>
  <c r="F17" i="8"/>
  <c r="G17" i="8" s="1"/>
  <c r="F15" i="7"/>
  <c r="G15" i="7" s="1"/>
  <c r="F16" i="7"/>
  <c r="G16" i="7" s="1"/>
  <c r="F17" i="7"/>
  <c r="G17" i="7" s="1"/>
  <c r="G15" i="14" l="1"/>
  <c r="G12" i="14" s="1"/>
  <c r="F12" i="14"/>
  <c r="G15" i="17"/>
  <c r="G12" i="17" s="1"/>
  <c r="F12" i="17"/>
  <c r="G15" i="16"/>
  <c r="G12" i="16" s="1"/>
  <c r="F12" i="16"/>
  <c r="G15" i="15"/>
  <c r="G12" i="15" s="1"/>
  <c r="F12" i="15"/>
  <c r="G12" i="13"/>
  <c r="F12" i="13"/>
  <c r="G12" i="12"/>
  <c r="F12" i="12"/>
  <c r="G12" i="11"/>
  <c r="F12" i="11"/>
  <c r="G15" i="10"/>
  <c r="G12" i="10" s="1"/>
  <c r="F12" i="10"/>
  <c r="G12" i="9"/>
  <c r="F12" i="9"/>
  <c r="G15" i="8"/>
  <c r="G12" i="8" s="1"/>
  <c r="F12" i="8"/>
  <c r="G12" i="7"/>
  <c r="F12" i="7"/>
  <c r="S15" i="1" l="1"/>
  <c r="E16" i="17"/>
  <c r="E17" i="17"/>
  <c r="E16" i="16"/>
  <c r="E17" i="16"/>
  <c r="E16" i="15"/>
  <c r="E17" i="15"/>
  <c r="E16" i="14"/>
  <c r="E17" i="14"/>
  <c r="E16" i="13"/>
  <c r="E17" i="13"/>
  <c r="E16" i="12"/>
  <c r="E17" i="12"/>
  <c r="E16" i="11"/>
  <c r="E17" i="11"/>
  <c r="E16" i="10"/>
  <c r="E17" i="10"/>
  <c r="E16" i="9"/>
  <c r="E17" i="9"/>
  <c r="E16" i="8"/>
  <c r="E17" i="8"/>
  <c r="E16" i="7"/>
  <c r="E17" i="7"/>
  <c r="H12" i="1" l="1"/>
  <c r="I12" i="1"/>
  <c r="J12" i="1"/>
  <c r="K12" i="1"/>
  <c r="L12" i="1"/>
  <c r="M12" i="1"/>
  <c r="N12" i="1"/>
  <c r="O12" i="1"/>
  <c r="P12" i="1"/>
  <c r="Q12" i="1"/>
  <c r="R12" i="1"/>
  <c r="S12" i="1"/>
  <c r="E16" i="2"/>
  <c r="E17" i="2"/>
  <c r="D7" i="23" l="1"/>
  <c r="D125" i="23"/>
  <c r="D111" i="23"/>
  <c r="D30" i="18"/>
  <c r="D98" i="18"/>
  <c r="D54" i="23"/>
  <c r="D19" i="18"/>
  <c r="D46" i="18"/>
  <c r="D20" i="23"/>
  <c r="D15" i="23"/>
  <c r="D58" i="23"/>
  <c r="D7" i="18"/>
  <c r="D91" i="18" l="1"/>
  <c r="D122" i="23"/>
  <c r="D63" i="23"/>
  <c r="D129" i="23" l="1"/>
  <c r="D102" i="18" l="1"/>
  <c r="D158" i="18" s="1"/>
  <c r="D160" i="18" l="1"/>
  <c r="E146" i="18" l="1"/>
  <c r="E32" i="18"/>
  <c r="E95" i="18"/>
  <c r="E69" i="18"/>
  <c r="E121" i="18"/>
  <c r="E123" i="18"/>
  <c r="E124" i="18"/>
  <c r="E125" i="18"/>
  <c r="E122" i="18"/>
  <c r="E126" i="18"/>
  <c r="E11" i="18"/>
  <c r="E12" i="18"/>
  <c r="E13" i="18"/>
  <c r="E14" i="18"/>
  <c r="E15" i="18"/>
  <c r="E16" i="18"/>
  <c r="E109" i="18"/>
  <c r="E112" i="18"/>
  <c r="E108" i="18"/>
  <c r="E111" i="18"/>
  <c r="E113" i="18"/>
  <c r="E110" i="18"/>
  <c r="E114" i="18"/>
  <c r="E142" i="18"/>
  <c r="E143" i="18"/>
  <c r="E144" i="18"/>
  <c r="E145" i="18"/>
  <c r="E132" i="18"/>
  <c r="E133" i="18"/>
  <c r="E134" i="18"/>
  <c r="E135" i="18"/>
  <c r="E141" i="18"/>
  <c r="E137" i="18"/>
  <c r="E138" i="18"/>
  <c r="E139" i="18"/>
  <c r="E140" i="18"/>
  <c r="E155" i="18"/>
  <c r="E154" i="18"/>
  <c r="E156" i="18"/>
  <c r="E120" i="18"/>
  <c r="E119" i="18"/>
  <c r="E78" i="18"/>
  <c r="E86" i="18"/>
  <c r="E77" i="18"/>
  <c r="E82" i="18"/>
  <c r="E76" i="18"/>
  <c r="E84" i="18"/>
  <c r="E80" i="18"/>
  <c r="E87" i="18"/>
  <c r="E83" i="18"/>
  <c r="E88" i="18"/>
  <c r="E79" i="18"/>
  <c r="E85" i="18"/>
  <c r="E89" i="18"/>
  <c r="E81" i="18"/>
  <c r="E39" i="18"/>
  <c r="E40" i="18"/>
  <c r="E44" i="18"/>
  <c r="E41" i="18"/>
  <c r="E37" i="18"/>
  <c r="E43" i="18"/>
  <c r="E42" i="18"/>
  <c r="E38" i="18"/>
  <c r="E22" i="18"/>
  <c r="E23" i="18"/>
  <c r="E24" i="18"/>
  <c r="E21" i="18"/>
  <c r="E25" i="18"/>
  <c r="E26" i="18"/>
  <c r="E17" i="18"/>
  <c r="E57" i="18"/>
  <c r="E58" i="18"/>
  <c r="E106" i="18"/>
  <c r="E107" i="18"/>
  <c r="E115" i="18"/>
  <c r="E105" i="18"/>
  <c r="E104" i="18"/>
  <c r="E63" i="18"/>
  <c r="E56" i="18"/>
  <c r="E62" i="18"/>
  <c r="E64" i="18"/>
  <c r="E27" i="18"/>
  <c r="E53" i="18"/>
  <c r="E51" i="18"/>
  <c r="E54" i="18"/>
  <c r="E52" i="18"/>
  <c r="E70" i="18"/>
  <c r="E48" i="18"/>
  <c r="E49" i="18"/>
  <c r="E153" i="18"/>
  <c r="E136" i="18"/>
  <c r="E131" i="18"/>
  <c r="E50" i="18"/>
  <c r="E147" i="18"/>
  <c r="E10" i="18"/>
  <c r="E129" i="18"/>
  <c r="E130" i="18"/>
  <c r="E72" i="18"/>
  <c r="E71" i="18"/>
  <c r="E68" i="18"/>
  <c r="E61" i="18"/>
  <c r="E65" i="18"/>
  <c r="E75" i="18"/>
  <c r="E74" i="18"/>
  <c r="E60" i="18"/>
  <c r="E94" i="18"/>
  <c r="E91" i="18"/>
  <c r="E99" i="18"/>
  <c r="E100" i="18"/>
  <c r="E96" i="18"/>
  <c r="E47" i="18"/>
  <c r="E55" i="18"/>
  <c r="E103" i="18"/>
  <c r="E158" i="18"/>
  <c r="E9" i="18"/>
  <c r="E30" i="18"/>
  <c r="E98" i="18"/>
  <c r="E20" i="18"/>
  <c r="E8" i="18"/>
  <c r="E33" i="18"/>
  <c r="E7" i="18"/>
  <c r="E28" i="18"/>
  <c r="E160" i="18"/>
  <c r="E31" i="18"/>
  <c r="E19" i="18"/>
  <c r="E36" i="18"/>
  <c r="E118" i="18"/>
  <c r="E46" i="18"/>
  <c r="E35" i="18"/>
  <c r="D14" i="30" l="1"/>
  <c r="D24" i="30" l="1"/>
  <c r="D26" i="30" s="1"/>
  <c r="D30" i="30" l="1"/>
  <c r="D40" i="30" s="1"/>
  <c r="P14" i="30"/>
  <c r="I14" i="30"/>
  <c r="F14" i="30"/>
  <c r="L14" i="30"/>
  <c r="G14" i="30"/>
  <c r="N14" i="30"/>
  <c r="M14" i="30"/>
  <c r="H14" i="30"/>
  <c r="J14" i="30"/>
  <c r="O14" i="30"/>
  <c r="K14" i="30"/>
  <c r="H24" i="30" l="1"/>
  <c r="L24" i="30"/>
  <c r="K24" i="30"/>
  <c r="N24" i="30"/>
  <c r="P24" i="30"/>
  <c r="P26" i="30" s="1"/>
  <c r="J24" i="30"/>
  <c r="I24" i="30"/>
  <c r="G24" i="30"/>
  <c r="G26" i="30" s="1"/>
  <c r="O24" i="30"/>
  <c r="O26" i="30" s="1"/>
  <c r="F24" i="30"/>
  <c r="M24" i="30"/>
  <c r="M26" i="30" s="1"/>
  <c r="I26" i="30" l="1"/>
  <c r="I30" i="30" s="1"/>
  <c r="N26" i="30"/>
  <c r="N30" i="30" s="1"/>
  <c r="J26" i="30"/>
  <c r="J30" i="30" s="1"/>
  <c r="K26" i="30"/>
  <c r="K30" i="30" s="1"/>
  <c r="F26" i="30"/>
  <c r="F30" i="30" s="1"/>
  <c r="L26" i="30"/>
  <c r="L30" i="30" s="1"/>
  <c r="H26" i="30"/>
  <c r="H30" i="30" s="1"/>
  <c r="M30" i="30"/>
  <c r="P30" i="30"/>
  <c r="G30" i="30"/>
  <c r="O30" i="30"/>
  <c r="K40" i="30" l="1"/>
  <c r="H40" i="30"/>
  <c r="G40" i="30"/>
  <c r="J40" i="30"/>
  <c r="F40" i="30"/>
  <c r="N40" i="30"/>
  <c r="P40" i="30"/>
  <c r="E40" i="30"/>
  <c r="I40" i="30"/>
  <c r="O40" i="30"/>
  <c r="M40" i="30"/>
  <c r="L40" i="30"/>
  <c r="R142" i="32" l="1"/>
  <c r="O142" i="32"/>
  <c r="AJ142" i="32"/>
  <c r="L142" i="32"/>
  <c r="AA142" i="32"/>
  <c r="AD142" i="32"/>
  <c r="F142" i="32"/>
  <c r="U142" i="32"/>
  <c r="D142" i="32"/>
  <c r="X142" i="32"/>
  <c r="AG142" i="32"/>
  <c r="I142" i="32"/>
  <c r="K142" i="32" l="1"/>
  <c r="H142" i="32"/>
  <c r="AI142" i="32"/>
  <c r="AC142" i="32"/>
  <c r="W142" i="32"/>
  <c r="Z142" i="32"/>
  <c r="AF142" i="32"/>
  <c r="T142" i="32"/>
  <c r="AL142" i="32"/>
  <c r="N142" i="32"/>
  <c r="Q142" i="32"/>
  <c r="N25" i="23" l="1"/>
  <c r="Q25" i="23"/>
  <c r="Q62" i="18"/>
  <c r="N62" i="18"/>
  <c r="T62" i="18"/>
  <c r="T25" i="23"/>
  <c r="U16" i="25" l="1"/>
  <c r="V16" i="25" s="1"/>
  <c r="T25" i="25"/>
  <c r="S16" i="25"/>
  <c r="T16" i="25" s="1"/>
  <c r="O8" i="32"/>
  <c r="AA72" i="32"/>
  <c r="AA106" i="18"/>
  <c r="R134" i="18"/>
  <c r="F142" i="18"/>
  <c r="AD68" i="29"/>
  <c r="O198" i="32"/>
  <c r="O69" i="29"/>
  <c r="AD75" i="32"/>
  <c r="AA83" i="23"/>
  <c r="F17" i="18"/>
  <c r="AG121" i="29"/>
  <c r="R198" i="29"/>
  <c r="I135" i="18"/>
  <c r="F7" i="17"/>
  <c r="AM86" i="23"/>
  <c r="X86" i="23"/>
  <c r="AA24" i="23"/>
  <c r="U66" i="32"/>
  <c r="AJ143" i="18"/>
  <c r="AA135" i="18"/>
  <c r="F7" i="7"/>
  <c r="I55" i="23"/>
  <c r="I217" i="32"/>
  <c r="AM132" i="18"/>
  <c r="N7" i="12"/>
  <c r="AD67" i="29"/>
  <c r="D165" i="29"/>
  <c r="L173" i="32"/>
  <c r="O118" i="29"/>
  <c r="L134" i="23"/>
  <c r="AJ119" i="18"/>
  <c r="I79" i="32"/>
  <c r="R107" i="32"/>
  <c r="O118" i="18"/>
  <c r="O7" i="7"/>
  <c r="U96" i="23"/>
  <c r="U40" i="23"/>
  <c r="AM55" i="18"/>
  <c r="AM77" i="18"/>
  <c r="O7" i="17"/>
  <c r="L120" i="29"/>
  <c r="K2" i="11"/>
  <c r="AJ26" i="18"/>
  <c r="AD101" i="23"/>
  <c r="R170" i="32"/>
  <c r="AG47" i="18"/>
  <c r="O40" i="23"/>
  <c r="U23" i="23"/>
  <c r="F3" i="12"/>
  <c r="AA10" i="23"/>
  <c r="AD109" i="32"/>
  <c r="D64" i="32"/>
  <c r="O71" i="18"/>
  <c r="U36" i="29"/>
  <c r="L55" i="23"/>
  <c r="H2" i="1"/>
  <c r="AG102" i="23"/>
  <c r="O68" i="23"/>
  <c r="L216" i="32"/>
  <c r="AD153" i="29"/>
  <c r="X130" i="23"/>
  <c r="AA183" i="32"/>
  <c r="R82" i="32"/>
  <c r="K2" i="15"/>
  <c r="U83" i="32"/>
  <c r="AM120" i="23"/>
  <c r="AD11" i="32"/>
  <c r="F195" i="32"/>
  <c r="L115" i="18"/>
  <c r="R10" i="18"/>
  <c r="X96" i="18"/>
  <c r="O125" i="29"/>
  <c r="S2" i="1"/>
  <c r="U101" i="23"/>
  <c r="AD182" i="32"/>
  <c r="AD25" i="23"/>
  <c r="L72" i="23"/>
  <c r="O64" i="29"/>
  <c r="O133" i="18"/>
  <c r="R56" i="23"/>
  <c r="U113" i="32"/>
  <c r="R120" i="18"/>
  <c r="U26" i="23"/>
  <c r="I184" i="29"/>
  <c r="AD60" i="29"/>
  <c r="AJ76" i="32"/>
  <c r="F75" i="18"/>
  <c r="O21" i="23"/>
  <c r="AA100" i="18"/>
  <c r="AG83" i="23"/>
  <c r="R7" i="1"/>
  <c r="AM43" i="18"/>
  <c r="AA126" i="29"/>
  <c r="L66" i="32"/>
  <c r="AJ74" i="29"/>
  <c r="AJ91" i="23"/>
  <c r="AG103" i="32"/>
  <c r="AJ11" i="32"/>
  <c r="F88" i="23"/>
  <c r="I79" i="23"/>
  <c r="F2" i="17"/>
  <c r="U25" i="29"/>
  <c r="L152" i="29"/>
  <c r="AA45" i="23"/>
  <c r="AJ100" i="23"/>
  <c r="AJ84" i="23"/>
  <c r="R201" i="29"/>
  <c r="AJ63" i="18"/>
  <c r="O80" i="23"/>
  <c r="O7" i="13"/>
  <c r="F134" i="18"/>
  <c r="O122" i="29"/>
  <c r="AA202" i="29"/>
  <c r="X46" i="23"/>
  <c r="U105" i="32"/>
  <c r="AG97" i="23"/>
  <c r="O106" i="23"/>
  <c r="U80" i="18"/>
  <c r="I60" i="23"/>
  <c r="F64" i="29"/>
  <c r="AA81" i="32"/>
  <c r="AA99" i="29"/>
  <c r="U47" i="23"/>
  <c r="O115" i="23"/>
  <c r="L118" i="18"/>
  <c r="AD20" i="18"/>
  <c r="U21" i="18"/>
  <c r="R135" i="23"/>
  <c r="I128" i="29"/>
  <c r="R96" i="29"/>
  <c r="X91" i="23"/>
  <c r="AD69" i="23"/>
  <c r="AA67" i="32"/>
  <c r="X68" i="32"/>
  <c r="R97" i="29"/>
  <c r="F28" i="25"/>
  <c r="R178" i="29"/>
  <c r="L112" i="23"/>
  <c r="U115" i="32"/>
  <c r="F138" i="18"/>
  <c r="D32" i="32"/>
  <c r="K7" i="9"/>
  <c r="R78" i="29"/>
  <c r="R71" i="32"/>
  <c r="S7" i="28"/>
  <c r="AD155" i="18"/>
  <c r="F50" i="18"/>
  <c r="AJ155" i="29"/>
  <c r="O120" i="29"/>
  <c r="L132" i="18"/>
  <c r="U165" i="29"/>
  <c r="J2" i="1"/>
  <c r="U78" i="18"/>
  <c r="AG43" i="23"/>
  <c r="L104" i="32"/>
  <c r="AA157" i="32"/>
  <c r="G7" i="17"/>
  <c r="AD110" i="32"/>
  <c r="K2" i="10"/>
  <c r="U76" i="32"/>
  <c r="O6" i="28"/>
  <c r="AG115" i="23"/>
  <c r="U106" i="18"/>
  <c r="F123" i="29"/>
  <c r="AG186" i="29"/>
  <c r="R100" i="18"/>
  <c r="AD107" i="23"/>
  <c r="D78" i="29"/>
  <c r="AM48" i="18"/>
  <c r="I51" i="18"/>
  <c r="O115" i="29"/>
  <c r="L109" i="32"/>
  <c r="I204" i="32"/>
  <c r="R106" i="32"/>
  <c r="D107" i="32"/>
  <c r="X77" i="29"/>
  <c r="F153" i="18"/>
  <c r="O112" i="32"/>
  <c r="O156" i="32"/>
  <c r="D109" i="32"/>
  <c r="F119" i="32"/>
  <c r="D67" i="29"/>
  <c r="I22" i="18"/>
  <c r="O3" i="17"/>
  <c r="AJ126" i="29"/>
  <c r="AA22" i="18"/>
  <c r="AJ119" i="32"/>
  <c r="I67" i="32"/>
  <c r="L119" i="23"/>
  <c r="X201" i="29"/>
  <c r="AA36" i="18"/>
  <c r="I56" i="18"/>
  <c r="I82" i="32"/>
  <c r="I3" i="27"/>
  <c r="K2" i="14"/>
  <c r="O17" i="23"/>
  <c r="O73" i="29"/>
  <c r="K7" i="7"/>
  <c r="L82" i="18"/>
  <c r="X198" i="29"/>
  <c r="AG68" i="32"/>
  <c r="I26" i="23"/>
  <c r="P6" i="1"/>
  <c r="M7" i="12"/>
  <c r="F2" i="12"/>
  <c r="L29" i="29"/>
  <c r="Q2" i="1"/>
  <c r="O2" i="15"/>
  <c r="N6" i="14"/>
  <c r="AA79" i="32"/>
  <c r="X36" i="29"/>
  <c r="M3" i="17"/>
  <c r="R108" i="23"/>
  <c r="M6" i="11"/>
  <c r="K6" i="8"/>
  <c r="L103" i="18"/>
  <c r="AM36" i="18"/>
  <c r="F118" i="29"/>
  <c r="R95" i="23"/>
  <c r="AJ72" i="29"/>
  <c r="AG96" i="23"/>
  <c r="O105" i="23"/>
  <c r="I83" i="18"/>
  <c r="AD121" i="29"/>
  <c r="I52" i="23"/>
  <c r="I68" i="23"/>
  <c r="L100" i="18"/>
  <c r="D162" i="32"/>
  <c r="AJ86" i="18"/>
  <c r="AJ139" i="18"/>
  <c r="R3" i="28"/>
  <c r="X125" i="32"/>
  <c r="AG157" i="32"/>
  <c r="L116" i="23"/>
  <c r="K7" i="27"/>
  <c r="AM92" i="23"/>
  <c r="L57" i="18"/>
  <c r="U73" i="29"/>
  <c r="AA115" i="32"/>
  <c r="O85" i="23"/>
  <c r="R173" i="32"/>
  <c r="AG72" i="23"/>
  <c r="AG179" i="29"/>
  <c r="F43" i="23"/>
  <c r="M16" i="25"/>
  <c r="AM47" i="23"/>
  <c r="X83" i="32"/>
  <c r="AD42" i="18"/>
  <c r="AJ87" i="23"/>
  <c r="I75" i="32"/>
  <c r="AJ158" i="29"/>
  <c r="L48" i="23"/>
  <c r="AD47" i="23"/>
  <c r="O31" i="32"/>
  <c r="D67" i="32"/>
  <c r="AA120" i="32"/>
  <c r="O170" i="32"/>
  <c r="AG165" i="29"/>
  <c r="AD118" i="32"/>
  <c r="R17" i="18"/>
  <c r="AD68" i="23"/>
  <c r="AD98" i="29"/>
  <c r="I96" i="18"/>
  <c r="F69" i="29"/>
  <c r="U184" i="29"/>
  <c r="F48" i="23"/>
  <c r="O70" i="18"/>
  <c r="AA105" i="23"/>
  <c r="I84" i="18"/>
  <c r="F75" i="23"/>
  <c r="AJ41" i="18"/>
  <c r="I98" i="23"/>
  <c r="U69" i="29"/>
  <c r="AJ124" i="32"/>
  <c r="AM24" i="18"/>
  <c r="F71" i="18"/>
  <c r="AG154" i="29"/>
  <c r="AD135" i="18"/>
  <c r="D8" i="32"/>
  <c r="AA65" i="18"/>
  <c r="AJ199" i="32"/>
  <c r="AJ66" i="29"/>
  <c r="R9" i="23"/>
  <c r="U22" i="18"/>
  <c r="AM9" i="18"/>
  <c r="R120" i="23"/>
  <c r="F131" i="23"/>
  <c r="U88" i="23"/>
  <c r="U112" i="23"/>
  <c r="F77" i="29"/>
  <c r="D74" i="32"/>
  <c r="U72" i="29"/>
  <c r="I74" i="23"/>
  <c r="AA74" i="29"/>
  <c r="AG63" i="32"/>
  <c r="AJ25" i="23"/>
  <c r="D28" i="25"/>
  <c r="AG111" i="32"/>
  <c r="AM70" i="18"/>
  <c r="O11" i="23"/>
  <c r="R54" i="18"/>
  <c r="R152" i="29"/>
  <c r="AG98" i="23"/>
  <c r="O120" i="23"/>
  <c r="U33" i="18"/>
  <c r="I183" i="29"/>
  <c r="D118" i="29"/>
  <c r="X9" i="23"/>
  <c r="AD58" i="18"/>
  <c r="O27" i="18"/>
  <c r="AM49" i="18"/>
  <c r="O7" i="8"/>
  <c r="I45" i="23"/>
  <c r="N7" i="9"/>
  <c r="AJ59" i="23"/>
  <c r="AJ115" i="29"/>
  <c r="O103" i="18"/>
  <c r="AA221" i="32"/>
  <c r="L108" i="32"/>
  <c r="F130" i="23"/>
  <c r="X60" i="29"/>
  <c r="R49" i="18"/>
  <c r="R62" i="29"/>
  <c r="O216" i="32"/>
  <c r="O147" i="29"/>
  <c r="R119" i="18"/>
  <c r="AD205" i="32"/>
  <c r="F59" i="29"/>
  <c r="F62" i="29"/>
  <c r="AM59" i="23"/>
  <c r="X42" i="23"/>
  <c r="AG86" i="18"/>
  <c r="AG104" i="18"/>
  <c r="F221" i="32"/>
  <c r="U143" i="18"/>
  <c r="AA142" i="23"/>
  <c r="D95" i="29"/>
  <c r="AM38" i="18"/>
  <c r="I71" i="18"/>
  <c r="AM88" i="23"/>
  <c r="F30" i="25"/>
  <c r="F167" i="32"/>
  <c r="L105" i="23"/>
  <c r="AM102" i="23"/>
  <c r="AJ196" i="32"/>
  <c r="L155" i="18"/>
  <c r="AA70" i="18"/>
  <c r="AA76" i="23"/>
  <c r="AJ25" i="18"/>
  <c r="D31" i="25"/>
  <c r="G6" i="15"/>
  <c r="AA88" i="18"/>
  <c r="R32" i="32"/>
  <c r="O143" i="18"/>
  <c r="O164" i="29"/>
  <c r="L156" i="18"/>
  <c r="X75" i="32"/>
  <c r="AG57" i="18"/>
  <c r="AA89" i="18"/>
  <c r="F123" i="32"/>
  <c r="R130" i="18"/>
  <c r="U24" i="18"/>
  <c r="R119" i="23"/>
  <c r="AM142" i="23"/>
  <c r="F153" i="29"/>
  <c r="X137" i="23"/>
  <c r="I180" i="29"/>
  <c r="AJ50" i="23"/>
  <c r="AJ122" i="29"/>
  <c r="O115" i="18"/>
  <c r="AD64" i="32"/>
  <c r="F127" i="23"/>
  <c r="U42" i="23"/>
  <c r="M6" i="2"/>
  <c r="AD57" i="18"/>
  <c r="AA83" i="18"/>
  <c r="AJ136" i="18"/>
  <c r="AG120" i="32"/>
  <c r="U130" i="23"/>
  <c r="AJ78" i="29"/>
  <c r="AJ71" i="18"/>
  <c r="I53" i="18"/>
  <c r="O89" i="18"/>
  <c r="I202" i="32"/>
  <c r="AD39" i="18"/>
  <c r="O146" i="29"/>
  <c r="U31" i="32"/>
  <c r="O140" i="18"/>
  <c r="AA11" i="23"/>
  <c r="I33" i="18"/>
  <c r="R42" i="23"/>
  <c r="AA55" i="23"/>
  <c r="J7" i="1"/>
  <c r="U117" i="32"/>
  <c r="I21" i="18"/>
  <c r="X93" i="23"/>
  <c r="X216" i="32"/>
  <c r="AD108" i="18"/>
  <c r="AG105" i="32"/>
  <c r="R81" i="23"/>
  <c r="S2" i="28"/>
  <c r="AJ85" i="18"/>
  <c r="O9" i="23"/>
  <c r="M7" i="10"/>
  <c r="AA31" i="18"/>
  <c r="F32" i="32"/>
  <c r="AJ80" i="32"/>
  <c r="F114" i="32"/>
  <c r="L110" i="32"/>
  <c r="X80" i="32"/>
  <c r="AG106" i="23"/>
  <c r="I133" i="18"/>
  <c r="I2" i="28"/>
  <c r="AA108" i="23"/>
  <c r="S6" i="1"/>
  <c r="X11" i="23"/>
  <c r="AM104" i="18"/>
  <c r="L205" i="32"/>
  <c r="F78" i="23"/>
  <c r="AD201" i="29"/>
  <c r="AG60" i="23"/>
  <c r="P2" i="1"/>
  <c r="D81" i="32"/>
  <c r="AM26" i="23"/>
  <c r="L7" i="9"/>
  <c r="D198" i="32"/>
  <c r="R21" i="18"/>
  <c r="M15" i="25"/>
  <c r="L80" i="23"/>
  <c r="F18" i="25"/>
  <c r="AD123" i="32"/>
  <c r="O113" i="32"/>
  <c r="U102" i="23"/>
  <c r="I48" i="23"/>
  <c r="K3" i="12"/>
  <c r="AM138" i="18"/>
  <c r="L164" i="29"/>
  <c r="L64" i="18"/>
  <c r="D167" i="32"/>
  <c r="AA102" i="32"/>
  <c r="X50" i="23"/>
  <c r="H7" i="28"/>
  <c r="L154" i="18"/>
  <c r="D203" i="32"/>
  <c r="D113" i="32"/>
  <c r="X12" i="23"/>
  <c r="O24" i="23"/>
  <c r="D178" i="29"/>
  <c r="R138" i="18"/>
  <c r="AD65" i="29"/>
  <c r="F86" i="18"/>
  <c r="L161" i="32"/>
  <c r="O162" i="32"/>
  <c r="U54" i="18"/>
  <c r="AJ64" i="32"/>
  <c r="X21" i="18"/>
  <c r="O135" i="18"/>
  <c r="R92" i="23"/>
  <c r="R125" i="32"/>
  <c r="R70" i="32"/>
  <c r="R103" i="32"/>
  <c r="AD164" i="29"/>
  <c r="AG122" i="32"/>
  <c r="I99" i="29"/>
  <c r="R60" i="23"/>
  <c r="AM28" i="18"/>
  <c r="F3" i="9"/>
  <c r="O69" i="23"/>
  <c r="AG65" i="29"/>
  <c r="I117" i="32"/>
  <c r="AD31" i="32"/>
  <c r="AG9" i="23"/>
  <c r="U56" i="18"/>
  <c r="AA21" i="23"/>
  <c r="O25" i="18"/>
  <c r="AA66" i="29"/>
  <c r="F142" i="23"/>
  <c r="AD198" i="29"/>
  <c r="AG7" i="32"/>
  <c r="F10" i="23"/>
  <c r="U55" i="18"/>
  <c r="M7" i="28"/>
  <c r="AM71" i="23"/>
  <c r="X55" i="23"/>
  <c r="D146" i="29"/>
  <c r="L96" i="29"/>
  <c r="AM8" i="18"/>
  <c r="D105" i="32"/>
  <c r="X184" i="29"/>
  <c r="O2" i="27"/>
  <c r="L101" i="32"/>
  <c r="AM81" i="23"/>
  <c r="O33" i="18"/>
  <c r="X48" i="23"/>
  <c r="U58" i="29"/>
  <c r="F49" i="18"/>
  <c r="AJ92" i="23"/>
  <c r="R87" i="23"/>
  <c r="Q6" i="1"/>
  <c r="R75" i="18"/>
  <c r="O64" i="18"/>
  <c r="L7" i="27"/>
  <c r="AJ116" i="23"/>
  <c r="AJ9" i="23"/>
  <c r="I83" i="23"/>
  <c r="L109" i="23"/>
  <c r="AD66" i="29"/>
  <c r="AG148" i="29"/>
  <c r="U68" i="32"/>
  <c r="L63" i="29"/>
  <c r="AJ217" i="32"/>
  <c r="M7" i="14"/>
  <c r="O83" i="18"/>
  <c r="K6" i="17"/>
  <c r="M2" i="7"/>
  <c r="AG131" i="18"/>
  <c r="O75" i="18"/>
  <c r="AD102" i="32"/>
  <c r="I176" i="29"/>
  <c r="AA119" i="29"/>
  <c r="I137" i="23"/>
  <c r="AA42" i="18"/>
  <c r="AD50" i="23"/>
  <c r="F140" i="18"/>
  <c r="AD76" i="29"/>
  <c r="D185" i="29"/>
  <c r="AG42" i="18"/>
  <c r="O66" i="29"/>
  <c r="AM73" i="23"/>
  <c r="U50" i="18"/>
  <c r="F25" i="29"/>
  <c r="N2" i="7"/>
  <c r="AA42" i="23"/>
  <c r="L7" i="2"/>
  <c r="AJ132" i="18"/>
  <c r="AG124" i="32"/>
  <c r="AG161" i="32"/>
  <c r="L67" i="32"/>
  <c r="H2" i="27"/>
  <c r="AG107" i="23"/>
  <c r="AA33" i="18"/>
  <c r="AD139" i="18"/>
  <c r="O220" i="32"/>
  <c r="I195" i="32"/>
  <c r="O72" i="23"/>
  <c r="AJ148" i="29"/>
  <c r="N7" i="1"/>
  <c r="K2" i="7"/>
  <c r="O6" i="14"/>
  <c r="AA62" i="18"/>
  <c r="AA71" i="29"/>
  <c r="F40" i="23"/>
  <c r="AG31" i="32"/>
  <c r="AA133" i="18"/>
  <c r="F67" i="29"/>
  <c r="F72" i="23"/>
  <c r="AM90" i="23"/>
  <c r="U89" i="23"/>
  <c r="F135" i="23"/>
  <c r="D202" i="32"/>
  <c r="I74" i="32"/>
  <c r="AG49" i="18"/>
  <c r="AA167" i="32"/>
  <c r="X74" i="23"/>
  <c r="X89" i="23"/>
  <c r="L196" i="32"/>
  <c r="O7" i="11"/>
  <c r="R126" i="32"/>
  <c r="AD76" i="32"/>
  <c r="AJ24" i="18"/>
  <c r="AG102" i="32"/>
  <c r="F65" i="18"/>
  <c r="F68" i="29"/>
  <c r="AM27" i="18"/>
  <c r="S6" i="28"/>
  <c r="AG29" i="29"/>
  <c r="U101" i="32"/>
  <c r="AJ40" i="23"/>
  <c r="L86" i="23"/>
  <c r="AG162" i="32"/>
  <c r="U64" i="18"/>
  <c r="AD26" i="18"/>
  <c r="AD70" i="18"/>
  <c r="L100" i="23"/>
  <c r="U68" i="23"/>
  <c r="I206" i="32"/>
  <c r="AD167" i="32"/>
  <c r="AG127" i="29"/>
  <c r="L31" i="18"/>
  <c r="AJ109" i="23"/>
  <c r="X52" i="23"/>
  <c r="U61" i="29"/>
  <c r="AG41" i="23"/>
  <c r="AA76" i="32"/>
  <c r="AJ68" i="32"/>
  <c r="I123" i="29"/>
  <c r="O75" i="32"/>
  <c r="O83" i="23"/>
  <c r="L131" i="18"/>
  <c r="AG17" i="18"/>
  <c r="L81" i="32"/>
  <c r="I57" i="18"/>
  <c r="X23" i="23"/>
  <c r="AA64" i="32"/>
  <c r="AD84" i="18"/>
  <c r="L67" i="29"/>
  <c r="O136" i="23"/>
  <c r="L3" i="16"/>
  <c r="L41" i="18"/>
  <c r="O3" i="12"/>
  <c r="X217" i="32"/>
  <c r="R124" i="29"/>
  <c r="AM33" i="18"/>
  <c r="AM105" i="23"/>
  <c r="U93" i="23"/>
  <c r="L7" i="11"/>
  <c r="I147" i="18"/>
  <c r="AG155" i="29"/>
  <c r="AM89" i="23"/>
  <c r="X85" i="18"/>
  <c r="D163" i="32"/>
  <c r="AD122" i="29"/>
  <c r="AA69" i="29"/>
  <c r="I70" i="29"/>
  <c r="L157" i="32"/>
  <c r="AA40" i="23"/>
  <c r="X187" i="29"/>
  <c r="AG101" i="32"/>
  <c r="R7" i="29"/>
  <c r="F36" i="18"/>
  <c r="L75" i="23"/>
  <c r="AA86" i="23"/>
  <c r="AD198" i="32"/>
  <c r="O81" i="23"/>
  <c r="L44" i="23"/>
  <c r="AD62" i="29"/>
  <c r="AA97" i="23"/>
  <c r="D56" i="32"/>
  <c r="X154" i="18"/>
  <c r="D155" i="29"/>
  <c r="X73" i="23"/>
  <c r="H6" i="27"/>
  <c r="U201" i="29"/>
  <c r="AA152" i="29"/>
  <c r="U124" i="32"/>
  <c r="X109" i="32"/>
  <c r="N2" i="2"/>
  <c r="AD96" i="23"/>
  <c r="AD75" i="18"/>
  <c r="AG109" i="23"/>
  <c r="AA95" i="29"/>
  <c r="R144" i="18"/>
  <c r="AD114" i="32"/>
  <c r="R107" i="18"/>
  <c r="U125" i="32"/>
  <c r="AM127" i="23"/>
  <c r="AG74" i="23"/>
  <c r="AD43" i="18"/>
  <c r="X65" i="29"/>
  <c r="U133" i="18"/>
  <c r="R115" i="18"/>
  <c r="AA104" i="32"/>
  <c r="F7" i="32"/>
  <c r="F79" i="32"/>
  <c r="R157" i="32"/>
  <c r="AJ206" i="32"/>
  <c r="X133" i="18"/>
  <c r="R116" i="32"/>
  <c r="AD173" i="32"/>
  <c r="X72" i="18"/>
  <c r="O77" i="32"/>
  <c r="X63" i="18"/>
  <c r="O28" i="29"/>
  <c r="G7" i="7"/>
  <c r="N7" i="28"/>
  <c r="R86" i="18"/>
  <c r="I85" i="18"/>
  <c r="O104" i="32"/>
  <c r="I109" i="23"/>
  <c r="O25" i="29"/>
  <c r="AG156" i="32"/>
  <c r="F53" i="18"/>
  <c r="AM10" i="18"/>
  <c r="R65" i="29"/>
  <c r="X71" i="32"/>
  <c r="F99" i="23"/>
  <c r="AA8" i="29"/>
  <c r="AD184" i="29"/>
  <c r="U104" i="32"/>
  <c r="R130" i="23"/>
  <c r="O43" i="18"/>
  <c r="X127" i="23"/>
  <c r="AA220" i="32"/>
  <c r="D123" i="32"/>
  <c r="AJ43" i="18"/>
  <c r="O153" i="29"/>
  <c r="O55" i="23"/>
  <c r="AJ67" i="23"/>
  <c r="R195" i="32"/>
  <c r="F108" i="18"/>
  <c r="AA106" i="32"/>
  <c r="D169" i="32"/>
  <c r="L2" i="12"/>
  <c r="R52" i="18"/>
  <c r="X31" i="32"/>
  <c r="U72" i="18"/>
  <c r="AJ52" i="18"/>
  <c r="L97" i="29"/>
  <c r="I103" i="32"/>
  <c r="L2" i="10"/>
  <c r="AJ170" i="32"/>
  <c r="R155" i="18"/>
  <c r="I83" i="32"/>
  <c r="R115" i="32"/>
  <c r="L135" i="29"/>
  <c r="AA28" i="18"/>
  <c r="X123" i="29"/>
  <c r="D27" i="25"/>
  <c r="I124" i="29"/>
  <c r="R110" i="32"/>
  <c r="X78" i="32"/>
  <c r="X117" i="32"/>
  <c r="L7" i="14"/>
  <c r="U135" i="18"/>
  <c r="D166" i="32"/>
  <c r="I3" i="28"/>
  <c r="F198" i="29"/>
  <c r="X107" i="32"/>
  <c r="G3" i="12"/>
  <c r="X81" i="32"/>
  <c r="I93" i="23"/>
  <c r="O68" i="29"/>
  <c r="I164" i="29"/>
  <c r="R186" i="29"/>
  <c r="AA127" i="29"/>
  <c r="AD70" i="32"/>
  <c r="L22" i="23"/>
  <c r="AJ9" i="32"/>
  <c r="F69" i="23"/>
  <c r="AJ76" i="18"/>
  <c r="AJ129" i="18"/>
  <c r="S19" i="25"/>
  <c r="O117" i="29"/>
  <c r="K7" i="11"/>
  <c r="R73" i="29"/>
  <c r="X80" i="18"/>
  <c r="I161" i="32"/>
  <c r="U27" i="25"/>
  <c r="X101" i="32"/>
  <c r="AM40" i="23"/>
  <c r="L74" i="32"/>
  <c r="F73" i="32"/>
  <c r="I76" i="32"/>
  <c r="AA109" i="18"/>
  <c r="AJ142" i="23"/>
  <c r="R79" i="32"/>
  <c r="X202" i="32"/>
  <c r="M3" i="1"/>
  <c r="D28" i="29"/>
  <c r="AA58" i="18"/>
  <c r="K2" i="17"/>
  <c r="F155" i="18"/>
  <c r="L158" i="29"/>
  <c r="I122" i="29"/>
  <c r="M14" i="25"/>
  <c r="O52" i="18"/>
  <c r="L3" i="28"/>
  <c r="AJ61" i="29"/>
  <c r="AA76" i="29"/>
  <c r="O3" i="1"/>
  <c r="D26" i="29"/>
  <c r="AA69" i="23"/>
  <c r="I121" i="32"/>
  <c r="L180" i="29"/>
  <c r="O3" i="27"/>
  <c r="U76" i="29"/>
  <c r="AD44" i="18"/>
  <c r="AG135" i="29"/>
  <c r="F22" i="23"/>
  <c r="R6" i="27"/>
  <c r="I125" i="29"/>
  <c r="AD119" i="29"/>
  <c r="U85" i="18"/>
  <c r="F106" i="23"/>
  <c r="I106" i="32"/>
  <c r="X206" i="32"/>
  <c r="U11" i="32"/>
  <c r="AA68" i="32"/>
  <c r="U196" i="32"/>
  <c r="AA25" i="29"/>
  <c r="F7" i="13"/>
  <c r="X135" i="18"/>
  <c r="L6" i="7"/>
  <c r="I61" i="18"/>
  <c r="AA72" i="29"/>
  <c r="O6" i="10"/>
  <c r="AA23" i="23"/>
  <c r="AD178" i="29"/>
  <c r="AM141" i="18"/>
  <c r="AD83" i="32"/>
  <c r="U88" i="18"/>
  <c r="X135" i="29"/>
  <c r="N7" i="11"/>
  <c r="R133" i="18"/>
  <c r="O6" i="2"/>
  <c r="X221" i="32"/>
  <c r="X40" i="23"/>
  <c r="F23" i="18"/>
  <c r="L88" i="23"/>
  <c r="F55" i="18"/>
  <c r="AA89" i="23"/>
  <c r="R154" i="29"/>
  <c r="AA153" i="18"/>
  <c r="AJ49" i="18"/>
  <c r="AA187" i="29"/>
  <c r="D69" i="32"/>
  <c r="O65" i="18"/>
  <c r="U95" i="29"/>
  <c r="AA109" i="23"/>
  <c r="AG127" i="23"/>
  <c r="R73" i="23"/>
  <c r="D60" i="29"/>
  <c r="R7" i="28"/>
  <c r="L136" i="18"/>
  <c r="U157" i="32"/>
  <c r="D17" i="25"/>
  <c r="L163" i="32"/>
  <c r="AJ8" i="23"/>
  <c r="K14" i="25"/>
  <c r="I25" i="29"/>
  <c r="R10" i="32"/>
  <c r="AD76" i="18"/>
  <c r="L91" i="23"/>
  <c r="L90" i="23"/>
  <c r="AG59" i="29"/>
  <c r="AA107" i="32"/>
  <c r="D186" i="29"/>
  <c r="L6" i="9"/>
  <c r="L24" i="23"/>
  <c r="X86" i="18"/>
  <c r="AJ72" i="18"/>
  <c r="AD183" i="29"/>
  <c r="F203" i="32"/>
  <c r="AM10" i="23"/>
  <c r="F7" i="10"/>
  <c r="M3" i="16"/>
  <c r="AA117" i="29"/>
  <c r="G2" i="14"/>
  <c r="L162" i="32"/>
  <c r="L142" i="18"/>
  <c r="AJ182" i="32"/>
  <c r="O72" i="29"/>
  <c r="AM106" i="18"/>
  <c r="AJ60" i="23"/>
  <c r="I80" i="23"/>
  <c r="X118" i="32"/>
  <c r="D197" i="29"/>
  <c r="O2" i="7"/>
  <c r="G7" i="2"/>
  <c r="AG55" i="23"/>
  <c r="D135" i="29"/>
  <c r="G2" i="10"/>
  <c r="L85" i="18"/>
  <c r="D104" i="32"/>
  <c r="I116" i="29"/>
  <c r="AA99" i="18"/>
  <c r="L156" i="32"/>
  <c r="M6" i="14"/>
  <c r="AM48" i="23"/>
  <c r="L69" i="29"/>
  <c r="U106" i="23"/>
  <c r="O136" i="18"/>
  <c r="AM67" i="23"/>
  <c r="AA137" i="18"/>
  <c r="X39" i="32"/>
  <c r="U73" i="32"/>
  <c r="AG78" i="32"/>
  <c r="F66" i="32"/>
  <c r="L177" i="29"/>
  <c r="O201" i="29"/>
  <c r="L109" i="18"/>
  <c r="AD67" i="23"/>
  <c r="O46" i="23"/>
  <c r="R168" i="32"/>
  <c r="AD124" i="29"/>
  <c r="X116" i="23"/>
  <c r="G3" i="16"/>
  <c r="AJ166" i="32"/>
  <c r="N3" i="15"/>
  <c r="F31" i="18"/>
  <c r="AJ75" i="18"/>
  <c r="L40" i="32"/>
  <c r="AD10" i="23"/>
  <c r="AJ118" i="29"/>
  <c r="R81" i="18"/>
  <c r="AD136" i="23"/>
  <c r="U153" i="29"/>
  <c r="F8" i="18"/>
  <c r="G7" i="11"/>
  <c r="D79" i="32"/>
  <c r="L25" i="29"/>
  <c r="AJ51" i="18"/>
  <c r="I101" i="32"/>
  <c r="U155" i="29"/>
  <c r="U17" i="18"/>
  <c r="AJ70" i="23"/>
  <c r="L187" i="29"/>
  <c r="I73" i="29"/>
  <c r="N7" i="15"/>
  <c r="I80" i="32"/>
  <c r="AA70" i="29"/>
  <c r="M3" i="11"/>
  <c r="I107" i="18"/>
  <c r="F116" i="29"/>
  <c r="O44" i="23"/>
  <c r="L111" i="32"/>
  <c r="AJ80" i="18"/>
  <c r="U123" i="29"/>
  <c r="N7" i="10"/>
  <c r="AG83" i="18"/>
  <c r="R126" i="23"/>
  <c r="F57" i="18"/>
  <c r="AG62" i="29"/>
  <c r="L147" i="18"/>
  <c r="L2" i="15"/>
  <c r="X106" i="18"/>
  <c r="U111" i="32"/>
  <c r="X160" i="32"/>
  <c r="I154" i="18"/>
  <c r="L40" i="18"/>
  <c r="F3" i="13"/>
  <c r="AJ40" i="18"/>
  <c r="X109" i="18"/>
  <c r="X119" i="18"/>
  <c r="S26" i="25"/>
  <c r="AG96" i="18"/>
  <c r="L59" i="23"/>
  <c r="AD88" i="23"/>
  <c r="AJ153" i="29"/>
  <c r="O97" i="23"/>
  <c r="AA60" i="23"/>
  <c r="U178" i="29"/>
  <c r="AM9" i="23"/>
  <c r="AD65" i="18"/>
  <c r="F76" i="18"/>
  <c r="X134" i="23"/>
  <c r="AJ64" i="29"/>
  <c r="R70" i="23"/>
  <c r="L27" i="29"/>
  <c r="AD99" i="29"/>
  <c r="F196" i="32"/>
  <c r="AD38" i="18"/>
  <c r="AD133" i="18"/>
  <c r="R142" i="18"/>
  <c r="D201" i="29"/>
  <c r="AG78" i="18"/>
  <c r="O6" i="8"/>
  <c r="AD69" i="32"/>
  <c r="AD28" i="18"/>
  <c r="AM22" i="23"/>
  <c r="L49" i="23"/>
  <c r="U8" i="18"/>
  <c r="AA140" i="18"/>
  <c r="AJ144" i="18"/>
  <c r="X128" i="29"/>
  <c r="O2" i="11"/>
  <c r="L61" i="29"/>
  <c r="R67" i="32"/>
  <c r="AJ101" i="23"/>
  <c r="AG141" i="18"/>
  <c r="R105" i="32"/>
  <c r="AD126" i="32"/>
  <c r="AA32" i="32"/>
  <c r="U186" i="29"/>
  <c r="AJ152" i="29"/>
  <c r="D117" i="32"/>
  <c r="F7" i="2"/>
  <c r="X107" i="23"/>
  <c r="F87" i="23"/>
  <c r="O61" i="29"/>
  <c r="X105" i="32"/>
  <c r="L50" i="23"/>
  <c r="N6" i="12"/>
  <c r="I73" i="32"/>
  <c r="AG113" i="32"/>
  <c r="AD204" i="32"/>
  <c r="AD197" i="29"/>
  <c r="AG80" i="23"/>
  <c r="AA123" i="29"/>
  <c r="D121" i="29"/>
  <c r="R183" i="29"/>
  <c r="AJ140" i="18"/>
  <c r="X196" i="32"/>
  <c r="AD216" i="32"/>
  <c r="AD94" i="23"/>
  <c r="I131" i="18"/>
  <c r="X60" i="23"/>
  <c r="F103" i="18"/>
  <c r="O9" i="32"/>
  <c r="AM54" i="18"/>
  <c r="R26" i="29"/>
  <c r="AM97" i="23"/>
  <c r="L170" i="32"/>
  <c r="F109" i="32"/>
  <c r="U53" i="18"/>
  <c r="AD61" i="18"/>
  <c r="X41" i="23"/>
  <c r="AJ137" i="23"/>
  <c r="F81" i="32"/>
  <c r="M2" i="28"/>
  <c r="F6" i="10"/>
  <c r="L78" i="23"/>
  <c r="R109" i="32"/>
  <c r="R93" i="23"/>
  <c r="X9" i="32"/>
  <c r="AD89" i="18"/>
  <c r="AJ147" i="18"/>
  <c r="AJ72" i="23"/>
  <c r="X103" i="18"/>
  <c r="X158" i="32"/>
  <c r="AG45" i="23"/>
  <c r="AD45" i="23"/>
  <c r="R108" i="32"/>
  <c r="O56" i="18"/>
  <c r="O96" i="18"/>
  <c r="AD58" i="29"/>
  <c r="R99" i="23"/>
  <c r="AG114" i="32"/>
  <c r="I157" i="32"/>
  <c r="O202" i="29"/>
  <c r="O57" i="18"/>
  <c r="I163" i="32"/>
  <c r="L89" i="18"/>
  <c r="AD147" i="18"/>
  <c r="AJ121" i="29"/>
  <c r="O58" i="18"/>
  <c r="L79" i="23"/>
  <c r="AD127" i="29"/>
  <c r="U114" i="32"/>
  <c r="AA202" i="32"/>
  <c r="AD109" i="18"/>
  <c r="F12" i="23"/>
  <c r="AJ70" i="32"/>
  <c r="F120" i="23"/>
  <c r="F118" i="18"/>
  <c r="F144" i="18"/>
  <c r="I29" i="29"/>
  <c r="O131" i="23"/>
  <c r="R198" i="32"/>
  <c r="D40" i="32"/>
  <c r="L116" i="32"/>
  <c r="AA39" i="18"/>
  <c r="AD136" i="18"/>
  <c r="U147" i="29"/>
  <c r="U205" i="32"/>
  <c r="P2" i="27"/>
  <c r="U46" i="23"/>
  <c r="R3" i="27"/>
  <c r="AG66" i="32"/>
  <c r="I120" i="23"/>
  <c r="AG23" i="18"/>
  <c r="AG170" i="32"/>
  <c r="O157" i="32"/>
  <c r="AA134" i="23"/>
  <c r="O95" i="29"/>
  <c r="X61" i="18"/>
  <c r="R151" i="29"/>
  <c r="N2" i="1"/>
  <c r="F7" i="16"/>
  <c r="O123" i="32"/>
  <c r="L37" i="18"/>
  <c r="AG109" i="32"/>
  <c r="I7" i="27"/>
  <c r="AG108" i="32"/>
  <c r="AM98" i="23"/>
  <c r="AA148" i="29"/>
  <c r="K6" i="7"/>
  <c r="F129" i="18"/>
  <c r="AD156" i="18"/>
  <c r="AA48" i="23"/>
  <c r="AJ179" i="29"/>
  <c r="U118" i="29"/>
  <c r="L89" i="23"/>
  <c r="F78" i="29"/>
  <c r="O74" i="29"/>
  <c r="I50" i="23"/>
  <c r="AG137" i="23"/>
  <c r="AM40" i="18"/>
  <c r="M2" i="11"/>
  <c r="X43" i="18"/>
  <c r="F21" i="25"/>
  <c r="I10" i="32"/>
  <c r="U13" i="23"/>
  <c r="K6" i="1"/>
  <c r="AD24" i="18"/>
  <c r="R155" i="29"/>
  <c r="R160" i="32"/>
  <c r="L26" i="18"/>
  <c r="L130" i="23"/>
  <c r="D16" i="25"/>
  <c r="AD23" i="18"/>
  <c r="AD40" i="32"/>
  <c r="X67" i="23"/>
  <c r="U56" i="23"/>
  <c r="L7" i="16"/>
  <c r="D173" i="32"/>
  <c r="R60" i="29"/>
  <c r="D122" i="29"/>
  <c r="G7" i="9"/>
  <c r="O204" i="32"/>
  <c r="D126" i="29"/>
  <c r="F82" i="23"/>
  <c r="S3" i="1"/>
  <c r="R166" i="32"/>
  <c r="J3" i="28"/>
  <c r="AJ146" i="29"/>
  <c r="AJ90" i="23"/>
  <c r="O95" i="23"/>
  <c r="AM65" i="18"/>
  <c r="AA78" i="18"/>
  <c r="F82" i="18"/>
  <c r="L47" i="23"/>
  <c r="AG220" i="32"/>
  <c r="AJ78" i="23"/>
  <c r="L78" i="29"/>
  <c r="AJ56" i="18"/>
  <c r="N3" i="16"/>
  <c r="R78" i="23"/>
  <c r="O75" i="23"/>
  <c r="R203" i="32"/>
  <c r="AA155" i="29"/>
  <c r="O158" i="29"/>
  <c r="X130" i="18"/>
  <c r="AJ97" i="29"/>
  <c r="AM108" i="23"/>
  <c r="O195" i="32"/>
  <c r="I17" i="18"/>
  <c r="L206" i="32"/>
  <c r="AG122" i="29"/>
  <c r="AD68" i="32"/>
  <c r="O152" i="29"/>
  <c r="U83" i="23"/>
  <c r="O72" i="18"/>
  <c r="I11" i="23"/>
  <c r="I46" i="23"/>
  <c r="L217" i="32"/>
  <c r="O7" i="10"/>
  <c r="U103" i="32"/>
  <c r="U146" i="29"/>
  <c r="F2" i="9"/>
  <c r="L62" i="29"/>
  <c r="R216" i="32"/>
  <c r="I105" i="18"/>
  <c r="X73" i="29"/>
  <c r="U31" i="18"/>
  <c r="U69" i="23"/>
  <c r="M7" i="8"/>
  <c r="AD81" i="32"/>
  <c r="AJ98" i="29"/>
  <c r="O184" i="29"/>
  <c r="AM49" i="23"/>
  <c r="R140" i="18"/>
  <c r="I116" i="32"/>
  <c r="R161" i="32"/>
  <c r="O69" i="32"/>
  <c r="R131" i="23"/>
  <c r="O115" i="32"/>
  <c r="AA128" i="29"/>
  <c r="AD59" i="29"/>
  <c r="R76" i="23"/>
  <c r="L77" i="32"/>
  <c r="U74" i="23"/>
  <c r="J2" i="28"/>
  <c r="G3" i="9"/>
  <c r="F89" i="23"/>
  <c r="AJ23" i="18"/>
  <c r="AA158" i="29"/>
  <c r="D119" i="29"/>
  <c r="D206" i="32"/>
  <c r="O71" i="29"/>
  <c r="AG41" i="18"/>
  <c r="AM135" i="18"/>
  <c r="D78" i="32"/>
  <c r="U23" i="18"/>
  <c r="AJ216" i="32"/>
  <c r="AM12" i="23"/>
  <c r="F74" i="23"/>
  <c r="AM42" i="18"/>
  <c r="AG10" i="18"/>
  <c r="F83" i="18"/>
  <c r="AD123" i="29"/>
  <c r="AD10" i="32"/>
  <c r="AA92" i="23"/>
  <c r="X97" i="29"/>
  <c r="G6" i="11"/>
  <c r="AJ82" i="23"/>
  <c r="AD88" i="18"/>
  <c r="AG81" i="18"/>
  <c r="F75" i="29"/>
  <c r="F26" i="23"/>
  <c r="U73" i="23"/>
  <c r="O154" i="18"/>
  <c r="AD161" i="32"/>
  <c r="I104" i="18"/>
  <c r="F154" i="18"/>
  <c r="I148" i="29"/>
  <c r="K2" i="1"/>
  <c r="AA21" i="18"/>
  <c r="AM43" i="23"/>
  <c r="AA27" i="18"/>
  <c r="O66" i="32"/>
  <c r="I202" i="29"/>
  <c r="R120" i="29"/>
  <c r="L202" i="29"/>
  <c r="I185" i="29"/>
  <c r="AJ24" i="23"/>
  <c r="L99" i="23"/>
  <c r="U119" i="32"/>
  <c r="AG152" i="29"/>
  <c r="AM143" i="18"/>
  <c r="F103" i="32"/>
  <c r="U135" i="23"/>
  <c r="I141" i="18"/>
  <c r="O119" i="29"/>
  <c r="O62" i="29"/>
  <c r="L122" i="29"/>
  <c r="L33" i="18"/>
  <c r="AJ159" i="32"/>
  <c r="U98" i="29"/>
  <c r="O10" i="18"/>
  <c r="AG159" i="32"/>
  <c r="AA131" i="23"/>
  <c r="AA28" i="29"/>
  <c r="AM55" i="23"/>
  <c r="D158" i="29"/>
  <c r="L160" i="32"/>
  <c r="Q6" i="27"/>
  <c r="D202" i="29"/>
  <c r="R134" i="23"/>
  <c r="U102" i="32"/>
  <c r="AJ67" i="32"/>
  <c r="AD160" i="32"/>
  <c r="X102" i="32"/>
  <c r="O179" i="29"/>
  <c r="AG60" i="29"/>
  <c r="X37" i="18"/>
  <c r="L55" i="18"/>
  <c r="AG80" i="18"/>
  <c r="L3" i="12"/>
  <c r="X126" i="29"/>
  <c r="L70" i="29"/>
  <c r="I43" i="23"/>
  <c r="AA147" i="18"/>
  <c r="AM156" i="18"/>
  <c r="O53" i="18"/>
  <c r="AD95" i="23"/>
  <c r="R199" i="32"/>
  <c r="I9" i="32"/>
  <c r="X90" i="23"/>
  <c r="P3" i="27"/>
  <c r="L6" i="14"/>
  <c r="R11" i="32"/>
  <c r="AD74" i="29"/>
  <c r="X36" i="18"/>
  <c r="U136" i="18"/>
  <c r="AD78" i="32"/>
  <c r="U117" i="29"/>
  <c r="L20" i="18"/>
  <c r="AD40" i="18"/>
  <c r="AA38" i="18"/>
  <c r="O2" i="2"/>
  <c r="F51" i="18"/>
  <c r="L99" i="29"/>
  <c r="X26" i="29"/>
  <c r="AA101" i="32"/>
  <c r="P6" i="27"/>
  <c r="AJ104" i="18"/>
  <c r="AD62" i="18"/>
  <c r="AA184" i="29"/>
  <c r="I91" i="23"/>
  <c r="AM46" i="23"/>
  <c r="X101" i="23"/>
  <c r="R129" i="18"/>
  <c r="X44" i="23"/>
  <c r="M7" i="9"/>
  <c r="F128" i="29"/>
  <c r="R24" i="23"/>
  <c r="AA63" i="32"/>
  <c r="D120" i="32"/>
  <c r="F124" i="32"/>
  <c r="I134" i="18"/>
  <c r="AG28" i="29"/>
  <c r="M3" i="7"/>
  <c r="O44" i="18"/>
  <c r="F2" i="14"/>
  <c r="I108" i="23"/>
  <c r="I107" i="32"/>
  <c r="L220" i="32"/>
  <c r="I48" i="18"/>
  <c r="U77" i="18"/>
  <c r="S7" i="27"/>
  <c r="J3" i="27"/>
  <c r="L186" i="29"/>
  <c r="AA16" i="23"/>
  <c r="AA39" i="32"/>
  <c r="X108" i="23"/>
  <c r="AA67" i="23"/>
  <c r="R164" i="29"/>
  <c r="U47" i="18"/>
  <c r="O61" i="18"/>
  <c r="AM21" i="18"/>
  <c r="O55" i="18"/>
  <c r="D99" i="29"/>
  <c r="R68" i="32"/>
  <c r="L121" i="32"/>
  <c r="AD64" i="18"/>
  <c r="M2" i="8"/>
  <c r="K7" i="12"/>
  <c r="J7" i="27"/>
  <c r="AA50" i="23"/>
  <c r="AD78" i="29"/>
  <c r="O180" i="29"/>
  <c r="AJ127" i="29"/>
  <c r="O80" i="32"/>
  <c r="X53" i="18"/>
  <c r="I166" i="32"/>
  <c r="F86" i="23"/>
  <c r="O83" i="32"/>
  <c r="AG206" i="32"/>
  <c r="F109" i="18"/>
  <c r="F116" i="23"/>
  <c r="AD221" i="32"/>
  <c r="H6" i="1"/>
  <c r="AD163" i="32"/>
  <c r="AJ154" i="18"/>
  <c r="AD16" i="23"/>
  <c r="O78" i="32"/>
  <c r="U85" i="23"/>
  <c r="O165" i="29"/>
  <c r="AD186" i="29"/>
  <c r="AA176" i="29"/>
  <c r="AD36" i="29"/>
  <c r="F201" i="29"/>
  <c r="AG195" i="32"/>
  <c r="AG105" i="18"/>
  <c r="X75" i="18"/>
  <c r="AJ107" i="18"/>
  <c r="U176" i="29"/>
  <c r="F202" i="29"/>
  <c r="O92" i="23"/>
  <c r="AD177" i="29"/>
  <c r="L23" i="18"/>
  <c r="AD9" i="18"/>
  <c r="F25" i="18"/>
  <c r="AJ153" i="18"/>
  <c r="AD152" i="29"/>
  <c r="AA154" i="18"/>
  <c r="AG74" i="29"/>
  <c r="L125" i="29"/>
  <c r="AD116" i="32"/>
  <c r="U167" i="32"/>
  <c r="AG53" i="18"/>
  <c r="O173" i="32"/>
  <c r="K3" i="17"/>
  <c r="R109" i="18"/>
  <c r="AM140" i="18"/>
  <c r="F62" i="18"/>
  <c r="AD146" i="29"/>
  <c r="F77" i="18"/>
  <c r="AJ96" i="18"/>
  <c r="AA85" i="23"/>
  <c r="AA44" i="23"/>
  <c r="L123" i="32"/>
  <c r="AG54" i="18"/>
  <c r="F3" i="10"/>
  <c r="I118" i="29"/>
  <c r="F3" i="7"/>
  <c r="AJ12" i="23"/>
  <c r="AA139" i="18"/>
  <c r="O153" i="18"/>
  <c r="K3" i="11"/>
  <c r="I10" i="23"/>
  <c r="F64" i="18"/>
  <c r="R120" i="32"/>
  <c r="AJ147" i="29"/>
  <c r="R96" i="23"/>
  <c r="U130" i="18"/>
  <c r="AA76" i="18"/>
  <c r="L2" i="11"/>
  <c r="X99" i="29"/>
  <c r="AJ40" i="32"/>
  <c r="O107" i="23"/>
  <c r="I153" i="29"/>
  <c r="L126" i="32"/>
  <c r="L107" i="32"/>
  <c r="R72" i="18"/>
  <c r="AG132" i="18"/>
  <c r="R42" i="18"/>
  <c r="O88" i="18"/>
  <c r="F33" i="18"/>
  <c r="F95" i="23"/>
  <c r="M2" i="15"/>
  <c r="I78" i="23"/>
  <c r="AJ126" i="32"/>
  <c r="AD131" i="18"/>
  <c r="L46" i="23"/>
  <c r="X121" i="29"/>
  <c r="O90" i="23"/>
  <c r="AJ145" i="18"/>
  <c r="AM83" i="18"/>
  <c r="AA62" i="29"/>
  <c r="AJ103" i="18"/>
  <c r="L185" i="29"/>
  <c r="I8" i="29"/>
  <c r="AD98" i="23"/>
  <c r="O16" i="23"/>
  <c r="AJ118" i="32"/>
  <c r="R116" i="29"/>
  <c r="AA51" i="23"/>
  <c r="X20" i="18"/>
  <c r="L155" i="29"/>
  <c r="F79" i="18"/>
  <c r="AG26" i="23"/>
  <c r="I135" i="29"/>
  <c r="I23" i="23"/>
  <c r="L6" i="28"/>
  <c r="AD84" i="23"/>
  <c r="R158" i="32"/>
  <c r="AD126" i="29"/>
  <c r="G3" i="10"/>
  <c r="U116" i="32"/>
  <c r="L3" i="14"/>
  <c r="F93" i="23"/>
  <c r="L66" i="29"/>
  <c r="AD112" i="23"/>
  <c r="F63" i="18"/>
  <c r="L10" i="23"/>
  <c r="F168" i="32"/>
  <c r="O75" i="29"/>
  <c r="AJ46" i="23"/>
  <c r="U139" i="18"/>
  <c r="H2" i="28"/>
  <c r="U118" i="32"/>
  <c r="AD217" i="32"/>
  <c r="AJ220" i="32"/>
  <c r="O186" i="29"/>
  <c r="X70" i="32"/>
  <c r="D10" i="32"/>
  <c r="AM137" i="23"/>
  <c r="AJ51" i="23"/>
  <c r="F186" i="29"/>
  <c r="K7" i="16"/>
  <c r="U158" i="29"/>
  <c r="AG205" i="32"/>
  <c r="U103" i="18"/>
  <c r="L52" i="23"/>
  <c r="D153" i="29"/>
  <c r="AJ133" i="18"/>
  <c r="F50" i="23"/>
  <c r="L105" i="18"/>
  <c r="I156" i="32"/>
  <c r="F88" i="18"/>
  <c r="I119" i="18"/>
  <c r="O8" i="18"/>
  <c r="M2" i="17"/>
  <c r="O96" i="29"/>
  <c r="U59" i="29"/>
  <c r="AA115" i="18"/>
  <c r="AD119" i="32"/>
  <c r="D102" i="32"/>
  <c r="AD50" i="18"/>
  <c r="F120" i="29"/>
  <c r="AG126" i="32"/>
  <c r="R36" i="18"/>
  <c r="F156" i="32"/>
  <c r="R28" i="18"/>
  <c r="X144" i="18"/>
  <c r="S35" i="25"/>
  <c r="F96" i="29"/>
  <c r="X96" i="23"/>
  <c r="X115" i="23"/>
  <c r="I159" i="32"/>
  <c r="O2" i="9"/>
  <c r="AG69" i="29"/>
  <c r="L93" i="23"/>
  <c r="F46" i="23"/>
  <c r="R56" i="18"/>
  <c r="X165" i="29"/>
  <c r="R59" i="23"/>
  <c r="R69" i="23"/>
  <c r="AA119" i="32"/>
  <c r="AG84" i="23"/>
  <c r="R8" i="18"/>
  <c r="I49" i="23"/>
  <c r="X76" i="32"/>
  <c r="AD31" i="18"/>
  <c r="O131" i="18"/>
  <c r="O61" i="23"/>
  <c r="AA158" i="32"/>
  <c r="I120" i="29"/>
  <c r="AA73" i="23"/>
  <c r="D125" i="29"/>
  <c r="L159" i="32"/>
  <c r="L61" i="18"/>
  <c r="X72" i="23"/>
  <c r="AD147" i="29"/>
  <c r="AG136" i="23"/>
  <c r="F3" i="2"/>
  <c r="D115" i="29"/>
  <c r="S27" i="25"/>
  <c r="G3" i="11"/>
  <c r="AM130" i="23"/>
  <c r="O41" i="23"/>
  <c r="I2" i="1"/>
  <c r="AA91" i="23"/>
  <c r="X166" i="32"/>
  <c r="AM116" i="23"/>
  <c r="AJ116" i="29"/>
  <c r="AG48" i="23"/>
  <c r="L12" i="23"/>
  <c r="AG183" i="29"/>
  <c r="AG119" i="32"/>
  <c r="AJ109" i="18"/>
  <c r="AG216" i="32"/>
  <c r="X121" i="32"/>
  <c r="I20" i="18"/>
  <c r="F169" i="32"/>
  <c r="U42" i="18"/>
  <c r="R205" i="32"/>
  <c r="H6" i="28"/>
  <c r="U151" i="29"/>
  <c r="K35" i="25"/>
  <c r="R127" i="29"/>
  <c r="AA183" i="29"/>
  <c r="AD60" i="23"/>
  <c r="K36" i="25"/>
  <c r="O109" i="32"/>
  <c r="I71" i="32"/>
  <c r="R53" i="18"/>
  <c r="I81" i="18"/>
  <c r="F70" i="23"/>
  <c r="X142" i="23"/>
  <c r="AG95" i="29"/>
  <c r="U142" i="23"/>
  <c r="I71" i="29"/>
  <c r="AM130" i="18"/>
  <c r="AA47" i="18"/>
  <c r="AA61" i="29"/>
  <c r="AG125" i="32"/>
  <c r="L179" i="29"/>
  <c r="U109" i="23"/>
  <c r="L7" i="32"/>
  <c r="F180" i="29"/>
  <c r="AD21" i="18"/>
  <c r="O112" i="23"/>
  <c r="AD119" i="18"/>
  <c r="O197" i="29"/>
  <c r="X176" i="29"/>
  <c r="D80" i="32"/>
  <c r="AJ69" i="32"/>
  <c r="O84" i="23"/>
  <c r="L101" i="23"/>
  <c r="F2" i="16"/>
  <c r="AA81" i="23"/>
  <c r="AD107" i="32"/>
  <c r="I198" i="32"/>
  <c r="AJ108" i="32"/>
  <c r="L49" i="18"/>
  <c r="D164" i="29"/>
  <c r="AJ197" i="29"/>
  <c r="F13" i="23"/>
  <c r="U35" i="25"/>
  <c r="AJ79" i="18"/>
  <c r="F182" i="32"/>
  <c r="R64" i="29"/>
  <c r="F99" i="29"/>
  <c r="L60" i="29"/>
  <c r="F217" i="32"/>
  <c r="AA108" i="32"/>
  <c r="AJ87" i="18"/>
  <c r="R176" i="29"/>
  <c r="F107" i="18"/>
  <c r="AJ169" i="32"/>
  <c r="I55" i="18"/>
  <c r="J6" i="28"/>
  <c r="AG85" i="18"/>
  <c r="F6" i="2"/>
  <c r="R102" i="23"/>
  <c r="AJ114" i="32"/>
  <c r="O59" i="29"/>
  <c r="K3" i="1"/>
  <c r="AA17" i="18"/>
  <c r="O7" i="14"/>
  <c r="N3" i="27"/>
  <c r="AG134" i="23"/>
  <c r="O100" i="18"/>
  <c r="F109" i="23"/>
  <c r="AG71" i="23"/>
  <c r="AJ21" i="18"/>
  <c r="L6" i="11"/>
  <c r="F75" i="32"/>
  <c r="AA79" i="18"/>
  <c r="AJ81" i="23"/>
  <c r="I134" i="23"/>
  <c r="I178" i="29"/>
  <c r="AJ75" i="32"/>
  <c r="AA129" i="18"/>
  <c r="AA96" i="29"/>
  <c r="L128" i="29"/>
  <c r="I47" i="18"/>
  <c r="AD115" i="32"/>
  <c r="I6" i="28"/>
  <c r="L74" i="23"/>
  <c r="O6" i="7"/>
  <c r="AD56" i="18"/>
  <c r="I32" i="32"/>
  <c r="AD156" i="32"/>
  <c r="AM41" i="23"/>
  <c r="AM50" i="23"/>
  <c r="L145" i="18"/>
  <c r="AD72" i="29"/>
  <c r="G3" i="7"/>
  <c r="AG180" i="29"/>
  <c r="L120" i="23"/>
  <c r="D121" i="32"/>
  <c r="F72" i="18"/>
  <c r="AM101" i="23"/>
  <c r="F7" i="11"/>
  <c r="AD55" i="18"/>
  <c r="AJ11" i="23"/>
  <c r="AG105" i="23"/>
  <c r="O6" i="13"/>
  <c r="AA64" i="18"/>
  <c r="AA93" i="23"/>
  <c r="AG119" i="23"/>
  <c r="AM41" i="18"/>
  <c r="L201" i="29"/>
  <c r="AA206" i="32"/>
  <c r="AA179" i="29"/>
  <c r="R80" i="18"/>
  <c r="X152" i="29"/>
  <c r="U161" i="32"/>
  <c r="R117" i="32"/>
  <c r="AJ31" i="18"/>
  <c r="F6" i="8"/>
  <c r="L96" i="18"/>
  <c r="L7" i="29"/>
  <c r="AG50" i="23"/>
  <c r="AJ119" i="23"/>
  <c r="AJ50" i="18"/>
  <c r="O135" i="23"/>
  <c r="AJ119" i="29"/>
  <c r="AA73" i="29"/>
  <c r="O67" i="23"/>
  <c r="L96" i="23"/>
  <c r="F119" i="29"/>
  <c r="AM119" i="18"/>
  <c r="U26" i="29"/>
  <c r="Q3" i="27"/>
  <c r="AG49" i="23"/>
  <c r="AA44" i="18"/>
  <c r="U80" i="23"/>
  <c r="R28" i="29"/>
  <c r="AJ75" i="29"/>
  <c r="X110" i="32"/>
  <c r="AG70" i="29"/>
  <c r="AM80" i="18"/>
  <c r="L176" i="29"/>
  <c r="D70" i="32"/>
  <c r="X161" i="32"/>
  <c r="X177" i="29"/>
  <c r="AJ115" i="23"/>
  <c r="O119" i="18"/>
  <c r="F106" i="32"/>
  <c r="X24" i="18"/>
  <c r="F23" i="23"/>
  <c r="F2" i="10"/>
  <c r="G3" i="15"/>
  <c r="I59" i="29"/>
  <c r="X48" i="18"/>
  <c r="AJ120" i="29"/>
  <c r="AG87" i="18"/>
  <c r="O93" i="23"/>
  <c r="AJ8" i="18"/>
  <c r="O2" i="12"/>
  <c r="L113" i="32"/>
  <c r="I98" i="29"/>
  <c r="F77" i="23"/>
  <c r="AA8" i="18"/>
  <c r="O3" i="7"/>
  <c r="AA9" i="23"/>
  <c r="AJ105" i="32"/>
  <c r="X64" i="18"/>
  <c r="L9" i="18"/>
  <c r="G6" i="9"/>
  <c r="O74" i="32"/>
  <c r="AG56" i="32"/>
  <c r="F24" i="23"/>
  <c r="L80" i="32"/>
  <c r="AA135" i="23"/>
  <c r="R77" i="18"/>
  <c r="L3" i="2"/>
  <c r="I61" i="29"/>
  <c r="L130" i="18"/>
  <c r="AA65" i="29"/>
  <c r="M6" i="15"/>
  <c r="AJ10" i="32"/>
  <c r="AD78" i="23"/>
  <c r="X31" i="18"/>
  <c r="U164" i="29"/>
  <c r="X100" i="18"/>
  <c r="AG144" i="18"/>
  <c r="U203" i="32"/>
  <c r="AM105" i="18"/>
  <c r="D71" i="29"/>
  <c r="L28" i="29"/>
  <c r="I165" i="29"/>
  <c r="AJ100" i="18"/>
  <c r="F79" i="23"/>
  <c r="D151" i="29"/>
  <c r="D127" i="29"/>
  <c r="D117" i="29"/>
  <c r="X126" i="23"/>
  <c r="R44" i="23"/>
  <c r="X22" i="23"/>
  <c r="F119" i="18"/>
  <c r="I77" i="32"/>
  <c r="AG139" i="18"/>
  <c r="F39" i="18"/>
  <c r="U183" i="29"/>
  <c r="L76" i="23"/>
  <c r="I118" i="18"/>
  <c r="U160" i="32"/>
  <c r="AA146" i="29"/>
  <c r="R137" i="23"/>
  <c r="R159" i="32"/>
  <c r="K3" i="28"/>
  <c r="AM134" i="23"/>
  <c r="L76" i="32"/>
  <c r="L68" i="32"/>
  <c r="O79" i="18"/>
  <c r="R121" i="29"/>
  <c r="AA71" i="18"/>
  <c r="AA78" i="29"/>
  <c r="F8" i="32"/>
  <c r="O45" i="23"/>
  <c r="AA56" i="32"/>
  <c r="R41" i="23"/>
  <c r="AJ135" i="29"/>
  <c r="L84" i="18"/>
  <c r="O39" i="18"/>
  <c r="X78" i="23"/>
  <c r="AJ178" i="29"/>
  <c r="AG10" i="32"/>
  <c r="U155" i="18"/>
  <c r="X204" i="32"/>
  <c r="AG145" i="18"/>
  <c r="AJ56" i="23"/>
  <c r="D29" i="25"/>
  <c r="M6" i="7"/>
  <c r="X72" i="29"/>
  <c r="G6" i="7"/>
  <c r="U79" i="32"/>
  <c r="F101" i="23"/>
  <c r="F165" i="29"/>
  <c r="X106" i="32"/>
  <c r="F173" i="32"/>
  <c r="AA143" i="18"/>
  <c r="N6" i="8"/>
  <c r="R128" i="29"/>
  <c r="O110" i="32"/>
  <c r="AA117" i="32"/>
  <c r="R114" i="32"/>
  <c r="F108" i="23"/>
  <c r="U24" i="25"/>
  <c r="AA161" i="32"/>
  <c r="O60" i="23"/>
  <c r="O51" i="23"/>
  <c r="O118" i="32"/>
  <c r="AD85" i="18"/>
  <c r="AG116" i="23"/>
  <c r="N6" i="16"/>
  <c r="AD52" i="23"/>
  <c r="R81" i="32"/>
  <c r="M3" i="12"/>
  <c r="U20" i="18"/>
  <c r="F20" i="18"/>
  <c r="AJ115" i="32"/>
  <c r="X51" i="23"/>
  <c r="AJ99" i="29"/>
  <c r="X109" i="23"/>
  <c r="I24" i="18"/>
  <c r="L198" i="29"/>
  <c r="L107" i="18"/>
  <c r="D159" i="32"/>
  <c r="R59" i="29"/>
  <c r="AJ130" i="18"/>
  <c r="AM112" i="23"/>
  <c r="AJ88" i="18"/>
  <c r="K19" i="25"/>
  <c r="AG38" i="18"/>
  <c r="X43" i="23"/>
  <c r="AD116" i="29"/>
  <c r="AG112" i="32"/>
  <c r="AG100" i="23"/>
  <c r="AJ77" i="18"/>
  <c r="AJ125" i="29"/>
  <c r="AD66" i="32"/>
  <c r="I41" i="23"/>
  <c r="AJ75" i="23"/>
  <c r="U199" i="32"/>
  <c r="M3" i="10"/>
  <c r="AD80" i="32"/>
  <c r="AJ20" i="18"/>
  <c r="AJ173" i="32"/>
  <c r="M26" i="25"/>
  <c r="AG61" i="29"/>
  <c r="R156" i="32"/>
  <c r="M2" i="12"/>
  <c r="L133" i="18"/>
  <c r="AD22" i="18"/>
  <c r="AD28" i="29"/>
  <c r="O77" i="29"/>
  <c r="U216" i="32"/>
  <c r="H3" i="28"/>
  <c r="AD127" i="23"/>
  <c r="X122" i="29"/>
  <c r="AG120" i="18"/>
  <c r="AD85" i="23"/>
  <c r="U50" i="23"/>
  <c r="M7" i="2"/>
  <c r="D96" i="29"/>
  <c r="M3" i="2"/>
  <c r="R46" i="23"/>
  <c r="L25" i="18"/>
  <c r="AJ85" i="23"/>
  <c r="O168" i="32"/>
  <c r="X186" i="29"/>
  <c r="AD183" i="32"/>
  <c r="AJ165" i="29"/>
  <c r="O145" i="18"/>
  <c r="R58" i="18"/>
  <c r="AD77" i="32"/>
  <c r="L140" i="18"/>
  <c r="F26" i="25"/>
  <c r="AM71" i="18"/>
  <c r="L7" i="12"/>
  <c r="O59" i="23"/>
  <c r="F99" i="18"/>
  <c r="AG21" i="18"/>
  <c r="O155" i="29"/>
  <c r="AA52" i="23"/>
  <c r="R196" i="32"/>
  <c r="AG90" i="23"/>
  <c r="U70" i="23"/>
  <c r="D83" i="32"/>
  <c r="I63" i="18"/>
  <c r="R96" i="18"/>
  <c r="I162" i="32"/>
  <c r="N6" i="11"/>
  <c r="AD47" i="18"/>
  <c r="S3" i="27"/>
  <c r="X76" i="23"/>
  <c r="F2" i="11"/>
  <c r="AM45" i="23"/>
  <c r="AG55" i="18"/>
  <c r="L7" i="10"/>
  <c r="I58" i="18"/>
  <c r="U125" i="29"/>
  <c r="F147" i="18"/>
  <c r="I86" i="23"/>
  <c r="U110" i="32"/>
  <c r="F2" i="15"/>
  <c r="AG178" i="29"/>
  <c r="AJ98" i="23"/>
  <c r="U144" i="18"/>
  <c r="R67" i="29"/>
  <c r="AD41" i="23"/>
  <c r="O142" i="23"/>
  <c r="K7" i="2"/>
  <c r="O116" i="23"/>
  <c r="L102" i="32"/>
  <c r="F116" i="32"/>
  <c r="AJ113" i="32"/>
  <c r="F113" i="32"/>
  <c r="O6" i="15"/>
  <c r="AD95" i="29"/>
  <c r="AD176" i="29"/>
  <c r="D118" i="32"/>
  <c r="L71" i="32"/>
  <c r="AD119" i="23"/>
  <c r="AA131" i="18"/>
  <c r="G2" i="15"/>
  <c r="I126" i="29"/>
  <c r="I7" i="29"/>
  <c r="AA10" i="32"/>
  <c r="U142" i="18"/>
  <c r="AD79" i="18"/>
  <c r="O70" i="29"/>
  <c r="AG31" i="18"/>
  <c r="AJ154" i="29"/>
  <c r="AD99" i="18"/>
  <c r="AJ36" i="18"/>
  <c r="U72" i="23"/>
  <c r="G3" i="8"/>
  <c r="AD83" i="23"/>
  <c r="AA178" i="29"/>
  <c r="X182" i="32"/>
  <c r="U84" i="18"/>
  <c r="U76" i="18"/>
  <c r="L87" i="18"/>
  <c r="AG22" i="18"/>
  <c r="U51" i="18"/>
  <c r="M2" i="14"/>
  <c r="O78" i="23"/>
  <c r="D63" i="32"/>
  <c r="R39" i="18"/>
  <c r="AD83" i="18"/>
  <c r="AG99" i="29"/>
  <c r="AM88" i="18"/>
  <c r="R20" i="18"/>
  <c r="AA41" i="23"/>
  <c r="AM147" i="18"/>
  <c r="R137" i="18"/>
  <c r="AD53" i="18"/>
  <c r="AJ131" i="18"/>
  <c r="F107" i="23"/>
  <c r="U131" i="18"/>
  <c r="AA114" i="32"/>
  <c r="F148" i="29"/>
  <c r="R2" i="1"/>
  <c r="AM100" i="18"/>
  <c r="O105" i="32"/>
  <c r="AA125" i="32"/>
  <c r="AJ117" i="29"/>
  <c r="AA169" i="32"/>
  <c r="AG203" i="32"/>
  <c r="AJ115" i="18"/>
  <c r="R57" i="18"/>
  <c r="S24" i="25"/>
  <c r="O76" i="29"/>
  <c r="R26" i="18"/>
  <c r="F216" i="32"/>
  <c r="AJ102" i="32"/>
  <c r="AA9" i="32"/>
  <c r="AG183" i="32"/>
  <c r="I122" i="32"/>
  <c r="F47" i="23"/>
  <c r="I205" i="32"/>
  <c r="AA77" i="18"/>
  <c r="D221" i="32"/>
  <c r="F147" i="29"/>
  <c r="I139" i="18"/>
  <c r="AG106" i="32"/>
  <c r="U163" i="32"/>
  <c r="L11" i="32"/>
  <c r="D76" i="29"/>
  <c r="O156" i="18"/>
  <c r="O39" i="32"/>
  <c r="AD78" i="18"/>
  <c r="I100" i="18"/>
  <c r="O3" i="28"/>
  <c r="AD92" i="23"/>
  <c r="I131" i="23"/>
  <c r="AJ37" i="18"/>
  <c r="AJ156" i="18"/>
  <c r="S6" i="27"/>
  <c r="AD77" i="23"/>
  <c r="L83" i="23"/>
  <c r="F38" i="18"/>
  <c r="U7" i="29"/>
  <c r="AG23" i="23"/>
  <c r="AG112" i="23"/>
  <c r="O6" i="1"/>
  <c r="AA78" i="23"/>
  <c r="L82" i="23"/>
  <c r="AM76" i="23"/>
  <c r="AG185" i="29"/>
  <c r="I3" i="1"/>
  <c r="O2" i="8"/>
  <c r="L43" i="18"/>
  <c r="AJ67" i="29"/>
  <c r="O9" i="18"/>
  <c r="AA108" i="18"/>
  <c r="AG97" i="29"/>
  <c r="AA144" i="18"/>
  <c r="D179" i="29"/>
  <c r="U71" i="29"/>
  <c r="AG71" i="32"/>
  <c r="F121" i="29"/>
  <c r="AG74" i="32"/>
  <c r="R115" i="23"/>
  <c r="I156" i="18"/>
  <c r="AD77" i="29"/>
  <c r="R139" i="18"/>
  <c r="L2" i="14"/>
  <c r="I67" i="29"/>
  <c r="N7" i="17"/>
  <c r="AD107" i="18"/>
  <c r="U126" i="32"/>
  <c r="K6" i="15"/>
  <c r="I155" i="29"/>
  <c r="AA107" i="18"/>
  <c r="AD65" i="32"/>
  <c r="U82" i="23"/>
  <c r="I119" i="23"/>
  <c r="R99" i="18"/>
  <c r="AD8" i="23"/>
  <c r="L42" i="23"/>
  <c r="R105" i="18"/>
  <c r="AA156" i="18"/>
  <c r="AM72" i="18"/>
  <c r="X28" i="29"/>
  <c r="K6" i="27"/>
  <c r="O107" i="32"/>
  <c r="M7" i="16"/>
  <c r="O177" i="29"/>
  <c r="L2" i="7"/>
  <c r="AG10" i="23"/>
  <c r="AA119" i="23"/>
  <c r="I54" i="18"/>
  <c r="D82" i="32"/>
  <c r="AJ160" i="32"/>
  <c r="R105" i="23"/>
  <c r="AD117" i="29"/>
  <c r="M6" i="28"/>
  <c r="F146" i="29"/>
  <c r="D126" i="32"/>
  <c r="L7" i="8"/>
  <c r="R83" i="18"/>
  <c r="L6" i="16"/>
  <c r="AA56" i="18"/>
  <c r="U52" i="23"/>
  <c r="H3" i="1"/>
  <c r="U135" i="29"/>
  <c r="AJ78" i="18"/>
  <c r="AD46" i="23"/>
  <c r="AA59" i="23"/>
  <c r="U69" i="32"/>
  <c r="AM120" i="18"/>
  <c r="L22" i="18"/>
  <c r="AA84" i="23"/>
  <c r="AG65" i="18"/>
  <c r="O120" i="18"/>
  <c r="AA120" i="29"/>
  <c r="AD69" i="29"/>
  <c r="AJ84" i="18"/>
  <c r="I70" i="32"/>
  <c r="AJ204" i="32"/>
  <c r="F115" i="23"/>
  <c r="I154" i="29"/>
  <c r="F29" i="25"/>
  <c r="AG85" i="23"/>
  <c r="AG106" i="18"/>
  <c r="AG202" i="29"/>
  <c r="U78" i="29"/>
  <c r="I221" i="32"/>
  <c r="R26" i="23"/>
  <c r="AD75" i="23"/>
  <c r="X66" i="32"/>
  <c r="F42" i="23"/>
  <c r="F96" i="23"/>
  <c r="K3" i="9"/>
  <c r="N3" i="12"/>
  <c r="X81" i="23"/>
  <c r="O3" i="13"/>
  <c r="O2" i="13"/>
  <c r="U198" i="32"/>
  <c r="I142" i="18"/>
  <c r="U108" i="32"/>
  <c r="L197" i="29"/>
  <c r="AG123" i="29"/>
  <c r="I72" i="18"/>
  <c r="AD125" i="32"/>
  <c r="R126" i="29"/>
  <c r="O79" i="32"/>
  <c r="AG12" i="23"/>
  <c r="AA81" i="18"/>
  <c r="I74" i="29"/>
  <c r="L81" i="18"/>
  <c r="L17" i="18"/>
  <c r="R111" i="32"/>
  <c r="R16" i="23"/>
  <c r="AA126" i="32"/>
  <c r="I9" i="18"/>
  <c r="F85" i="18"/>
  <c r="I88" i="18"/>
  <c r="X197" i="32"/>
  <c r="F132" i="18"/>
  <c r="I71" i="23"/>
  <c r="I27" i="18"/>
  <c r="AA125" i="29"/>
  <c r="X153" i="18"/>
  <c r="S7" i="1"/>
  <c r="M28" i="25"/>
  <c r="O73" i="32"/>
  <c r="AJ32" i="32"/>
  <c r="G2" i="17"/>
  <c r="X82" i="18"/>
  <c r="AG63" i="18"/>
  <c r="U67" i="32"/>
  <c r="K3" i="8"/>
  <c r="AJ137" i="18"/>
  <c r="D8" i="29"/>
  <c r="O147" i="18"/>
  <c r="L73" i="32"/>
  <c r="L8" i="18"/>
  <c r="AD130" i="18"/>
  <c r="X183" i="32"/>
  <c r="X32" i="32"/>
  <c r="R145" i="18"/>
  <c r="D154" i="29"/>
  <c r="I108" i="18"/>
  <c r="X71" i="23"/>
  <c r="AD135" i="23"/>
  <c r="M7" i="11"/>
  <c r="U120" i="29"/>
  <c r="L79" i="18"/>
  <c r="R7" i="32"/>
  <c r="R119" i="32"/>
  <c r="AG72" i="18"/>
  <c r="AA121" i="29"/>
  <c r="R41" i="18"/>
  <c r="AA22" i="23"/>
  <c r="O198" i="29"/>
  <c r="AG72" i="29"/>
  <c r="X25" i="18"/>
  <c r="X85" i="23"/>
  <c r="L48" i="18"/>
  <c r="L7" i="7"/>
  <c r="O71" i="32"/>
  <c r="AJ112" i="32"/>
  <c r="AD170" i="32"/>
  <c r="AD148" i="29"/>
  <c r="L182" i="32"/>
  <c r="X9" i="18"/>
  <c r="AG184" i="29"/>
  <c r="AG217" i="32"/>
  <c r="AG126" i="23"/>
  <c r="K3" i="16"/>
  <c r="L56" i="18"/>
  <c r="F156" i="18"/>
  <c r="F176" i="29"/>
  <c r="AG121" i="32"/>
  <c r="X96" i="29"/>
  <c r="R85" i="23"/>
  <c r="X40" i="32"/>
  <c r="AJ58" i="29"/>
  <c r="R22" i="23"/>
  <c r="K6" i="10"/>
  <c r="AM39" i="18"/>
  <c r="AJ76" i="23"/>
  <c r="X70" i="18"/>
  <c r="I7" i="28"/>
  <c r="R153" i="29"/>
  <c r="R78" i="18"/>
  <c r="U96" i="29"/>
  <c r="D75" i="32"/>
  <c r="I69" i="32"/>
  <c r="L115" i="32"/>
  <c r="AD63" i="29"/>
  <c r="AG160" i="32"/>
  <c r="AM145" i="18"/>
  <c r="AA61" i="23"/>
  <c r="K3" i="27"/>
  <c r="I78" i="32"/>
  <c r="U105" i="23"/>
  <c r="AD103" i="18"/>
  <c r="AG68" i="29"/>
  <c r="X7" i="29"/>
  <c r="O160" i="32"/>
  <c r="I26" i="29"/>
  <c r="I153" i="18"/>
  <c r="F115" i="29"/>
  <c r="F29" i="29"/>
  <c r="D64" i="29"/>
  <c r="R84" i="18"/>
  <c r="U145" i="18"/>
  <c r="X8" i="32"/>
  <c r="F112" i="32"/>
  <c r="O82" i="32"/>
  <c r="O10" i="32"/>
  <c r="F27" i="18"/>
  <c r="AD76" i="23"/>
  <c r="R84" i="23"/>
  <c r="X66" i="29"/>
  <c r="AD106" i="23"/>
  <c r="I94" i="23"/>
  <c r="AD56" i="23"/>
  <c r="X179" i="29"/>
  <c r="AG197" i="32"/>
  <c r="AM84" i="23"/>
  <c r="L106" i="23"/>
  <c r="AG115" i="32"/>
  <c r="R73" i="32"/>
  <c r="AD71" i="32"/>
  <c r="R107" i="23"/>
  <c r="AD140" i="18"/>
  <c r="O111" i="32"/>
  <c r="AA25" i="23"/>
  <c r="AG21" i="23"/>
  <c r="AG131" i="23"/>
  <c r="AD137" i="18"/>
  <c r="U98" i="23"/>
  <c r="F78" i="18"/>
  <c r="X118" i="29"/>
  <c r="F198" i="32"/>
  <c r="I21" i="23"/>
  <c r="F164" i="29"/>
  <c r="AA118" i="32"/>
  <c r="AG67" i="32"/>
  <c r="I44" i="18"/>
  <c r="P7" i="27"/>
  <c r="F6" i="17"/>
  <c r="AA100" i="23"/>
  <c r="AM75" i="18"/>
  <c r="U115" i="29"/>
  <c r="AM99" i="23"/>
  <c r="L56" i="32"/>
  <c r="M3" i="15"/>
  <c r="R131" i="18"/>
  <c r="I107" i="23"/>
  <c r="O86" i="23"/>
  <c r="AA46" i="23"/>
  <c r="AJ183" i="32"/>
  <c r="O6" i="12"/>
  <c r="F7" i="14"/>
  <c r="AD64" i="29"/>
  <c r="R31" i="18"/>
  <c r="D170" i="32"/>
  <c r="L65" i="18"/>
  <c r="F163" i="32"/>
  <c r="AG110" i="32"/>
  <c r="AG63" i="29"/>
  <c r="AD29" i="29"/>
  <c r="I41" i="18"/>
  <c r="I6" i="27"/>
  <c r="AA99" i="23"/>
  <c r="O7" i="12"/>
  <c r="AG48" i="18"/>
  <c r="AA77" i="29"/>
  <c r="L136" i="23"/>
  <c r="I68" i="32"/>
  <c r="L92" i="23"/>
  <c r="O70" i="23"/>
  <c r="AA25" i="18"/>
  <c r="M6" i="10"/>
  <c r="N3" i="7"/>
  <c r="AD36" i="18"/>
  <c r="O116" i="29"/>
  <c r="AJ183" i="29"/>
  <c r="F8" i="29"/>
  <c r="K34" i="25"/>
  <c r="X71" i="29"/>
  <c r="R52" i="23"/>
  <c r="L198" i="32"/>
  <c r="AM153" i="18"/>
  <c r="AD128" i="29"/>
  <c r="K28" i="25"/>
  <c r="R64" i="32"/>
  <c r="U106" i="32"/>
  <c r="D161" i="32"/>
  <c r="F151" i="29"/>
  <c r="O114" i="32"/>
  <c r="F20" i="25"/>
  <c r="F9" i="32"/>
  <c r="D25" i="29"/>
  <c r="I110" i="32"/>
  <c r="R23" i="18"/>
  <c r="U141" i="18"/>
  <c r="O2" i="1"/>
  <c r="D123" i="29"/>
  <c r="X83" i="18"/>
  <c r="U132" i="18"/>
  <c r="K2" i="13"/>
  <c r="AG117" i="29"/>
  <c r="K6" i="12"/>
  <c r="AG75" i="32"/>
  <c r="U36" i="25"/>
  <c r="AG82" i="18"/>
  <c r="R6" i="28"/>
  <c r="K3" i="14"/>
  <c r="O155" i="18"/>
  <c r="AD25" i="29"/>
  <c r="F10" i="18"/>
  <c r="O119" i="32"/>
  <c r="X97" i="23"/>
  <c r="F184" i="29"/>
  <c r="R40" i="18"/>
  <c r="AG56" i="18"/>
  <c r="AJ73" i="29"/>
  <c r="AG46" i="23"/>
  <c r="X75" i="29"/>
  <c r="L127" i="23"/>
  <c r="K2" i="28"/>
  <c r="O161" i="32"/>
  <c r="X127" i="29"/>
  <c r="AD81" i="23"/>
  <c r="I9" i="23"/>
  <c r="D7" i="32"/>
  <c r="AG8" i="18"/>
  <c r="I78" i="18"/>
  <c r="AA177" i="29"/>
  <c r="H7" i="1"/>
  <c r="AG73" i="29"/>
  <c r="N2" i="8"/>
  <c r="AA106" i="23"/>
  <c r="O26" i="29"/>
  <c r="L8" i="23"/>
  <c r="F96" i="18"/>
  <c r="O85" i="18"/>
  <c r="F97" i="29"/>
  <c r="AJ83" i="18"/>
  <c r="AM134" i="18"/>
  <c r="G7" i="14"/>
  <c r="U154" i="29"/>
  <c r="I66" i="29"/>
  <c r="U87" i="23"/>
  <c r="U187" i="29"/>
  <c r="X100" i="23"/>
  <c r="AA49" i="23"/>
  <c r="L167" i="32"/>
  <c r="AG26" i="29"/>
  <c r="AA13" i="23"/>
  <c r="X8" i="29"/>
  <c r="L165" i="29"/>
  <c r="O76" i="18"/>
  <c r="AG124" i="29"/>
  <c r="AG88" i="18"/>
  <c r="AG79" i="32"/>
  <c r="F80" i="18"/>
  <c r="F44" i="23"/>
  <c r="N7" i="27"/>
  <c r="K6" i="9"/>
  <c r="AJ184" i="29"/>
  <c r="AM83" i="23"/>
  <c r="AA113" i="32"/>
  <c r="O82" i="18"/>
  <c r="I130" i="18"/>
  <c r="AJ138" i="18"/>
  <c r="O26" i="18"/>
  <c r="O77" i="18"/>
  <c r="AD180" i="29"/>
  <c r="R98" i="29"/>
  <c r="AA70" i="23"/>
  <c r="L147" i="29"/>
  <c r="U8" i="32"/>
  <c r="L6" i="13"/>
  <c r="U63" i="29"/>
  <c r="G3" i="2"/>
  <c r="F81" i="18"/>
  <c r="L11" i="23"/>
  <c r="AA123" i="32"/>
  <c r="R158" i="29"/>
  <c r="R182" i="32"/>
  <c r="L59" i="29"/>
  <c r="F187" i="29"/>
  <c r="AA121" i="32"/>
  <c r="I138" i="18"/>
  <c r="M2" i="27"/>
  <c r="X163" i="32"/>
  <c r="L67" i="23"/>
  <c r="AJ47" i="18"/>
  <c r="F6" i="12"/>
  <c r="AD159" i="32"/>
  <c r="O2" i="28"/>
  <c r="AG7" i="29"/>
  <c r="D152" i="29"/>
  <c r="R8" i="29"/>
  <c r="O178" i="29"/>
  <c r="D29" i="29"/>
  <c r="AG96" i="29"/>
  <c r="AM87" i="23"/>
  <c r="G6" i="13"/>
  <c r="X56" i="18"/>
  <c r="Q6" i="28"/>
  <c r="AD32" i="32"/>
  <c r="X49" i="18"/>
  <c r="AD134" i="18"/>
  <c r="X108" i="32"/>
  <c r="X10" i="23"/>
  <c r="F3" i="16"/>
  <c r="AD44" i="23"/>
  <c r="AG81" i="23"/>
  <c r="AA103" i="18"/>
  <c r="L81" i="23"/>
  <c r="U100" i="23"/>
  <c r="L166" i="32"/>
  <c r="L6" i="17"/>
  <c r="AM52" i="23"/>
  <c r="AA40" i="18"/>
  <c r="AJ126" i="23"/>
  <c r="AD55" i="23"/>
  <c r="AJ97" i="23"/>
  <c r="F14" i="25"/>
  <c r="L108" i="23"/>
  <c r="AJ197" i="32"/>
  <c r="F61" i="23"/>
  <c r="AG202" i="32"/>
  <c r="AG40" i="18"/>
  <c r="AG79" i="18"/>
  <c r="F206" i="32"/>
  <c r="AD103" i="32"/>
  <c r="I105" i="23"/>
  <c r="D168" i="32"/>
  <c r="U71" i="18"/>
  <c r="AD82" i="18"/>
  <c r="AD185" i="29"/>
  <c r="AG86" i="23"/>
  <c r="U28" i="25"/>
  <c r="I113" i="32"/>
  <c r="L83" i="18"/>
  <c r="AJ177" i="29"/>
  <c r="L115" i="23"/>
  <c r="U108" i="18"/>
  <c r="G6" i="16"/>
  <c r="F94" i="23"/>
  <c r="O135" i="29"/>
  <c r="AG8" i="23"/>
  <c r="AD99" i="23"/>
  <c r="AG52" i="18"/>
  <c r="AG116" i="32"/>
  <c r="AD11" i="23"/>
  <c r="AA61" i="18"/>
  <c r="AG143" i="18"/>
  <c r="AD82" i="32"/>
  <c r="O3" i="10"/>
  <c r="X61" i="23"/>
  <c r="F36" i="29"/>
  <c r="AA27" i="29"/>
  <c r="F2" i="13"/>
  <c r="AM53" i="18"/>
  <c r="D128" i="29"/>
  <c r="AJ105" i="18"/>
  <c r="L9" i="23"/>
  <c r="X21" i="23"/>
  <c r="AD137" i="23"/>
  <c r="AM131" i="18"/>
  <c r="U94" i="23"/>
  <c r="AG126" i="29"/>
  <c r="I124" i="32"/>
  <c r="I121" i="29"/>
  <c r="X74" i="32"/>
  <c r="AG40" i="23"/>
  <c r="R61" i="18"/>
  <c r="U58" i="18"/>
  <c r="U49" i="23"/>
  <c r="O7" i="28"/>
  <c r="F7" i="8"/>
  <c r="AD144" i="18"/>
  <c r="R125" i="29"/>
  <c r="U32" i="32"/>
  <c r="X167" i="32"/>
  <c r="AA195" i="32"/>
  <c r="AM64" i="18"/>
  <c r="X29" i="29"/>
  <c r="AA110" i="32"/>
  <c r="G6" i="14"/>
  <c r="X126" i="32"/>
  <c r="AG118" i="29"/>
  <c r="N7" i="16"/>
  <c r="M3" i="9"/>
  <c r="AD116" i="23"/>
  <c r="F154" i="29"/>
  <c r="AA120" i="18"/>
  <c r="AD86" i="23"/>
  <c r="K3" i="7"/>
  <c r="R167" i="32"/>
  <c r="S29" i="25"/>
  <c r="AM25" i="18"/>
  <c r="U43" i="23"/>
  <c r="R85" i="18"/>
  <c r="AD158" i="32"/>
  <c r="J2" i="27"/>
  <c r="AA165" i="29"/>
  <c r="M35" i="25"/>
  <c r="Q7" i="1"/>
  <c r="F125" i="29"/>
  <c r="F124" i="29"/>
  <c r="F2" i="7"/>
  <c r="AD124" i="32"/>
  <c r="X76" i="29"/>
  <c r="AD23" i="23"/>
  <c r="D216" i="32"/>
  <c r="U137" i="18"/>
  <c r="AD27" i="18"/>
  <c r="AD79" i="32"/>
  <c r="U204" i="32"/>
  <c r="I170" i="32"/>
  <c r="AJ130" i="23"/>
  <c r="U79" i="18"/>
  <c r="U59" i="23"/>
  <c r="AJ127" i="23"/>
  <c r="F76" i="29"/>
  <c r="O77" i="23"/>
  <c r="O65" i="32"/>
  <c r="L183" i="32"/>
  <c r="F58" i="29"/>
  <c r="R63" i="29"/>
  <c r="X105" i="23"/>
  <c r="U65" i="29"/>
  <c r="AA116" i="29"/>
  <c r="AJ77" i="29"/>
  <c r="O119" i="23"/>
  <c r="M17" i="25"/>
  <c r="AA31" i="32"/>
  <c r="N7" i="13"/>
  <c r="AM93" i="23"/>
  <c r="X106" i="23"/>
  <c r="AD71" i="23"/>
  <c r="L47" i="18"/>
  <c r="AG154" i="18"/>
  <c r="F16" i="25"/>
  <c r="AD195" i="32"/>
  <c r="L143" i="18"/>
  <c r="O101" i="32"/>
  <c r="N2" i="9"/>
  <c r="F183" i="32"/>
  <c r="O134" i="18"/>
  <c r="AJ71" i="29"/>
  <c r="U52" i="18"/>
  <c r="N2" i="28"/>
  <c r="U49" i="18"/>
  <c r="AG39" i="32"/>
  <c r="U43" i="18"/>
  <c r="AA130" i="18"/>
  <c r="R118" i="29"/>
  <c r="AJ77" i="32"/>
  <c r="F120" i="18"/>
  <c r="I52" i="18"/>
  <c r="L85" i="23"/>
  <c r="X122" i="32"/>
  <c r="I126" i="23"/>
  <c r="K7" i="13"/>
  <c r="AD73" i="32"/>
  <c r="U153" i="18"/>
  <c r="R7" i="27"/>
  <c r="O130" i="23"/>
  <c r="R118" i="32"/>
  <c r="AG64" i="18"/>
  <c r="F77" i="32"/>
  <c r="O6" i="11"/>
  <c r="D116" i="32"/>
  <c r="AD111" i="32"/>
  <c r="R2" i="28"/>
  <c r="U119" i="23"/>
  <c r="F97" i="23"/>
  <c r="AD115" i="29"/>
  <c r="AJ73" i="23"/>
  <c r="F8" i="23"/>
  <c r="U119" i="29"/>
  <c r="X27" i="18"/>
  <c r="M6" i="17"/>
  <c r="AJ26" i="29"/>
  <c r="U77" i="32"/>
  <c r="U119" i="18"/>
  <c r="AA75" i="18"/>
  <c r="AJ63" i="29"/>
  <c r="R106" i="18"/>
  <c r="F11" i="32"/>
  <c r="AA112" i="23"/>
  <c r="AD206" i="32"/>
  <c r="N2" i="15"/>
  <c r="AD104" i="32"/>
  <c r="X33" i="18"/>
  <c r="AD42" i="23"/>
  <c r="I56" i="23"/>
  <c r="R75" i="23"/>
  <c r="O67" i="29"/>
  <c r="AD121" i="32"/>
  <c r="AG76" i="32"/>
  <c r="AD120" i="18"/>
  <c r="U45" i="23"/>
  <c r="AJ82" i="18"/>
  <c r="O42" i="23"/>
  <c r="AG155" i="18"/>
  <c r="O103" i="32"/>
  <c r="AA49" i="18"/>
  <c r="I69" i="23"/>
  <c r="F63" i="29"/>
  <c r="AA9" i="18"/>
  <c r="AJ116" i="32"/>
  <c r="R220" i="32"/>
  <c r="AJ48" i="18"/>
  <c r="O104" i="18"/>
  <c r="AA132" i="18"/>
  <c r="AA154" i="29"/>
  <c r="L69" i="23"/>
  <c r="U81" i="23"/>
  <c r="L69" i="32"/>
  <c r="D70" i="29"/>
  <c r="U148" i="29"/>
  <c r="F179" i="29"/>
  <c r="R66" i="29"/>
  <c r="D77" i="29"/>
  <c r="I160" i="32"/>
  <c r="F7" i="9"/>
  <c r="O217" i="32"/>
  <c r="N6" i="28"/>
  <c r="F135" i="29"/>
  <c r="F7" i="15"/>
  <c r="O7" i="9"/>
  <c r="O22" i="23"/>
  <c r="AA130" i="23"/>
  <c r="R147" i="18"/>
  <c r="L184" i="29"/>
  <c r="AJ7" i="32"/>
  <c r="N7" i="8"/>
  <c r="AG62" i="18"/>
  <c r="X159" i="32"/>
  <c r="U22" i="23"/>
  <c r="AG163" i="32"/>
  <c r="X71" i="18"/>
  <c r="O6" i="9"/>
  <c r="R187" i="29"/>
  <c r="I123" i="32"/>
  <c r="X26" i="23"/>
  <c r="L139" i="18"/>
  <c r="X131" i="23"/>
  <c r="F60" i="23"/>
  <c r="AA182" i="32"/>
  <c r="F39" i="32"/>
  <c r="AJ48" i="23"/>
  <c r="U173" i="32"/>
  <c r="O20" i="18"/>
  <c r="F131" i="18"/>
  <c r="AA65" i="32"/>
  <c r="I155" i="18"/>
  <c r="L70" i="32"/>
  <c r="F42" i="18"/>
  <c r="U27" i="18"/>
  <c r="L134" i="18"/>
  <c r="N2" i="11"/>
  <c r="O202" i="32"/>
  <c r="AJ156" i="32"/>
  <c r="U80" i="32"/>
  <c r="AM44" i="18"/>
  <c r="U97" i="23"/>
  <c r="L144" i="18"/>
  <c r="I27" i="29"/>
  <c r="X120" i="32"/>
  <c r="I145" i="18"/>
  <c r="AD100" i="23"/>
  <c r="N3" i="2"/>
  <c r="U168" i="32"/>
  <c r="AD7" i="32"/>
  <c r="L94" i="23"/>
  <c r="AD106" i="32"/>
  <c r="AM82" i="23"/>
  <c r="AA43" i="18"/>
  <c r="X55" i="18"/>
  <c r="R23" i="23"/>
  <c r="AA26" i="23"/>
  <c r="AG140" i="18"/>
  <c r="R48" i="23"/>
  <c r="O221" i="32"/>
  <c r="O121" i="29"/>
  <c r="I36" i="29"/>
  <c r="U108" i="23"/>
  <c r="F69" i="32"/>
  <c r="R106" i="23"/>
  <c r="R89" i="23"/>
  <c r="I62" i="29"/>
  <c r="AJ88" i="23"/>
  <c r="O97" i="29"/>
  <c r="F137" i="18"/>
  <c r="AG80" i="32"/>
  <c r="F183" i="29"/>
  <c r="X158" i="29"/>
  <c r="X65" i="18"/>
  <c r="R74" i="23"/>
  <c r="F6" i="7"/>
  <c r="AM61" i="18"/>
  <c r="AA58" i="29"/>
  <c r="AG83" i="32"/>
  <c r="I65" i="29"/>
  <c r="X119" i="29"/>
  <c r="M2" i="9"/>
  <c r="L77" i="23"/>
  <c r="N2" i="16"/>
  <c r="L75" i="18"/>
  <c r="AD43" i="23"/>
  <c r="X70" i="29"/>
  <c r="U177" i="29"/>
  <c r="AM50" i="18"/>
  <c r="U179" i="29"/>
  <c r="F115" i="18"/>
  <c r="U10" i="18"/>
  <c r="F98" i="23"/>
  <c r="AJ72" i="32"/>
  <c r="L77" i="18"/>
  <c r="AD13" i="23"/>
  <c r="L58" i="29"/>
  <c r="I40" i="23"/>
  <c r="I60" i="29"/>
  <c r="R180" i="29"/>
  <c r="AA102" i="23"/>
  <c r="O185" i="29"/>
  <c r="F22" i="18"/>
  <c r="AG71" i="29"/>
  <c r="AA8" i="23"/>
  <c r="O105" i="18"/>
  <c r="X13" i="23"/>
  <c r="X87" i="18"/>
  <c r="I146" i="29"/>
  <c r="L2" i="8"/>
  <c r="AM16" i="23"/>
  <c r="U220" i="32"/>
  <c r="U55" i="23"/>
  <c r="AJ69" i="29"/>
  <c r="U39" i="18"/>
  <c r="AM51" i="18"/>
  <c r="AG89" i="23"/>
  <c r="X123" i="32"/>
  <c r="AJ58" i="18"/>
  <c r="G2" i="9"/>
  <c r="I117" i="29"/>
  <c r="K6" i="16"/>
  <c r="O125" i="32"/>
  <c r="U11" i="23"/>
  <c r="N3" i="13"/>
  <c r="AD109" i="23"/>
  <c r="G2" i="11"/>
  <c r="U48" i="18"/>
  <c r="X120" i="18"/>
  <c r="AM81" i="18"/>
  <c r="R72" i="23"/>
  <c r="O102" i="23"/>
  <c r="R89" i="18"/>
  <c r="L87" i="23"/>
  <c r="L178" i="29"/>
  <c r="U122" i="32"/>
  <c r="M7" i="27"/>
  <c r="AD153" i="18"/>
  <c r="U44" i="18"/>
  <c r="AG39" i="18"/>
  <c r="AG70" i="18"/>
  <c r="AA48" i="18"/>
  <c r="AG176" i="29"/>
  <c r="X195" i="32"/>
  <c r="X115" i="32"/>
  <c r="I61" i="23"/>
  <c r="AJ42" i="23"/>
  <c r="X146" i="29"/>
  <c r="L102" i="23"/>
  <c r="AG22" i="23"/>
  <c r="AD118" i="18"/>
  <c r="AD96" i="29"/>
  <c r="O183" i="32"/>
  <c r="N2" i="10"/>
  <c r="L158" i="32"/>
  <c r="K2" i="16"/>
  <c r="X62" i="18"/>
  <c r="F52" i="18"/>
  <c r="X156" i="32"/>
  <c r="AA216" i="32"/>
  <c r="U25" i="25"/>
  <c r="O7" i="2"/>
  <c r="I108" i="32"/>
  <c r="AA75" i="23"/>
  <c r="I65" i="32"/>
  <c r="AG68" i="23"/>
  <c r="R67" i="23"/>
  <c r="X198" i="32"/>
  <c r="U170" i="32"/>
  <c r="I36" i="18"/>
  <c r="X94" i="23"/>
  <c r="K2" i="12"/>
  <c r="R121" i="32"/>
  <c r="I216" i="32"/>
  <c r="F122" i="32"/>
  <c r="I97" i="23"/>
  <c r="AG92" i="23"/>
  <c r="AM115" i="23"/>
  <c r="O63" i="32"/>
  <c r="I135" i="23"/>
  <c r="AD48" i="23"/>
  <c r="F7" i="12"/>
  <c r="L105" i="32"/>
  <c r="O154" i="29"/>
  <c r="L3" i="15"/>
  <c r="AD67" i="32"/>
  <c r="AD10" i="18"/>
  <c r="R143" i="18"/>
  <c r="AJ105" i="23"/>
  <c r="G3" i="13"/>
  <c r="I102" i="23"/>
  <c r="U70" i="18"/>
  <c r="AA151" i="29"/>
  <c r="F159" i="32"/>
  <c r="AJ13" i="23"/>
  <c r="AJ62" i="18"/>
  <c r="X88" i="18"/>
  <c r="AM78" i="23"/>
  <c r="M29" i="25"/>
  <c r="X82" i="32"/>
  <c r="X92" i="23"/>
  <c r="F117" i="32"/>
  <c r="F126" i="23"/>
  <c r="O76" i="32"/>
  <c r="L106" i="18"/>
  <c r="U116" i="29"/>
  <c r="K15" i="25"/>
  <c r="AG107" i="32"/>
  <c r="X202" i="29"/>
  <c r="L135" i="18"/>
  <c r="L123" i="29"/>
  <c r="R71" i="29"/>
  <c r="U12" i="23"/>
  <c r="I132" i="18"/>
  <c r="I187" i="29"/>
  <c r="U86" i="23"/>
  <c r="AA11" i="32"/>
  <c r="R83" i="32"/>
  <c r="AG32" i="32"/>
  <c r="X117" i="29"/>
  <c r="O2" i="16"/>
  <c r="K6" i="28"/>
  <c r="AA137" i="23"/>
  <c r="X155" i="18"/>
  <c r="AD8" i="32"/>
  <c r="AA57" i="18"/>
  <c r="K27" i="25"/>
  <c r="D72" i="32"/>
  <c r="AJ26" i="23"/>
  <c r="O106" i="32"/>
  <c r="R197" i="32"/>
  <c r="AA77" i="23"/>
  <c r="K26" i="25"/>
  <c r="I147" i="29"/>
  <c r="AD196" i="32"/>
  <c r="D101" i="32"/>
  <c r="AJ54" i="18"/>
  <c r="AD71" i="18"/>
  <c r="X81" i="18"/>
  <c r="R132" i="18"/>
  <c r="AM74" i="23"/>
  <c r="AJ73" i="32"/>
  <c r="U206" i="32"/>
  <c r="O48" i="18"/>
  <c r="R55" i="23"/>
  <c r="R63" i="32"/>
  <c r="AG199" i="32"/>
  <c r="L27" i="18"/>
  <c r="D27" i="29"/>
  <c r="D103" i="32"/>
  <c r="F161" i="32"/>
  <c r="M3" i="13"/>
  <c r="AD134" i="23"/>
  <c r="I201" i="29"/>
  <c r="X148" i="29"/>
  <c r="AM47" i="18"/>
  <c r="AG25" i="18"/>
  <c r="AG88" i="23"/>
  <c r="O99" i="23"/>
  <c r="F28" i="18"/>
  <c r="L115" i="29"/>
  <c r="F100" i="18"/>
  <c r="U36" i="18"/>
  <c r="F71" i="29"/>
  <c r="F72" i="32"/>
  <c r="AJ162" i="32"/>
  <c r="O127" i="29"/>
  <c r="AJ59" i="29"/>
  <c r="R80" i="32"/>
  <c r="L72" i="32"/>
  <c r="O84" i="18"/>
  <c r="O50" i="18"/>
  <c r="R76" i="29"/>
  <c r="AD142" i="18"/>
  <c r="AM52" i="18"/>
  <c r="AG36" i="29"/>
  <c r="O71" i="23"/>
  <c r="AJ180" i="29"/>
  <c r="R61" i="23"/>
  <c r="O65" i="29"/>
  <c r="O28" i="18"/>
  <c r="AA50" i="18"/>
  <c r="I95" i="29"/>
  <c r="X134" i="18"/>
  <c r="P3" i="28"/>
  <c r="X125" i="29"/>
  <c r="R3" i="1"/>
  <c r="D160" i="32"/>
  <c r="F10" i="32"/>
  <c r="U90" i="23"/>
  <c r="U197" i="29"/>
  <c r="AM89" i="18"/>
  <c r="F111" i="32"/>
  <c r="AM24" i="23"/>
  <c r="AA153" i="29"/>
  <c r="F220" i="32"/>
  <c r="R82" i="23"/>
  <c r="U180" i="29"/>
  <c r="AD87" i="23"/>
  <c r="AJ202" i="29"/>
  <c r="AM100" i="23"/>
  <c r="U70" i="32"/>
  <c r="AM85" i="23"/>
  <c r="AM155" i="18"/>
  <c r="O130" i="18"/>
  <c r="I25" i="18"/>
  <c r="AG146" i="29"/>
  <c r="X145" i="18"/>
  <c r="AD93" i="23"/>
  <c r="I199" i="32"/>
  <c r="D125" i="32"/>
  <c r="U152" i="29"/>
  <c r="I76" i="29"/>
  <c r="L31" i="32"/>
  <c r="AA26" i="18"/>
  <c r="X136" i="18"/>
  <c r="AA203" i="32"/>
  <c r="D115" i="32"/>
  <c r="X78" i="29"/>
  <c r="L73" i="29"/>
  <c r="O98" i="29"/>
  <c r="L21" i="23"/>
  <c r="R123" i="29"/>
  <c r="L135" i="23"/>
  <c r="I115" i="29"/>
  <c r="AM31" i="18"/>
  <c r="I67" i="23"/>
  <c r="R70" i="18"/>
  <c r="F101" i="32"/>
  <c r="I197" i="29"/>
  <c r="X24" i="23"/>
  <c r="AG136" i="18"/>
  <c r="X78" i="18"/>
  <c r="R74" i="29"/>
  <c r="X180" i="29"/>
  <c r="AA126" i="23"/>
  <c r="U70" i="29"/>
  <c r="G2" i="2"/>
  <c r="U48" i="23"/>
  <c r="U122" i="29"/>
  <c r="F31" i="25"/>
  <c r="AG128" i="29"/>
  <c r="R153" i="18"/>
  <c r="D73" i="32"/>
  <c r="X77" i="18"/>
  <c r="J6" i="1"/>
  <c r="AA155" i="18"/>
  <c r="R118" i="18"/>
  <c r="X156" i="18"/>
  <c r="F27" i="25"/>
  <c r="I79" i="18"/>
  <c r="AA87" i="23"/>
  <c r="I92" i="23"/>
  <c r="L2" i="2"/>
  <c r="D197" i="32"/>
  <c r="F139" i="18"/>
  <c r="AA78" i="32"/>
  <c r="AD202" i="29"/>
  <c r="L26" i="29"/>
  <c r="X108" i="18"/>
  <c r="L97" i="23"/>
  <c r="AJ41" i="23"/>
  <c r="U75" i="23"/>
  <c r="N3" i="1"/>
  <c r="D7" i="29"/>
  <c r="AG142" i="18"/>
  <c r="N6" i="9"/>
  <c r="AG153" i="29"/>
  <c r="AD157" i="32"/>
  <c r="O148" i="29"/>
  <c r="AA53" i="18"/>
  <c r="D98" i="29"/>
  <c r="O109" i="23"/>
  <c r="M6" i="13"/>
  <c r="L72" i="29"/>
  <c r="AG17" i="23"/>
  <c r="O23" i="23"/>
  <c r="X82" i="23"/>
  <c r="O88" i="23"/>
  <c r="AA82" i="23"/>
  <c r="AM137" i="18"/>
  <c r="I13" i="23"/>
  <c r="X197" i="29"/>
  <c r="AJ66" i="32"/>
  <c r="G7" i="13"/>
  <c r="AD26" i="23"/>
  <c r="F44" i="18"/>
  <c r="O116" i="32"/>
  <c r="R69" i="32"/>
  <c r="R123" i="32"/>
  <c r="AJ39" i="18"/>
  <c r="X68" i="23"/>
  <c r="AM44" i="23"/>
  <c r="O67" i="32"/>
  <c r="AD187" i="29"/>
  <c r="I89" i="18"/>
  <c r="F68" i="32"/>
  <c r="AA43" i="23"/>
  <c r="L8" i="29"/>
  <c r="R162" i="32"/>
  <c r="AM86" i="18"/>
  <c r="I103" i="18"/>
  <c r="X42" i="18"/>
  <c r="F178" i="29"/>
  <c r="G7" i="10"/>
  <c r="X103" i="32"/>
  <c r="L138" i="18"/>
  <c r="I31" i="32"/>
  <c r="AA107" i="23"/>
  <c r="AG20" i="18"/>
  <c r="AJ21" i="23"/>
  <c r="AJ155" i="18"/>
  <c r="R55" i="18"/>
  <c r="L3" i="27"/>
  <c r="AG58" i="29"/>
  <c r="L75" i="29"/>
  <c r="AA173" i="32"/>
  <c r="AJ71" i="32"/>
  <c r="X26" i="18"/>
  <c r="AD73" i="23"/>
  <c r="O127" i="23"/>
  <c r="F133" i="18"/>
  <c r="F115" i="32"/>
  <c r="F112" i="23"/>
  <c r="X147" i="29"/>
  <c r="L2" i="13"/>
  <c r="AD129" i="18"/>
  <c r="AG107" i="18"/>
  <c r="AJ38" i="18"/>
  <c r="L3" i="11"/>
  <c r="D30" i="25"/>
  <c r="O70" i="32"/>
  <c r="AG196" i="32"/>
  <c r="U91" i="23"/>
  <c r="AM84" i="18"/>
  <c r="AG177" i="29"/>
  <c r="AD54" i="18"/>
  <c r="AG76" i="23"/>
  <c r="I11" i="32"/>
  <c r="R47" i="23"/>
  <c r="U195" i="32"/>
  <c r="X83" i="23"/>
  <c r="O7" i="29"/>
  <c r="L83" i="32"/>
  <c r="AG153" i="18"/>
  <c r="AG78" i="29"/>
  <c r="R101" i="23"/>
  <c r="O49" i="23"/>
  <c r="AG72" i="32"/>
  <c r="AJ33" i="18"/>
  <c r="X203" i="32"/>
  <c r="O22" i="18"/>
  <c r="N6" i="27"/>
  <c r="AJ22" i="18"/>
  <c r="AJ201" i="29"/>
  <c r="U97" i="29"/>
  <c r="X63" i="32"/>
  <c r="U41" i="18"/>
  <c r="L7" i="13"/>
  <c r="U57" i="18"/>
  <c r="L95" i="23"/>
  <c r="X99" i="18"/>
  <c r="F158" i="32"/>
  <c r="AA95" i="23"/>
  <c r="O37" i="18"/>
  <c r="I40" i="18"/>
  <c r="AG133" i="18"/>
  <c r="AD21" i="23"/>
  <c r="AA54" i="18"/>
  <c r="I99" i="23"/>
  <c r="O47" i="23"/>
  <c r="F56" i="32"/>
  <c r="M2" i="16"/>
  <c r="R82" i="18"/>
  <c r="F64" i="32"/>
  <c r="L95" i="29"/>
  <c r="R76" i="32"/>
  <c r="AD79" i="23"/>
  <c r="U120" i="18"/>
  <c r="L7" i="28"/>
  <c r="AG69" i="32"/>
  <c r="L60" i="23"/>
  <c r="F3" i="11"/>
  <c r="U169" i="32"/>
  <c r="AA105" i="32"/>
  <c r="AG198" i="32"/>
  <c r="X74" i="29"/>
  <c r="AD112" i="32"/>
  <c r="D58" i="29"/>
  <c r="AJ8" i="29"/>
  <c r="R136" i="23"/>
  <c r="U100" i="18"/>
  <c r="X142" i="18"/>
  <c r="X27" i="29"/>
  <c r="AM51" i="23"/>
  <c r="F71" i="32"/>
  <c r="F67" i="23"/>
  <c r="AA26" i="29"/>
  <c r="U9" i="23"/>
  <c r="I51" i="23"/>
  <c r="D204" i="32"/>
  <c r="X10" i="32"/>
  <c r="U27" i="29"/>
  <c r="X95" i="23"/>
  <c r="AD101" i="32"/>
  <c r="K3" i="10"/>
  <c r="L71" i="23"/>
  <c r="AA159" i="32"/>
  <c r="F54" i="18"/>
  <c r="D112" i="32"/>
  <c r="X112" i="32"/>
  <c r="M7" i="17"/>
  <c r="AA199" i="32"/>
  <c r="AD59" i="23"/>
  <c r="F6" i="9"/>
  <c r="I64" i="32"/>
  <c r="U105" i="18"/>
  <c r="AD77" i="18"/>
  <c r="N3" i="28"/>
  <c r="N2" i="27"/>
  <c r="AG91" i="23"/>
  <c r="AA90" i="23"/>
  <c r="F70" i="18"/>
  <c r="Q3" i="1"/>
  <c r="U134" i="23"/>
  <c r="F66" i="29"/>
  <c r="L122" i="32"/>
  <c r="M3" i="28"/>
  <c r="AJ151" i="29"/>
  <c r="AD199" i="32"/>
  <c r="N3" i="10"/>
  <c r="AJ79" i="32"/>
  <c r="F158" i="29"/>
  <c r="AD162" i="32"/>
  <c r="AG50" i="18"/>
  <c r="AD113" i="32"/>
  <c r="F162" i="32"/>
  <c r="O17" i="18"/>
  <c r="O167" i="32"/>
  <c r="AJ77" i="23"/>
  <c r="AG24" i="18"/>
  <c r="X124" i="32"/>
  <c r="O91" i="23"/>
  <c r="I50" i="18"/>
  <c r="F61" i="18"/>
  <c r="AG135" i="18"/>
  <c r="I85" i="23"/>
  <c r="O63" i="18"/>
  <c r="AG201" i="29"/>
  <c r="AM109" i="18"/>
  <c r="AA94" i="23"/>
  <c r="AG11" i="23"/>
  <c r="AJ163" i="32"/>
  <c r="AD80" i="23"/>
  <c r="U166" i="32"/>
  <c r="AM142" i="18"/>
  <c r="U202" i="32"/>
  <c r="D74" i="29"/>
  <c r="U17" i="23"/>
  <c r="AJ187" i="29"/>
  <c r="I88" i="23"/>
  <c r="AM91" i="23"/>
  <c r="AG168" i="32"/>
  <c r="X23" i="18"/>
  <c r="O7" i="1"/>
  <c r="D220" i="32"/>
  <c r="L108" i="18"/>
  <c r="AG37" i="18"/>
  <c r="AD117" i="32"/>
  <c r="O6" i="16"/>
  <c r="F17" i="23"/>
  <c r="I109" i="32"/>
  <c r="R74" i="32"/>
  <c r="I140" i="18"/>
  <c r="R77" i="32"/>
  <c r="M7" i="1"/>
  <c r="R49" i="23"/>
  <c r="AG16" i="23"/>
  <c r="U197" i="32"/>
  <c r="AG75" i="18"/>
  <c r="AA79" i="23"/>
  <c r="I100" i="23"/>
  <c r="F59" i="23"/>
  <c r="X120" i="23"/>
  <c r="F41" i="23"/>
  <c r="R31" i="32"/>
  <c r="AA71" i="23"/>
  <c r="D69" i="29"/>
  <c r="O129" i="18"/>
  <c r="L56" i="23"/>
  <c r="AD126" i="23"/>
  <c r="L119" i="32"/>
  <c r="L45" i="23"/>
  <c r="AJ164" i="29"/>
  <c r="AM60" i="23"/>
  <c r="F9" i="18"/>
  <c r="R104" i="18"/>
  <c r="U21" i="23"/>
  <c r="AD145" i="18"/>
  <c r="AG81" i="32"/>
  <c r="AM21" i="23"/>
  <c r="R27" i="29"/>
  <c r="O128" i="29"/>
  <c r="AA80" i="32"/>
  <c r="F205" i="32"/>
  <c r="AD74" i="23"/>
  <c r="R217" i="32"/>
  <c r="AA12" i="23"/>
  <c r="X57" i="18"/>
  <c r="U156" i="32"/>
  <c r="AJ78" i="32"/>
  <c r="K6" i="11"/>
  <c r="U26" i="25"/>
  <c r="K6" i="2"/>
  <c r="U121" i="29"/>
  <c r="I115" i="23"/>
  <c r="I56" i="32"/>
  <c r="U62" i="29"/>
  <c r="AM56" i="18"/>
  <c r="F100" i="23"/>
  <c r="O89" i="23"/>
  <c r="L36" i="29"/>
  <c r="AJ168" i="32"/>
  <c r="L42" i="18"/>
  <c r="O3" i="9"/>
  <c r="L78" i="32"/>
  <c r="AM79" i="23"/>
  <c r="I68" i="29"/>
  <c r="AA124" i="32"/>
  <c r="AJ61" i="23"/>
  <c r="I84" i="23"/>
  <c r="AA23" i="18"/>
  <c r="AG125" i="29"/>
  <c r="I39" i="32"/>
  <c r="N7" i="14"/>
  <c r="X112" i="23"/>
  <c r="I49" i="18"/>
  <c r="R48" i="18"/>
  <c r="AJ71" i="23"/>
  <c r="N2" i="14"/>
  <c r="U71" i="32"/>
  <c r="O2" i="14"/>
  <c r="AJ47" i="23"/>
  <c r="D15" i="25"/>
  <c r="F84" i="23"/>
  <c r="U109" i="32"/>
  <c r="L2" i="27"/>
  <c r="I37" i="18"/>
  <c r="AJ121" i="32"/>
  <c r="I142" i="23"/>
  <c r="N7" i="2"/>
  <c r="AA120" i="23"/>
  <c r="O183" i="29"/>
  <c r="U63" i="18"/>
  <c r="F45" i="23"/>
  <c r="F83" i="23"/>
  <c r="AA20" i="18"/>
  <c r="L76" i="29"/>
  <c r="AA75" i="32"/>
  <c r="K29" i="25"/>
  <c r="D72" i="29"/>
  <c r="AJ93" i="23"/>
  <c r="AG87" i="23"/>
  <c r="AM68" i="23"/>
  <c r="U28" i="29"/>
  <c r="U67" i="29"/>
  <c r="L119" i="29"/>
  <c r="AD17" i="18"/>
  <c r="L7" i="15"/>
  <c r="AA142" i="18"/>
  <c r="AA98" i="29"/>
  <c r="X63" i="29"/>
  <c r="AG76" i="18"/>
  <c r="X124" i="29"/>
  <c r="F52" i="23"/>
  <c r="I28" i="29"/>
  <c r="R104" i="32"/>
  <c r="X84" i="23"/>
  <c r="L204" i="32"/>
  <c r="I151" i="29"/>
  <c r="D122" i="32"/>
  <c r="O96" i="23"/>
  <c r="F104" i="32"/>
  <c r="AA198" i="32"/>
  <c r="F61" i="29"/>
  <c r="O8" i="23"/>
  <c r="AJ195" i="32"/>
  <c r="R183" i="32"/>
  <c r="AA7" i="29"/>
  <c r="F199" i="32"/>
  <c r="AJ62" i="29"/>
  <c r="R112" i="23"/>
  <c r="X115" i="18"/>
  <c r="I44" i="23"/>
  <c r="AJ10" i="18"/>
  <c r="F21" i="23"/>
  <c r="F76" i="23"/>
  <c r="D63" i="29"/>
  <c r="G3" i="17"/>
  <c r="O13" i="23"/>
  <c r="U137" i="23"/>
  <c r="K7" i="17"/>
  <c r="AA68" i="23"/>
  <c r="O124" i="32"/>
  <c r="U79" i="23"/>
  <c r="AJ28" i="18"/>
  <c r="X16" i="23"/>
  <c r="AA170" i="32"/>
  <c r="M2" i="10"/>
  <c r="R177" i="29"/>
  <c r="AD118" i="29"/>
  <c r="AJ123" i="29"/>
  <c r="AG115" i="18"/>
  <c r="O3" i="14"/>
  <c r="AJ131" i="23"/>
  <c r="AD122" i="32"/>
  <c r="I63" i="32"/>
  <c r="R83" i="23"/>
  <c r="I112" i="32"/>
  <c r="AD104" i="18"/>
  <c r="L40" i="23"/>
  <c r="L52" i="18"/>
  <c r="O144" i="18"/>
  <c r="K7" i="8"/>
  <c r="X136" i="23"/>
  <c r="X77" i="23"/>
  <c r="AM85" i="18"/>
  <c r="U126" i="23"/>
  <c r="AA68" i="29"/>
  <c r="U75" i="29"/>
  <c r="AA160" i="32"/>
  <c r="AG27" i="18"/>
  <c r="O27" i="29"/>
  <c r="AA88" i="23"/>
  <c r="AG109" i="18"/>
  <c r="AM136" i="18"/>
  <c r="AG169" i="32"/>
  <c r="F37" i="18"/>
  <c r="F3" i="15"/>
  <c r="L2" i="1"/>
  <c r="AD70" i="29"/>
  <c r="D108" i="32"/>
  <c r="L126" i="23"/>
  <c r="L38" i="18"/>
  <c r="X38" i="18"/>
  <c r="O108" i="23"/>
  <c r="AG151" i="29"/>
  <c r="R58" i="29"/>
  <c r="X40" i="18"/>
  <c r="AG64" i="29"/>
  <c r="D11" i="32"/>
  <c r="U67" i="23"/>
  <c r="X120" i="29"/>
  <c r="L2" i="17"/>
  <c r="L7" i="1"/>
  <c r="AA141" i="18"/>
  <c r="AD154" i="29"/>
  <c r="AJ96" i="23"/>
  <c r="X8" i="18"/>
  <c r="AA83" i="32"/>
  <c r="AA198" i="29"/>
  <c r="AM82" i="18"/>
  <c r="X141" i="18"/>
  <c r="S2" i="27"/>
  <c r="L99" i="18"/>
  <c r="M6" i="8"/>
  <c r="I81" i="23"/>
  <c r="O7" i="16"/>
  <c r="U71" i="23"/>
  <c r="AD108" i="32"/>
  <c r="U10" i="32"/>
  <c r="O52" i="23"/>
  <c r="AD120" i="23"/>
  <c r="X220" i="32"/>
  <c r="AG94" i="23"/>
  <c r="AD143" i="18"/>
  <c r="X79" i="18"/>
  <c r="O182" i="32"/>
  <c r="R119" i="29"/>
  <c r="O166" i="32"/>
  <c r="AG156" i="18"/>
  <c r="F3" i="14"/>
  <c r="L148" i="29"/>
  <c r="F47" i="18"/>
  <c r="F80" i="23"/>
  <c r="I12" i="23"/>
  <c r="AD74" i="32"/>
  <c r="AA162" i="32"/>
  <c r="O32" i="32"/>
  <c r="AG66" i="29"/>
  <c r="D39" i="32"/>
  <c r="U107" i="18"/>
  <c r="I72" i="32"/>
  <c r="I23" i="18"/>
  <c r="O40" i="32"/>
  <c r="X169" i="32"/>
  <c r="M6" i="12"/>
  <c r="K17" i="25"/>
  <c r="AM23" i="18"/>
  <c r="D21" i="25"/>
  <c r="N7" i="7"/>
  <c r="F16" i="23"/>
  <c r="L6" i="15"/>
  <c r="AJ39" i="32"/>
  <c r="AJ101" i="32"/>
  <c r="AG116" i="29"/>
  <c r="O107" i="18"/>
  <c r="S3" i="28"/>
  <c r="AA196" i="32"/>
  <c r="L6" i="8"/>
  <c r="I8" i="18"/>
  <c r="I64" i="18"/>
  <c r="AA104" i="18"/>
  <c r="AG67" i="29"/>
  <c r="I2" i="27"/>
  <c r="I43" i="18"/>
  <c r="G3" i="14"/>
  <c r="AJ99" i="23"/>
  <c r="F2" i="2"/>
  <c r="R94" i="23"/>
  <c r="AD89" i="23"/>
  <c r="AG129" i="18"/>
  <c r="AD25" i="18"/>
  <c r="X168" i="32"/>
  <c r="F85" i="23"/>
  <c r="AM37" i="18"/>
  <c r="U87" i="18"/>
  <c r="AM8" i="23"/>
  <c r="U19" i="25"/>
  <c r="U123" i="32"/>
  <c r="I8" i="32"/>
  <c r="R79" i="23"/>
  <c r="U7" i="32"/>
  <c r="R197" i="29"/>
  <c r="L64" i="29"/>
  <c r="X11" i="32"/>
  <c r="U99" i="29"/>
  <c r="AJ74" i="32"/>
  <c r="F67" i="32"/>
  <c r="I106" i="18"/>
  <c r="K18" i="25"/>
  <c r="F166" i="32"/>
  <c r="AD48" i="18"/>
  <c r="AJ124" i="29"/>
  <c r="O74" i="23"/>
  <c r="R17" i="23"/>
  <c r="AA71" i="32"/>
  <c r="AA8" i="32"/>
  <c r="AD26" i="29"/>
  <c r="O8" i="29"/>
  <c r="AA96" i="18"/>
  <c r="AA97" i="29"/>
  <c r="AM139" i="18"/>
  <c r="Q7" i="28"/>
  <c r="R75" i="29"/>
  <c r="R77" i="29"/>
  <c r="L121" i="29"/>
  <c r="R90" i="23"/>
  <c r="F40" i="32"/>
  <c r="U16" i="23"/>
  <c r="R8" i="23"/>
  <c r="AA10" i="18"/>
  <c r="AG8" i="32"/>
  <c r="O123" i="29"/>
  <c r="F80" i="32"/>
  <c r="L3" i="8"/>
  <c r="O81" i="32"/>
  <c r="U109" i="18"/>
  <c r="AJ111" i="32"/>
  <c r="AJ55" i="23"/>
  <c r="L2" i="16"/>
  <c r="X61" i="29"/>
  <c r="I66" i="32"/>
  <c r="AD81" i="18"/>
  <c r="AD131" i="23"/>
  <c r="I197" i="32"/>
  <c r="D217" i="32"/>
  <c r="AJ185" i="29"/>
  <c r="L51" i="18"/>
  <c r="U120" i="23"/>
  <c r="AJ28" i="29"/>
  <c r="L107" i="23"/>
  <c r="X105" i="18"/>
  <c r="F56" i="23"/>
  <c r="R45" i="23"/>
  <c r="F104" i="18"/>
  <c r="X155" i="29"/>
  <c r="O203" i="32"/>
  <c r="F170" i="32"/>
  <c r="U115" i="23"/>
  <c r="K7" i="14"/>
  <c r="R76" i="18"/>
  <c r="AA86" i="18"/>
  <c r="F121" i="32"/>
  <c r="AA72" i="23"/>
  <c r="AA164" i="29"/>
  <c r="AD105" i="32"/>
  <c r="F119" i="23"/>
  <c r="R77" i="23"/>
  <c r="D75" i="29"/>
  <c r="F152" i="29"/>
  <c r="X49" i="23"/>
  <c r="AG65" i="32"/>
  <c r="AA74" i="32"/>
  <c r="F91" i="23"/>
  <c r="AG108" i="23"/>
  <c r="G7" i="16"/>
  <c r="U25" i="18"/>
  <c r="AD71" i="29"/>
  <c r="R63" i="18"/>
  <c r="D110" i="32"/>
  <c r="AG40" i="32"/>
  <c r="U121" i="32"/>
  <c r="L3" i="1"/>
  <c r="O3" i="11"/>
  <c r="AJ120" i="23"/>
  <c r="D176" i="29"/>
  <c r="L146" i="29"/>
  <c r="AD97" i="29"/>
  <c r="AD12" i="23"/>
  <c r="O6" i="27"/>
  <c r="AD33" i="18"/>
  <c r="AD151" i="29"/>
  <c r="AA122" i="32"/>
  <c r="R9" i="32"/>
  <c r="AD125" i="29"/>
  <c r="K3" i="2"/>
  <c r="AJ17" i="23"/>
  <c r="AA77" i="32"/>
  <c r="X47" i="18"/>
  <c r="AA134" i="18"/>
  <c r="O78" i="29"/>
  <c r="AM56" i="23"/>
  <c r="R142" i="23"/>
  <c r="I77" i="23"/>
  <c r="I125" i="32"/>
  <c r="AD9" i="23"/>
  <c r="I95" i="23"/>
  <c r="O132" i="18"/>
  <c r="AJ110" i="32"/>
  <c r="D119" i="32"/>
  <c r="AJ125" i="32"/>
  <c r="AD86" i="18"/>
  <c r="I143" i="18"/>
  <c r="AD80" i="18"/>
  <c r="P3" i="1"/>
  <c r="AD102" i="23"/>
  <c r="AD155" i="29"/>
  <c r="X41" i="18"/>
  <c r="O126" i="32"/>
  <c r="AJ157" i="32"/>
  <c r="AD17" i="23"/>
  <c r="O3" i="2"/>
  <c r="O38" i="18"/>
  <c r="J6" i="27"/>
  <c r="X64" i="29"/>
  <c r="X116" i="29"/>
  <c r="L41" i="23"/>
  <c r="D184" i="29"/>
  <c r="AA112" i="32"/>
  <c r="L77" i="29"/>
  <c r="AG120" i="23"/>
  <c r="AJ17" i="18"/>
  <c r="D9" i="32"/>
  <c r="AG42" i="23"/>
  <c r="AA217" i="32"/>
  <c r="I203" i="32"/>
  <c r="R97" i="23"/>
  <c r="L117" i="29"/>
  <c r="AJ52" i="23"/>
  <c r="O68" i="32"/>
  <c r="AD100" i="18"/>
  <c r="D156" i="32"/>
  <c r="I186" i="29"/>
  <c r="AD56" i="32"/>
  <c r="I17" i="23"/>
  <c r="F70" i="32"/>
  <c r="AM61" i="23"/>
  <c r="U8" i="23"/>
  <c r="AG25" i="29"/>
  <c r="F202" i="32"/>
  <c r="I158" i="29"/>
  <c r="I75" i="23"/>
  <c r="L106" i="32"/>
  <c r="O151" i="29"/>
  <c r="AG71" i="18"/>
  <c r="U9" i="18"/>
  <c r="X79" i="32"/>
  <c r="U72" i="32"/>
  <c r="D116" i="29"/>
  <c r="R69" i="29"/>
  <c r="I109" i="18"/>
  <c r="I65" i="18"/>
  <c r="M34" i="25"/>
  <c r="D76" i="32"/>
  <c r="L70" i="23"/>
  <c r="I31" i="18"/>
  <c r="AD106" i="18"/>
  <c r="AG82" i="32"/>
  <c r="X185" i="29"/>
  <c r="AJ202" i="32"/>
  <c r="D31" i="32"/>
  <c r="D183" i="29"/>
  <c r="P7" i="1"/>
  <c r="D195" i="32"/>
  <c r="AG77" i="29"/>
  <c r="X129" i="18"/>
  <c r="L39" i="32"/>
  <c r="AM23" i="23"/>
  <c r="X75" i="23"/>
  <c r="AJ86" i="23"/>
  <c r="AJ158" i="32"/>
  <c r="L104" i="18"/>
  <c r="F3" i="17"/>
  <c r="U64" i="32"/>
  <c r="AG104" i="32"/>
  <c r="D97" i="29"/>
  <c r="AA82" i="18"/>
  <c r="U158" i="32"/>
  <c r="D182" i="32"/>
  <c r="AM135" i="23"/>
  <c r="X68" i="29"/>
  <c r="I90" i="23"/>
  <c r="X44" i="18"/>
  <c r="AD82" i="23"/>
  <c r="R202" i="32"/>
  <c r="R169" i="32"/>
  <c r="F74" i="29"/>
  <c r="X76" i="18"/>
  <c r="F197" i="29"/>
  <c r="O80" i="18"/>
  <c r="I115" i="32"/>
  <c r="R25" i="29"/>
  <c r="U202" i="29"/>
  <c r="AM62" i="18"/>
  <c r="U162" i="32"/>
  <c r="D183" i="32"/>
  <c r="AG204" i="32"/>
  <c r="AG118" i="32"/>
  <c r="AA185" i="29"/>
  <c r="AG164" i="29"/>
  <c r="AJ81" i="32"/>
  <c r="L17" i="23"/>
  <c r="AJ16" i="23"/>
  <c r="AM77" i="23"/>
  <c r="I80" i="18"/>
  <c r="AA70" i="32"/>
  <c r="X52" i="18"/>
  <c r="L73" i="23"/>
  <c r="U38" i="18"/>
  <c r="L2" i="9"/>
  <c r="I70" i="18"/>
  <c r="M36" i="25"/>
  <c r="O87" i="23"/>
  <c r="U65" i="32"/>
  <c r="X72" i="32"/>
  <c r="L64" i="32"/>
  <c r="AM118" i="18"/>
  <c r="G2" i="8"/>
  <c r="X143" i="18"/>
  <c r="L3" i="7"/>
  <c r="D120" i="29"/>
  <c r="N6" i="15"/>
  <c r="AJ203" i="32"/>
  <c r="G6" i="8"/>
  <c r="AA98" i="23"/>
  <c r="R10" i="23"/>
  <c r="L126" i="29"/>
  <c r="AG158" i="32"/>
  <c r="AG173" i="32"/>
  <c r="G6" i="10"/>
  <c r="F72" i="29"/>
  <c r="AM20" i="18"/>
  <c r="I75" i="18"/>
  <c r="AA85" i="18"/>
  <c r="L129" i="18"/>
  <c r="AJ89" i="18"/>
  <c r="F126" i="29"/>
  <c r="R21" i="23"/>
  <c r="U10" i="23"/>
  <c r="I129" i="18"/>
  <c r="AJ56" i="32"/>
  <c r="D124" i="32"/>
  <c r="U84" i="23"/>
  <c r="N2" i="13"/>
  <c r="R37" i="18"/>
  <c r="L119" i="18"/>
  <c r="R9" i="18"/>
  <c r="D18" i="25"/>
  <c r="R221" i="32"/>
  <c r="F48" i="18"/>
  <c r="I115" i="18"/>
  <c r="F95" i="29"/>
  <c r="X69" i="32"/>
  <c r="F6" i="14"/>
  <c r="U183" i="32"/>
  <c r="L154" i="29"/>
  <c r="F136" i="23"/>
  <c r="O7" i="15"/>
  <c r="I8" i="23"/>
  <c r="K6" i="14"/>
  <c r="R38" i="18"/>
  <c r="AA56" i="23"/>
  <c r="U129" i="18"/>
  <c r="G6" i="2"/>
  <c r="AA63" i="18"/>
  <c r="AG99" i="18"/>
  <c r="M30" i="25"/>
  <c r="X199" i="32"/>
  <c r="AD96" i="18"/>
  <c r="U115" i="18"/>
  <c r="AA55" i="18"/>
  <c r="M19" i="25"/>
  <c r="R95" i="29"/>
  <c r="O205" i="32"/>
  <c r="L10" i="32"/>
  <c r="L61" i="23"/>
  <c r="X25" i="23"/>
  <c r="D68" i="32"/>
  <c r="R87" i="18"/>
  <c r="X59" i="29"/>
  <c r="AG28" i="18"/>
  <c r="AD37" i="18"/>
  <c r="R61" i="29"/>
  <c r="G7" i="12"/>
  <c r="U126" i="29"/>
  <c r="U68" i="29"/>
  <c r="AD8" i="18"/>
  <c r="AG99" i="23"/>
  <c r="X154" i="29"/>
  <c r="F6" i="16"/>
  <c r="X22" i="18"/>
  <c r="AD120" i="32"/>
  <c r="N6" i="17"/>
  <c r="AM95" i="23"/>
  <c r="R204" i="32"/>
  <c r="O56" i="32"/>
  <c r="AM131" i="23"/>
  <c r="AA116" i="32"/>
  <c r="F160" i="32"/>
  <c r="L8" i="32"/>
  <c r="O99" i="29"/>
  <c r="AA163" i="32"/>
  <c r="O40" i="18"/>
  <c r="AM103" i="18"/>
  <c r="AG75" i="29"/>
  <c r="R40" i="23"/>
  <c r="AM129" i="18"/>
  <c r="AG27" i="29"/>
  <c r="X95" i="29"/>
  <c r="AA36" i="29"/>
  <c r="AG76" i="29"/>
  <c r="AG119" i="29"/>
  <c r="AD73" i="29"/>
  <c r="L124" i="32"/>
  <c r="L117" i="32"/>
  <c r="U107" i="32"/>
  <c r="X131" i="18"/>
  <c r="G7" i="15"/>
  <c r="I59" i="23"/>
  <c r="AD135" i="29"/>
  <c r="AG24" i="23"/>
  <c r="AG98" i="29"/>
  <c r="AA136" i="18"/>
  <c r="L80" i="18"/>
  <c r="O117" i="32"/>
  <c r="D77" i="32"/>
  <c r="U92" i="23"/>
  <c r="X56" i="32"/>
  <c r="O206" i="32"/>
  <c r="AG56" i="23"/>
  <c r="R135" i="29"/>
  <c r="U140" i="18"/>
  <c r="AA136" i="23"/>
  <c r="X17" i="23"/>
  <c r="O199" i="32"/>
  <c r="X183" i="29"/>
  <c r="F7" i="29"/>
  <c r="U131" i="23"/>
  <c r="F87" i="18"/>
  <c r="R141" i="18"/>
  <c r="AA52" i="18"/>
  <c r="AD63" i="32"/>
  <c r="AJ68" i="23"/>
  <c r="D73" i="29"/>
  <c r="O3" i="16"/>
  <c r="AM78" i="18"/>
  <c r="R13" i="23"/>
  <c r="I42" i="23"/>
  <c r="AG82" i="23"/>
  <c r="L3" i="13"/>
  <c r="AD115" i="18"/>
  <c r="O47" i="18"/>
  <c r="L76" i="18"/>
  <c r="AA51" i="18"/>
  <c r="U96" i="18"/>
  <c r="O49" i="18"/>
  <c r="O78" i="18"/>
  <c r="AG26" i="18"/>
  <c r="R2" i="27"/>
  <c r="AD9" i="32"/>
  <c r="AA115" i="23"/>
  <c r="U95" i="23"/>
  <c r="AG134" i="18"/>
  <c r="AM79" i="18"/>
  <c r="F92" i="23"/>
  <c r="R8" i="32"/>
  <c r="AG120" i="29"/>
  <c r="U30" i="25"/>
  <c r="I173" i="32"/>
  <c r="F25" i="23"/>
  <c r="L3" i="17"/>
  <c r="X73" i="32"/>
  <c r="R185" i="29"/>
  <c r="AG138" i="18"/>
  <c r="U159" i="32"/>
  <c r="O56" i="23"/>
  <c r="AG77" i="18"/>
  <c r="AA82" i="32"/>
  <c r="AA127" i="23"/>
  <c r="D68" i="29"/>
  <c r="U182" i="32"/>
  <c r="AG103" i="18"/>
  <c r="I81" i="32"/>
  <c r="AD72" i="32"/>
  <c r="X67" i="32"/>
  <c r="R24" i="18"/>
  <c r="AJ108" i="18"/>
  <c r="AA69" i="32"/>
  <c r="K7" i="15"/>
  <c r="L39" i="18"/>
  <c r="AD220" i="32"/>
  <c r="D148" i="29"/>
  <c r="X147" i="18"/>
  <c r="F19" i="25"/>
  <c r="R29" i="29"/>
  <c r="AA73" i="32"/>
  <c r="O2" i="17"/>
  <c r="AJ96" i="29"/>
  <c r="L118" i="32"/>
  <c r="AD105" i="18"/>
  <c r="AJ135" i="23"/>
  <c r="L84" i="23"/>
  <c r="U185" i="29"/>
  <c r="O12" i="23"/>
  <c r="R36" i="29"/>
  <c r="X102" i="23"/>
  <c r="I136" i="23"/>
  <c r="X114" i="32"/>
  <c r="F15" i="25"/>
  <c r="AG67" i="23"/>
  <c r="I102" i="32"/>
  <c r="H3" i="27"/>
  <c r="AD7" i="29"/>
  <c r="X140" i="18"/>
  <c r="U61" i="18"/>
  <c r="I127" i="23"/>
  <c r="R75" i="32"/>
  <c r="F155" i="29"/>
  <c r="AM136" i="23"/>
  <c r="F143" i="18"/>
  <c r="F40" i="18"/>
  <c r="X135" i="23"/>
  <c r="N6" i="2"/>
  <c r="AG61" i="23"/>
  <c r="AA105" i="18"/>
  <c r="L6" i="27"/>
  <c r="AG9" i="18"/>
  <c r="R112" i="32"/>
  <c r="L199" i="32"/>
  <c r="K7" i="10"/>
  <c r="AG52" i="23"/>
  <c r="AM126" i="23"/>
  <c r="U221" i="32"/>
  <c r="AJ63" i="32"/>
  <c r="AJ198" i="32"/>
  <c r="S28" i="25"/>
  <c r="L195" i="32"/>
  <c r="AA80" i="18"/>
  <c r="AJ81" i="18"/>
  <c r="O36" i="18"/>
  <c r="AJ221" i="32"/>
  <c r="R86" i="23"/>
  <c r="X164" i="29"/>
  <c r="AG44" i="18"/>
  <c r="AJ44" i="18"/>
  <c r="AG78" i="23"/>
  <c r="O48" i="23"/>
  <c r="AG130" i="18"/>
  <c r="O64" i="32"/>
  <c r="AG73" i="23"/>
  <c r="R88" i="23"/>
  <c r="I78" i="29"/>
  <c r="O196" i="32"/>
  <c r="I16" i="23"/>
  <c r="U39" i="32"/>
  <c r="R108" i="18"/>
  <c r="F24" i="18"/>
  <c r="L16" i="23"/>
  <c r="O163" i="32"/>
  <c r="AJ79" i="23"/>
  <c r="M7" i="15"/>
  <c r="R66" i="32"/>
  <c r="X89" i="18"/>
  <c r="I152" i="29"/>
  <c r="O60" i="29"/>
  <c r="AG115" i="29"/>
  <c r="AA166" i="32"/>
  <c r="S30" i="25"/>
  <c r="AJ83" i="23"/>
  <c r="R22" i="18"/>
  <c r="R65" i="18"/>
  <c r="R124" i="32"/>
  <c r="AD105" i="23"/>
  <c r="L79" i="32"/>
  <c r="AG59" i="23"/>
  <c r="R91" i="23"/>
  <c r="U41" i="23"/>
  <c r="X51" i="18"/>
  <c r="I198" i="29"/>
  <c r="AD158" i="29"/>
  <c r="AJ82" i="32"/>
  <c r="X47" i="23"/>
  <c r="AM108" i="18"/>
  <c r="AD115" i="23"/>
  <c r="R99" i="29"/>
  <c r="L78" i="18"/>
  <c r="R51" i="23"/>
  <c r="F110" i="32"/>
  <c r="F21" i="18"/>
  <c r="F27" i="29"/>
  <c r="L9" i="32"/>
  <c r="AJ123" i="32"/>
  <c r="F78" i="32"/>
  <c r="L36" i="18"/>
  <c r="I76" i="18"/>
  <c r="R50" i="23"/>
  <c r="I26" i="18"/>
  <c r="R65" i="32"/>
  <c r="O10" i="23"/>
  <c r="AG51" i="18"/>
  <c r="N3" i="8"/>
  <c r="AJ95" i="23"/>
  <c r="F177" i="29"/>
  <c r="AD154" i="18"/>
  <c r="R184" i="29"/>
  <c r="I220" i="32"/>
  <c r="D205" i="32"/>
  <c r="AG93" i="23"/>
  <c r="I10" i="18"/>
  <c r="F130" i="18"/>
  <c r="AM107" i="18"/>
  <c r="AD39" i="32"/>
  <c r="AJ61" i="18"/>
  <c r="AA201" i="29"/>
  <c r="AJ167" i="32"/>
  <c r="AG158" i="29"/>
  <c r="AG9" i="32"/>
  <c r="M3" i="27"/>
  <c r="L3" i="10"/>
  <c r="I73" i="23"/>
  <c r="AJ83" i="32"/>
  <c r="X69" i="23"/>
  <c r="AG25" i="23"/>
  <c r="AG167" i="32"/>
  <c r="O106" i="18"/>
  <c r="S36" i="25"/>
  <c r="X45" i="23"/>
  <c r="AA59" i="29"/>
  <c r="O94" i="23"/>
  <c r="X132" i="18"/>
  <c r="F26" i="18"/>
  <c r="AJ94" i="23"/>
  <c r="U75" i="18"/>
  <c r="R68" i="29"/>
  <c r="AJ128" i="29"/>
  <c r="U8" i="29"/>
  <c r="L169" i="32"/>
  <c r="U29" i="29"/>
  <c r="X107" i="18"/>
  <c r="AD141" i="18"/>
  <c r="AD51" i="23"/>
  <c r="AG123" i="32"/>
  <c r="G2" i="16"/>
  <c r="AA66" i="32"/>
  <c r="AJ9" i="18"/>
  <c r="R206" i="32"/>
  <c r="R148" i="29"/>
  <c r="AM96" i="23"/>
  <c r="U81" i="32"/>
  <c r="L43" i="23"/>
  <c r="I24" i="23"/>
  <c r="O124" i="29"/>
  <c r="I136" i="18"/>
  <c r="AJ106" i="32"/>
  <c r="O42" i="18"/>
  <c r="I177" i="29"/>
  <c r="X10" i="18"/>
  <c r="AA75" i="29"/>
  <c r="O108" i="32"/>
  <c r="AJ118" i="18"/>
  <c r="M3" i="8"/>
  <c r="I120" i="32"/>
  <c r="AJ49" i="23"/>
  <c r="X98" i="29"/>
  <c r="AD24" i="23"/>
  <c r="X157" i="32"/>
  <c r="U124" i="29"/>
  <c r="I77" i="18"/>
  <c r="AJ53" i="18"/>
  <c r="O21" i="18"/>
  <c r="AM96" i="18"/>
  <c r="AJ64" i="18"/>
  <c r="F68" i="23"/>
  <c r="D158" i="32"/>
  <c r="O7" i="27"/>
  <c r="U24" i="23"/>
  <c r="F84" i="18"/>
  <c r="G7" i="8"/>
  <c r="AJ117" i="32"/>
  <c r="F55" i="23"/>
  <c r="AM11" i="23"/>
  <c r="AA180" i="29"/>
  <c r="K7" i="1"/>
  <c r="AJ134" i="23"/>
  <c r="X62" i="29"/>
  <c r="M6" i="16"/>
  <c r="AJ120" i="18"/>
  <c r="AA63" i="29"/>
  <c r="X25" i="29"/>
  <c r="AA60" i="29"/>
  <c r="AG135" i="23"/>
  <c r="L72" i="18"/>
  <c r="G2" i="12"/>
  <c r="AJ27" i="29"/>
  <c r="AM22" i="18"/>
  <c r="AG119" i="18"/>
  <c r="AA101" i="23"/>
  <c r="AG166" i="32"/>
  <c r="O81" i="18"/>
  <c r="R72" i="32"/>
  <c r="O87" i="18"/>
  <c r="X98" i="23"/>
  <c r="H7" i="27"/>
  <c r="I179" i="29"/>
  <c r="D199" i="32"/>
  <c r="P6" i="28"/>
  <c r="AD22" i="23"/>
  <c r="X8" i="23"/>
  <c r="U40" i="18"/>
  <c r="I104" i="32"/>
  <c r="X65" i="32"/>
  <c r="AG84" i="18"/>
  <c r="AM109" i="23"/>
  <c r="I158" i="32"/>
  <c r="U118" i="18"/>
  <c r="I168" i="32"/>
  <c r="X115" i="29"/>
  <c r="R56" i="32"/>
  <c r="F118" i="32"/>
  <c r="AJ106" i="18"/>
  <c r="X28" i="18"/>
  <c r="R163" i="32"/>
  <c r="O58" i="29"/>
  <c r="I106" i="23"/>
  <c r="AJ89" i="23"/>
  <c r="K2" i="9"/>
  <c r="AJ8" i="32"/>
  <c r="AG100" i="18"/>
  <c r="R6" i="1"/>
  <c r="AJ106" i="23"/>
  <c r="AD179" i="29"/>
  <c r="N6" i="1"/>
  <c r="L71" i="18"/>
  <c r="X80" i="23"/>
  <c r="O139" i="18"/>
  <c r="I96" i="23"/>
  <c r="L51" i="23"/>
  <c r="AJ120" i="32"/>
  <c r="U66" i="29"/>
  <c r="O137" i="23"/>
  <c r="L202" i="32"/>
  <c r="U26" i="18"/>
  <c r="F105" i="23"/>
  <c r="O31" i="18"/>
  <c r="U40" i="32"/>
  <c r="AD75" i="29"/>
  <c r="AG198" i="29"/>
  <c r="AJ10" i="23"/>
  <c r="R100" i="23"/>
  <c r="F28" i="29"/>
  <c r="F83" i="32"/>
  <c r="N3" i="14"/>
  <c r="AG95" i="23"/>
  <c r="AD142" i="23"/>
  <c r="O102" i="32"/>
  <c r="AM69" i="23"/>
  <c r="L21" i="18"/>
  <c r="K3" i="15"/>
  <c r="O100" i="23"/>
  <c r="G2" i="7"/>
  <c r="D187" i="29"/>
  <c r="O36" i="29"/>
  <c r="U77" i="29"/>
  <c r="P7" i="28"/>
  <c r="F105" i="18"/>
  <c r="O176" i="29"/>
  <c r="X205" i="32"/>
  <c r="U62" i="18"/>
  <c r="AA24" i="18"/>
  <c r="AJ68" i="29"/>
  <c r="I144" i="18"/>
  <c r="D124" i="29"/>
  <c r="G2" i="13"/>
  <c r="U127" i="23"/>
  <c r="AJ141" i="18"/>
  <c r="L32" i="32"/>
  <c r="AD91" i="23"/>
  <c r="D36" i="29"/>
  <c r="I112" i="23"/>
  <c r="F204" i="32"/>
  <c r="O29" i="29"/>
  <c r="R156" i="18"/>
  <c r="AJ107" i="32"/>
  <c r="AJ186" i="29"/>
  <c r="AA96" i="23"/>
  <c r="AA138" i="18"/>
  <c r="L13" i="23"/>
  <c r="U44" i="23"/>
  <c r="F63" i="32"/>
  <c r="AA122" i="29"/>
  <c r="F49" i="23"/>
  <c r="AG147" i="18"/>
  <c r="R72" i="29"/>
  <c r="AM25" i="23"/>
  <c r="AM58" i="18"/>
  <c r="F117" i="29"/>
  <c r="U99" i="18"/>
  <c r="AA80" i="23"/>
  <c r="U28" i="18"/>
  <c r="O73" i="23"/>
  <c r="X88" i="23"/>
  <c r="X77" i="32"/>
  <c r="Q2" i="27"/>
  <c r="AD61" i="23"/>
  <c r="K2" i="2"/>
  <c r="M7" i="13"/>
  <c r="AD70" i="23"/>
  <c r="L71" i="29"/>
  <c r="D180" i="29"/>
  <c r="AG69" i="23"/>
  <c r="O43" i="23"/>
  <c r="I82" i="23"/>
  <c r="I7" i="32"/>
  <c r="U25" i="23"/>
  <c r="AD87" i="18"/>
  <c r="I118" i="32"/>
  <c r="AG51" i="23"/>
  <c r="AA115" i="29"/>
  <c r="AM76" i="18"/>
  <c r="F105" i="32"/>
  <c r="M7" i="7"/>
  <c r="AA111" i="32"/>
  <c r="D61" i="29"/>
  <c r="L125" i="32"/>
  <c r="AJ74" i="23"/>
  <c r="AJ99" i="18"/>
  <c r="O41" i="18"/>
  <c r="U61" i="23"/>
  <c r="AG77" i="23"/>
  <c r="AD40" i="23"/>
  <c r="O50" i="23"/>
  <c r="AG221" i="32"/>
  <c r="R88" i="18"/>
  <c r="D26" i="25"/>
  <c r="F185" i="29"/>
  <c r="U138" i="18"/>
  <c r="R11" i="23"/>
  <c r="X67" i="29"/>
  <c r="AA67" i="29"/>
  <c r="U74" i="32"/>
  <c r="AA37" i="18"/>
  <c r="X39" i="18"/>
  <c r="D59" i="29"/>
  <c r="R51" i="18"/>
  <c r="R202" i="29"/>
  <c r="U63" i="32"/>
  <c r="X113" i="32"/>
  <c r="U9" i="32"/>
  <c r="O134" i="23"/>
  <c r="AG142" i="23"/>
  <c r="AA118" i="18"/>
  <c r="X104" i="18"/>
  <c r="AD72" i="23"/>
  <c r="U78" i="23"/>
  <c r="AD41" i="18"/>
  <c r="I127" i="29"/>
  <c r="AJ102" i="23"/>
  <c r="F2" i="8"/>
  <c r="AA168" i="32"/>
  <c r="U60" i="23"/>
  <c r="L63" i="32"/>
  <c r="AA135" i="29"/>
  <c r="AD49" i="18"/>
  <c r="F108" i="32"/>
  <c r="D65" i="29"/>
  <c r="AJ22" i="23"/>
  <c r="O82" i="23"/>
  <c r="AJ108" i="23"/>
  <c r="AD120" i="29"/>
  <c r="X162" i="32"/>
  <c r="I6" i="1"/>
  <c r="I72" i="23"/>
  <c r="R117" i="29"/>
  <c r="U107" i="23"/>
  <c r="X58" i="18"/>
  <c r="L153" i="29"/>
  <c r="K3" i="13"/>
  <c r="I64" i="29"/>
  <c r="AJ161" i="32"/>
  <c r="F197" i="32"/>
  <c r="F70" i="29"/>
  <c r="O86" i="18"/>
  <c r="AD52" i="18"/>
  <c r="F82" i="32"/>
  <c r="AD197" i="32"/>
  <c r="X116" i="32"/>
  <c r="AJ205" i="32"/>
  <c r="N6" i="13"/>
  <c r="F3" i="8"/>
  <c r="R102" i="32"/>
  <c r="AG36" i="18"/>
  <c r="O137" i="18"/>
  <c r="AD202" i="32"/>
  <c r="AG70" i="32"/>
  <c r="AJ25" i="29"/>
  <c r="F41" i="18"/>
  <c r="AD166" i="32"/>
  <c r="F74" i="32"/>
  <c r="F43" i="18"/>
  <c r="I114" i="32"/>
  <c r="I77" i="29"/>
  <c r="F73" i="23"/>
  <c r="F107" i="32"/>
  <c r="AA124" i="29"/>
  <c r="N3" i="11"/>
  <c r="AD169" i="32"/>
  <c r="F106" i="18"/>
  <c r="X87" i="23"/>
  <c r="AG182" i="32"/>
  <c r="AJ198" i="29"/>
  <c r="R43" i="18"/>
  <c r="R179" i="29"/>
  <c r="O126" i="23"/>
  <c r="N2" i="12"/>
  <c r="AD165" i="29"/>
  <c r="L120" i="18"/>
  <c r="AJ69" i="23"/>
  <c r="L142" i="23"/>
  <c r="AJ42" i="18"/>
  <c r="I7" i="1"/>
  <c r="R109" i="23"/>
  <c r="AM80" i="23"/>
  <c r="F137" i="23"/>
  <c r="I183" i="32"/>
  <c r="Q7" i="27"/>
  <c r="X54" i="18"/>
  <c r="X58" i="29"/>
  <c r="L151" i="29"/>
  <c r="I75" i="29"/>
  <c r="X59" i="23"/>
  <c r="U77" i="23"/>
  <c r="U147" i="18"/>
  <c r="O158" i="32"/>
  <c r="I130" i="23"/>
  <c r="O121" i="32"/>
  <c r="X178" i="29"/>
  <c r="R44" i="18"/>
  <c r="X170" i="32"/>
  <c r="AM63" i="18"/>
  <c r="D114" i="32"/>
  <c r="AG47" i="23"/>
  <c r="R115" i="29"/>
  <c r="K2" i="27"/>
  <c r="AD27" i="29"/>
  <c r="X137" i="18"/>
  <c r="AM72" i="23"/>
  <c r="AJ103" i="32"/>
  <c r="AA118" i="29"/>
  <c r="AJ7" i="29"/>
  <c r="AG64" i="32"/>
  <c r="AA197" i="29"/>
  <c r="L68" i="23"/>
  <c r="I40" i="32"/>
  <c r="I47" i="23"/>
  <c r="X119" i="32"/>
  <c r="F73" i="29"/>
  <c r="U82" i="32"/>
  <c r="AD138" i="18"/>
  <c r="AA47" i="23"/>
  <c r="F71" i="23"/>
  <c r="F81" i="23"/>
  <c r="U74" i="29"/>
  <c r="D198" i="29"/>
  <c r="L118" i="29"/>
  <c r="AD49" i="23"/>
  <c r="AJ95" i="29"/>
  <c r="AJ65" i="29"/>
  <c r="AG117" i="32"/>
  <c r="L7" i="17"/>
  <c r="I87" i="23"/>
  <c r="F145" i="18"/>
  <c r="F60" i="29"/>
  <c r="U127" i="29"/>
  <c r="O122" i="32"/>
  <c r="R12" i="23"/>
  <c r="U128" i="29"/>
  <c r="F102" i="32"/>
  <c r="R79" i="18"/>
  <c r="I58" i="29"/>
  <c r="L58" i="18"/>
  <c r="U76" i="23"/>
  <c r="R43" i="23"/>
  <c r="AG130" i="23"/>
  <c r="F127" i="29"/>
  <c r="U78" i="32"/>
  <c r="AA7" i="32"/>
  <c r="R147" i="29"/>
  <c r="AJ80" i="23"/>
  <c r="D62" i="29"/>
  <c r="AJ109" i="32"/>
  <c r="AM99" i="18"/>
  <c r="AA116" i="23"/>
  <c r="R71" i="18"/>
  <c r="U156" i="18"/>
  <c r="G6" i="17"/>
  <c r="AM75" i="23"/>
  <c r="L70" i="18"/>
  <c r="AG89" i="18"/>
  <c r="AG61" i="18"/>
  <c r="AD97" i="23"/>
  <c r="L131" i="23"/>
  <c r="U29" i="25"/>
  <c r="AG33" i="18"/>
  <c r="R136" i="18"/>
  <c r="R68" i="23"/>
  <c r="X70" i="23"/>
  <c r="J7" i="28"/>
  <c r="R154" i="18"/>
  <c r="AG8" i="29"/>
  <c r="F135" i="18"/>
  <c r="D157" i="32"/>
  <c r="R64" i="18"/>
  <c r="AM70" i="23"/>
  <c r="L137" i="23"/>
  <c r="L112" i="32"/>
  <c r="AM94" i="23"/>
  <c r="L2" i="28"/>
  <c r="O120" i="32"/>
  <c r="L65" i="29"/>
  <c r="L127" i="29"/>
  <c r="M3" i="14"/>
  <c r="X17" i="18"/>
  <c r="U99" i="23"/>
  <c r="X119" i="23"/>
  <c r="U89" i="18"/>
  <c r="O63" i="29"/>
  <c r="AA72" i="18"/>
  <c r="L6" i="1"/>
  <c r="AA204" i="32"/>
  <c r="AJ76" i="29"/>
  <c r="AJ23" i="23"/>
  <c r="F6" i="15"/>
  <c r="AG43" i="18"/>
  <c r="U136" i="23"/>
  <c r="AD63" i="18"/>
  <c r="I169" i="32"/>
  <c r="I69" i="29"/>
  <c r="O141" i="18"/>
  <c r="O142" i="18"/>
  <c r="F6" i="11"/>
  <c r="I120" i="18"/>
  <c r="R135" i="18"/>
  <c r="AJ36" i="29"/>
  <c r="I76" i="23"/>
  <c r="X153" i="29"/>
  <c r="AG137" i="18"/>
  <c r="F11" i="23"/>
  <c r="I89" i="23"/>
  <c r="AM26" i="18"/>
  <c r="AJ70" i="18"/>
  <c r="U65" i="18"/>
  <c r="L203" i="32"/>
  <c r="AA29" i="29"/>
  <c r="K2" i="8"/>
  <c r="F120" i="32"/>
  <c r="I63" i="29"/>
  <c r="F65" i="32"/>
  <c r="AM42" i="23"/>
  <c r="X64" i="32"/>
  <c r="M6" i="9"/>
  <c r="R50" i="18"/>
  <c r="L114" i="32"/>
  <c r="R98" i="23"/>
  <c r="L3" i="9"/>
  <c r="AJ136" i="23"/>
  <c r="AM144" i="18"/>
  <c r="AG147" i="29"/>
  <c r="M2" i="2"/>
  <c r="O98" i="23"/>
  <c r="M27" i="25"/>
  <c r="O187" i="29"/>
  <c r="L68" i="29"/>
  <c r="U198" i="29"/>
  <c r="U51" i="23"/>
  <c r="M6" i="1"/>
  <c r="AG73" i="32"/>
  <c r="F134" i="23"/>
  <c r="AD8" i="29"/>
  <c r="F126" i="32"/>
  <c r="F31" i="32"/>
  <c r="D106" i="32"/>
  <c r="L10" i="18"/>
  <c r="I28" i="18"/>
  <c r="O51" i="18"/>
  <c r="X118" i="18"/>
  <c r="AJ29" i="29"/>
  <c r="F58" i="18"/>
  <c r="X69" i="29"/>
  <c r="AA87" i="18"/>
  <c r="O108" i="18"/>
  <c r="L86" i="18"/>
  <c r="L24" i="18"/>
  <c r="AD51" i="18"/>
  <c r="AM154" i="18"/>
  <c r="X79" i="23"/>
  <c r="L6" i="2"/>
  <c r="I38" i="18"/>
  <c r="I137" i="18"/>
  <c r="AJ104" i="32"/>
  <c r="X99" i="23"/>
  <c r="I126" i="32"/>
  <c r="I72" i="29"/>
  <c r="U56" i="32"/>
  <c r="I167" i="32"/>
  <c r="O126" i="29"/>
  <c r="X139" i="18"/>
  <c r="L88" i="18"/>
  <c r="X84" i="18"/>
  <c r="O138" i="18"/>
  <c r="AD72" i="18"/>
  <c r="U112" i="32"/>
  <c r="O79" i="23"/>
  <c r="R103" i="18"/>
  <c r="G6" i="12"/>
  <c r="P2" i="28"/>
  <c r="O109" i="18"/>
  <c r="I182" i="32"/>
  <c r="I42" i="18"/>
  <c r="D66" i="32"/>
  <c r="L221" i="32"/>
  <c r="AJ65" i="32"/>
  <c r="I105" i="32"/>
  <c r="M2" i="1"/>
  <c r="AJ43" i="23"/>
  <c r="AA147" i="29"/>
  <c r="O99" i="18"/>
  <c r="AJ135" i="18"/>
  <c r="F90" i="23"/>
  <c r="R39" i="32"/>
  <c r="I99" i="18"/>
  <c r="L153" i="18"/>
  <c r="I101" i="23"/>
  <c r="U75" i="32"/>
  <c r="M6" i="27"/>
  <c r="L74" i="29"/>
  <c r="AG11" i="32"/>
  <c r="AG77" i="32"/>
  <c r="I111" i="32"/>
  <c r="L141" i="18"/>
  <c r="U81" i="18"/>
  <c r="L65" i="32"/>
  <c r="AG108" i="18"/>
  <c r="I119" i="29"/>
  <c r="R113" i="32"/>
  <c r="I22" i="23"/>
  <c r="L183" i="29"/>
  <c r="I70" i="23"/>
  <c r="X151" i="29"/>
  <c r="AD168" i="32"/>
  <c r="N3" i="9"/>
  <c r="I196" i="32"/>
  <c r="AA41" i="18"/>
  <c r="F76" i="32"/>
  <c r="AA74" i="23"/>
  <c r="X50" i="18"/>
  <c r="AG44" i="23"/>
  <c r="R70" i="29"/>
  <c r="AD130" i="23"/>
  <c r="I119" i="32"/>
  <c r="I39" i="18"/>
  <c r="AG79" i="23"/>
  <c r="N2" i="17"/>
  <c r="D65" i="32"/>
  <c r="AM133" i="18"/>
  <c r="L168" i="32"/>
  <c r="L98" i="23"/>
  <c r="AG70" i="23"/>
  <c r="L54" i="18"/>
  <c r="U82" i="18"/>
  <c r="F102" i="23"/>
  <c r="F89" i="18"/>
  <c r="AG13" i="23"/>
  <c r="AJ122" i="32"/>
  <c r="R80" i="23"/>
  <c r="R33" i="18"/>
  <c r="O76" i="23"/>
  <c r="X7" i="32"/>
  <c r="AA205" i="32"/>
  <c r="AG187" i="29"/>
  <c r="AD132" i="18"/>
  <c r="M18" i="25"/>
  <c r="F141" i="18"/>
  <c r="AA145" i="18"/>
  <c r="AJ112" i="23"/>
  <c r="D196" i="32"/>
  <c r="O159" i="32"/>
  <c r="AM57" i="18"/>
  <c r="AD90" i="23"/>
  <c r="R71" i="23"/>
  <c r="AJ65" i="18"/>
  <c r="R116" i="23"/>
  <c r="L63" i="18"/>
  <c r="U154" i="18"/>
  <c r="L53" i="18"/>
  <c r="R78" i="32"/>
  <c r="R101" i="32"/>
  <c r="I96" i="29"/>
  <c r="U116" i="23"/>
  <c r="L197" i="32"/>
  <c r="AM87" i="18"/>
  <c r="L116" i="29"/>
  <c r="N6" i="7"/>
  <c r="AM13" i="23"/>
  <c r="U104" i="18"/>
  <c r="AA156" i="32"/>
  <c r="U83" i="18"/>
  <c r="L103" i="32"/>
  <c r="AJ107" i="23"/>
  <c r="R25" i="18"/>
  <c r="K30" i="25"/>
  <c r="R127" i="23"/>
  <c r="AG197" i="29"/>
  <c r="O54" i="18"/>
  <c r="AM107" i="23"/>
  <c r="D177" i="29"/>
  <c r="AA103" i="32"/>
  <c r="L23" i="23"/>
  <c r="L82" i="32"/>
  <c r="F136" i="18"/>
  <c r="F9" i="23"/>
  <c r="AA197" i="32"/>
  <c r="AJ70" i="29"/>
  <c r="F26" i="29"/>
  <c r="O26" i="23"/>
  <c r="AM119" i="23"/>
  <c r="I86" i="18"/>
  <c r="U86" i="18"/>
  <c r="AM115" i="18"/>
  <c r="AJ31" i="32"/>
  <c r="L6" i="10"/>
  <c r="AA186" i="29"/>
  <c r="R146" i="29"/>
  <c r="F17" i="25"/>
  <c r="X138" i="18"/>
  <c r="U120" i="32"/>
  <c r="D111" i="32"/>
  <c r="X173" i="32"/>
  <c r="X56" i="23"/>
  <c r="F56" i="18"/>
  <c r="O3" i="8"/>
  <c r="O24" i="18"/>
  <c r="L6" i="12"/>
  <c r="U37" i="18"/>
  <c r="F51" i="23"/>
  <c r="AJ55" i="18"/>
  <c r="L75" i="32"/>
  <c r="AD61" i="29"/>
  <c r="AG75" i="23"/>
  <c r="Q3" i="28"/>
  <c r="AA64" i="29"/>
  <c r="K6" i="13"/>
  <c r="AJ27" i="18"/>
  <c r="U134" i="18"/>
  <c r="L120" i="32"/>
  <c r="O72" i="32"/>
  <c r="L44" i="18"/>
  <c r="L124" i="29"/>
  <c r="AG101" i="23"/>
  <c r="X104" i="32"/>
  <c r="J3" i="1"/>
  <c r="AA119" i="18"/>
  <c r="R122" i="32"/>
  <c r="O6" i="17"/>
  <c r="U217" i="32"/>
  <c r="X111" i="32"/>
  <c r="AA84" i="18"/>
  <c r="D66" i="29"/>
  <c r="AD108" i="23"/>
  <c r="O11" i="32"/>
  <c r="O7" i="32"/>
  <c r="F6" i="13"/>
  <c r="AA40" i="32"/>
  <c r="M2" i="13"/>
  <c r="AJ57" i="18"/>
  <c r="AM106" i="23"/>
  <c r="N6" i="10"/>
  <c r="I82" i="18"/>
  <c r="O23" i="18"/>
  <c r="K7" i="28"/>
  <c r="F125" i="32"/>
  <c r="L98" i="29"/>
  <c r="O3" i="15"/>
  <c r="R27" i="18"/>
  <c r="F157" i="32"/>
  <c r="I97" i="29"/>
  <c r="AJ134" i="18"/>
  <c r="O101" i="23"/>
  <c r="AA17" i="23"/>
  <c r="N3" i="17"/>
  <c r="I116" i="23"/>
  <c r="O169" i="32"/>
  <c r="R122" i="29"/>
  <c r="L28" i="18"/>
  <c r="AM17" i="18"/>
  <c r="O197" i="32"/>
  <c r="L50" i="18"/>
  <c r="D147" i="29"/>
  <c r="AD203" i="32"/>
  <c r="O2" i="10"/>
  <c r="AJ142" i="18"/>
  <c r="AG58" i="18"/>
  <c r="AA109" i="32"/>
  <c r="D71" i="32"/>
  <c r="F98" i="29"/>
  <c r="R47" i="18"/>
  <c r="AJ60" i="29"/>
  <c r="U64" i="29"/>
  <c r="L137" i="18"/>
  <c r="F122" i="29"/>
  <c r="AM17" i="23"/>
  <c r="AO17" i="23" l="1"/>
  <c r="H122" i="29"/>
  <c r="N137" i="18"/>
  <c r="W64" i="29"/>
  <c r="AL60" i="29"/>
  <c r="T47" i="18"/>
  <c r="R46" i="18"/>
  <c r="H98" i="29"/>
  <c r="AC109" i="32"/>
  <c r="AI58" i="18"/>
  <c r="AL142" i="18"/>
  <c r="O4" i="10"/>
  <c r="AF203" i="32"/>
  <c r="N50" i="18"/>
  <c r="Q197" i="32"/>
  <c r="AO17" i="18"/>
  <c r="N28" i="18"/>
  <c r="T122" i="29"/>
  <c r="Q169" i="32"/>
  <c r="K116" i="23"/>
  <c r="AC17" i="23"/>
  <c r="Q101" i="23"/>
  <c r="AL134" i="18"/>
  <c r="K97" i="29"/>
  <c r="H157" i="32"/>
  <c r="T27" i="18"/>
  <c r="N98" i="29"/>
  <c r="H125" i="32"/>
  <c r="Q23" i="18"/>
  <c r="K82" i="18"/>
  <c r="N8" i="10"/>
  <c r="AO106" i="23"/>
  <c r="AL57" i="18"/>
  <c r="M4" i="13"/>
  <c r="AC40" i="32"/>
  <c r="F8" i="13"/>
  <c r="O6" i="32"/>
  <c r="P7" i="32" s="1"/>
  <c r="Q7" i="32"/>
  <c r="Q11" i="32"/>
  <c r="AF108" i="23"/>
  <c r="AC84" i="18"/>
  <c r="Z111" i="32"/>
  <c r="W217" i="32"/>
  <c r="O8" i="17"/>
  <c r="T122" i="32"/>
  <c r="AC119" i="18"/>
  <c r="Z104" i="32"/>
  <c r="AI101" i="23"/>
  <c r="N124" i="29"/>
  <c r="N44" i="18"/>
  <c r="Q72" i="32"/>
  <c r="N120" i="32"/>
  <c r="W134" i="18"/>
  <c r="AL27" i="18"/>
  <c r="K8" i="13"/>
  <c r="AC64" i="29"/>
  <c r="Q4" i="28"/>
  <c r="AI75" i="23"/>
  <c r="AF61" i="29"/>
  <c r="N75" i="32"/>
  <c r="AL55" i="18"/>
  <c r="H51" i="23"/>
  <c r="W37" i="18"/>
  <c r="L8" i="12"/>
  <c r="Q24" i="18"/>
  <c r="H56" i="18"/>
  <c r="Z56" i="23"/>
  <c r="X172" i="32"/>
  <c r="Z173" i="32"/>
  <c r="W120" i="32"/>
  <c r="Z138" i="18"/>
  <c r="E11" i="31"/>
  <c r="R145" i="29"/>
  <c r="T146" i="29"/>
  <c r="AC186" i="29"/>
  <c r="L8" i="10"/>
  <c r="AJ24" i="32"/>
  <c r="AL31" i="32"/>
  <c r="AO115" i="18"/>
  <c r="W86" i="18"/>
  <c r="K86" i="18"/>
  <c r="AO119" i="23"/>
  <c r="AM118" i="23"/>
  <c r="Q26" i="23"/>
  <c r="H26" i="29"/>
  <c r="AL70" i="29"/>
  <c r="AC197" i="32"/>
  <c r="H9" i="23"/>
  <c r="H136" i="18"/>
  <c r="N82" i="32"/>
  <c r="N23" i="23"/>
  <c r="AC103" i="32"/>
  <c r="AO107" i="23"/>
  <c r="Q54" i="18"/>
  <c r="AI197" i="29"/>
  <c r="AG196" i="29"/>
  <c r="T127" i="23"/>
  <c r="T25" i="18"/>
  <c r="AL107" i="23"/>
  <c r="N103" i="32"/>
  <c r="W83" i="18"/>
  <c r="AA155" i="32"/>
  <c r="AC156" i="32"/>
  <c r="W104" i="18"/>
  <c r="AO13" i="23"/>
  <c r="N8" i="7"/>
  <c r="N116" i="29"/>
  <c r="AO87" i="18"/>
  <c r="N197" i="32"/>
  <c r="W116" i="23"/>
  <c r="K96" i="29"/>
  <c r="T101" i="32"/>
  <c r="R100" i="32"/>
  <c r="T78" i="32"/>
  <c r="N53" i="18"/>
  <c r="W154" i="18"/>
  <c r="N63" i="18"/>
  <c r="T116" i="23"/>
  <c r="AL65" i="18"/>
  <c r="T71" i="23"/>
  <c r="AF90" i="23"/>
  <c r="AO57" i="18"/>
  <c r="Q159" i="32"/>
  <c r="AL112" i="23"/>
  <c r="AJ111" i="23"/>
  <c r="AC145" i="18"/>
  <c r="H141" i="18"/>
  <c r="AF132" i="18"/>
  <c r="AI187" i="29"/>
  <c r="AC205" i="32"/>
  <c r="Z7" i="32"/>
  <c r="X6" i="32"/>
  <c r="Y104" i="32" s="1"/>
  <c r="Q76" i="23"/>
  <c r="T33" i="18"/>
  <c r="T80" i="23"/>
  <c r="AL122" i="32"/>
  <c r="AI13" i="23"/>
  <c r="H89" i="18"/>
  <c r="H102" i="23"/>
  <c r="W82" i="18"/>
  <c r="N54" i="18"/>
  <c r="AI70" i="23"/>
  <c r="N98" i="23"/>
  <c r="N168" i="32"/>
  <c r="AO133" i="18"/>
  <c r="N4" i="17"/>
  <c r="AI79" i="23"/>
  <c r="K39" i="18"/>
  <c r="K119" i="32"/>
  <c r="AF130" i="23"/>
  <c r="AD129" i="23"/>
  <c r="T70" i="29"/>
  <c r="AI44" i="23"/>
  <c r="AL44" i="23"/>
  <c r="Z50" i="18"/>
  <c r="AC74" i="23"/>
  <c r="H76" i="32"/>
  <c r="AC41" i="18"/>
  <c r="K196" i="32"/>
  <c r="AF168" i="32"/>
  <c r="X150" i="29"/>
  <c r="Z151" i="29"/>
  <c r="K70" i="23"/>
  <c r="L182" i="29"/>
  <c r="N183" i="29"/>
  <c r="K22" i="23"/>
  <c r="T113" i="32"/>
  <c r="K119" i="29"/>
  <c r="AI108" i="18"/>
  <c r="N65" i="32"/>
  <c r="W81" i="18"/>
  <c r="N141" i="18"/>
  <c r="K111" i="32"/>
  <c r="AI77" i="32"/>
  <c r="AI11" i="32"/>
  <c r="N74" i="29"/>
  <c r="M8" i="27"/>
  <c r="W75" i="32"/>
  <c r="K101" i="23"/>
  <c r="N153" i="18"/>
  <c r="L152" i="18"/>
  <c r="K99" i="18"/>
  <c r="I98" i="18"/>
  <c r="T39" i="32"/>
  <c r="R38" i="32"/>
  <c r="H90" i="23"/>
  <c r="AL135" i="18"/>
  <c r="Q99" i="18"/>
  <c r="O98" i="18"/>
  <c r="AC147" i="29"/>
  <c r="AL43" i="23"/>
  <c r="M4" i="1"/>
  <c r="K105" i="32"/>
  <c r="AL65" i="32"/>
  <c r="N221" i="32"/>
  <c r="K42" i="18"/>
  <c r="I181" i="32"/>
  <c r="K182" i="32"/>
  <c r="Q109" i="18"/>
  <c r="P4" i="28"/>
  <c r="G8" i="12"/>
  <c r="R102" i="18"/>
  <c r="T103" i="18"/>
  <c r="Q79" i="23"/>
  <c r="W112" i="32"/>
  <c r="AF72" i="18"/>
  <c r="Q138" i="18"/>
  <c r="Z84" i="18"/>
  <c r="N88" i="18"/>
  <c r="Z139" i="18"/>
  <c r="Q126" i="29"/>
  <c r="K167" i="32"/>
  <c r="W56" i="32"/>
  <c r="K72" i="29"/>
  <c r="K126" i="32"/>
  <c r="Z99" i="23"/>
  <c r="AL104" i="32"/>
  <c r="K137" i="18"/>
  <c r="K38" i="18"/>
  <c r="L8" i="2"/>
  <c r="Z79" i="23"/>
  <c r="AO154" i="18"/>
  <c r="AF51" i="18"/>
  <c r="N24" i="18"/>
  <c r="N86" i="18"/>
  <c r="Q108" i="18"/>
  <c r="AC87" i="18"/>
  <c r="Z69" i="29"/>
  <c r="H58" i="18"/>
  <c r="AL29" i="29"/>
  <c r="Z118" i="18"/>
  <c r="X117" i="18"/>
  <c r="Q51" i="18"/>
  <c r="K28" i="18"/>
  <c r="N10" i="18"/>
  <c r="H31" i="32"/>
  <c r="F24" i="32"/>
  <c r="H126" i="32"/>
  <c r="AF8" i="29"/>
  <c r="H134" i="23"/>
  <c r="AI73" i="32"/>
  <c r="M8" i="1"/>
  <c r="W51" i="23"/>
  <c r="W198" i="29"/>
  <c r="N68" i="29"/>
  <c r="Q187" i="29"/>
  <c r="Q98" i="23"/>
  <c r="M4" i="2"/>
  <c r="AI147" i="29"/>
  <c r="AO144" i="18"/>
  <c r="AL136" i="23"/>
  <c r="T98" i="23"/>
  <c r="N114" i="32"/>
  <c r="T50" i="18"/>
  <c r="M8" i="9"/>
  <c r="Z64" i="32"/>
  <c r="AO42" i="23"/>
  <c r="H65" i="32"/>
  <c r="K63" i="29"/>
  <c r="H120" i="32"/>
  <c r="K4" i="8"/>
  <c r="AC29" i="29"/>
  <c r="N203" i="32"/>
  <c r="W65" i="18"/>
  <c r="AL70" i="18"/>
  <c r="AO26" i="18"/>
  <c r="K89" i="23"/>
  <c r="H11" i="23"/>
  <c r="AI137" i="18"/>
  <c r="Z153" i="29"/>
  <c r="K76" i="23"/>
  <c r="AJ35" i="29"/>
  <c r="AL36" i="29"/>
  <c r="T135" i="18"/>
  <c r="K120" i="18"/>
  <c r="F8" i="11"/>
  <c r="Q142" i="18"/>
  <c r="Q141" i="18"/>
  <c r="K69" i="29"/>
  <c r="K169" i="32"/>
  <c r="AF63" i="18"/>
  <c r="W136" i="23"/>
  <c r="AI43" i="18"/>
  <c r="F8" i="15"/>
  <c r="AL23" i="23"/>
  <c r="AL76" i="29"/>
  <c r="AC204" i="32"/>
  <c r="L8" i="1"/>
  <c r="AC72" i="18"/>
  <c r="Q63" i="29"/>
  <c r="W89" i="18"/>
  <c r="Z119" i="23"/>
  <c r="X118" i="23"/>
  <c r="W99" i="23"/>
  <c r="Z17" i="18"/>
  <c r="N127" i="29"/>
  <c r="N65" i="29"/>
  <c r="Q120" i="32"/>
  <c r="L4" i="28"/>
  <c r="AO94" i="23"/>
  <c r="N112" i="32"/>
  <c r="N137" i="23"/>
  <c r="AO70" i="23"/>
  <c r="T64" i="18"/>
  <c r="H135" i="18"/>
  <c r="AI8" i="29"/>
  <c r="T154" i="18"/>
  <c r="Z70" i="23"/>
  <c r="T68" i="23"/>
  <c r="T136" i="18"/>
  <c r="AI33" i="18"/>
  <c r="V29" i="25"/>
  <c r="N131" i="23"/>
  <c r="AF97" i="23"/>
  <c r="AI61" i="18"/>
  <c r="AG60" i="18"/>
  <c r="AI89" i="18"/>
  <c r="N70" i="18"/>
  <c r="AO75" i="23"/>
  <c r="G8" i="17"/>
  <c r="W156" i="18"/>
  <c r="T71" i="18"/>
  <c r="R68" i="18"/>
  <c r="AC116" i="23"/>
  <c r="AO99" i="18"/>
  <c r="AM98" i="18"/>
  <c r="AL109" i="32"/>
  <c r="AL80" i="23"/>
  <c r="T147" i="29"/>
  <c r="AA6" i="32"/>
  <c r="AB109" i="32" s="1"/>
  <c r="AC7" i="32"/>
  <c r="W78" i="32"/>
  <c r="H127" i="29"/>
  <c r="AG129" i="23"/>
  <c r="AI130" i="23"/>
  <c r="T43" i="23"/>
  <c r="W76" i="23"/>
  <c r="N58" i="18"/>
  <c r="K58" i="29"/>
  <c r="I57" i="29"/>
  <c r="T79" i="18"/>
  <c r="H102" i="32"/>
  <c r="W128" i="29"/>
  <c r="T12" i="23"/>
  <c r="Q122" i="32"/>
  <c r="W127" i="29"/>
  <c r="H60" i="29"/>
  <c r="H145" i="18"/>
  <c r="K87" i="23"/>
  <c r="AI117" i="32"/>
  <c r="AL65" i="29"/>
  <c r="AJ94" i="29"/>
  <c r="AL95" i="29"/>
  <c r="AF49" i="23"/>
  <c r="N118" i="29"/>
  <c r="W74" i="29"/>
  <c r="H81" i="23"/>
  <c r="H71" i="23"/>
  <c r="AC47" i="23"/>
  <c r="AF138" i="18"/>
  <c r="W82" i="32"/>
  <c r="H73" i="29"/>
  <c r="Z119" i="32"/>
  <c r="K47" i="23"/>
  <c r="K40" i="32"/>
  <c r="N68" i="23"/>
  <c r="AC197" i="29"/>
  <c r="AA196" i="29"/>
  <c r="AI64" i="32"/>
  <c r="AJ6" i="29"/>
  <c r="AK76" i="29" s="1"/>
  <c r="AL7" i="29"/>
  <c r="AC118" i="29"/>
  <c r="AL103" i="32"/>
  <c r="AO72" i="23"/>
  <c r="Z137" i="18"/>
  <c r="AF27" i="29"/>
  <c r="K4" i="27"/>
  <c r="T115" i="29"/>
  <c r="AI47" i="23"/>
  <c r="AO63" i="18"/>
  <c r="Z170" i="32"/>
  <c r="T44" i="18"/>
  <c r="Z178" i="29"/>
  <c r="Q121" i="32"/>
  <c r="K130" i="23"/>
  <c r="I129" i="23"/>
  <c r="Q158" i="32"/>
  <c r="W147" i="18"/>
  <c r="W77" i="23"/>
  <c r="X58" i="23"/>
  <c r="Z59" i="23"/>
  <c r="K75" i="29"/>
  <c r="N151" i="29"/>
  <c r="L150" i="29"/>
  <c r="X57" i="29"/>
  <c r="Z58" i="29"/>
  <c r="Z54" i="18"/>
  <c r="K183" i="32"/>
  <c r="H137" i="23"/>
  <c r="AO80" i="23"/>
  <c r="T109" i="23"/>
  <c r="AL42" i="18"/>
  <c r="N142" i="23"/>
  <c r="AL69" i="23"/>
  <c r="N120" i="18"/>
  <c r="AF165" i="29"/>
  <c r="N4" i="12"/>
  <c r="O125" i="23"/>
  <c r="Q126" i="23"/>
  <c r="T179" i="29"/>
  <c r="T43" i="18"/>
  <c r="AL198" i="29"/>
  <c r="AI182" i="32"/>
  <c r="AG181" i="32"/>
  <c r="Z87" i="23"/>
  <c r="H106" i="18"/>
  <c r="AF169" i="32"/>
  <c r="AC124" i="29"/>
  <c r="H107" i="32"/>
  <c r="H73" i="23"/>
  <c r="K77" i="29"/>
  <c r="K114" i="32"/>
  <c r="H43" i="18"/>
  <c r="H74" i="32"/>
  <c r="AD165" i="32"/>
  <c r="AF166" i="32"/>
  <c r="H41" i="18"/>
  <c r="AL25" i="29"/>
  <c r="AJ24" i="29"/>
  <c r="AI70" i="32"/>
  <c r="AD201" i="32"/>
  <c r="AF202" i="32"/>
  <c r="Q137" i="18"/>
  <c r="AG35" i="18"/>
  <c r="AI36" i="18"/>
  <c r="T102" i="32"/>
  <c r="N8" i="13"/>
  <c r="AL205" i="32"/>
  <c r="Z116" i="32"/>
  <c r="Y116" i="32"/>
  <c r="AF197" i="32"/>
  <c r="H82" i="32"/>
  <c r="AF52" i="18"/>
  <c r="Q86" i="18"/>
  <c r="H70" i="29"/>
  <c r="H197" i="32"/>
  <c r="AL161" i="32"/>
  <c r="K64" i="29"/>
  <c r="N153" i="29"/>
  <c r="Z58" i="18"/>
  <c r="W107" i="23"/>
  <c r="T117" i="29"/>
  <c r="K72" i="23"/>
  <c r="I8" i="1"/>
  <c r="Z162" i="32"/>
  <c r="Y162" i="32"/>
  <c r="AF120" i="29"/>
  <c r="AL108" i="23"/>
  <c r="Q82" i="23"/>
  <c r="AL22" i="23"/>
  <c r="H65" i="29"/>
  <c r="H108" i="32"/>
  <c r="AF49" i="18"/>
  <c r="AC135" i="29"/>
  <c r="AA134" i="29"/>
  <c r="L62" i="32"/>
  <c r="N63" i="32"/>
  <c r="W60" i="23"/>
  <c r="AC168" i="32"/>
  <c r="F4" i="8"/>
  <c r="AL102" i="23"/>
  <c r="K127" i="29"/>
  <c r="AF41" i="18"/>
  <c r="W78" i="23"/>
  <c r="AF72" i="23"/>
  <c r="Z104" i="18"/>
  <c r="AA117" i="18"/>
  <c r="AC118" i="18"/>
  <c r="AI142" i="23"/>
  <c r="Q134" i="23"/>
  <c r="W9" i="32"/>
  <c r="Z113" i="32"/>
  <c r="U62" i="32"/>
  <c r="W63" i="32"/>
  <c r="T202" i="29"/>
  <c r="T51" i="18"/>
  <c r="Z39" i="18"/>
  <c r="AC37" i="18"/>
  <c r="W74" i="32"/>
  <c r="AC67" i="29"/>
  <c r="Z67" i="29"/>
  <c r="T11" i="23"/>
  <c r="W138" i="18"/>
  <c r="H185" i="29"/>
  <c r="D32" i="25"/>
  <c r="T88" i="18"/>
  <c r="AI221" i="32"/>
  <c r="Q50" i="23"/>
  <c r="AD39" i="23"/>
  <c r="AD66" i="23"/>
  <c r="AF40" i="23"/>
  <c r="AI77" i="23"/>
  <c r="W61" i="23"/>
  <c r="Q41" i="18"/>
  <c r="AL99" i="18"/>
  <c r="AJ98" i="18"/>
  <c r="AL74" i="23"/>
  <c r="N125" i="32"/>
  <c r="AC111" i="32"/>
  <c r="H105" i="32"/>
  <c r="AO76" i="18"/>
  <c r="AC115" i="29"/>
  <c r="AI51" i="23"/>
  <c r="K118" i="32"/>
  <c r="AF87" i="18"/>
  <c r="W25" i="23"/>
  <c r="I6" i="32"/>
  <c r="J119" i="32" s="1"/>
  <c r="K7" i="32"/>
  <c r="K82" i="23"/>
  <c r="Q43" i="23"/>
  <c r="AI69" i="23"/>
  <c r="N71" i="29"/>
  <c r="AF70" i="23"/>
  <c r="K4" i="2"/>
  <c r="AF61" i="23"/>
  <c r="Q4" i="27"/>
  <c r="Z77" i="32"/>
  <c r="Z88" i="23"/>
  <c r="Q73" i="23"/>
  <c r="W28" i="18"/>
  <c r="AC80" i="23"/>
  <c r="W99" i="18"/>
  <c r="U98" i="18"/>
  <c r="H117" i="29"/>
  <c r="AO58" i="18"/>
  <c r="AO25" i="23"/>
  <c r="T72" i="29"/>
  <c r="AI147" i="18"/>
  <c r="H49" i="23"/>
  <c r="AC122" i="29"/>
  <c r="H63" i="32"/>
  <c r="F62" i="32"/>
  <c r="W44" i="23"/>
  <c r="N13" i="23"/>
  <c r="AC138" i="18"/>
  <c r="AC96" i="23"/>
  <c r="AL186" i="29"/>
  <c r="AL107" i="32"/>
  <c r="T156" i="18"/>
  <c r="Q29" i="29"/>
  <c r="H204" i="32"/>
  <c r="K112" i="23"/>
  <c r="I111" i="23"/>
  <c r="D35" i="29"/>
  <c r="AF91" i="23"/>
  <c r="N32" i="32"/>
  <c r="AL141" i="18"/>
  <c r="W127" i="23"/>
  <c r="G4" i="13"/>
  <c r="K144" i="18"/>
  <c r="AL68" i="29"/>
  <c r="AC24" i="18"/>
  <c r="W62" i="18"/>
  <c r="Z205" i="32"/>
  <c r="Q176" i="29"/>
  <c r="O175" i="29"/>
  <c r="H105" i="18"/>
  <c r="W77" i="29"/>
  <c r="Q36" i="29"/>
  <c r="O35" i="29"/>
  <c r="G4" i="7"/>
  <c r="Q100" i="23"/>
  <c r="N21" i="18"/>
  <c r="AO69" i="23"/>
  <c r="Q102" i="32"/>
  <c r="P102" i="32"/>
  <c r="AF142" i="23"/>
  <c r="AI95" i="23"/>
  <c r="H83" i="32"/>
  <c r="H28" i="29"/>
  <c r="T100" i="23"/>
  <c r="AL10" i="23"/>
  <c r="AI198" i="29"/>
  <c r="AF75" i="29"/>
  <c r="W40" i="32"/>
  <c r="O30" i="18"/>
  <c r="Q31" i="18"/>
  <c r="F104" i="23"/>
  <c r="H105" i="23"/>
  <c r="W26" i="18"/>
  <c r="L201" i="32"/>
  <c r="N202" i="32"/>
  <c r="Q137" i="23"/>
  <c r="W66" i="29"/>
  <c r="AL120" i="32"/>
  <c r="N51" i="23"/>
  <c r="K96" i="23"/>
  <c r="Q139" i="18"/>
  <c r="Z80" i="23"/>
  <c r="N71" i="18"/>
  <c r="L68" i="18"/>
  <c r="N8" i="1"/>
  <c r="AF179" i="29"/>
  <c r="AL106" i="23"/>
  <c r="R8" i="1"/>
  <c r="AI100" i="18"/>
  <c r="AL8" i="32"/>
  <c r="K4" i="9"/>
  <c r="AL89" i="23"/>
  <c r="K106" i="23"/>
  <c r="Q58" i="29"/>
  <c r="O57" i="29"/>
  <c r="T163" i="32"/>
  <c r="Z28" i="18"/>
  <c r="AL106" i="18"/>
  <c r="H118" i="32"/>
  <c r="T56" i="32"/>
  <c r="Z115" i="29"/>
  <c r="K168" i="32"/>
  <c r="U117" i="18"/>
  <c r="W118" i="18"/>
  <c r="K158" i="32"/>
  <c r="AO109" i="23"/>
  <c r="AI84" i="18"/>
  <c r="Z65" i="32"/>
  <c r="K104" i="32"/>
  <c r="W40" i="18"/>
  <c r="X7" i="23"/>
  <c r="Z8" i="23"/>
  <c r="AF22" i="23"/>
  <c r="P8" i="28"/>
  <c r="K179" i="29"/>
  <c r="Z98" i="23"/>
  <c r="Q87" i="18"/>
  <c r="T72" i="32"/>
  <c r="Q81" i="18"/>
  <c r="AG165" i="32"/>
  <c r="AI166" i="32"/>
  <c r="AC101" i="23"/>
  <c r="AI119" i="18"/>
  <c r="AG117" i="18"/>
  <c r="AO22" i="18"/>
  <c r="AL27" i="29"/>
  <c r="G4" i="12"/>
  <c r="N72" i="18"/>
  <c r="AI135" i="23"/>
  <c r="AG133" i="23"/>
  <c r="AC60" i="29"/>
  <c r="X24" i="29"/>
  <c r="Z25" i="29"/>
  <c r="AC63" i="29"/>
  <c r="AL120" i="18"/>
  <c r="M8" i="16"/>
  <c r="Z62" i="29"/>
  <c r="AJ133" i="23"/>
  <c r="AL134" i="23"/>
  <c r="AC180" i="29"/>
  <c r="AO11" i="23"/>
  <c r="F54" i="23"/>
  <c r="H55" i="23"/>
  <c r="AL117" i="32"/>
  <c r="H84" i="18"/>
  <c r="W24" i="23"/>
  <c r="H68" i="23"/>
  <c r="AL64" i="18"/>
  <c r="AO96" i="18"/>
  <c r="AM94" i="18"/>
  <c r="Q21" i="18"/>
  <c r="AL53" i="18"/>
  <c r="K77" i="18"/>
  <c r="W124" i="29"/>
  <c r="Z157" i="32"/>
  <c r="AF24" i="23"/>
  <c r="Z98" i="29"/>
  <c r="AL49" i="23"/>
  <c r="K120" i="32"/>
  <c r="AJ117" i="18"/>
  <c r="AL118" i="18"/>
  <c r="Q108" i="32"/>
  <c r="P108" i="32"/>
  <c r="AC75" i="29"/>
  <c r="Z10" i="18"/>
  <c r="K177" i="29"/>
  <c r="Q42" i="18"/>
  <c r="AL106" i="32"/>
  <c r="K136" i="18"/>
  <c r="Q124" i="29"/>
  <c r="K24" i="23"/>
  <c r="N43" i="23"/>
  <c r="W81" i="32"/>
  <c r="AO96" i="23"/>
  <c r="T148" i="29"/>
  <c r="T206" i="32"/>
  <c r="AL9" i="18"/>
  <c r="AC66" i="32"/>
  <c r="G4" i="16"/>
  <c r="AI123" i="32"/>
  <c r="AF51" i="23"/>
  <c r="AF141" i="18"/>
  <c r="Z107" i="18"/>
  <c r="W29" i="29"/>
  <c r="N169" i="32"/>
  <c r="W8" i="29"/>
  <c r="AL128" i="29"/>
  <c r="T68" i="29"/>
  <c r="U74" i="18"/>
  <c r="W75" i="18"/>
  <c r="AL94" i="23"/>
  <c r="H26" i="18"/>
  <c r="Z132" i="18"/>
  <c r="Q94" i="23"/>
  <c r="AC59" i="29"/>
  <c r="Z45" i="23"/>
  <c r="T36" i="25"/>
  <c r="Q106" i="18"/>
  <c r="AI167" i="32"/>
  <c r="AI25" i="23"/>
  <c r="Z69" i="23"/>
  <c r="AL83" i="32"/>
  <c r="K73" i="23"/>
  <c r="AI9" i="32"/>
  <c r="AG157" i="29"/>
  <c r="AI158" i="29"/>
  <c r="AL167" i="32"/>
  <c r="AA200" i="29"/>
  <c r="AC201" i="29"/>
  <c r="AJ60" i="18"/>
  <c r="AL61" i="18"/>
  <c r="AD38" i="32"/>
  <c r="AF39" i="32"/>
  <c r="AO107" i="18"/>
  <c r="H130" i="18"/>
  <c r="K10" i="18"/>
  <c r="AI93" i="23"/>
  <c r="K220" i="32"/>
  <c r="I219" i="32"/>
  <c r="T184" i="29"/>
  <c r="AF154" i="18"/>
  <c r="H177" i="29"/>
  <c r="AL95" i="23"/>
  <c r="AI51" i="18"/>
  <c r="Q10" i="23"/>
  <c r="T65" i="32"/>
  <c r="K26" i="18"/>
  <c r="T50" i="23"/>
  <c r="K76" i="18"/>
  <c r="N36" i="18"/>
  <c r="L35" i="18"/>
  <c r="H78" i="32"/>
  <c r="AL123" i="32"/>
  <c r="N9" i="32"/>
  <c r="H27" i="29"/>
  <c r="H21" i="18"/>
  <c r="H110" i="32"/>
  <c r="T51" i="23"/>
  <c r="N78" i="18"/>
  <c r="T99" i="29"/>
  <c r="AF115" i="23"/>
  <c r="AD114" i="23"/>
  <c r="AO108" i="18"/>
  <c r="Z47" i="23"/>
  <c r="AL82" i="32"/>
  <c r="AD157" i="29"/>
  <c r="AF158" i="29"/>
  <c r="K198" i="29"/>
  <c r="Z51" i="18"/>
  <c r="W41" i="23"/>
  <c r="T91" i="23"/>
  <c r="AG58" i="23"/>
  <c r="AI59" i="23"/>
  <c r="N79" i="32"/>
  <c r="AD104" i="23"/>
  <c r="AF105" i="23"/>
  <c r="T124" i="32"/>
  <c r="T65" i="18"/>
  <c r="T22" i="18"/>
  <c r="AL83" i="23"/>
  <c r="T30" i="25"/>
  <c r="AA165" i="32"/>
  <c r="AC166" i="32"/>
  <c r="AI115" i="29"/>
  <c r="Q60" i="29"/>
  <c r="K152" i="29"/>
  <c r="Z89" i="18"/>
  <c r="T66" i="32"/>
  <c r="AL79" i="23"/>
  <c r="Q163" i="32"/>
  <c r="P163" i="32"/>
  <c r="L15" i="23"/>
  <c r="N16" i="23"/>
  <c r="H24" i="18"/>
  <c r="T108" i="18"/>
  <c r="W39" i="32"/>
  <c r="U38" i="32"/>
  <c r="K16" i="23"/>
  <c r="I15" i="23"/>
  <c r="Q196" i="32"/>
  <c r="P196" i="32"/>
  <c r="K78" i="29"/>
  <c r="T88" i="23"/>
  <c r="AI73" i="23"/>
  <c r="Q64" i="32"/>
  <c r="P64" i="32"/>
  <c r="AI130" i="18"/>
  <c r="Q48" i="23"/>
  <c r="AI78" i="23"/>
  <c r="AL44" i="18"/>
  <c r="AI44" i="18"/>
  <c r="X163" i="29"/>
  <c r="Z164" i="29"/>
  <c r="T86" i="23"/>
  <c r="AL221" i="32"/>
  <c r="Q36" i="18"/>
  <c r="O35" i="18"/>
  <c r="AL81" i="18"/>
  <c r="AC80" i="18"/>
  <c r="L194" i="32"/>
  <c r="N195" i="32"/>
  <c r="T28" i="25"/>
  <c r="AL198" i="32"/>
  <c r="AL63" i="32"/>
  <c r="AJ62" i="32"/>
  <c r="W221" i="32"/>
  <c r="AO126" i="23"/>
  <c r="AM125" i="23"/>
  <c r="AI52" i="23"/>
  <c r="N199" i="32"/>
  <c r="T112" i="32"/>
  <c r="AI9" i="18"/>
  <c r="L8" i="27"/>
  <c r="AC105" i="18"/>
  <c r="AI61" i="23"/>
  <c r="N8" i="2"/>
  <c r="X133" i="23"/>
  <c r="Z135" i="23"/>
  <c r="H40" i="18"/>
  <c r="H143" i="18"/>
  <c r="AO136" i="23"/>
  <c r="H155" i="29"/>
  <c r="T75" i="32"/>
  <c r="K127" i="23"/>
  <c r="U60" i="18"/>
  <c r="W61" i="18"/>
  <c r="Z140" i="18"/>
  <c r="AD6" i="29"/>
  <c r="AE61" i="29" s="1"/>
  <c r="AF7" i="29"/>
  <c r="K102" i="32"/>
  <c r="AI67" i="23"/>
  <c r="Z114" i="32"/>
  <c r="Y114" i="32"/>
  <c r="K136" i="23"/>
  <c r="Z102" i="23"/>
  <c r="R35" i="29"/>
  <c r="T36" i="29"/>
  <c r="Q12" i="23"/>
  <c r="W185" i="29"/>
  <c r="N84" i="23"/>
  <c r="AL135" i="23"/>
  <c r="AF105" i="18"/>
  <c r="N118" i="32"/>
  <c r="AL96" i="29"/>
  <c r="AK96" i="29"/>
  <c r="O4" i="17"/>
  <c r="O10" i="17" s="1"/>
  <c r="AC73" i="32"/>
  <c r="T29" i="29"/>
  <c r="Z147" i="18"/>
  <c r="AD219" i="32"/>
  <c r="AF220" i="32"/>
  <c r="N39" i="18"/>
  <c r="AC69" i="32"/>
  <c r="AL108" i="18"/>
  <c r="T24" i="18"/>
  <c r="Z67" i="32"/>
  <c r="Y67" i="32"/>
  <c r="AF72" i="32"/>
  <c r="K81" i="32"/>
  <c r="AG102" i="18"/>
  <c r="AI103" i="18"/>
  <c r="U181" i="32"/>
  <c r="W182" i="32"/>
  <c r="AC127" i="23"/>
  <c r="AC82" i="32"/>
  <c r="AI77" i="18"/>
  <c r="Q56" i="23"/>
  <c r="W159" i="32"/>
  <c r="AI138" i="18"/>
  <c r="T185" i="29"/>
  <c r="Z73" i="32"/>
  <c r="Y73" i="32"/>
  <c r="K25" i="23"/>
  <c r="H25" i="23"/>
  <c r="I172" i="32"/>
  <c r="K173" i="32"/>
  <c r="V30" i="25"/>
  <c r="AI120" i="29"/>
  <c r="T8" i="32"/>
  <c r="H92" i="23"/>
  <c r="AO79" i="18"/>
  <c r="AI134" i="18"/>
  <c r="W95" i="23"/>
  <c r="AC115" i="23"/>
  <c r="AA114" i="23"/>
  <c r="AF9" i="32"/>
  <c r="R4" i="27"/>
  <c r="AI26" i="18"/>
  <c r="Q78" i="18"/>
  <c r="Q49" i="18"/>
  <c r="U94" i="18"/>
  <c r="W96" i="18"/>
  <c r="AC51" i="18"/>
  <c r="N76" i="18"/>
  <c r="O46" i="18"/>
  <c r="Q47" i="18"/>
  <c r="AF115" i="18"/>
  <c r="AI82" i="23"/>
  <c r="K42" i="23"/>
  <c r="T13" i="23"/>
  <c r="AO78" i="18"/>
  <c r="AL68" i="23"/>
  <c r="AF63" i="32"/>
  <c r="AD62" i="32"/>
  <c r="AC52" i="18"/>
  <c r="T141" i="18"/>
  <c r="K87" i="18"/>
  <c r="H87" i="18"/>
  <c r="W131" i="23"/>
  <c r="H7" i="29"/>
  <c r="F6" i="29"/>
  <c r="G7" i="29" s="1"/>
  <c r="Z183" i="29"/>
  <c r="X182" i="29"/>
  <c r="Q199" i="32"/>
  <c r="P199" i="32"/>
  <c r="Z17" i="23"/>
  <c r="AC136" i="23"/>
  <c r="W140" i="18"/>
  <c r="R134" i="29"/>
  <c r="T135" i="29"/>
  <c r="AI56" i="23"/>
  <c r="Q206" i="32"/>
  <c r="P206" i="32"/>
  <c r="Z56" i="32"/>
  <c r="Y56" i="32"/>
  <c r="W92" i="23"/>
  <c r="Q117" i="32"/>
  <c r="N80" i="18"/>
  <c r="AC136" i="18"/>
  <c r="AI98" i="29"/>
  <c r="AI24" i="23"/>
  <c r="AF135" i="29"/>
  <c r="AD134" i="29"/>
  <c r="I58" i="23"/>
  <c r="K59" i="23"/>
  <c r="Z131" i="18"/>
  <c r="W107" i="32"/>
  <c r="N117" i="32"/>
  <c r="N124" i="32"/>
  <c r="AF73" i="29"/>
  <c r="AI119" i="29"/>
  <c r="AI76" i="29"/>
  <c r="AC36" i="29"/>
  <c r="AA35" i="29"/>
  <c r="Z95" i="29"/>
  <c r="X94" i="29"/>
  <c r="AI27" i="29"/>
  <c r="AM128" i="18"/>
  <c r="AO129" i="18"/>
  <c r="T40" i="23"/>
  <c r="R39" i="23"/>
  <c r="R66" i="23"/>
  <c r="AI75" i="29"/>
  <c r="AM102" i="18"/>
  <c r="AO103" i="18"/>
  <c r="Q40" i="18"/>
  <c r="AC163" i="32"/>
  <c r="Q99" i="29"/>
  <c r="N8" i="32"/>
  <c r="H160" i="32"/>
  <c r="AC116" i="32"/>
  <c r="AB116" i="32"/>
  <c r="AO131" i="23"/>
  <c r="Q56" i="32"/>
  <c r="P56" i="32"/>
  <c r="T204" i="32"/>
  <c r="AO95" i="23"/>
  <c r="N8" i="17"/>
  <c r="AF120" i="32"/>
  <c r="Z22" i="18"/>
  <c r="F8" i="16"/>
  <c r="Z154" i="29"/>
  <c r="AI99" i="23"/>
  <c r="AF8" i="18"/>
  <c r="AD7" i="18"/>
  <c r="W68" i="29"/>
  <c r="W126" i="29"/>
  <c r="T61" i="29"/>
  <c r="AF37" i="18"/>
  <c r="AI28" i="18"/>
  <c r="Z59" i="29"/>
  <c r="T87" i="18"/>
  <c r="Z25" i="23"/>
  <c r="N61" i="23"/>
  <c r="N10" i="32"/>
  <c r="Q205" i="32"/>
  <c r="P205" i="32"/>
  <c r="R94" i="29"/>
  <c r="T95" i="29"/>
  <c r="AC55" i="18"/>
  <c r="W115" i="18"/>
  <c r="AF96" i="18"/>
  <c r="AD94" i="18"/>
  <c r="Z199" i="32"/>
  <c r="Y199" i="32"/>
  <c r="AI99" i="18"/>
  <c r="AG98" i="18"/>
  <c r="AC63" i="18"/>
  <c r="G8" i="2"/>
  <c r="W129" i="18"/>
  <c r="U128" i="18"/>
  <c r="AC56" i="23"/>
  <c r="T38" i="18"/>
  <c r="K8" i="14"/>
  <c r="K8" i="23"/>
  <c r="I7" i="23"/>
  <c r="H136" i="23"/>
  <c r="N154" i="29"/>
  <c r="W183" i="32"/>
  <c r="F8" i="14"/>
  <c r="Z69" i="32"/>
  <c r="H95" i="29"/>
  <c r="F94" i="29"/>
  <c r="K115" i="18"/>
  <c r="H48" i="18"/>
  <c r="T221" i="32"/>
  <c r="T9" i="18"/>
  <c r="N119" i="18"/>
  <c r="T37" i="18"/>
  <c r="N4" i="13"/>
  <c r="N10" i="13" s="1"/>
  <c r="W84" i="23"/>
  <c r="AL56" i="32"/>
  <c r="I128" i="18"/>
  <c r="K129" i="18"/>
  <c r="W10" i="23"/>
  <c r="R20" i="23"/>
  <c r="T21" i="23"/>
  <c r="H126" i="29"/>
  <c r="AL89" i="18"/>
  <c r="L128" i="18"/>
  <c r="N129" i="18"/>
  <c r="AC85" i="18"/>
  <c r="I74" i="18"/>
  <c r="K75" i="18"/>
  <c r="AO20" i="18"/>
  <c r="AM19" i="18"/>
  <c r="H72" i="29"/>
  <c r="G8" i="10"/>
  <c r="AG172" i="32"/>
  <c r="AI173" i="32"/>
  <c r="AI158" i="32"/>
  <c r="N126" i="29"/>
  <c r="T10" i="23"/>
  <c r="AC98" i="23"/>
  <c r="G8" i="8"/>
  <c r="AL203" i="32"/>
  <c r="N8" i="15"/>
  <c r="Z143" i="18"/>
  <c r="G4" i="8"/>
  <c r="AO118" i="18"/>
  <c r="AM117" i="18"/>
  <c r="N64" i="32"/>
  <c r="Z72" i="32"/>
  <c r="Y72" i="32"/>
  <c r="W65" i="32"/>
  <c r="Q87" i="23"/>
  <c r="K70" i="18"/>
  <c r="L4" i="9"/>
  <c r="W38" i="18"/>
  <c r="N73" i="23"/>
  <c r="Z52" i="18"/>
  <c r="AC70" i="32"/>
  <c r="K80" i="18"/>
  <c r="AO77" i="23"/>
  <c r="AJ15" i="23"/>
  <c r="AL16" i="23"/>
  <c r="N17" i="23"/>
  <c r="AL81" i="32"/>
  <c r="AG163" i="29"/>
  <c r="AI164" i="29"/>
  <c r="AC185" i="29"/>
  <c r="AI118" i="32"/>
  <c r="AI204" i="32"/>
  <c r="W162" i="32"/>
  <c r="AO62" i="18"/>
  <c r="W202" i="29"/>
  <c r="T25" i="29"/>
  <c r="R24" i="29"/>
  <c r="K115" i="32"/>
  <c r="Q80" i="18"/>
  <c r="F196" i="29"/>
  <c r="H197" i="29"/>
  <c r="Z76" i="18"/>
  <c r="H74" i="29"/>
  <c r="T169" i="32"/>
  <c r="T202" i="32"/>
  <c r="R201" i="32"/>
  <c r="AF82" i="23"/>
  <c r="Z44" i="18"/>
  <c r="K90" i="23"/>
  <c r="Z68" i="29"/>
  <c r="AO135" i="23"/>
  <c r="D181" i="32"/>
  <c r="W158" i="32"/>
  <c r="AC82" i="18"/>
  <c r="AI104" i="32"/>
  <c r="W64" i="32"/>
  <c r="N104" i="18"/>
  <c r="AL158" i="32"/>
  <c r="AL86" i="23"/>
  <c r="Z75" i="23"/>
  <c r="AO23" i="23"/>
  <c r="L38" i="32"/>
  <c r="N39" i="32"/>
  <c r="X128" i="18"/>
  <c r="Z129" i="18"/>
  <c r="AI77" i="29"/>
  <c r="D194" i="32"/>
  <c r="D182" i="29"/>
  <c r="D24" i="32"/>
  <c r="AL202" i="32"/>
  <c r="AJ201" i="32"/>
  <c r="Z185" i="29"/>
  <c r="AI82" i="32"/>
  <c r="AF106" i="18"/>
  <c r="I30" i="18"/>
  <c r="K31" i="18"/>
  <c r="N70" i="23"/>
  <c r="K65" i="18"/>
  <c r="K109" i="18"/>
  <c r="T69" i="29"/>
  <c r="W72" i="32"/>
  <c r="Z79" i="32"/>
  <c r="Y79" i="32"/>
  <c r="W9" i="18"/>
  <c r="AI71" i="18"/>
  <c r="AG68" i="18"/>
  <c r="O150" i="29"/>
  <c r="Q151" i="29"/>
  <c r="N106" i="32"/>
  <c r="K75" i="23"/>
  <c r="K158" i="29"/>
  <c r="I157" i="29"/>
  <c r="H202" i="32"/>
  <c r="F201" i="32"/>
  <c r="AG24" i="29"/>
  <c r="AI25" i="29"/>
  <c r="W8" i="23"/>
  <c r="U7" i="23"/>
  <c r="AO61" i="23"/>
  <c r="H70" i="32"/>
  <c r="K17" i="23"/>
  <c r="AF56" i="32"/>
  <c r="K186" i="29"/>
  <c r="D155" i="32"/>
  <c r="AF100" i="18"/>
  <c r="Q68" i="32"/>
  <c r="P68" i="32"/>
  <c r="AL52" i="23"/>
  <c r="N117" i="29"/>
  <c r="T97" i="23"/>
  <c r="K203" i="32"/>
  <c r="AC217" i="32"/>
  <c r="AI42" i="23"/>
  <c r="AL17" i="18"/>
  <c r="AI120" i="23"/>
  <c r="N77" i="29"/>
  <c r="AC112" i="32"/>
  <c r="AB112" i="32"/>
  <c r="N41" i="23"/>
  <c r="Z116" i="29"/>
  <c r="Z64" i="29"/>
  <c r="J8" i="27"/>
  <c r="Q38" i="18"/>
  <c r="AF17" i="23"/>
  <c r="AL157" i="32"/>
  <c r="Q126" i="32"/>
  <c r="P126" i="32"/>
  <c r="Z41" i="18"/>
  <c r="AF155" i="29"/>
  <c r="AF102" i="23"/>
  <c r="AF80" i="18"/>
  <c r="K143" i="18"/>
  <c r="AF86" i="18"/>
  <c r="AL125" i="32"/>
  <c r="AL110" i="32"/>
  <c r="Q132" i="18"/>
  <c r="K95" i="23"/>
  <c r="AF9" i="23"/>
  <c r="K125" i="32"/>
  <c r="J125" i="32"/>
  <c r="K77" i="23"/>
  <c r="T142" i="23"/>
  <c r="AO56" i="23"/>
  <c r="Q78" i="29"/>
  <c r="AC134" i="18"/>
  <c r="Z47" i="18"/>
  <c r="X46" i="18"/>
  <c r="AC77" i="32"/>
  <c r="AL17" i="23"/>
  <c r="AF125" i="29"/>
  <c r="T9" i="32"/>
  <c r="AC122" i="32"/>
  <c r="AB122" i="32"/>
  <c r="AF151" i="29"/>
  <c r="AD150" i="29"/>
  <c r="AF33" i="18"/>
  <c r="O8" i="27"/>
  <c r="AF12" i="23"/>
  <c r="AF97" i="29"/>
  <c r="L145" i="29"/>
  <c r="N146" i="29"/>
  <c r="D175" i="29"/>
  <c r="AL120" i="23"/>
  <c r="W121" i="32"/>
  <c r="AI40" i="32"/>
  <c r="T63" i="18"/>
  <c r="AF71" i="29"/>
  <c r="W25" i="18"/>
  <c r="AI108" i="23"/>
  <c r="H91" i="23"/>
  <c r="AC74" i="32"/>
  <c r="AI65" i="32"/>
  <c r="Z49" i="23"/>
  <c r="H152" i="29"/>
  <c r="T77" i="23"/>
  <c r="F118" i="23"/>
  <c r="H119" i="23"/>
  <c r="AF105" i="32"/>
  <c r="AA163" i="29"/>
  <c r="AC164" i="29"/>
  <c r="AC72" i="23"/>
  <c r="H121" i="32"/>
  <c r="AC86" i="18"/>
  <c r="T76" i="18"/>
  <c r="W115" i="23"/>
  <c r="U114" i="23"/>
  <c r="H170" i="32"/>
  <c r="Q203" i="32"/>
  <c r="P203" i="32"/>
  <c r="Z155" i="29"/>
  <c r="H104" i="18"/>
  <c r="T45" i="23"/>
  <c r="H56" i="23"/>
  <c r="Z105" i="18"/>
  <c r="N107" i="23"/>
  <c r="AL28" i="29"/>
  <c r="AK28" i="29"/>
  <c r="W120" i="23"/>
  <c r="N51" i="18"/>
  <c r="AL185" i="29"/>
  <c r="AK185" i="29"/>
  <c r="K197" i="32"/>
  <c r="J197" i="32"/>
  <c r="AF131" i="23"/>
  <c r="AF81" i="18"/>
  <c r="K66" i="32"/>
  <c r="Z61" i="29"/>
  <c r="L4" i="16"/>
  <c r="AL55" i="23"/>
  <c r="AJ54" i="23"/>
  <c r="AL111" i="32"/>
  <c r="W109" i="18"/>
  <c r="Q81" i="32"/>
  <c r="P81" i="32"/>
  <c r="H80" i="32"/>
  <c r="Q123" i="29"/>
  <c r="AI8" i="32"/>
  <c r="AC10" i="18"/>
  <c r="R7" i="23"/>
  <c r="T8" i="23"/>
  <c r="U15" i="23"/>
  <c r="W16" i="23"/>
  <c r="H40" i="32"/>
  <c r="T90" i="23"/>
  <c r="N121" i="29"/>
  <c r="T77" i="29"/>
  <c r="T75" i="29"/>
  <c r="AO139" i="18"/>
  <c r="AC97" i="29"/>
  <c r="AA94" i="18"/>
  <c r="AC96" i="18"/>
  <c r="Q8" i="29"/>
  <c r="AF26" i="29"/>
  <c r="AC8" i="32"/>
  <c r="AC71" i="32"/>
  <c r="T17" i="23"/>
  <c r="Q74" i="23"/>
  <c r="AL124" i="29"/>
  <c r="AK124" i="29"/>
  <c r="AF48" i="18"/>
  <c r="H166" i="32"/>
  <c r="F165" i="32"/>
  <c r="K106" i="18"/>
  <c r="H67" i="32"/>
  <c r="AL74" i="32"/>
  <c r="W99" i="29"/>
  <c r="Z11" i="32"/>
  <c r="Y11" i="32"/>
  <c r="N64" i="29"/>
  <c r="T197" i="29"/>
  <c r="R196" i="29"/>
  <c r="U6" i="32"/>
  <c r="V217" i="32" s="1"/>
  <c r="W7" i="32"/>
  <c r="T79" i="23"/>
  <c r="K8" i="32"/>
  <c r="J8" i="32"/>
  <c r="W123" i="32"/>
  <c r="U18" i="25"/>
  <c r="E13" i="31" s="1"/>
  <c r="V19" i="25"/>
  <c r="AM7" i="23"/>
  <c r="AO8" i="23"/>
  <c r="W87" i="18"/>
  <c r="AO37" i="18"/>
  <c r="H85" i="23"/>
  <c r="Z168" i="32"/>
  <c r="Y168" i="32"/>
  <c r="AF25" i="18"/>
  <c r="AG128" i="18"/>
  <c r="AI129" i="18"/>
  <c r="AF89" i="23"/>
  <c r="T94" i="23"/>
  <c r="F4" i="2"/>
  <c r="AL99" i="23"/>
  <c r="K43" i="18"/>
  <c r="I4" i="27"/>
  <c r="AI67" i="29"/>
  <c r="AC104" i="18"/>
  <c r="K64" i="18"/>
  <c r="I7" i="18"/>
  <c r="K8" i="18"/>
  <c r="L8" i="8"/>
  <c r="AC196" i="32"/>
  <c r="Q107" i="18"/>
  <c r="AI116" i="29"/>
  <c r="AL101" i="32"/>
  <c r="AJ100" i="32"/>
  <c r="AL39" i="32"/>
  <c r="AJ38" i="32"/>
  <c r="L8" i="15"/>
  <c r="F15" i="23"/>
  <c r="H16" i="23"/>
  <c r="AO23" i="18"/>
  <c r="M8" i="12"/>
  <c r="Z169" i="32"/>
  <c r="Y169" i="32"/>
  <c r="T40" i="32"/>
  <c r="Q40" i="32"/>
  <c r="P40" i="32"/>
  <c r="K23" i="18"/>
  <c r="K72" i="32"/>
  <c r="J72" i="32"/>
  <c r="W107" i="18"/>
  <c r="D38" i="32"/>
  <c r="AI66" i="29"/>
  <c r="Q32" i="32"/>
  <c r="P32" i="32"/>
  <c r="AC162" i="32"/>
  <c r="AF74" i="32"/>
  <c r="K12" i="23"/>
  <c r="H80" i="23"/>
  <c r="H47" i="18"/>
  <c r="F46" i="18"/>
  <c r="N148" i="29"/>
  <c r="AI156" i="18"/>
  <c r="Q166" i="32"/>
  <c r="O165" i="32"/>
  <c r="P166" i="32"/>
  <c r="T119" i="29"/>
  <c r="O181" i="32"/>
  <c r="Q182" i="32"/>
  <c r="P182" i="32"/>
  <c r="Z79" i="18"/>
  <c r="AF143" i="18"/>
  <c r="AI94" i="23"/>
  <c r="X219" i="32"/>
  <c r="Z220" i="32"/>
  <c r="Y220" i="32"/>
  <c r="AF120" i="23"/>
  <c r="Q52" i="23"/>
  <c r="W10" i="32"/>
  <c r="AF108" i="32"/>
  <c r="W71" i="23"/>
  <c r="K81" i="23"/>
  <c r="M8" i="8"/>
  <c r="L98" i="18"/>
  <c r="N99" i="18"/>
  <c r="S4" i="27"/>
  <c r="Z141" i="18"/>
  <c r="AO82" i="18"/>
  <c r="AC198" i="29"/>
  <c r="AC83" i="32"/>
  <c r="X7" i="18"/>
  <c r="Z8" i="18"/>
  <c r="AL96" i="23"/>
  <c r="AF154" i="29"/>
  <c r="AE154" i="29"/>
  <c r="AC141" i="18"/>
  <c r="L4" i="17"/>
  <c r="Z120" i="29"/>
  <c r="W67" i="23"/>
  <c r="U66" i="23"/>
  <c r="AI64" i="29"/>
  <c r="Z40" i="18"/>
  <c r="R57" i="29"/>
  <c r="T58" i="29"/>
  <c r="AG150" i="29"/>
  <c r="AI151" i="29"/>
  <c r="Q108" i="23"/>
  <c r="Z38" i="18"/>
  <c r="N38" i="18"/>
  <c r="L125" i="23"/>
  <c r="N126" i="23"/>
  <c r="AF70" i="29"/>
  <c r="L4" i="1"/>
  <c r="H37" i="18"/>
  <c r="AI169" i="32"/>
  <c r="AO136" i="18"/>
  <c r="AI109" i="18"/>
  <c r="AC88" i="23"/>
  <c r="Q27" i="29"/>
  <c r="AI27" i="18"/>
  <c r="AC160" i="32"/>
  <c r="W75" i="29"/>
  <c r="AC68" i="29"/>
  <c r="W126" i="23"/>
  <c r="U125" i="23"/>
  <c r="AO85" i="18"/>
  <c r="Z77" i="23"/>
  <c r="Z136" i="23"/>
  <c r="Q144" i="18"/>
  <c r="N52" i="18"/>
  <c r="N40" i="23"/>
  <c r="L66" i="23"/>
  <c r="L39" i="23"/>
  <c r="AF104" i="18"/>
  <c r="K112" i="32"/>
  <c r="J112" i="32"/>
  <c r="T83" i="23"/>
  <c r="I62" i="32"/>
  <c r="K63" i="32"/>
  <c r="J63" i="32"/>
  <c r="AF122" i="32"/>
  <c r="AL131" i="23"/>
  <c r="AI115" i="18"/>
  <c r="AL123" i="29"/>
  <c r="AK123" i="29"/>
  <c r="AF118" i="29"/>
  <c r="T177" i="29"/>
  <c r="M4" i="10"/>
  <c r="AC170" i="32"/>
  <c r="AB170" i="32"/>
  <c r="X15" i="23"/>
  <c r="Z16" i="23"/>
  <c r="AL28" i="18"/>
  <c r="W79" i="23"/>
  <c r="Q124" i="32"/>
  <c r="P124" i="32"/>
  <c r="AC68" i="23"/>
  <c r="W137" i="23"/>
  <c r="Q13" i="23"/>
  <c r="H76" i="23"/>
  <c r="F20" i="23"/>
  <c r="H21" i="23"/>
  <c r="AL10" i="18"/>
  <c r="K44" i="23"/>
  <c r="Z115" i="18"/>
  <c r="T112" i="23"/>
  <c r="R111" i="23"/>
  <c r="AL62" i="29"/>
  <c r="AK62" i="29"/>
  <c r="H199" i="32"/>
  <c r="AC7" i="29"/>
  <c r="AA6" i="29"/>
  <c r="AB67" i="29" s="1"/>
  <c r="T183" i="32"/>
  <c r="AJ194" i="32"/>
  <c r="AL195" i="32"/>
  <c r="Q8" i="23"/>
  <c r="O7" i="23"/>
  <c r="H61" i="29"/>
  <c r="AC198" i="32"/>
  <c r="H104" i="32"/>
  <c r="Q96" i="23"/>
  <c r="I150" i="29"/>
  <c r="K151" i="29"/>
  <c r="N204" i="32"/>
  <c r="Z84" i="23"/>
  <c r="T104" i="32"/>
  <c r="K28" i="29"/>
  <c r="H52" i="23"/>
  <c r="Z124" i="29"/>
  <c r="AI76" i="18"/>
  <c r="Z63" i="29"/>
  <c r="AC98" i="29"/>
  <c r="AC142" i="18"/>
  <c r="AF17" i="18"/>
  <c r="N119" i="29"/>
  <c r="W67" i="29"/>
  <c r="W28" i="29"/>
  <c r="AO68" i="23"/>
  <c r="AI87" i="23"/>
  <c r="AL93" i="23"/>
  <c r="AC75" i="32"/>
  <c r="AB75" i="32"/>
  <c r="N76" i="29"/>
  <c r="AA19" i="18"/>
  <c r="AC20" i="18"/>
  <c r="H83" i="23"/>
  <c r="H45" i="23"/>
  <c r="W63" i="18"/>
  <c r="O182" i="29"/>
  <c r="Q183" i="29"/>
  <c r="AC120" i="23"/>
  <c r="K142" i="23"/>
  <c r="AL121" i="32"/>
  <c r="K37" i="18"/>
  <c r="L4" i="27"/>
  <c r="W109" i="32"/>
  <c r="H84" i="23"/>
  <c r="D22" i="25"/>
  <c r="D44" i="25" s="1"/>
  <c r="E17" i="25" s="1"/>
  <c r="AL47" i="23"/>
  <c r="O4" i="14"/>
  <c r="W71" i="32"/>
  <c r="N4" i="14"/>
  <c r="AL71" i="23"/>
  <c r="T48" i="18"/>
  <c r="K49" i="18"/>
  <c r="Z112" i="23"/>
  <c r="X111" i="23"/>
  <c r="K39" i="32"/>
  <c r="I38" i="32"/>
  <c r="J39" i="32"/>
  <c r="AI125" i="29"/>
  <c r="AC23" i="18"/>
  <c r="K84" i="23"/>
  <c r="AL61" i="23"/>
  <c r="AC124" i="32"/>
  <c r="K68" i="29"/>
  <c r="AO79" i="23"/>
  <c r="N78" i="32"/>
  <c r="N42" i="18"/>
  <c r="AL168" i="32"/>
  <c r="N36" i="29"/>
  <c r="L35" i="29"/>
  <c r="Q89" i="23"/>
  <c r="H100" i="23"/>
  <c r="AO56" i="18"/>
  <c r="W62" i="29"/>
  <c r="K56" i="32"/>
  <c r="J56" i="32"/>
  <c r="I114" i="23"/>
  <c r="K115" i="23"/>
  <c r="W121" i="29"/>
  <c r="K8" i="2"/>
  <c r="V26" i="25"/>
  <c r="K8" i="11"/>
  <c r="AL78" i="32"/>
  <c r="W156" i="32"/>
  <c r="U155" i="32"/>
  <c r="Z57" i="18"/>
  <c r="AC12" i="23"/>
  <c r="T217" i="32"/>
  <c r="AF74" i="23"/>
  <c r="H205" i="32"/>
  <c r="AC80" i="32"/>
  <c r="Q128" i="29"/>
  <c r="T27" i="29"/>
  <c r="AO21" i="23"/>
  <c r="AM20" i="23"/>
  <c r="AI81" i="32"/>
  <c r="AF145" i="18"/>
  <c r="W21" i="23"/>
  <c r="U20" i="23"/>
  <c r="T104" i="18"/>
  <c r="H9" i="18"/>
  <c r="AO60" i="23"/>
  <c r="AJ163" i="29"/>
  <c r="AK164" i="29"/>
  <c r="AL164" i="29"/>
  <c r="N45" i="23"/>
  <c r="N119" i="32"/>
  <c r="AF126" i="23"/>
  <c r="AD125" i="23"/>
  <c r="N56" i="23"/>
  <c r="O128" i="18"/>
  <c r="Q129" i="18"/>
  <c r="AC71" i="23"/>
  <c r="R24" i="32"/>
  <c r="T31" i="32"/>
  <c r="H41" i="23"/>
  <c r="Z120" i="23"/>
  <c r="H59" i="23"/>
  <c r="F58" i="23"/>
  <c r="K100" i="23"/>
  <c r="AC79" i="23"/>
  <c r="AG74" i="18"/>
  <c r="AI75" i="18"/>
  <c r="W197" i="32"/>
  <c r="AG15" i="23"/>
  <c r="AI16" i="23"/>
  <c r="T49" i="23"/>
  <c r="T77" i="32"/>
  <c r="K140" i="18"/>
  <c r="T74" i="32"/>
  <c r="K109" i="32"/>
  <c r="J109" i="32"/>
  <c r="H17" i="23"/>
  <c r="O8" i="16"/>
  <c r="AF117" i="32"/>
  <c r="AI37" i="18"/>
  <c r="N108" i="18"/>
  <c r="D219" i="32"/>
  <c r="Z23" i="18"/>
  <c r="AI168" i="32"/>
  <c r="AO91" i="23"/>
  <c r="K88" i="23"/>
  <c r="AL187" i="29"/>
  <c r="AK187" i="29"/>
  <c r="W17" i="23"/>
  <c r="U201" i="32"/>
  <c r="W202" i="32"/>
  <c r="AO142" i="18"/>
  <c r="U165" i="32"/>
  <c r="W166" i="32"/>
  <c r="AF80" i="23"/>
  <c r="AL163" i="32"/>
  <c r="AI11" i="23"/>
  <c r="AC94" i="23"/>
  <c r="AO109" i="18"/>
  <c r="AI201" i="29"/>
  <c r="AG200" i="29"/>
  <c r="Q63" i="18"/>
  <c r="K85" i="23"/>
  <c r="AI135" i="18"/>
  <c r="H61" i="18"/>
  <c r="F60" i="18"/>
  <c r="K50" i="18"/>
  <c r="Q91" i="23"/>
  <c r="Z124" i="32"/>
  <c r="Y124" i="32"/>
  <c r="AI24" i="18"/>
  <c r="AL77" i="23"/>
  <c r="P167" i="32"/>
  <c r="Q167" i="32"/>
  <c r="Q17" i="18"/>
  <c r="H162" i="32"/>
  <c r="AF113" i="32"/>
  <c r="AI50" i="18"/>
  <c r="AF162" i="32"/>
  <c r="H158" i="29"/>
  <c r="F157" i="29"/>
  <c r="G158" i="29"/>
  <c r="AL79" i="32"/>
  <c r="AF199" i="32"/>
  <c r="AJ150" i="29"/>
  <c r="AL151" i="29"/>
  <c r="AK151" i="29"/>
  <c r="N122" i="32"/>
  <c r="H66" i="29"/>
  <c r="W134" i="23"/>
  <c r="H70" i="18"/>
  <c r="AC90" i="23"/>
  <c r="AI91" i="23"/>
  <c r="N4" i="27"/>
  <c r="AF77" i="18"/>
  <c r="W105" i="18"/>
  <c r="K64" i="32"/>
  <c r="J64" i="32"/>
  <c r="F8" i="9"/>
  <c r="AD58" i="23"/>
  <c r="AF59" i="23"/>
  <c r="AC199" i="32"/>
  <c r="Z112" i="32"/>
  <c r="Y112" i="32"/>
  <c r="H54" i="18"/>
  <c r="AC159" i="32"/>
  <c r="AB159" i="32"/>
  <c r="N71" i="23"/>
  <c r="AF101" i="32"/>
  <c r="AD100" i="32"/>
  <c r="Z95" i="23"/>
  <c r="W27" i="29"/>
  <c r="Z10" i="32"/>
  <c r="Y10" i="32"/>
  <c r="K51" i="23"/>
  <c r="W9" i="23"/>
  <c r="AC26" i="29"/>
  <c r="H67" i="23"/>
  <c r="F66" i="23"/>
  <c r="H71" i="32"/>
  <c r="AO51" i="23"/>
  <c r="Z27" i="29"/>
  <c r="Z142" i="18"/>
  <c r="W100" i="18"/>
  <c r="T136" i="23"/>
  <c r="AL8" i="29"/>
  <c r="AK8" i="29"/>
  <c r="D57" i="29"/>
  <c r="AF112" i="32"/>
  <c r="Z74" i="29"/>
  <c r="AI198" i="32"/>
  <c r="AC105" i="32"/>
  <c r="W169" i="32"/>
  <c r="N60" i="23"/>
  <c r="AI69" i="32"/>
  <c r="W120" i="18"/>
  <c r="AF79" i="23"/>
  <c r="T76" i="32"/>
  <c r="L94" i="29"/>
  <c r="N95" i="29"/>
  <c r="H64" i="32"/>
  <c r="T82" i="18"/>
  <c r="M4" i="16"/>
  <c r="M10" i="16" s="1"/>
  <c r="H56" i="32"/>
  <c r="Q47" i="23"/>
  <c r="K99" i="23"/>
  <c r="AC54" i="18"/>
  <c r="AD20" i="23"/>
  <c r="AF21" i="23"/>
  <c r="AI133" i="18"/>
  <c r="K40" i="18"/>
  <c r="Q37" i="18"/>
  <c r="AC95" i="23"/>
  <c r="H158" i="32"/>
  <c r="Z99" i="18"/>
  <c r="X98" i="18"/>
  <c r="N95" i="23"/>
  <c r="W57" i="18"/>
  <c r="W41" i="18"/>
  <c r="X62" i="32"/>
  <c r="Z63" i="32"/>
  <c r="Y63" i="32"/>
  <c r="W97" i="29"/>
  <c r="AL201" i="29"/>
  <c r="AJ200" i="29"/>
  <c r="AK201" i="29"/>
  <c r="AL22" i="18"/>
  <c r="N8" i="27"/>
  <c r="Q22" i="18"/>
  <c r="Z203" i="32"/>
  <c r="Y203" i="32"/>
  <c r="AL33" i="18"/>
  <c r="AI72" i="32"/>
  <c r="Q49" i="23"/>
  <c r="T101" i="23"/>
  <c r="AI78" i="29"/>
  <c r="AG152" i="18"/>
  <c r="AI153" i="18"/>
  <c r="N83" i="32"/>
  <c r="O6" i="29"/>
  <c r="P187" i="29" s="1"/>
  <c r="Q7" i="29"/>
  <c r="Z83" i="23"/>
  <c r="W195" i="32"/>
  <c r="U194" i="32"/>
  <c r="T47" i="23"/>
  <c r="K11" i="32"/>
  <c r="J11" i="32"/>
  <c r="AI76" i="23"/>
  <c r="AF54" i="18"/>
  <c r="AI177" i="29"/>
  <c r="AO84" i="18"/>
  <c r="W91" i="23"/>
  <c r="AI196" i="32"/>
  <c r="Q70" i="32"/>
  <c r="P70" i="32"/>
  <c r="AL38" i="18"/>
  <c r="AI107" i="18"/>
  <c r="AD128" i="18"/>
  <c r="AF129" i="18"/>
  <c r="L4" i="13"/>
  <c r="Z147" i="29"/>
  <c r="F111" i="23"/>
  <c r="H112" i="23"/>
  <c r="H115" i="32"/>
  <c r="H133" i="18"/>
  <c r="Q127" i="23"/>
  <c r="AF73" i="23"/>
  <c r="Z26" i="18"/>
  <c r="AL71" i="32"/>
  <c r="AA172" i="32"/>
  <c r="AC173" i="32"/>
  <c r="N75" i="29"/>
  <c r="AG57" i="29"/>
  <c r="AI58" i="29"/>
  <c r="T55" i="18"/>
  <c r="AL155" i="18"/>
  <c r="AL21" i="23"/>
  <c r="AJ20" i="23"/>
  <c r="AI20" i="18"/>
  <c r="AG19" i="18"/>
  <c r="AC107" i="23"/>
  <c r="K31" i="32"/>
  <c r="I24" i="32"/>
  <c r="J31" i="32"/>
  <c r="N138" i="18"/>
  <c r="Z103" i="32"/>
  <c r="Y103" i="32"/>
  <c r="H178" i="29"/>
  <c r="G178" i="29"/>
  <c r="Z42" i="18"/>
  <c r="K103" i="18"/>
  <c r="I102" i="18"/>
  <c r="AO86" i="18"/>
  <c r="T162" i="32"/>
  <c r="N8" i="29"/>
  <c r="AC43" i="23"/>
  <c r="H68" i="32"/>
  <c r="K89" i="18"/>
  <c r="AF187" i="29"/>
  <c r="Q67" i="32"/>
  <c r="P67" i="32"/>
  <c r="AO44" i="23"/>
  <c r="Z68" i="23"/>
  <c r="AL39" i="18"/>
  <c r="T123" i="32"/>
  <c r="T69" i="32"/>
  <c r="Q116" i="32"/>
  <c r="P116" i="32"/>
  <c r="H44" i="18"/>
  <c r="AF26" i="23"/>
  <c r="AL66" i="32"/>
  <c r="X196" i="29"/>
  <c r="Z197" i="29"/>
  <c r="K13" i="23"/>
  <c r="AO137" i="18"/>
  <c r="AC82" i="23"/>
  <c r="Q88" i="23"/>
  <c r="Z82" i="23"/>
  <c r="Q23" i="23"/>
  <c r="AI17" i="23"/>
  <c r="N72" i="29"/>
  <c r="M8" i="13"/>
  <c r="Q109" i="23"/>
  <c r="AC53" i="18"/>
  <c r="Q148" i="29"/>
  <c r="AF157" i="32"/>
  <c r="AI153" i="29"/>
  <c r="N8" i="9"/>
  <c r="AI142" i="18"/>
  <c r="D6" i="29"/>
  <c r="E187" i="29" s="1"/>
  <c r="W75" i="23"/>
  <c r="AL41" i="23"/>
  <c r="N97" i="23"/>
  <c r="Z108" i="18"/>
  <c r="N26" i="29"/>
  <c r="AF202" i="29"/>
  <c r="AC78" i="32"/>
  <c r="H139" i="18"/>
  <c r="L4" i="2"/>
  <c r="L10" i="2" s="1"/>
  <c r="K92" i="23"/>
  <c r="AC87" i="23"/>
  <c r="K79" i="18"/>
  <c r="Z156" i="18"/>
  <c r="R117" i="18"/>
  <c r="T118" i="18"/>
  <c r="AC155" i="18"/>
  <c r="J8" i="1"/>
  <c r="Z77" i="18"/>
  <c r="R152" i="18"/>
  <c r="T153" i="18"/>
  <c r="AI128" i="29"/>
  <c r="W122" i="29"/>
  <c r="W48" i="23"/>
  <c r="G4" i="2"/>
  <c r="G10" i="2" s="1"/>
  <c r="W70" i="29"/>
  <c r="AC126" i="23"/>
  <c r="AA125" i="23"/>
  <c r="Z180" i="29"/>
  <c r="T74" i="29"/>
  <c r="Z78" i="18"/>
  <c r="AI136" i="18"/>
  <c r="Z24" i="23"/>
  <c r="I196" i="29"/>
  <c r="K197" i="29"/>
  <c r="F100" i="32"/>
  <c r="H101" i="32"/>
  <c r="T70" i="18"/>
  <c r="K67" i="23"/>
  <c r="AO31" i="18"/>
  <c r="AM30" i="18"/>
  <c r="K115" i="29"/>
  <c r="L133" i="23"/>
  <c r="N135" i="23"/>
  <c r="T123" i="29"/>
  <c r="N21" i="23"/>
  <c r="L20" i="23"/>
  <c r="Q98" i="29"/>
  <c r="N73" i="29"/>
  <c r="Z78" i="29"/>
  <c r="AC203" i="32"/>
  <c r="AB203" i="32"/>
  <c r="Z136" i="18"/>
  <c r="AC26" i="18"/>
  <c r="N31" i="32"/>
  <c r="L24" i="32"/>
  <c r="K76" i="29"/>
  <c r="W152" i="29"/>
  <c r="K199" i="32"/>
  <c r="J199" i="32"/>
  <c r="AF93" i="23"/>
  <c r="Z145" i="18"/>
  <c r="AG145" i="29"/>
  <c r="AI146" i="29"/>
  <c r="K25" i="18"/>
  <c r="Q130" i="18"/>
  <c r="AO155" i="18"/>
  <c r="AO85" i="23"/>
  <c r="W70" i="32"/>
  <c r="AO100" i="23"/>
  <c r="AL202" i="29"/>
  <c r="AK202" i="29"/>
  <c r="AF87" i="23"/>
  <c r="W180" i="29"/>
  <c r="T82" i="23"/>
  <c r="H220" i="32"/>
  <c r="F219" i="32"/>
  <c r="AC153" i="29"/>
  <c r="AO24" i="23"/>
  <c r="H111" i="32"/>
  <c r="AO89" i="18"/>
  <c r="U196" i="29"/>
  <c r="W197" i="29"/>
  <c r="W90" i="23"/>
  <c r="H10" i="32"/>
  <c r="Z125" i="29"/>
  <c r="Z134" i="18"/>
  <c r="I94" i="29"/>
  <c r="K95" i="29"/>
  <c r="AC50" i="18"/>
  <c r="Q28" i="18"/>
  <c r="Q65" i="29"/>
  <c r="T61" i="23"/>
  <c r="AK180" i="29"/>
  <c r="AL180" i="29"/>
  <c r="Q71" i="23"/>
  <c r="AI36" i="29"/>
  <c r="AG35" i="29"/>
  <c r="AO52" i="18"/>
  <c r="AF142" i="18"/>
  <c r="T76" i="29"/>
  <c r="Q50" i="18"/>
  <c r="Q84" i="18"/>
  <c r="N72" i="32"/>
  <c r="T80" i="32"/>
  <c r="AL59" i="29"/>
  <c r="AK59" i="29"/>
  <c r="Q127" i="29"/>
  <c r="AL162" i="32"/>
  <c r="H72" i="32"/>
  <c r="H71" i="29"/>
  <c r="G71" i="29"/>
  <c r="W36" i="18"/>
  <c r="U35" i="18"/>
  <c r="H100" i="18"/>
  <c r="N115" i="29"/>
  <c r="H28" i="18"/>
  <c r="Q99" i="23"/>
  <c r="AI88" i="23"/>
  <c r="AI25" i="18"/>
  <c r="AM46" i="18"/>
  <c r="AO47" i="18"/>
  <c r="Z148" i="29"/>
  <c r="K201" i="29"/>
  <c r="I200" i="29"/>
  <c r="AF134" i="23"/>
  <c r="H161" i="32"/>
  <c r="N27" i="18"/>
  <c r="AI199" i="32"/>
  <c r="T63" i="32"/>
  <c r="R62" i="32"/>
  <c r="R54" i="23"/>
  <c r="T55" i="23"/>
  <c r="Q48" i="18"/>
  <c r="W206" i="32"/>
  <c r="AL73" i="32"/>
  <c r="AO74" i="23"/>
  <c r="T132" i="18"/>
  <c r="Z81" i="18"/>
  <c r="AD68" i="18"/>
  <c r="AF71" i="18"/>
  <c r="AL54" i="18"/>
  <c r="D100" i="32"/>
  <c r="AF196" i="32"/>
  <c r="K147" i="29"/>
  <c r="K31" i="25"/>
  <c r="AC77" i="23"/>
  <c r="T197" i="32"/>
  <c r="Q106" i="32"/>
  <c r="P106" i="32"/>
  <c r="AL26" i="23"/>
  <c r="AC57" i="18"/>
  <c r="AF8" i="32"/>
  <c r="Z155" i="18"/>
  <c r="AC137" i="23"/>
  <c r="K8" i="28"/>
  <c r="O4" i="16"/>
  <c r="Z117" i="29"/>
  <c r="AI32" i="32"/>
  <c r="T83" i="32"/>
  <c r="AC11" i="32"/>
  <c r="W86" i="23"/>
  <c r="K187" i="29"/>
  <c r="K132" i="18"/>
  <c r="W12" i="23"/>
  <c r="T71" i="29"/>
  <c r="N123" i="29"/>
  <c r="N135" i="18"/>
  <c r="Z202" i="29"/>
  <c r="AI107" i="32"/>
  <c r="W116" i="29"/>
  <c r="N106" i="18"/>
  <c r="P76" i="32"/>
  <c r="Q76" i="32"/>
  <c r="H126" i="23"/>
  <c r="F125" i="23"/>
  <c r="H117" i="32"/>
  <c r="Z92" i="23"/>
  <c r="Z82" i="32"/>
  <c r="Y82" i="32"/>
  <c r="AO78" i="23"/>
  <c r="Z88" i="18"/>
  <c r="AL62" i="18"/>
  <c r="AL13" i="23"/>
  <c r="H159" i="32"/>
  <c r="AC151" i="29"/>
  <c r="AA150" i="29"/>
  <c r="W70" i="18"/>
  <c r="K102" i="23"/>
  <c r="AJ104" i="23"/>
  <c r="AL105" i="23"/>
  <c r="T143" i="18"/>
  <c r="AF10" i="18"/>
  <c r="AF67" i="32"/>
  <c r="Q154" i="29"/>
  <c r="N105" i="32"/>
  <c r="AF48" i="23"/>
  <c r="K135" i="23"/>
  <c r="I133" i="23"/>
  <c r="Q63" i="32"/>
  <c r="O62" i="32"/>
  <c r="P63" i="32"/>
  <c r="AM114" i="23"/>
  <c r="AO115" i="23"/>
  <c r="AI92" i="23"/>
  <c r="K97" i="23"/>
  <c r="H122" i="32"/>
  <c r="K216" i="32"/>
  <c r="I215" i="32"/>
  <c r="J216" i="32"/>
  <c r="T121" i="32"/>
  <c r="K4" i="12"/>
  <c r="Z94" i="23"/>
  <c r="I35" i="18"/>
  <c r="K36" i="18"/>
  <c r="W170" i="32"/>
  <c r="Z198" i="32"/>
  <c r="Y198" i="32"/>
  <c r="T67" i="23"/>
  <c r="AI68" i="23"/>
  <c r="K65" i="32"/>
  <c r="J65" i="32"/>
  <c r="AC75" i="23"/>
  <c r="K108" i="32"/>
  <c r="J108" i="32"/>
  <c r="V25" i="25"/>
  <c r="AA215" i="32"/>
  <c r="AC216" i="32"/>
  <c r="X155" i="32"/>
  <c r="Z156" i="32"/>
  <c r="Y156" i="32"/>
  <c r="H52" i="18"/>
  <c r="Z62" i="18"/>
  <c r="K4" i="16"/>
  <c r="N158" i="32"/>
  <c r="N4" i="10"/>
  <c r="N10" i="10" s="1"/>
  <c r="P183" i="32"/>
  <c r="Q183" i="32"/>
  <c r="AF96" i="29"/>
  <c r="AD117" i="18"/>
  <c r="AF118" i="18"/>
  <c r="AI118" i="18"/>
  <c r="AI22" i="23"/>
  <c r="N102" i="23"/>
  <c r="X145" i="29"/>
  <c r="Z146" i="29"/>
  <c r="AL42" i="23"/>
  <c r="K61" i="23"/>
  <c r="Z115" i="32"/>
  <c r="Y115" i="32"/>
  <c r="X194" i="32"/>
  <c r="Z195" i="32"/>
  <c r="Y195" i="32"/>
  <c r="AI176" i="29"/>
  <c r="AL176" i="29"/>
  <c r="AG175" i="29"/>
  <c r="AC48" i="18"/>
  <c r="AI70" i="18"/>
  <c r="AI39" i="18"/>
  <c r="W44" i="18"/>
  <c r="AD152" i="18"/>
  <c r="AF153" i="18"/>
  <c r="W122" i="32"/>
  <c r="U2" i="32"/>
  <c r="N178" i="29"/>
  <c r="N87" i="23"/>
  <c r="T89" i="18"/>
  <c r="Q102" i="23"/>
  <c r="T72" i="23"/>
  <c r="AO81" i="18"/>
  <c r="Z120" i="18"/>
  <c r="W48" i="18"/>
  <c r="G4" i="11"/>
  <c r="AF109" i="23"/>
  <c r="W11" i="23"/>
  <c r="Q125" i="32"/>
  <c r="P125" i="32"/>
  <c r="K8" i="16"/>
  <c r="K117" i="29"/>
  <c r="G4" i="9"/>
  <c r="AL58" i="18"/>
  <c r="Z123" i="32"/>
  <c r="Y123" i="32"/>
  <c r="AI89" i="23"/>
  <c r="AO51" i="18"/>
  <c r="W39" i="18"/>
  <c r="AK69" i="29"/>
  <c r="AL69" i="29"/>
  <c r="U54" i="23"/>
  <c r="W55" i="23"/>
  <c r="W220" i="32"/>
  <c r="U219" i="32"/>
  <c r="AO16" i="23"/>
  <c r="AM15" i="23"/>
  <c r="L4" i="8"/>
  <c r="I145" i="29"/>
  <c r="K146" i="29"/>
  <c r="Z87" i="18"/>
  <c r="Z13" i="23"/>
  <c r="Q105" i="18"/>
  <c r="AC8" i="23"/>
  <c r="AA7" i="23"/>
  <c r="AI71" i="29"/>
  <c r="H22" i="18"/>
  <c r="Q185" i="29"/>
  <c r="AC102" i="23"/>
  <c r="T180" i="29"/>
  <c r="K60" i="29"/>
  <c r="I39" i="23"/>
  <c r="K40" i="23"/>
  <c r="L57" i="29"/>
  <c r="N58" i="29"/>
  <c r="AF13" i="23"/>
  <c r="N77" i="18"/>
  <c r="AL72" i="32"/>
  <c r="H98" i="23"/>
  <c r="W10" i="18"/>
  <c r="H115" i="18"/>
  <c r="W179" i="29"/>
  <c r="AO50" i="18"/>
  <c r="W177" i="29"/>
  <c r="Z70" i="29"/>
  <c r="AF43" i="23"/>
  <c r="L74" i="18"/>
  <c r="N75" i="18"/>
  <c r="N4" i="16"/>
  <c r="N77" i="23"/>
  <c r="M4" i="9"/>
  <c r="M10" i="9" s="1"/>
  <c r="Z119" i="29"/>
  <c r="K65" i="29"/>
  <c r="AI83" i="32"/>
  <c r="AC58" i="29"/>
  <c r="AA57" i="29"/>
  <c r="AO61" i="18"/>
  <c r="AM60" i="18"/>
  <c r="F8" i="7"/>
  <c r="T74" i="23"/>
  <c r="Z65" i="18"/>
  <c r="Z158" i="29"/>
  <c r="X157" i="29"/>
  <c r="H183" i="29"/>
  <c r="F182" i="29"/>
  <c r="AI80" i="32"/>
  <c r="H137" i="18"/>
  <c r="Q97" i="29"/>
  <c r="P97" i="29"/>
  <c r="AL88" i="23"/>
  <c r="K62" i="29"/>
  <c r="T89" i="23"/>
  <c r="T106" i="23"/>
  <c r="H69" i="32"/>
  <c r="W108" i="23"/>
  <c r="K36" i="29"/>
  <c r="I35" i="29"/>
  <c r="Q121" i="29"/>
  <c r="Q221" i="32"/>
  <c r="P221" i="32"/>
  <c r="T48" i="23"/>
  <c r="AI140" i="18"/>
  <c r="AC26" i="23"/>
  <c r="T23" i="23"/>
  <c r="Z55" i="18"/>
  <c r="AC43" i="18"/>
  <c r="AO82" i="23"/>
  <c r="AF106" i="32"/>
  <c r="N94" i="23"/>
  <c r="AD6" i="32"/>
  <c r="AE202" i="32" s="1"/>
  <c r="AF7" i="32"/>
  <c r="W168" i="32"/>
  <c r="AF100" i="23"/>
  <c r="K145" i="18"/>
  <c r="Z120" i="32"/>
  <c r="Y120" i="32"/>
  <c r="K27" i="29"/>
  <c r="N144" i="18"/>
  <c r="W97" i="23"/>
  <c r="AO44" i="18"/>
  <c r="W80" i="32"/>
  <c r="AJ155" i="32"/>
  <c r="AL156" i="32"/>
  <c r="Q202" i="32"/>
  <c r="O201" i="32"/>
  <c r="P202" i="32"/>
  <c r="N4" i="11"/>
  <c r="N134" i="18"/>
  <c r="W27" i="18"/>
  <c r="H42" i="18"/>
  <c r="N70" i="32"/>
  <c r="K155" i="18"/>
  <c r="AC65" i="32"/>
  <c r="H131" i="18"/>
  <c r="Q20" i="18"/>
  <c r="O19" i="18"/>
  <c r="W173" i="32"/>
  <c r="U172" i="32"/>
  <c r="AL48" i="23"/>
  <c r="F38" i="32"/>
  <c r="H39" i="32"/>
  <c r="AA181" i="32"/>
  <c r="AC182" i="32"/>
  <c r="H60" i="23"/>
  <c r="Z131" i="23"/>
  <c r="N139" i="18"/>
  <c r="Z26" i="23"/>
  <c r="J123" i="32"/>
  <c r="K123" i="32"/>
  <c r="T187" i="29"/>
  <c r="O8" i="9"/>
  <c r="X68" i="18"/>
  <c r="Z71" i="18"/>
  <c r="AI163" i="32"/>
  <c r="W22" i="23"/>
  <c r="Z159" i="32"/>
  <c r="Y159" i="32"/>
  <c r="AI62" i="18"/>
  <c r="AL7" i="32"/>
  <c r="AJ6" i="32"/>
  <c r="AK167" i="32" s="1"/>
  <c r="N184" i="29"/>
  <c r="T147" i="18"/>
  <c r="AA129" i="23"/>
  <c r="AC130" i="23"/>
  <c r="Q22" i="23"/>
  <c r="F134" i="29"/>
  <c r="H135" i="29"/>
  <c r="N8" i="28"/>
  <c r="Q217" i="32"/>
  <c r="P217" i="32"/>
  <c r="K160" i="32"/>
  <c r="J160" i="32"/>
  <c r="T66" i="29"/>
  <c r="H179" i="29"/>
  <c r="W148" i="29"/>
  <c r="N69" i="32"/>
  <c r="W81" i="23"/>
  <c r="N69" i="23"/>
  <c r="AC154" i="29"/>
  <c r="AC132" i="18"/>
  <c r="Q104" i="18"/>
  <c r="AL48" i="18"/>
  <c r="T220" i="32"/>
  <c r="R219" i="32"/>
  <c r="AL116" i="32"/>
  <c r="AC9" i="18"/>
  <c r="H63" i="29"/>
  <c r="G63" i="29"/>
  <c r="K69" i="23"/>
  <c r="AC49" i="18"/>
  <c r="Q103" i="32"/>
  <c r="P103" i="32"/>
  <c r="AI155" i="18"/>
  <c r="Q42" i="23"/>
  <c r="AL82" i="18"/>
  <c r="W45" i="23"/>
  <c r="AF120" i="18"/>
  <c r="AI76" i="32"/>
  <c r="AF121" i="32"/>
  <c r="Q67" i="29"/>
  <c r="T75" i="23"/>
  <c r="K56" i="23"/>
  <c r="AF42" i="23"/>
  <c r="Z33" i="18"/>
  <c r="AF104" i="32"/>
  <c r="N4" i="15"/>
  <c r="N10" i="15" s="1"/>
  <c r="AF206" i="32"/>
  <c r="AA111" i="23"/>
  <c r="AC112" i="23"/>
  <c r="H11" i="32"/>
  <c r="T106" i="18"/>
  <c r="AL63" i="29"/>
  <c r="AK63" i="29"/>
  <c r="AA74" i="18"/>
  <c r="AC75" i="18"/>
  <c r="W119" i="18"/>
  <c r="W77" i="32"/>
  <c r="AL26" i="29"/>
  <c r="AK26" i="29"/>
  <c r="M8" i="17"/>
  <c r="Z27" i="18"/>
  <c r="W119" i="29"/>
  <c r="F7" i="23"/>
  <c r="H8" i="23"/>
  <c r="AL73" i="23"/>
  <c r="AF115" i="29"/>
  <c r="H97" i="23"/>
  <c r="U118" i="23"/>
  <c r="W119" i="23"/>
  <c r="R4" i="28"/>
  <c r="AF111" i="32"/>
  <c r="O8" i="11"/>
  <c r="H77" i="32"/>
  <c r="AI64" i="18"/>
  <c r="T118" i="32"/>
  <c r="Q130" i="23"/>
  <c r="O129" i="23"/>
  <c r="U152" i="18"/>
  <c r="W153" i="18"/>
  <c r="AF73" i="32"/>
  <c r="K126" i="23"/>
  <c r="I125" i="23"/>
  <c r="Z122" i="32"/>
  <c r="Y122" i="32"/>
  <c r="N85" i="23"/>
  <c r="K52" i="18"/>
  <c r="H120" i="18"/>
  <c r="AL77" i="32"/>
  <c r="T118" i="29"/>
  <c r="AC130" i="18"/>
  <c r="W43" i="18"/>
  <c r="AI39" i="32"/>
  <c r="AG38" i="32"/>
  <c r="W49" i="18"/>
  <c r="N4" i="28"/>
  <c r="W52" i="18"/>
  <c r="AL71" i="29"/>
  <c r="AK71" i="29"/>
  <c r="Q134" i="18"/>
  <c r="H183" i="32"/>
  <c r="N4" i="9"/>
  <c r="Q101" i="32"/>
  <c r="O100" i="32"/>
  <c r="P101" i="32"/>
  <c r="N143" i="18"/>
  <c r="AD194" i="32"/>
  <c r="AF195" i="32"/>
  <c r="E12" i="31"/>
  <c r="AI154" i="18"/>
  <c r="L46" i="18"/>
  <c r="N47" i="18"/>
  <c r="AF71" i="23"/>
  <c r="Z106" i="23"/>
  <c r="AO93" i="23"/>
  <c r="AA24" i="32"/>
  <c r="AC31" i="32"/>
  <c r="Q119" i="23"/>
  <c r="O118" i="23"/>
  <c r="AL77" i="29"/>
  <c r="AK77" i="29"/>
  <c r="AC116" i="29"/>
  <c r="W65" i="29"/>
  <c r="X104" i="23"/>
  <c r="Z105" i="23"/>
  <c r="T63" i="29"/>
  <c r="H58" i="29"/>
  <c r="F57" i="29"/>
  <c r="G58" i="29"/>
  <c r="N183" i="32"/>
  <c r="P65" i="32"/>
  <c r="Q65" i="32"/>
  <c r="Q77" i="23"/>
  <c r="H76" i="29"/>
  <c r="G76" i="29"/>
  <c r="AL127" i="23"/>
  <c r="W59" i="23"/>
  <c r="U58" i="23"/>
  <c r="W79" i="18"/>
  <c r="AJ129" i="23"/>
  <c r="AL130" i="23"/>
  <c r="K170" i="32"/>
  <c r="J170" i="32"/>
  <c r="W204" i="32"/>
  <c r="AF79" i="32"/>
  <c r="AF27" i="18"/>
  <c r="W137" i="18"/>
  <c r="D215" i="32"/>
  <c r="AF23" i="23"/>
  <c r="Z76" i="29"/>
  <c r="AF124" i="32"/>
  <c r="F4" i="7"/>
  <c r="H124" i="29"/>
  <c r="G124" i="29"/>
  <c r="H125" i="29"/>
  <c r="G125" i="29"/>
  <c r="AC165" i="29"/>
  <c r="J4" i="27"/>
  <c r="J10" i="27" s="1"/>
  <c r="AF158" i="32"/>
  <c r="T85" i="18"/>
  <c r="W43" i="23"/>
  <c r="AO25" i="18"/>
  <c r="T29" i="25"/>
  <c r="T167" i="32"/>
  <c r="AF86" i="23"/>
  <c r="AC120" i="18"/>
  <c r="H154" i="29"/>
  <c r="G154" i="29"/>
  <c r="AF116" i="23"/>
  <c r="AI118" i="29"/>
  <c r="Z126" i="32"/>
  <c r="Y126" i="32"/>
  <c r="G8" i="14"/>
  <c r="AC110" i="32"/>
  <c r="AB110" i="32"/>
  <c r="Z29" i="29"/>
  <c r="AO64" i="18"/>
  <c r="AC195" i="32"/>
  <c r="AA194" i="32"/>
  <c r="AB195" i="32"/>
  <c r="Z167" i="32"/>
  <c r="Y167" i="32"/>
  <c r="W32" i="32"/>
  <c r="T125" i="29"/>
  <c r="AF144" i="18"/>
  <c r="W49" i="23"/>
  <c r="W58" i="18"/>
  <c r="R60" i="18"/>
  <c r="T61" i="18"/>
  <c r="AI40" i="23"/>
  <c r="AG66" i="23"/>
  <c r="AG39" i="23"/>
  <c r="Z74" i="32"/>
  <c r="Y74" i="32"/>
  <c r="K121" i="29"/>
  <c r="K124" i="32"/>
  <c r="J124" i="32"/>
  <c r="AI126" i="29"/>
  <c r="W94" i="23"/>
  <c r="AO131" i="18"/>
  <c r="AF137" i="23"/>
  <c r="X20" i="23"/>
  <c r="Z21" i="23"/>
  <c r="N9" i="23"/>
  <c r="AL105" i="18"/>
  <c r="AO53" i="18"/>
  <c r="F4" i="13"/>
  <c r="F10" i="13" s="1"/>
  <c r="AC27" i="29"/>
  <c r="F35" i="29"/>
  <c r="H36" i="29"/>
  <c r="G36" i="29"/>
  <c r="Z61" i="23"/>
  <c r="AF82" i="32"/>
  <c r="AI143" i="18"/>
  <c r="AC61" i="18"/>
  <c r="AA60" i="18"/>
  <c r="AF11" i="23"/>
  <c r="AI116" i="32"/>
  <c r="AI52" i="18"/>
  <c r="AF99" i="23"/>
  <c r="AG7" i="23"/>
  <c r="AI8" i="23"/>
  <c r="Q135" i="29"/>
  <c r="O134" i="29"/>
  <c r="P135" i="29"/>
  <c r="H94" i="23"/>
  <c r="G8" i="16"/>
  <c r="W108" i="18"/>
  <c r="N115" i="23"/>
  <c r="L114" i="23"/>
  <c r="AL177" i="29"/>
  <c r="AJ175" i="29"/>
  <c r="AK177" i="29"/>
  <c r="N83" i="18"/>
  <c r="K113" i="32"/>
  <c r="J113" i="32"/>
  <c r="V28" i="25"/>
  <c r="AI86" i="23"/>
  <c r="AF185" i="29"/>
  <c r="AF82" i="18"/>
  <c r="U68" i="18"/>
  <c r="W71" i="18"/>
  <c r="I104" i="23"/>
  <c r="K105" i="23"/>
  <c r="AF103" i="32"/>
  <c r="H206" i="32"/>
  <c r="AI79" i="18"/>
  <c r="AI40" i="18"/>
  <c r="AG201" i="32"/>
  <c r="AI202" i="32"/>
  <c r="H61" i="23"/>
  <c r="AL197" i="32"/>
  <c r="N108" i="23"/>
  <c r="F22" i="25"/>
  <c r="AL97" i="23"/>
  <c r="AD54" i="23"/>
  <c r="AF55" i="23"/>
  <c r="AL126" i="23"/>
  <c r="AJ125" i="23"/>
  <c r="AC40" i="18"/>
  <c r="AO52" i="23"/>
  <c r="L8" i="17"/>
  <c r="N166" i="32"/>
  <c r="L165" i="32"/>
  <c r="W100" i="23"/>
  <c r="N81" i="23"/>
  <c r="AA102" i="18"/>
  <c r="AC103" i="18"/>
  <c r="AI81" i="23"/>
  <c r="AF44" i="23"/>
  <c r="Z10" i="23"/>
  <c r="Z108" i="32"/>
  <c r="Y108" i="32"/>
  <c r="AF134" i="18"/>
  <c r="Z49" i="18"/>
  <c r="AF32" i="32"/>
  <c r="Q8" i="28"/>
  <c r="Z56" i="18"/>
  <c r="G8" i="13"/>
  <c r="AO87" i="23"/>
  <c r="AI96" i="29"/>
  <c r="Q178" i="29"/>
  <c r="P178" i="29"/>
  <c r="T8" i="29"/>
  <c r="AI7" i="29"/>
  <c r="AG6" i="29"/>
  <c r="AH119" i="29" s="1"/>
  <c r="O4" i="28"/>
  <c r="AF159" i="32"/>
  <c r="F8" i="12"/>
  <c r="AJ46" i="18"/>
  <c r="AL47" i="18"/>
  <c r="N67" i="23"/>
  <c r="Z163" i="32"/>
  <c r="Y163" i="32"/>
  <c r="M4" i="27"/>
  <c r="M10" i="27" s="1"/>
  <c r="K138" i="18"/>
  <c r="AC121" i="32"/>
  <c r="H187" i="29"/>
  <c r="G187" i="29"/>
  <c r="N59" i="29"/>
  <c r="R181" i="32"/>
  <c r="T182" i="32"/>
  <c r="T158" i="29"/>
  <c r="R157" i="29"/>
  <c r="AC123" i="32"/>
  <c r="AB123" i="32"/>
  <c r="N11" i="23"/>
  <c r="H81" i="18"/>
  <c r="W63" i="29"/>
  <c r="L8" i="13"/>
  <c r="W8" i="32"/>
  <c r="N147" i="29"/>
  <c r="AC70" i="23"/>
  <c r="T98" i="29"/>
  <c r="AF180" i="29"/>
  <c r="Q77" i="18"/>
  <c r="Q26" i="18"/>
  <c r="AL138" i="18"/>
  <c r="K130" i="18"/>
  <c r="Q82" i="18"/>
  <c r="AB113" i="32"/>
  <c r="AC113" i="32"/>
  <c r="AO83" i="23"/>
  <c r="AL184" i="29"/>
  <c r="AK184" i="29"/>
  <c r="K8" i="9"/>
  <c r="H44" i="23"/>
  <c r="H80" i="18"/>
  <c r="AI79" i="32"/>
  <c r="AI88" i="18"/>
  <c r="AI124" i="29"/>
  <c r="Q76" i="18"/>
  <c r="N165" i="29"/>
  <c r="Z8" i="29"/>
  <c r="AC13" i="23"/>
  <c r="AI26" i="29"/>
  <c r="N167" i="32"/>
  <c r="AC49" i="23"/>
  <c r="Z100" i="23"/>
  <c r="W187" i="29"/>
  <c r="W87" i="23"/>
  <c r="K66" i="29"/>
  <c r="W154" i="29"/>
  <c r="AO134" i="18"/>
  <c r="AL83" i="18"/>
  <c r="H97" i="29"/>
  <c r="G97" i="29"/>
  <c r="Q85" i="18"/>
  <c r="H96" i="18"/>
  <c r="F94" i="18"/>
  <c r="L7" i="23"/>
  <c r="N8" i="23"/>
  <c r="Q26" i="29"/>
  <c r="P26" i="29"/>
  <c r="AC106" i="23"/>
  <c r="N4" i="8"/>
  <c r="AI73" i="29"/>
  <c r="AC177" i="29"/>
  <c r="K78" i="18"/>
  <c r="AI8" i="18"/>
  <c r="AG7" i="18"/>
  <c r="D6" i="32"/>
  <c r="E66" i="32" s="1"/>
  <c r="K9" i="23"/>
  <c r="AF81" i="23"/>
  <c r="Z127" i="29"/>
  <c r="Q161" i="32"/>
  <c r="P161" i="32"/>
  <c r="K4" i="28"/>
  <c r="N127" i="23"/>
  <c r="Z75" i="29"/>
  <c r="AI46" i="23"/>
  <c r="AL73" i="29"/>
  <c r="AK73" i="29"/>
  <c r="AI56" i="18"/>
  <c r="T40" i="18"/>
  <c r="H184" i="29"/>
  <c r="G184" i="29"/>
  <c r="Z97" i="23"/>
  <c r="Q119" i="32"/>
  <c r="P119" i="32"/>
  <c r="H10" i="18"/>
  <c r="AD24" i="29"/>
  <c r="AF25" i="29"/>
  <c r="Q155" i="18"/>
  <c r="R8" i="28"/>
  <c r="AI82" i="18"/>
  <c r="V36" i="25"/>
  <c r="AI75" i="32"/>
  <c r="K8" i="12"/>
  <c r="AI117" i="29"/>
  <c r="K4" i="13"/>
  <c r="K10" i="13" s="1"/>
  <c r="W132" i="18"/>
  <c r="Z83" i="18"/>
  <c r="E123" i="29"/>
  <c r="O4" i="1"/>
  <c r="W141" i="18"/>
  <c r="T23" i="18"/>
  <c r="K110" i="32"/>
  <c r="J110" i="32"/>
  <c r="D24" i="29"/>
  <c r="E24" i="29" s="1"/>
  <c r="H9" i="32"/>
  <c r="Q114" i="32"/>
  <c r="P114" i="32"/>
  <c r="H151" i="29"/>
  <c r="F150" i="29"/>
  <c r="G151" i="29"/>
  <c r="W106" i="32"/>
  <c r="T64" i="32"/>
  <c r="AF128" i="29"/>
  <c r="AM152" i="18"/>
  <c r="AO153" i="18"/>
  <c r="N198" i="32"/>
  <c r="T52" i="23"/>
  <c r="Z71" i="29"/>
  <c r="H8" i="29"/>
  <c r="G8" i="29"/>
  <c r="AL183" i="29"/>
  <c r="AJ182" i="29"/>
  <c r="AK183" i="29"/>
  <c r="Q116" i="29"/>
  <c r="P116" i="29"/>
  <c r="AF36" i="18"/>
  <c r="AD35" i="18"/>
  <c r="M8" i="10"/>
  <c r="AC25" i="18"/>
  <c r="Q70" i="23"/>
  <c r="N92" i="23"/>
  <c r="K68" i="32"/>
  <c r="J68" i="32"/>
  <c r="N136" i="23"/>
  <c r="AC77" i="29"/>
  <c r="AI48" i="18"/>
  <c r="AC99" i="23"/>
  <c r="I8" i="27"/>
  <c r="K41" i="18"/>
  <c r="AF29" i="29"/>
  <c r="AI63" i="29"/>
  <c r="AI110" i="32"/>
  <c r="H163" i="32"/>
  <c r="N65" i="18"/>
  <c r="T31" i="18"/>
  <c r="R30" i="18"/>
  <c r="AF64" i="29"/>
  <c r="O8" i="12"/>
  <c r="AL183" i="32"/>
  <c r="AC46" i="23"/>
  <c r="Q86" i="23"/>
  <c r="K107" i="23"/>
  <c r="T131" i="18"/>
  <c r="N56" i="32"/>
  <c r="AO99" i="23"/>
  <c r="W115" i="29"/>
  <c r="AO75" i="18"/>
  <c r="AM74" i="18"/>
  <c r="AC100" i="23"/>
  <c r="F8" i="17"/>
  <c r="K44" i="18"/>
  <c r="AI67" i="32"/>
  <c r="AC118" i="32"/>
  <c r="AB118" i="32"/>
  <c r="H164" i="29"/>
  <c r="F163" i="29"/>
  <c r="G164" i="29"/>
  <c r="K21" i="23"/>
  <c r="I20" i="23"/>
  <c r="H198" i="32"/>
  <c r="Z118" i="29"/>
  <c r="H78" i="18"/>
  <c r="W98" i="23"/>
  <c r="AF137" i="18"/>
  <c r="AI131" i="23"/>
  <c r="AI21" i="23"/>
  <c r="AG20" i="23"/>
  <c r="AC25" i="23"/>
  <c r="Q111" i="32"/>
  <c r="P111" i="32"/>
  <c r="AF140" i="18"/>
  <c r="T107" i="23"/>
  <c r="AF71" i="32"/>
  <c r="T73" i="32"/>
  <c r="AI115" i="32"/>
  <c r="N106" i="23"/>
  <c r="AO84" i="23"/>
  <c r="AI197" i="32"/>
  <c r="Z179" i="29"/>
  <c r="AF56" i="23"/>
  <c r="K94" i="23"/>
  <c r="AF106" i="23"/>
  <c r="Z66" i="29"/>
  <c r="T84" i="23"/>
  <c r="AF76" i="23"/>
  <c r="H27" i="18"/>
  <c r="Q10" i="32"/>
  <c r="P10" i="32"/>
  <c r="Q82" i="32"/>
  <c r="P82" i="32"/>
  <c r="H112" i="32"/>
  <c r="Z8" i="32"/>
  <c r="Y8" i="32"/>
  <c r="W145" i="18"/>
  <c r="T84" i="18"/>
  <c r="H29" i="29"/>
  <c r="G29" i="29"/>
  <c r="H115" i="29"/>
  <c r="G115" i="29"/>
  <c r="K153" i="18"/>
  <c r="I152" i="18"/>
  <c r="K26" i="29"/>
  <c r="P160" i="32"/>
  <c r="Q160" i="32"/>
  <c r="X6" i="29"/>
  <c r="Y67" i="29" s="1"/>
  <c r="Z7" i="29"/>
  <c r="AI68" i="29"/>
  <c r="AF103" i="18"/>
  <c r="AD102" i="18"/>
  <c r="U104" i="23"/>
  <c r="W105" i="23"/>
  <c r="K78" i="32"/>
  <c r="J78" i="32"/>
  <c r="AC61" i="23"/>
  <c r="AO145" i="18"/>
  <c r="AI160" i="32"/>
  <c r="AF63" i="29"/>
  <c r="N115" i="32"/>
  <c r="K69" i="32"/>
  <c r="J69" i="32"/>
  <c r="W96" i="29"/>
  <c r="T78" i="18"/>
  <c r="T153" i="29"/>
  <c r="Z70" i="18"/>
  <c r="AL76" i="23"/>
  <c r="AO39" i="18"/>
  <c r="K8" i="10"/>
  <c r="T22" i="23"/>
  <c r="AJ57" i="29"/>
  <c r="AL58" i="29"/>
  <c r="AK58" i="29"/>
  <c r="Z40" i="32"/>
  <c r="Y40" i="32"/>
  <c r="T85" i="23"/>
  <c r="Z96" i="29"/>
  <c r="AI121" i="32"/>
  <c r="H176" i="29"/>
  <c r="F175" i="29"/>
  <c r="G176" i="29"/>
  <c r="H156" i="18"/>
  <c r="N56" i="18"/>
  <c r="AG125" i="23"/>
  <c r="AI126" i="23"/>
  <c r="AI217" i="32"/>
  <c r="AI184" i="29"/>
  <c r="Z9" i="18"/>
  <c r="L181" i="32"/>
  <c r="N182" i="32"/>
  <c r="AF148" i="29"/>
  <c r="AF170" i="32"/>
  <c r="AL112" i="32"/>
  <c r="Q71" i="32"/>
  <c r="P71" i="32"/>
  <c r="N48" i="18"/>
  <c r="Z85" i="23"/>
  <c r="Z25" i="18"/>
  <c r="AI72" i="29"/>
  <c r="Q198" i="29"/>
  <c r="P198" i="29"/>
  <c r="AC22" i="23"/>
  <c r="T41" i="18"/>
  <c r="AC121" i="29"/>
  <c r="AI72" i="18"/>
  <c r="T119" i="32"/>
  <c r="R6" i="32"/>
  <c r="S66" i="32" s="1"/>
  <c r="T7" i="32"/>
  <c r="N79" i="18"/>
  <c r="W120" i="29"/>
  <c r="AD133" i="23"/>
  <c r="AF135" i="23"/>
  <c r="Z71" i="23"/>
  <c r="K108" i="18"/>
  <c r="T145" i="18"/>
  <c r="Z32" i="32"/>
  <c r="Y32" i="32"/>
  <c r="Z183" i="32"/>
  <c r="Y183" i="32"/>
  <c r="AF130" i="18"/>
  <c r="N8" i="18"/>
  <c r="L7" i="18"/>
  <c r="N73" i="32"/>
  <c r="Q147" i="18"/>
  <c r="AL137" i="18"/>
  <c r="W67" i="32"/>
  <c r="AI63" i="18"/>
  <c r="Z82" i="18"/>
  <c r="G4" i="17"/>
  <c r="G10" i="17" s="1"/>
  <c r="AL32" i="32"/>
  <c r="Q73" i="32"/>
  <c r="P73" i="32"/>
  <c r="X152" i="18"/>
  <c r="Z153" i="18"/>
  <c r="AC125" i="29"/>
  <c r="K27" i="18"/>
  <c r="K71" i="23"/>
  <c r="H132" i="18"/>
  <c r="Z197" i="32"/>
  <c r="Y197" i="32"/>
  <c r="K88" i="18"/>
  <c r="H85" i="18"/>
  <c r="K9" i="18"/>
  <c r="AC126" i="32"/>
  <c r="AB126" i="32"/>
  <c r="R15" i="23"/>
  <c r="T16" i="23"/>
  <c r="T111" i="32"/>
  <c r="N17" i="18"/>
  <c r="N81" i="18"/>
  <c r="K74" i="29"/>
  <c r="AC81" i="18"/>
  <c r="AI12" i="23"/>
  <c r="Q79" i="32"/>
  <c r="P79" i="32"/>
  <c r="T126" i="29"/>
  <c r="AF125" i="32"/>
  <c r="K72" i="18"/>
  <c r="AI123" i="29"/>
  <c r="L196" i="29"/>
  <c r="N197" i="29"/>
  <c r="W108" i="32"/>
  <c r="K142" i="18"/>
  <c r="W198" i="32"/>
  <c r="O4" i="13"/>
  <c r="Z81" i="23"/>
  <c r="H96" i="23"/>
  <c r="H42" i="23"/>
  <c r="Z66" i="32"/>
  <c r="Y66" i="32"/>
  <c r="AF75" i="23"/>
  <c r="T26" i="23"/>
  <c r="K221" i="32"/>
  <c r="J221" i="32"/>
  <c r="W78" i="29"/>
  <c r="AI202" i="29"/>
  <c r="AI106" i="18"/>
  <c r="AI85" i="23"/>
  <c r="K154" i="29"/>
  <c r="H115" i="23"/>
  <c r="F114" i="23"/>
  <c r="AL204" i="32"/>
  <c r="K70" i="32"/>
  <c r="J70" i="32"/>
  <c r="AL84" i="18"/>
  <c r="AF69" i="29"/>
  <c r="AE69" i="29"/>
  <c r="AC120" i="29"/>
  <c r="Q120" i="18"/>
  <c r="AI65" i="18"/>
  <c r="AC84" i="23"/>
  <c r="N22" i="18"/>
  <c r="AO120" i="18"/>
  <c r="W69" i="32"/>
  <c r="AA58" i="23"/>
  <c r="AC59" i="23"/>
  <c r="AF46" i="23"/>
  <c r="AL78" i="18"/>
  <c r="W135" i="29"/>
  <c r="U134" i="29"/>
  <c r="W52" i="23"/>
  <c r="AC56" i="18"/>
  <c r="L8" i="16"/>
  <c r="T83" i="18"/>
  <c r="F145" i="29"/>
  <c r="H146" i="29"/>
  <c r="G146" i="29"/>
  <c r="M8" i="28"/>
  <c r="AF117" i="29"/>
  <c r="AE117" i="29"/>
  <c r="T105" i="23"/>
  <c r="R104" i="23"/>
  <c r="AL160" i="32"/>
  <c r="K54" i="18"/>
  <c r="AC119" i="23"/>
  <c r="AA118" i="23"/>
  <c r="AI10" i="23"/>
  <c r="L4" i="7"/>
  <c r="Q177" i="29"/>
  <c r="P177" i="29"/>
  <c r="Q107" i="32"/>
  <c r="P107" i="32"/>
  <c r="K8" i="27"/>
  <c r="Z28" i="29"/>
  <c r="AO72" i="18"/>
  <c r="AC156" i="18"/>
  <c r="T105" i="18"/>
  <c r="N42" i="23"/>
  <c r="AD7" i="23"/>
  <c r="AF8" i="23"/>
  <c r="T99" i="18"/>
  <c r="R98" i="18"/>
  <c r="K119" i="23"/>
  <c r="I118" i="23"/>
  <c r="W82" i="23"/>
  <c r="AF65" i="32"/>
  <c r="AC107" i="18"/>
  <c r="K155" i="29"/>
  <c r="K8" i="15"/>
  <c r="W126" i="32"/>
  <c r="AF107" i="18"/>
  <c r="K67" i="29"/>
  <c r="L4" i="14"/>
  <c r="T139" i="18"/>
  <c r="AF77" i="29"/>
  <c r="K156" i="18"/>
  <c r="T115" i="23"/>
  <c r="R114" i="23"/>
  <c r="AI74" i="32"/>
  <c r="H121" i="29"/>
  <c r="G121" i="29"/>
  <c r="AI71" i="32"/>
  <c r="W71" i="29"/>
  <c r="AC144" i="18"/>
  <c r="AI97" i="29"/>
  <c r="AC108" i="18"/>
  <c r="Q9" i="18"/>
  <c r="AL67" i="29"/>
  <c r="AK67" i="29"/>
  <c r="N43" i="18"/>
  <c r="O4" i="8"/>
  <c r="AI185" i="29"/>
  <c r="AO76" i="23"/>
  <c r="N82" i="23"/>
  <c r="AC78" i="23"/>
  <c r="O8" i="1"/>
  <c r="AG111" i="23"/>
  <c r="AI112" i="23"/>
  <c r="AI23" i="23"/>
  <c r="U6" i="29"/>
  <c r="V127" i="29" s="1"/>
  <c r="W7" i="29"/>
  <c r="H38" i="18"/>
  <c r="N83" i="23"/>
  <c r="AF77" i="23"/>
  <c r="S8" i="27"/>
  <c r="D141" i="23" s="1"/>
  <c r="AL156" i="18"/>
  <c r="AL37" i="18"/>
  <c r="K131" i="23"/>
  <c r="AF92" i="23"/>
  <c r="K100" i="18"/>
  <c r="AF78" i="18"/>
  <c r="Q39" i="32"/>
  <c r="O38" i="32"/>
  <c r="P39" i="32"/>
  <c r="Q156" i="18"/>
  <c r="N11" i="32"/>
  <c r="W163" i="32"/>
  <c r="AI106" i="32"/>
  <c r="K139" i="18"/>
  <c r="H147" i="29"/>
  <c r="G147" i="29"/>
  <c r="AC77" i="18"/>
  <c r="K205" i="32"/>
  <c r="J205" i="32"/>
  <c r="H47" i="23"/>
  <c r="K122" i="32"/>
  <c r="J122" i="32"/>
  <c r="AI183" i="32"/>
  <c r="AC9" i="32"/>
  <c r="AB9" i="32"/>
  <c r="AL102" i="32"/>
  <c r="H216" i="32"/>
  <c r="F215" i="32"/>
  <c r="T26" i="18"/>
  <c r="Q76" i="29"/>
  <c r="P76" i="29"/>
  <c r="S23" i="25"/>
  <c r="T23" i="25" s="1"/>
  <c r="T24" i="25"/>
  <c r="T57" i="18"/>
  <c r="AL115" i="18"/>
  <c r="AI203" i="32"/>
  <c r="AC169" i="32"/>
  <c r="AB169" i="32"/>
  <c r="AL117" i="29"/>
  <c r="AK117" i="29"/>
  <c r="AC125" i="32"/>
  <c r="AB125" i="32"/>
  <c r="Q105" i="32"/>
  <c r="P105" i="32"/>
  <c r="AO100" i="18"/>
  <c r="R4" i="1"/>
  <c r="H148" i="29"/>
  <c r="G148" i="29"/>
  <c r="AC114" i="32"/>
  <c r="AB114" i="32"/>
  <c r="W131" i="18"/>
  <c r="H107" i="23"/>
  <c r="AL131" i="18"/>
  <c r="AF53" i="18"/>
  <c r="T137" i="18"/>
  <c r="AO147" i="18"/>
  <c r="AC41" i="23"/>
  <c r="R19" i="18"/>
  <c r="T20" i="18"/>
  <c r="AO88" i="18"/>
  <c r="AI99" i="29"/>
  <c r="AF83" i="18"/>
  <c r="T39" i="18"/>
  <c r="D62" i="32"/>
  <c r="Q78" i="23"/>
  <c r="M4" i="14"/>
  <c r="W51" i="18"/>
  <c r="AI22" i="18"/>
  <c r="N87" i="18"/>
  <c r="W76" i="18"/>
  <c r="W84" i="18"/>
  <c r="X181" i="32"/>
  <c r="Z182" i="32"/>
  <c r="Y182" i="32"/>
  <c r="AC178" i="29"/>
  <c r="AF83" i="23"/>
  <c r="W72" i="23"/>
  <c r="AL36" i="18"/>
  <c r="AJ35" i="18"/>
  <c r="AD98" i="18"/>
  <c r="AF99" i="18"/>
  <c r="AL154" i="29"/>
  <c r="AK154" i="29"/>
  <c r="AI31" i="18"/>
  <c r="AG30" i="18"/>
  <c r="Q70" i="29"/>
  <c r="P70" i="29"/>
  <c r="AF79" i="18"/>
  <c r="W142" i="18"/>
  <c r="AC10" i="32"/>
  <c r="AB10" i="32"/>
  <c r="I6" i="29"/>
  <c r="J95" i="29" s="1"/>
  <c r="K7" i="29"/>
  <c r="K126" i="29"/>
  <c r="G4" i="15"/>
  <c r="AC131" i="18"/>
  <c r="AD118" i="23"/>
  <c r="AF119" i="23"/>
  <c r="N71" i="32"/>
  <c r="AF176" i="29"/>
  <c r="AD175" i="29"/>
  <c r="AF95" i="29"/>
  <c r="AD94" i="29"/>
  <c r="O8" i="15"/>
  <c r="H113" i="32"/>
  <c r="AL113" i="32"/>
  <c r="AK113" i="32"/>
  <c r="H116" i="32"/>
  <c r="N102" i="32"/>
  <c r="Q116" i="23"/>
  <c r="Q142" i="23"/>
  <c r="AF41" i="23"/>
  <c r="T67" i="29"/>
  <c r="W144" i="18"/>
  <c r="AL98" i="23"/>
  <c r="AI178" i="29"/>
  <c r="F4" i="15"/>
  <c r="F10" i="15" s="1"/>
  <c r="W110" i="32"/>
  <c r="K86" i="23"/>
  <c r="H147" i="18"/>
  <c r="W125" i="29"/>
  <c r="K58" i="18"/>
  <c r="AI55" i="18"/>
  <c r="AO45" i="23"/>
  <c r="F4" i="11"/>
  <c r="F10" i="11" s="1"/>
  <c r="Z76" i="23"/>
  <c r="AF47" i="18"/>
  <c r="AD46" i="18"/>
  <c r="N8" i="11"/>
  <c r="K162" i="32"/>
  <c r="J162" i="32"/>
  <c r="T96" i="18"/>
  <c r="R94" i="18"/>
  <c r="K63" i="18"/>
  <c r="W70" i="23"/>
  <c r="AI90" i="23"/>
  <c r="T196" i="32"/>
  <c r="AC52" i="23"/>
  <c r="Q155" i="29"/>
  <c r="P155" i="29"/>
  <c r="AI21" i="18"/>
  <c r="H99" i="18"/>
  <c r="F98" i="18"/>
  <c r="O58" i="23"/>
  <c r="Q59" i="23"/>
  <c r="AM68" i="18"/>
  <c r="AO71" i="18"/>
  <c r="F32" i="25"/>
  <c r="N140" i="18"/>
  <c r="AF77" i="32"/>
  <c r="AE77" i="32"/>
  <c r="T58" i="18"/>
  <c r="Q145" i="18"/>
  <c r="AL165" i="29"/>
  <c r="AK165" i="29"/>
  <c r="AF183" i="32"/>
  <c r="Z186" i="29"/>
  <c r="Q168" i="32"/>
  <c r="P168" i="32"/>
  <c r="AL85" i="23"/>
  <c r="N25" i="18"/>
  <c r="T46" i="23"/>
  <c r="W50" i="23"/>
  <c r="AF85" i="23"/>
  <c r="AI120" i="18"/>
  <c r="Z122" i="29"/>
  <c r="AF127" i="23"/>
  <c r="W216" i="32"/>
  <c r="U215" i="32"/>
  <c r="Q77" i="29"/>
  <c r="P77" i="29"/>
  <c r="AF28" i="29"/>
  <c r="AF22" i="18"/>
  <c r="N133" i="18"/>
  <c r="M4" i="12"/>
  <c r="M10" i="12" s="1"/>
  <c r="T156" i="32"/>
  <c r="R155" i="32"/>
  <c r="AI61" i="29"/>
  <c r="M31" i="25"/>
  <c r="AJ172" i="32"/>
  <c r="AL173" i="32"/>
  <c r="AJ19" i="18"/>
  <c r="AL20" i="18"/>
  <c r="AF80" i="32"/>
  <c r="AE80" i="32"/>
  <c r="W199" i="32"/>
  <c r="AL75" i="23"/>
  <c r="K41" i="23"/>
  <c r="AF66" i="32"/>
  <c r="AE66" i="32"/>
  <c r="AL125" i="29"/>
  <c r="AK125" i="29"/>
  <c r="AL77" i="18"/>
  <c r="AI100" i="23"/>
  <c r="AI112" i="32"/>
  <c r="AF116" i="29"/>
  <c r="Z43" i="23"/>
  <c r="AI38" i="18"/>
  <c r="AL88" i="18"/>
  <c r="AO112" i="23"/>
  <c r="AM111" i="23"/>
  <c r="AL130" i="18"/>
  <c r="T59" i="29"/>
  <c r="N107" i="18"/>
  <c r="N198" i="29"/>
  <c r="K24" i="18"/>
  <c r="Z109" i="23"/>
  <c r="AL99" i="29"/>
  <c r="AK99" i="29"/>
  <c r="Z51" i="23"/>
  <c r="AL115" i="32"/>
  <c r="H20" i="18"/>
  <c r="F19" i="18"/>
  <c r="U19" i="18"/>
  <c r="W20" i="18"/>
  <c r="T81" i="32"/>
  <c r="AF52" i="23"/>
  <c r="N8" i="16"/>
  <c r="AI116" i="23"/>
  <c r="AF85" i="18"/>
  <c r="P118" i="32"/>
  <c r="Q118" i="32"/>
  <c r="Q51" i="23"/>
  <c r="Q60" i="23"/>
  <c r="AC161" i="32"/>
  <c r="AB161" i="32"/>
  <c r="V24" i="25"/>
  <c r="U23" i="25"/>
  <c r="V23" i="25" s="1"/>
  <c r="H108" i="23"/>
  <c r="T114" i="32"/>
  <c r="AC117" i="32"/>
  <c r="AB117" i="32"/>
  <c r="Q110" i="32"/>
  <c r="P110" i="32"/>
  <c r="T128" i="29"/>
  <c r="N8" i="8"/>
  <c r="AC143" i="18"/>
  <c r="H173" i="32"/>
  <c r="F172" i="32"/>
  <c r="Z106" i="32"/>
  <c r="Y106" i="32"/>
  <c r="H165" i="29"/>
  <c r="G165" i="29"/>
  <c r="H101" i="23"/>
  <c r="W79" i="32"/>
  <c r="G8" i="7"/>
  <c r="Z72" i="29"/>
  <c r="M8" i="7"/>
  <c r="AL56" i="23"/>
  <c r="AI145" i="18"/>
  <c r="Z204" i="32"/>
  <c r="Y204" i="32"/>
  <c r="W155" i="18"/>
  <c r="AI10" i="32"/>
  <c r="AL178" i="29"/>
  <c r="AK178" i="29"/>
  <c r="Z78" i="23"/>
  <c r="Q39" i="18"/>
  <c r="N84" i="18"/>
  <c r="AJ134" i="29"/>
  <c r="AL135" i="29"/>
  <c r="AK135" i="29"/>
  <c r="T41" i="23"/>
  <c r="AC56" i="32"/>
  <c r="AB56" i="32"/>
  <c r="Q45" i="23"/>
  <c r="H8" i="32"/>
  <c r="AC78" i="29"/>
  <c r="AA68" i="18"/>
  <c r="AC71" i="18"/>
  <c r="T121" i="29"/>
  <c r="Q79" i="18"/>
  <c r="N68" i="32"/>
  <c r="N76" i="32"/>
  <c r="AM133" i="23"/>
  <c r="AO134" i="23"/>
  <c r="T159" i="32"/>
  <c r="T137" i="23"/>
  <c r="AA145" i="29"/>
  <c r="AC146" i="29"/>
  <c r="W160" i="32"/>
  <c r="K118" i="18"/>
  <c r="I117" i="18"/>
  <c r="N76" i="23"/>
  <c r="W183" i="29"/>
  <c r="U182" i="29"/>
  <c r="H39" i="18"/>
  <c r="AI139" i="18"/>
  <c r="K77" i="32"/>
  <c r="J77" i="32"/>
  <c r="H119" i="18"/>
  <c r="Z22" i="23"/>
  <c r="T44" i="23"/>
  <c r="Z126" i="23"/>
  <c r="X125" i="23"/>
  <c r="D150" i="29"/>
  <c r="E150" i="29" s="1"/>
  <c r="E151" i="29"/>
  <c r="H79" i="23"/>
  <c r="AL100" i="18"/>
  <c r="K165" i="29"/>
  <c r="N28" i="29"/>
  <c r="AO105" i="18"/>
  <c r="W203" i="32"/>
  <c r="AI144" i="18"/>
  <c r="Z100" i="18"/>
  <c r="W164" i="29"/>
  <c r="U163" i="29"/>
  <c r="X30" i="18"/>
  <c r="Z31" i="18"/>
  <c r="AF78" i="23"/>
  <c r="AL10" i="32"/>
  <c r="M8" i="15"/>
  <c r="AC65" i="29"/>
  <c r="N130" i="18"/>
  <c r="K61" i="29"/>
  <c r="T77" i="18"/>
  <c r="AC135" i="23"/>
  <c r="AA133" i="23"/>
  <c r="N80" i="32"/>
  <c r="H24" i="23"/>
  <c r="AI56" i="32"/>
  <c r="Q74" i="32"/>
  <c r="P74" i="32"/>
  <c r="G8" i="9"/>
  <c r="N9" i="18"/>
  <c r="Z64" i="18"/>
  <c r="AL105" i="32"/>
  <c r="AC9" i="23"/>
  <c r="AC8" i="18"/>
  <c r="AA7" i="18"/>
  <c r="H77" i="23"/>
  <c r="K98" i="29"/>
  <c r="N113" i="32"/>
  <c r="O4" i="12"/>
  <c r="AL8" i="18"/>
  <c r="AJ7" i="18"/>
  <c r="Q93" i="23"/>
  <c r="AI87" i="18"/>
  <c r="AK120" i="29"/>
  <c r="AL120" i="29"/>
  <c r="Z48" i="18"/>
  <c r="K59" i="29"/>
  <c r="F4" i="10"/>
  <c r="H23" i="23"/>
  <c r="Z24" i="18"/>
  <c r="H106" i="32"/>
  <c r="Q119" i="18"/>
  <c r="AJ114" i="23"/>
  <c r="AL115" i="23"/>
  <c r="Z177" i="29"/>
  <c r="Z161" i="32"/>
  <c r="Y161" i="32"/>
  <c r="N176" i="29"/>
  <c r="L175" i="29"/>
  <c r="AO80" i="18"/>
  <c r="AI70" i="29"/>
  <c r="Z110" i="32"/>
  <c r="Y110" i="32"/>
  <c r="AL75" i="29"/>
  <c r="AK75" i="29"/>
  <c r="T28" i="29"/>
  <c r="W80" i="23"/>
  <c r="AC44" i="18"/>
  <c r="AI49" i="23"/>
  <c r="W26" i="29"/>
  <c r="AO119" i="18"/>
  <c r="H119" i="29"/>
  <c r="G119" i="29"/>
  <c r="N96" i="23"/>
  <c r="Q67" i="23"/>
  <c r="AC73" i="29"/>
  <c r="AB73" i="29"/>
  <c r="AK119" i="29"/>
  <c r="AL119" i="29"/>
  <c r="O133" i="23"/>
  <c r="Q135" i="23"/>
  <c r="AL50" i="18"/>
  <c r="AJ118" i="23"/>
  <c r="AL119" i="23"/>
  <c r="AI50" i="23"/>
  <c r="L6" i="29"/>
  <c r="M201" i="29" s="1"/>
  <c r="N7" i="29"/>
  <c r="L94" i="18"/>
  <c r="N96" i="18"/>
  <c r="F8" i="8"/>
  <c r="AJ30" i="18"/>
  <c r="AL31" i="18"/>
  <c r="T117" i="32"/>
  <c r="W161" i="32"/>
  <c r="Z152" i="29"/>
  <c r="T80" i="18"/>
  <c r="AC179" i="29"/>
  <c r="AC206" i="32"/>
  <c r="AB206" i="32"/>
  <c r="N201" i="29"/>
  <c r="L200" i="29"/>
  <c r="AO41" i="18"/>
  <c r="AI119" i="23"/>
  <c r="AG118" i="23"/>
  <c r="AC93" i="23"/>
  <c r="AC64" i="18"/>
  <c r="O8" i="13"/>
  <c r="AI105" i="23"/>
  <c r="AG104" i="23"/>
  <c r="AL11" i="23"/>
  <c r="AF55" i="18"/>
  <c r="AO101" i="23"/>
  <c r="H72" i="18"/>
  <c r="N120" i="23"/>
  <c r="AI180" i="29"/>
  <c r="AF72" i="29"/>
  <c r="AE72" i="29"/>
  <c r="N145" i="18"/>
  <c r="AO50" i="23"/>
  <c r="AO41" i="23"/>
  <c r="AD155" i="32"/>
  <c r="AF156" i="32"/>
  <c r="K32" i="32"/>
  <c r="J32" i="32"/>
  <c r="AF56" i="18"/>
  <c r="O8" i="7"/>
  <c r="N74" i="23"/>
  <c r="I8" i="28"/>
  <c r="AF115" i="32"/>
  <c r="I46" i="18"/>
  <c r="K47" i="18"/>
  <c r="N128" i="29"/>
  <c r="AC96" i="29"/>
  <c r="AA128" i="18"/>
  <c r="AC129" i="18"/>
  <c r="AL75" i="32"/>
  <c r="K178" i="29"/>
  <c r="K134" i="23"/>
  <c r="AL81" i="23"/>
  <c r="AC79" i="18"/>
  <c r="H75" i="32"/>
  <c r="L8" i="11"/>
  <c r="AL21" i="18"/>
  <c r="AI71" i="23"/>
  <c r="H109" i="23"/>
  <c r="Q100" i="18"/>
  <c r="AI134" i="23"/>
  <c r="AC17" i="18"/>
  <c r="Q59" i="29"/>
  <c r="P59" i="29"/>
  <c r="AL114" i="32"/>
  <c r="T102" i="23"/>
  <c r="F8" i="2"/>
  <c r="AI85" i="18"/>
  <c r="J8" i="28"/>
  <c r="K55" i="18"/>
  <c r="AL169" i="32"/>
  <c r="H107" i="18"/>
  <c r="R175" i="29"/>
  <c r="T176" i="29"/>
  <c r="AL87" i="18"/>
  <c r="AC108" i="32"/>
  <c r="AB108" i="32"/>
  <c r="H217" i="32"/>
  <c r="N60" i="29"/>
  <c r="H99" i="29"/>
  <c r="G99" i="29"/>
  <c r="T64" i="29"/>
  <c r="H182" i="32"/>
  <c r="F181" i="32"/>
  <c r="AL79" i="18"/>
  <c r="V35" i="25"/>
  <c r="U34" i="25"/>
  <c r="V34" i="25" s="1"/>
  <c r="H13" i="23"/>
  <c r="AJ196" i="29"/>
  <c r="AL197" i="29"/>
  <c r="AK197" i="29"/>
  <c r="D163" i="29"/>
  <c r="E163" i="29" s="1"/>
  <c r="E164" i="29"/>
  <c r="N49" i="18"/>
  <c r="AL108" i="32"/>
  <c r="K198" i="32"/>
  <c r="J198" i="32"/>
  <c r="AF107" i="32"/>
  <c r="AE107" i="32"/>
  <c r="AC81" i="23"/>
  <c r="F4" i="16"/>
  <c r="N101" i="23"/>
  <c r="Q84" i="23"/>
  <c r="AL69" i="32"/>
  <c r="X175" i="29"/>
  <c r="Z176" i="29"/>
  <c r="Q197" i="29"/>
  <c r="O196" i="29"/>
  <c r="P197" i="29"/>
  <c r="AF119" i="18"/>
  <c r="Q112" i="23"/>
  <c r="O111" i="23"/>
  <c r="AF21" i="18"/>
  <c r="H180" i="29"/>
  <c r="G180" i="29"/>
  <c r="L6" i="32"/>
  <c r="M183" i="32" s="1"/>
  <c r="N7" i="32"/>
  <c r="W109" i="23"/>
  <c r="N179" i="29"/>
  <c r="AI125" i="32"/>
  <c r="AC61" i="29"/>
  <c r="AA46" i="18"/>
  <c r="AC47" i="18"/>
  <c r="AO130" i="18"/>
  <c r="K71" i="29"/>
  <c r="W142" i="23"/>
  <c r="AI95" i="29"/>
  <c r="AG94" i="29"/>
  <c r="Z142" i="23"/>
  <c r="H70" i="23"/>
  <c r="K81" i="18"/>
  <c r="T53" i="18"/>
  <c r="K71" i="32"/>
  <c r="P109" i="32"/>
  <c r="Q109" i="32"/>
  <c r="AF60" i="23"/>
  <c r="AA182" i="29"/>
  <c r="AC183" i="29"/>
  <c r="T127" i="29"/>
  <c r="U150" i="29"/>
  <c r="W151" i="29"/>
  <c r="H8" i="28"/>
  <c r="T205" i="32"/>
  <c r="W42" i="18"/>
  <c r="H169" i="32"/>
  <c r="K20" i="18"/>
  <c r="I19" i="18"/>
  <c r="Z121" i="32"/>
  <c r="Y121" i="32"/>
  <c r="AG215" i="32"/>
  <c r="AI216" i="32"/>
  <c r="AL109" i="18"/>
  <c r="AI119" i="32"/>
  <c r="AI183" i="29"/>
  <c r="AG182" i="29"/>
  <c r="N12" i="23"/>
  <c r="AI48" i="23"/>
  <c r="AL116" i="29"/>
  <c r="AK116" i="29"/>
  <c r="AO116" i="23"/>
  <c r="X165" i="32"/>
  <c r="Z166" i="32"/>
  <c r="Y166" i="32"/>
  <c r="AC91" i="23"/>
  <c r="I4" i="1"/>
  <c r="Q41" i="23"/>
  <c r="AM129" i="23"/>
  <c r="AO130" i="23"/>
  <c r="T27" i="25"/>
  <c r="E115" i="29"/>
  <c r="AI136" i="23"/>
  <c r="AF147" i="29"/>
  <c r="Z72" i="23"/>
  <c r="L60" i="18"/>
  <c r="N61" i="18"/>
  <c r="N159" i="32"/>
  <c r="E125" i="29"/>
  <c r="AC73" i="23"/>
  <c r="K120" i="29"/>
  <c r="AC158" i="32"/>
  <c r="AB158" i="32"/>
  <c r="Q61" i="23"/>
  <c r="Q131" i="18"/>
  <c r="AD30" i="18"/>
  <c r="AF31" i="18"/>
  <c r="Z76" i="32"/>
  <c r="Y76" i="32"/>
  <c r="K49" i="23"/>
  <c r="R7" i="18"/>
  <c r="T8" i="18"/>
  <c r="AI84" i="23"/>
  <c r="AC119" i="32"/>
  <c r="AB119" i="32"/>
  <c r="T69" i="23"/>
  <c r="R58" i="23"/>
  <c r="T59" i="23"/>
  <c r="Z165" i="29"/>
  <c r="T56" i="18"/>
  <c r="H46" i="23"/>
  <c r="N93" i="23"/>
  <c r="AI69" i="29"/>
  <c r="O4" i="9"/>
  <c r="K159" i="32"/>
  <c r="J159" i="32"/>
  <c r="X114" i="23"/>
  <c r="Z115" i="23"/>
  <c r="Z96" i="23"/>
  <c r="H96" i="29"/>
  <c r="G96" i="29"/>
  <c r="S34" i="25"/>
  <c r="T34" i="25" s="1"/>
  <c r="T35" i="25"/>
  <c r="Z144" i="18"/>
  <c r="T28" i="18"/>
  <c r="F155" i="32"/>
  <c r="H156" i="32"/>
  <c r="R35" i="18"/>
  <c r="T36" i="18"/>
  <c r="AI126" i="32"/>
  <c r="H120" i="29"/>
  <c r="G120" i="29"/>
  <c r="AF50" i="18"/>
  <c r="AF119" i="32"/>
  <c r="AE119" i="32"/>
  <c r="AC115" i="18"/>
  <c r="W59" i="29"/>
  <c r="Q96" i="29"/>
  <c r="P96" i="29"/>
  <c r="M4" i="17"/>
  <c r="M10" i="17" s="1"/>
  <c r="Q8" i="18"/>
  <c r="O7" i="18"/>
  <c r="K119" i="18"/>
  <c r="H88" i="18"/>
  <c r="K156" i="32"/>
  <c r="I155" i="32"/>
  <c r="J156" i="32"/>
  <c r="N105" i="18"/>
  <c r="H50" i="23"/>
  <c r="AL133" i="18"/>
  <c r="E153" i="29"/>
  <c r="N52" i="23"/>
  <c r="W103" i="18"/>
  <c r="U102" i="18"/>
  <c r="AI205" i="32"/>
  <c r="W158" i="29"/>
  <c r="U157" i="29"/>
  <c r="H186" i="29"/>
  <c r="G186" i="29"/>
  <c r="AL51" i="23"/>
  <c r="AO137" i="23"/>
  <c r="Z70" i="32"/>
  <c r="Y70" i="32"/>
  <c r="Q186" i="29"/>
  <c r="P186" i="29"/>
  <c r="AL220" i="32"/>
  <c r="AJ219" i="32"/>
  <c r="AK220" i="32"/>
  <c r="AF217" i="32"/>
  <c r="AE217" i="32"/>
  <c r="W118" i="32"/>
  <c r="H4" i="28"/>
  <c r="W139" i="18"/>
  <c r="AL46" i="23"/>
  <c r="Q75" i="29"/>
  <c r="P75" i="29"/>
  <c r="H168" i="32"/>
  <c r="N10" i="23"/>
  <c r="H63" i="18"/>
  <c r="AF112" i="23"/>
  <c r="AD111" i="23"/>
  <c r="N66" i="29"/>
  <c r="H93" i="23"/>
  <c r="W116" i="32"/>
  <c r="AF126" i="29"/>
  <c r="T158" i="32"/>
  <c r="AF84" i="23"/>
  <c r="L8" i="28"/>
  <c r="K23" i="23"/>
  <c r="K135" i="29"/>
  <c r="I134" i="29"/>
  <c r="AI26" i="23"/>
  <c r="H79" i="18"/>
  <c r="N155" i="29"/>
  <c r="X19" i="18"/>
  <c r="Z20" i="18"/>
  <c r="AC51" i="23"/>
  <c r="T116" i="29"/>
  <c r="AL118" i="32"/>
  <c r="Q16" i="23"/>
  <c r="O15" i="23"/>
  <c r="AF98" i="23"/>
  <c r="K8" i="29"/>
  <c r="N185" i="29"/>
  <c r="AJ102" i="18"/>
  <c r="AL103" i="18"/>
  <c r="AC62" i="29"/>
  <c r="AO83" i="18"/>
  <c r="AL145" i="18"/>
  <c r="Q90" i="23"/>
  <c r="Z121" i="29"/>
  <c r="N46" i="23"/>
  <c r="AF131" i="18"/>
  <c r="AL126" i="32"/>
  <c r="K78" i="23"/>
  <c r="M4" i="15"/>
  <c r="H95" i="23"/>
  <c r="H33" i="18"/>
  <c r="Q88" i="18"/>
  <c r="T42" i="18"/>
  <c r="AI132" i="18"/>
  <c r="T72" i="18"/>
  <c r="N107" i="32"/>
  <c r="N126" i="32"/>
  <c r="K153" i="29"/>
  <c r="Q107" i="23"/>
  <c r="AL40" i="32"/>
  <c r="Z99" i="29"/>
  <c r="L4" i="11"/>
  <c r="AC76" i="18"/>
  <c r="W130" i="18"/>
  <c r="T96" i="23"/>
  <c r="AL147" i="29"/>
  <c r="AK147" i="29"/>
  <c r="T120" i="32"/>
  <c r="H64" i="18"/>
  <c r="K10" i="23"/>
  <c r="O152" i="18"/>
  <c r="Q153" i="18"/>
  <c r="AC139" i="18"/>
  <c r="AL12" i="23"/>
  <c r="K118" i="29"/>
  <c r="AI54" i="18"/>
  <c r="N123" i="32"/>
  <c r="AC44" i="23"/>
  <c r="AC85" i="23"/>
  <c r="AJ94" i="18"/>
  <c r="AL96" i="18"/>
  <c r="H77" i="18"/>
  <c r="AD145" i="29"/>
  <c r="AF146" i="29"/>
  <c r="K62" i="18"/>
  <c r="H62" i="18"/>
  <c r="AO140" i="18"/>
  <c r="T109" i="18"/>
  <c r="O172" i="32"/>
  <c r="Q173" i="32"/>
  <c r="P173" i="32"/>
  <c r="AI53" i="18"/>
  <c r="W167" i="32"/>
  <c r="AF116" i="32"/>
  <c r="AE116" i="32"/>
  <c r="N125" i="29"/>
  <c r="AI74" i="29"/>
  <c r="AC154" i="18"/>
  <c r="AF152" i="29"/>
  <c r="AJ152" i="18"/>
  <c r="AL153" i="18"/>
  <c r="H25" i="18"/>
  <c r="AF9" i="18"/>
  <c r="N23" i="18"/>
  <c r="AF177" i="29"/>
  <c r="AE177" i="29"/>
  <c r="Q92" i="23"/>
  <c r="H202" i="29"/>
  <c r="G202" i="29"/>
  <c r="W176" i="29"/>
  <c r="U175" i="29"/>
  <c r="AL107" i="18"/>
  <c r="Z75" i="18"/>
  <c r="X74" i="18"/>
  <c r="AI105" i="18"/>
  <c r="AI195" i="32"/>
  <c r="AG194" i="32"/>
  <c r="F200" i="29"/>
  <c r="H201" i="29"/>
  <c r="G201" i="29"/>
  <c r="AF36" i="29"/>
  <c r="AD35" i="29"/>
  <c r="AA175" i="29"/>
  <c r="AC176" i="29"/>
  <c r="AF186" i="29"/>
  <c r="Q165" i="29"/>
  <c r="T165" i="29"/>
  <c r="P165" i="29"/>
  <c r="W85" i="23"/>
  <c r="Q78" i="32"/>
  <c r="P78" i="32"/>
  <c r="AF16" i="23"/>
  <c r="AD15" i="23"/>
  <c r="AL154" i="18"/>
  <c r="AF163" i="32"/>
  <c r="AE163" i="32"/>
  <c r="H8" i="1"/>
  <c r="AF221" i="32"/>
  <c r="AE221" i="32"/>
  <c r="H116" i="23"/>
  <c r="H109" i="18"/>
  <c r="AI206" i="32"/>
  <c r="Q83" i="32"/>
  <c r="P83" i="32"/>
  <c r="H86" i="23"/>
  <c r="K166" i="32"/>
  <c r="I165" i="32"/>
  <c r="J166" i="32"/>
  <c r="Z53" i="18"/>
  <c r="Q80" i="32"/>
  <c r="P80" i="32"/>
  <c r="AL127" i="29"/>
  <c r="AK127" i="29"/>
  <c r="Q180" i="29"/>
  <c r="P180" i="29"/>
  <c r="AF78" i="29"/>
  <c r="AC50" i="23"/>
  <c r="M4" i="8"/>
  <c r="M10" i="8" s="1"/>
  <c r="AF64" i="18"/>
  <c r="N121" i="32"/>
  <c r="T68" i="32"/>
  <c r="E99" i="29"/>
  <c r="Q55" i="18"/>
  <c r="AO21" i="18"/>
  <c r="O60" i="18"/>
  <c r="Q61" i="18"/>
  <c r="W47" i="18"/>
  <c r="U46" i="18"/>
  <c r="R163" i="29"/>
  <c r="T164" i="29"/>
  <c r="AC67" i="23"/>
  <c r="Z108" i="23"/>
  <c r="AA38" i="32"/>
  <c r="AB39" i="32"/>
  <c r="AC39" i="32"/>
  <c r="AC16" i="23"/>
  <c r="AA15" i="23"/>
  <c r="N186" i="29"/>
  <c r="W77" i="18"/>
  <c r="K48" i="18"/>
  <c r="L219" i="32"/>
  <c r="N220" i="32"/>
  <c r="K107" i="32"/>
  <c r="J107" i="32"/>
  <c r="K108" i="23"/>
  <c r="F4" i="14"/>
  <c r="F10" i="14" s="1"/>
  <c r="Q44" i="18"/>
  <c r="AI28" i="29"/>
  <c r="K134" i="18"/>
  <c r="H124" i="32"/>
  <c r="AC63" i="32"/>
  <c r="AA62" i="32"/>
  <c r="AB63" i="32"/>
  <c r="T24" i="23"/>
  <c r="H128" i="29"/>
  <c r="G128" i="29"/>
  <c r="Z44" i="23"/>
  <c r="T129" i="18"/>
  <c r="R128" i="18"/>
  <c r="Z101" i="23"/>
  <c r="AO46" i="23"/>
  <c r="K91" i="23"/>
  <c r="AC184" i="29"/>
  <c r="AF62" i="18"/>
  <c r="AL104" i="18"/>
  <c r="P8" i="27"/>
  <c r="AC101" i="32"/>
  <c r="AA100" i="32"/>
  <c r="AB101" i="32"/>
  <c r="Z26" i="29"/>
  <c r="N99" i="29"/>
  <c r="H51" i="18"/>
  <c r="O4" i="2"/>
  <c r="AC38" i="18"/>
  <c r="AF40" i="18"/>
  <c r="N20" i="18"/>
  <c r="L19" i="18"/>
  <c r="W117" i="29"/>
  <c r="AF78" i="32"/>
  <c r="AE78" i="32"/>
  <c r="W136" i="18"/>
  <c r="Z36" i="18"/>
  <c r="X35" i="18"/>
  <c r="AF74" i="29"/>
  <c r="T11" i="32"/>
  <c r="L8" i="14"/>
  <c r="Z90" i="23"/>
  <c r="K9" i="32"/>
  <c r="J9" i="32"/>
  <c r="T199" i="32"/>
  <c r="AF95" i="23"/>
  <c r="Q53" i="18"/>
  <c r="AO156" i="18"/>
  <c r="AC147" i="18"/>
  <c r="K43" i="23"/>
  <c r="N70" i="29"/>
  <c r="Z126" i="29"/>
  <c r="AI80" i="18"/>
  <c r="N55" i="18"/>
  <c r="Z37" i="18"/>
  <c r="AI60" i="29"/>
  <c r="Q179" i="29"/>
  <c r="P179" i="29"/>
  <c r="Z102" i="32"/>
  <c r="Y102" i="32"/>
  <c r="AF160" i="32"/>
  <c r="AE160" i="32"/>
  <c r="AL67" i="32"/>
  <c r="W102" i="32"/>
  <c r="T134" i="23"/>
  <c r="E202" i="29"/>
  <c r="Q8" i="27"/>
  <c r="N160" i="32"/>
  <c r="D157" i="29"/>
  <c r="E157" i="29" s="1"/>
  <c r="E158" i="29"/>
  <c r="AM54" i="23"/>
  <c r="AO55" i="23"/>
  <c r="AC28" i="29"/>
  <c r="AC131" i="23"/>
  <c r="AI159" i="32"/>
  <c r="Q10" i="18"/>
  <c r="W98" i="29"/>
  <c r="AL159" i="32"/>
  <c r="AK159" i="32"/>
  <c r="N33" i="18"/>
  <c r="N122" i="29"/>
  <c r="Q62" i="29"/>
  <c r="P62" i="29"/>
  <c r="Q119" i="29"/>
  <c r="P119" i="29"/>
  <c r="K141" i="18"/>
  <c r="W135" i="23"/>
  <c r="U133" i="23"/>
  <c r="H103" i="32"/>
  <c r="AO143" i="18"/>
  <c r="AI152" i="29"/>
  <c r="W119" i="32"/>
  <c r="N99" i="23"/>
  <c r="AL24" i="23"/>
  <c r="K185" i="29"/>
  <c r="N202" i="29"/>
  <c r="T120" i="29"/>
  <c r="K202" i="29"/>
  <c r="Q66" i="32"/>
  <c r="P66" i="32"/>
  <c r="AC27" i="18"/>
  <c r="AO43" i="23"/>
  <c r="AC21" i="18"/>
  <c r="K4" i="1"/>
  <c r="K148" i="29"/>
  <c r="H154" i="18"/>
  <c r="K104" i="18"/>
  <c r="AF161" i="32"/>
  <c r="AE161" i="32"/>
  <c r="Q154" i="18"/>
  <c r="W73" i="23"/>
  <c r="H26" i="23"/>
  <c r="H75" i="29"/>
  <c r="G75" i="29"/>
  <c r="AI81" i="18"/>
  <c r="AF88" i="18"/>
  <c r="AL82" i="23"/>
  <c r="G8" i="11"/>
  <c r="Z97" i="29"/>
  <c r="AC92" i="23"/>
  <c r="AF10" i="32"/>
  <c r="AE10" i="32"/>
  <c r="AF123" i="29"/>
  <c r="H83" i="18"/>
  <c r="AI10" i="18"/>
  <c r="AO42" i="18"/>
  <c r="H74" i="23"/>
  <c r="AO12" i="23"/>
  <c r="AJ215" i="32"/>
  <c r="AL216" i="32"/>
  <c r="W23" i="18"/>
  <c r="AO135" i="18"/>
  <c r="AI41" i="18"/>
  <c r="Q71" i="29"/>
  <c r="P71" i="29"/>
  <c r="E119" i="29"/>
  <c r="AA157" i="29"/>
  <c r="AC158" i="29"/>
  <c r="AB158" i="29"/>
  <c r="AL23" i="18"/>
  <c r="H89" i="23"/>
  <c r="J4" i="28"/>
  <c r="W74" i="23"/>
  <c r="N77" i="32"/>
  <c r="T76" i="23"/>
  <c r="AF59" i="29"/>
  <c r="AE59" i="29"/>
  <c r="AC128" i="29"/>
  <c r="Q115" i="32"/>
  <c r="P115" i="32"/>
  <c r="T131" i="23"/>
  <c r="Q69" i="32"/>
  <c r="P69" i="32"/>
  <c r="T161" i="32"/>
  <c r="K116" i="32"/>
  <c r="J116" i="32"/>
  <c r="T140" i="18"/>
  <c r="AO49" i="23"/>
  <c r="Q184" i="29"/>
  <c r="P184" i="29"/>
  <c r="AL98" i="29"/>
  <c r="AK98" i="29"/>
  <c r="AF81" i="32"/>
  <c r="W69" i="23"/>
  <c r="W31" i="18"/>
  <c r="U30" i="18"/>
  <c r="Z73" i="29"/>
  <c r="K105" i="18"/>
  <c r="R215" i="32"/>
  <c r="T216" i="32"/>
  <c r="N62" i="29"/>
  <c r="F4" i="9"/>
  <c r="F10" i="9" s="1"/>
  <c r="U145" i="29"/>
  <c r="W146" i="29"/>
  <c r="W103" i="32"/>
  <c r="N217" i="32"/>
  <c r="K46" i="23"/>
  <c r="K11" i="23"/>
  <c r="Q72" i="18"/>
  <c r="W83" i="23"/>
  <c r="Q152" i="29"/>
  <c r="P152" i="29"/>
  <c r="AF68" i="32"/>
  <c r="AE68" i="32"/>
  <c r="AI122" i="29"/>
  <c r="N206" i="32"/>
  <c r="K17" i="18"/>
  <c r="P195" i="32"/>
  <c r="Q195" i="32"/>
  <c r="O194" i="32"/>
  <c r="AO108" i="23"/>
  <c r="AL97" i="29"/>
  <c r="AK97" i="29"/>
  <c r="Z130" i="18"/>
  <c r="O157" i="29"/>
  <c r="Q158" i="29"/>
  <c r="P158" i="29"/>
  <c r="AC155" i="29"/>
  <c r="AB155" i="29"/>
  <c r="T203" i="32"/>
  <c r="Q75" i="23"/>
  <c r="T78" i="23"/>
  <c r="AL56" i="18"/>
  <c r="N78" i="29"/>
  <c r="AL78" i="23"/>
  <c r="AI220" i="32"/>
  <c r="AG219" i="32"/>
  <c r="N47" i="23"/>
  <c r="H82" i="18"/>
  <c r="AC78" i="18"/>
  <c r="AO65" i="18"/>
  <c r="Q95" i="23"/>
  <c r="AL90" i="23"/>
  <c r="AL146" i="29"/>
  <c r="AJ145" i="29"/>
  <c r="AK146" i="29"/>
  <c r="R165" i="32"/>
  <c r="T166" i="32"/>
  <c r="H82" i="23"/>
  <c r="E126" i="29"/>
  <c r="Q204" i="32"/>
  <c r="P204" i="32"/>
  <c r="E122" i="29"/>
  <c r="T60" i="29"/>
  <c r="W60" i="29"/>
  <c r="D172" i="32"/>
  <c r="W56" i="23"/>
  <c r="Z67" i="23"/>
  <c r="AF40" i="32"/>
  <c r="AE40" i="32"/>
  <c r="AF23" i="18"/>
  <c r="C12" i="31"/>
  <c r="N130" i="23"/>
  <c r="L129" i="23"/>
  <c r="N26" i="18"/>
  <c r="T160" i="32"/>
  <c r="T155" i="29"/>
  <c r="AF24" i="18"/>
  <c r="K8" i="1"/>
  <c r="W13" i="23"/>
  <c r="K10" i="32"/>
  <c r="J10" i="32"/>
  <c r="Z43" i="18"/>
  <c r="M4" i="11"/>
  <c r="AO40" i="18"/>
  <c r="AI137" i="23"/>
  <c r="K50" i="23"/>
  <c r="Q74" i="29"/>
  <c r="P74" i="29"/>
  <c r="H78" i="29"/>
  <c r="G78" i="29"/>
  <c r="N89" i="23"/>
  <c r="W118" i="29"/>
  <c r="AL179" i="29"/>
  <c r="AK179" i="29"/>
  <c r="AC48" i="23"/>
  <c r="AF156" i="18"/>
  <c r="F128" i="18"/>
  <c r="H129" i="18"/>
  <c r="K8" i="7"/>
  <c r="AC148" i="29"/>
  <c r="AO98" i="23"/>
  <c r="AI108" i="32"/>
  <c r="AI109" i="32"/>
  <c r="N37" i="18"/>
  <c r="P123" i="32"/>
  <c r="Q123" i="32"/>
  <c r="N4" i="1"/>
  <c r="N10" i="1" s="1"/>
  <c r="T151" i="29"/>
  <c r="R150" i="29"/>
  <c r="X60" i="18"/>
  <c r="Z61" i="18"/>
  <c r="O94" i="29"/>
  <c r="Q95" i="29"/>
  <c r="P95" i="29"/>
  <c r="AC134" i="23"/>
  <c r="P157" i="32"/>
  <c r="Q157" i="32"/>
  <c r="AI170" i="32"/>
  <c r="AI23" i="18"/>
  <c r="K120" i="23"/>
  <c r="AI66" i="32"/>
  <c r="W46" i="23"/>
  <c r="P4" i="27"/>
  <c r="W205" i="32"/>
  <c r="W147" i="29"/>
  <c r="AF136" i="18"/>
  <c r="AC39" i="18"/>
  <c r="N116" i="32"/>
  <c r="T198" i="32"/>
  <c r="Q131" i="23"/>
  <c r="K29" i="29"/>
  <c r="J29" i="29"/>
  <c r="H144" i="18"/>
  <c r="F117" i="18"/>
  <c r="H118" i="18"/>
  <c r="H120" i="23"/>
  <c r="AL70" i="32"/>
  <c r="H12" i="23"/>
  <c r="AF109" i="18"/>
  <c r="AC202" i="32"/>
  <c r="AB202" i="32"/>
  <c r="AA201" i="32"/>
  <c r="W114" i="32"/>
  <c r="AF127" i="29"/>
  <c r="N79" i="23"/>
  <c r="Q58" i="18"/>
  <c r="AK121" i="29"/>
  <c r="AL121" i="29"/>
  <c r="AF147" i="18"/>
  <c r="N89" i="18"/>
  <c r="K163" i="32"/>
  <c r="J163" i="32"/>
  <c r="Q57" i="18"/>
  <c r="Q202" i="29"/>
  <c r="P202" i="29"/>
  <c r="K157" i="32"/>
  <c r="J157" i="32"/>
  <c r="AI114" i="32"/>
  <c r="T99" i="23"/>
  <c r="AD57" i="29"/>
  <c r="AF58" i="29"/>
  <c r="AE58" i="29"/>
  <c r="O94" i="18"/>
  <c r="Q96" i="18"/>
  <c r="Q56" i="18"/>
  <c r="T108" i="32"/>
  <c r="AF45" i="23"/>
  <c r="AI45" i="23"/>
  <c r="AL45" i="23"/>
  <c r="Z158" i="32"/>
  <c r="Y158" i="32"/>
  <c r="X102" i="18"/>
  <c r="Z103" i="18"/>
  <c r="AL72" i="23"/>
  <c r="AL147" i="18"/>
  <c r="AF89" i="18"/>
  <c r="Z9" i="32"/>
  <c r="Y9" i="32"/>
  <c r="T93" i="23"/>
  <c r="T109" i="32"/>
  <c r="N78" i="23"/>
  <c r="F8" i="10"/>
  <c r="M4" i="28"/>
  <c r="H81" i="32"/>
  <c r="AL137" i="23"/>
  <c r="Z41" i="23"/>
  <c r="AF61" i="18"/>
  <c r="AD60" i="18"/>
  <c r="W53" i="18"/>
  <c r="H109" i="32"/>
  <c r="N170" i="32"/>
  <c r="AO97" i="23"/>
  <c r="T26" i="29"/>
  <c r="AO54" i="18"/>
  <c r="P9" i="32"/>
  <c r="Q9" i="32"/>
  <c r="H103" i="18"/>
  <c r="F102" i="18"/>
  <c r="Z60" i="23"/>
  <c r="K131" i="18"/>
  <c r="AF94" i="23"/>
  <c r="AD215" i="32"/>
  <c r="AF216" i="32"/>
  <c r="AE216" i="32"/>
  <c r="Z196" i="32"/>
  <c r="Y196" i="32"/>
  <c r="AL140" i="18"/>
  <c r="R182" i="29"/>
  <c r="T183" i="29"/>
  <c r="E121" i="29"/>
  <c r="AC123" i="29"/>
  <c r="AB123" i="29"/>
  <c r="AI80" i="23"/>
  <c r="AD196" i="29"/>
  <c r="AF197" i="29"/>
  <c r="AE197" i="29"/>
  <c r="AF204" i="32"/>
  <c r="AE204" i="32"/>
  <c r="AI113" i="32"/>
  <c r="K73" i="32"/>
  <c r="J73" i="32"/>
  <c r="N8" i="12"/>
  <c r="N50" i="23"/>
  <c r="Z105" i="32"/>
  <c r="Y105" i="32"/>
  <c r="Q61" i="29"/>
  <c r="P61" i="29"/>
  <c r="H87" i="23"/>
  <c r="Z107" i="23"/>
  <c r="AL152" i="29"/>
  <c r="AK152" i="29"/>
  <c r="W186" i="29"/>
  <c r="AC32" i="32"/>
  <c r="AB32" i="32"/>
  <c r="AF126" i="32"/>
  <c r="AE126" i="32"/>
  <c r="T105" i="32"/>
  <c r="AI141" i="18"/>
  <c r="AL101" i="23"/>
  <c r="T67" i="32"/>
  <c r="N61" i="29"/>
  <c r="O4" i="11"/>
  <c r="O10" i="11" s="1"/>
  <c r="Z128" i="29"/>
  <c r="AL144" i="18"/>
  <c r="AC140" i="18"/>
  <c r="W8" i="18"/>
  <c r="U7" i="18"/>
  <c r="N49" i="23"/>
  <c r="AO22" i="23"/>
  <c r="AF28" i="18"/>
  <c r="AF69" i="32"/>
  <c r="AE69" i="32"/>
  <c r="O8" i="8"/>
  <c r="AI78" i="18"/>
  <c r="D200" i="29"/>
  <c r="E200" i="29" s="1"/>
  <c r="E201" i="29"/>
  <c r="T142" i="18"/>
  <c r="AF133" i="18"/>
  <c r="AF38" i="18"/>
  <c r="H196" i="32"/>
  <c r="AF99" i="29"/>
  <c r="AE99" i="29"/>
  <c r="N27" i="29"/>
  <c r="T70" i="23"/>
  <c r="AK64" i="29"/>
  <c r="AL64" i="29"/>
  <c r="Z134" i="23"/>
  <c r="H76" i="18"/>
  <c r="AF65" i="18"/>
  <c r="AO9" i="23"/>
  <c r="W178" i="29"/>
  <c r="AC60" i="23"/>
  <c r="Q97" i="23"/>
  <c r="AL153" i="29"/>
  <c r="AK153" i="29"/>
  <c r="AF88" i="23"/>
  <c r="L58" i="23"/>
  <c r="N59" i="23"/>
  <c r="AI96" i="18"/>
  <c r="AG94" i="18"/>
  <c r="T26" i="25"/>
  <c r="Z119" i="18"/>
  <c r="Z109" i="18"/>
  <c r="AL40" i="18"/>
  <c r="N40" i="18"/>
  <c r="K154" i="18"/>
  <c r="Z160" i="32"/>
  <c r="Y160" i="32"/>
  <c r="W111" i="32"/>
  <c r="Z106" i="18"/>
  <c r="L4" i="15"/>
  <c r="L10" i="15" s="1"/>
  <c r="N147" i="18"/>
  <c r="AI62" i="29"/>
  <c r="H57" i="18"/>
  <c r="R125" i="23"/>
  <c r="T126" i="23"/>
  <c r="AI83" i="18"/>
  <c r="W123" i="29"/>
  <c r="AL80" i="18"/>
  <c r="N111" i="32"/>
  <c r="Q44" i="23"/>
  <c r="H116" i="29"/>
  <c r="G116" i="29"/>
  <c r="K107" i="18"/>
  <c r="AC70" i="29"/>
  <c r="K80" i="32"/>
  <c r="J80" i="32"/>
  <c r="K73" i="29"/>
  <c r="N187" i="29"/>
  <c r="AL70" i="23"/>
  <c r="W17" i="18"/>
  <c r="W155" i="29"/>
  <c r="I100" i="32"/>
  <c r="K101" i="32"/>
  <c r="J101" i="32"/>
  <c r="AL51" i="18"/>
  <c r="L24" i="29"/>
  <c r="N25" i="29"/>
  <c r="H8" i="18"/>
  <c r="F7" i="18"/>
  <c r="W153" i="29"/>
  <c r="AF136" i="23"/>
  <c r="T81" i="18"/>
  <c r="AL118" i="29"/>
  <c r="AK118" i="29"/>
  <c r="AF10" i="23"/>
  <c r="N40" i="32"/>
  <c r="AL75" i="18"/>
  <c r="AJ74" i="18"/>
  <c r="H31" i="18"/>
  <c r="F30" i="18"/>
  <c r="AJ165" i="32"/>
  <c r="AL166" i="32"/>
  <c r="Z116" i="23"/>
  <c r="AF124" i="29"/>
  <c r="T168" i="32"/>
  <c r="Q46" i="23"/>
  <c r="AF67" i="23"/>
  <c r="N109" i="18"/>
  <c r="Q201" i="29"/>
  <c r="O200" i="29"/>
  <c r="P201" i="29"/>
  <c r="N177" i="29"/>
  <c r="H66" i="32"/>
  <c r="AI78" i="32"/>
  <c r="W73" i="32"/>
  <c r="Z39" i="32"/>
  <c r="X38" i="32"/>
  <c r="Y39" i="32"/>
  <c r="AC137" i="18"/>
  <c r="AO67" i="23"/>
  <c r="AM66" i="23"/>
  <c r="Q136" i="18"/>
  <c r="W106" i="23"/>
  <c r="N69" i="29"/>
  <c r="AO48" i="23"/>
  <c r="M8" i="14"/>
  <c r="L155" i="32"/>
  <c r="N156" i="32"/>
  <c r="AC99" i="18"/>
  <c r="AA98" i="18"/>
  <c r="K116" i="29"/>
  <c r="J116" i="29"/>
  <c r="N85" i="18"/>
  <c r="G4" i="10"/>
  <c r="D134" i="29"/>
  <c r="E134" i="29" s="1"/>
  <c r="AI55" i="23"/>
  <c r="AG54" i="23"/>
  <c r="O4" i="7"/>
  <c r="D196" i="29"/>
  <c r="E196" i="29" s="1"/>
  <c r="E197" i="29"/>
  <c r="Z118" i="32"/>
  <c r="Y118" i="32"/>
  <c r="K80" i="23"/>
  <c r="AL60" i="23"/>
  <c r="AO106" i="18"/>
  <c r="Q72" i="29"/>
  <c r="P72" i="29"/>
  <c r="AJ181" i="32"/>
  <c r="AL182" i="32"/>
  <c r="N142" i="18"/>
  <c r="N162" i="32"/>
  <c r="G4" i="14"/>
  <c r="AC117" i="29"/>
  <c r="AB117" i="29"/>
  <c r="AO10" i="23"/>
  <c r="H203" i="32"/>
  <c r="AD182" i="29"/>
  <c r="AF183" i="29"/>
  <c r="AE183" i="29"/>
  <c r="AL72" i="18"/>
  <c r="Z86" i="18"/>
  <c r="N24" i="23"/>
  <c r="L8" i="9"/>
  <c r="E186" i="29"/>
  <c r="AC107" i="32"/>
  <c r="AB107" i="32"/>
  <c r="AI59" i="29"/>
  <c r="N90" i="23"/>
  <c r="N91" i="23"/>
  <c r="AF76" i="18"/>
  <c r="T10" i="32"/>
  <c r="K25" i="29"/>
  <c r="I24" i="29"/>
  <c r="K20" i="25"/>
  <c r="AJ7" i="23"/>
  <c r="AL8" i="23"/>
  <c r="N163" i="32"/>
  <c r="C11" i="31"/>
  <c r="W157" i="32"/>
  <c r="N136" i="18"/>
  <c r="E60" i="29"/>
  <c r="T73" i="23"/>
  <c r="AI127" i="23"/>
  <c r="AC109" i="23"/>
  <c r="W95" i="29"/>
  <c r="U94" i="29"/>
  <c r="Q65" i="18"/>
  <c r="AC187" i="29"/>
  <c r="AL49" i="18"/>
  <c r="AC153" i="18"/>
  <c r="AA152" i="18"/>
  <c r="T154" i="29"/>
  <c r="AC89" i="23"/>
  <c r="H55" i="18"/>
  <c r="N88" i="23"/>
  <c r="H23" i="18"/>
  <c r="Z40" i="23"/>
  <c r="X66" i="23"/>
  <c r="X39" i="23"/>
  <c r="Z221" i="32"/>
  <c r="Y221" i="32"/>
  <c r="O8" i="2"/>
  <c r="T133" i="18"/>
  <c r="Z135" i="29"/>
  <c r="X134" i="29"/>
  <c r="W88" i="18"/>
  <c r="AF83" i="32"/>
  <c r="AE83" i="32"/>
  <c r="AO141" i="18"/>
  <c r="AF178" i="29"/>
  <c r="AE178" i="29"/>
  <c r="AC23" i="23"/>
  <c r="O8" i="10"/>
  <c r="AC72" i="29"/>
  <c r="AB72" i="29"/>
  <c r="I60" i="18"/>
  <c r="K61" i="18"/>
  <c r="L8" i="7"/>
  <c r="Z135" i="18"/>
  <c r="AC25" i="29"/>
  <c r="AA24" i="29"/>
  <c r="W196" i="32"/>
  <c r="AC68" i="32"/>
  <c r="AB68" i="32"/>
  <c r="W11" i="32"/>
  <c r="Z206" i="32"/>
  <c r="Y206" i="32"/>
  <c r="J106" i="32"/>
  <c r="K106" i="32"/>
  <c r="H106" i="23"/>
  <c r="W85" i="18"/>
  <c r="AF119" i="29"/>
  <c r="AE119" i="29"/>
  <c r="K125" i="29"/>
  <c r="R8" i="27"/>
  <c r="H22" i="23"/>
  <c r="AI135" i="29"/>
  <c r="AG134" i="29"/>
  <c r="AF44" i="18"/>
  <c r="W76" i="29"/>
  <c r="N180" i="29"/>
  <c r="J121" i="32"/>
  <c r="K121" i="32"/>
  <c r="AC69" i="23"/>
  <c r="E26" i="29"/>
  <c r="AC76" i="29"/>
  <c r="AB76" i="29"/>
  <c r="AL61" i="29"/>
  <c r="AK61" i="29"/>
  <c r="Q52" i="18"/>
  <c r="M20" i="25"/>
  <c r="K122" i="29"/>
  <c r="N158" i="29"/>
  <c r="L157" i="29"/>
  <c r="H155" i="18"/>
  <c r="K4" i="17"/>
  <c r="AC58" i="18"/>
  <c r="E28" i="29"/>
  <c r="X201" i="32"/>
  <c r="Z202" i="32"/>
  <c r="Y202" i="32"/>
  <c r="T79" i="32"/>
  <c r="AL142" i="23"/>
  <c r="AC109" i="18"/>
  <c r="K76" i="32"/>
  <c r="J76" i="32"/>
  <c r="H73" i="32"/>
  <c r="N74" i="32"/>
  <c r="AO40" i="23"/>
  <c r="AM39" i="23"/>
  <c r="X100" i="32"/>
  <c r="Z101" i="32"/>
  <c r="Y101" i="32"/>
  <c r="V27" i="25"/>
  <c r="K161" i="32"/>
  <c r="J161" i="32"/>
  <c r="Z80" i="18"/>
  <c r="T73" i="29"/>
  <c r="Q117" i="29"/>
  <c r="P117" i="29"/>
  <c r="T19" i="25"/>
  <c r="S18" i="25"/>
  <c r="AL129" i="18"/>
  <c r="AJ128" i="18"/>
  <c r="AL76" i="18"/>
  <c r="H69" i="23"/>
  <c r="AL9" i="32"/>
  <c r="N22" i="23"/>
  <c r="AF70" i="32"/>
  <c r="AE70" i="32"/>
  <c r="AC127" i="29"/>
  <c r="T186" i="29"/>
  <c r="K164" i="29"/>
  <c r="I163" i="29"/>
  <c r="Q68" i="29"/>
  <c r="P68" i="29"/>
  <c r="K93" i="23"/>
  <c r="Z81" i="32"/>
  <c r="Y81" i="32"/>
  <c r="Z107" i="32"/>
  <c r="Y107" i="32"/>
  <c r="H198" i="29"/>
  <c r="G198" i="29"/>
  <c r="D165" i="32"/>
  <c r="W135" i="18"/>
  <c r="Z117" i="32"/>
  <c r="Y117" i="32"/>
  <c r="Z78" i="32"/>
  <c r="Y78" i="32"/>
  <c r="T110" i="32"/>
  <c r="K124" i="29"/>
  <c r="J124" i="29"/>
  <c r="Z123" i="29"/>
  <c r="AC28" i="18"/>
  <c r="L134" i="29"/>
  <c r="N135" i="29"/>
  <c r="T115" i="32"/>
  <c r="K83" i="32"/>
  <c r="J83" i="32"/>
  <c r="T155" i="18"/>
  <c r="AL170" i="32"/>
  <c r="L4" i="10"/>
  <c r="L10" i="10" s="1"/>
  <c r="K103" i="32"/>
  <c r="J103" i="32"/>
  <c r="N97" i="29"/>
  <c r="AL52" i="18"/>
  <c r="W72" i="18"/>
  <c r="Z31" i="32"/>
  <c r="X24" i="32"/>
  <c r="Y31" i="32"/>
  <c r="T52" i="18"/>
  <c r="L4" i="12"/>
  <c r="AC106" i="32"/>
  <c r="AB106" i="32"/>
  <c r="H108" i="18"/>
  <c r="R194" i="32"/>
  <c r="T195" i="32"/>
  <c r="AJ66" i="23"/>
  <c r="AL67" i="23"/>
  <c r="O54" i="23"/>
  <c r="Q55" i="23"/>
  <c r="Q153" i="29"/>
  <c r="P153" i="29"/>
  <c r="AL43" i="18"/>
  <c r="AA219" i="32"/>
  <c r="AC220" i="32"/>
  <c r="AB220" i="32"/>
  <c r="Z127" i="23"/>
  <c r="Q43" i="18"/>
  <c r="T130" i="23"/>
  <c r="R129" i="23"/>
  <c r="W104" i="32"/>
  <c r="AF184" i="29"/>
  <c r="AE184" i="29"/>
  <c r="AC8" i="29"/>
  <c r="AB8" i="29"/>
  <c r="H99" i="23"/>
  <c r="Z71" i="32"/>
  <c r="Y71" i="32"/>
  <c r="T65" i="29"/>
  <c r="AO10" i="18"/>
  <c r="H53" i="18"/>
  <c r="AG155" i="32"/>
  <c r="AI156" i="32"/>
  <c r="Q25" i="29"/>
  <c r="O24" i="29"/>
  <c r="P25" i="29"/>
  <c r="K109" i="23"/>
  <c r="Q104" i="32"/>
  <c r="P104" i="32"/>
  <c r="K85" i="18"/>
  <c r="T86" i="18"/>
  <c r="Q28" i="29"/>
  <c r="P28" i="29"/>
  <c r="Z63" i="18"/>
  <c r="Q77" i="32"/>
  <c r="P77" i="32"/>
  <c r="Z72" i="18"/>
  <c r="AD172" i="32"/>
  <c r="AF173" i="32"/>
  <c r="AE173" i="32"/>
  <c r="T116" i="32"/>
  <c r="Z133" i="18"/>
  <c r="AL206" i="32"/>
  <c r="T157" i="32"/>
  <c r="H79" i="32"/>
  <c r="F6" i="32"/>
  <c r="G206" i="32" s="1"/>
  <c r="H7" i="32"/>
  <c r="AC104" i="32"/>
  <c r="AB104" i="32"/>
  <c r="T115" i="18"/>
  <c r="W133" i="18"/>
  <c r="Z65" i="29"/>
  <c r="AF43" i="18"/>
  <c r="AI74" i="23"/>
  <c r="AO127" i="23"/>
  <c r="W125" i="32"/>
  <c r="T107" i="18"/>
  <c r="AF114" i="32"/>
  <c r="AE114" i="32"/>
  <c r="T144" i="18"/>
  <c r="AA94" i="29"/>
  <c r="AC95" i="29"/>
  <c r="AB95" i="29"/>
  <c r="AI109" i="23"/>
  <c r="AD74" i="18"/>
  <c r="AF75" i="18"/>
  <c r="AF96" i="23"/>
  <c r="N4" i="2"/>
  <c r="N10" i="2" s="1"/>
  <c r="Z109" i="32"/>
  <c r="Y109" i="32"/>
  <c r="W124" i="32"/>
  <c r="AC152" i="29"/>
  <c r="W201" i="29"/>
  <c r="U200" i="29"/>
  <c r="H8" i="27"/>
  <c r="Z73" i="23"/>
  <c r="E155" i="29"/>
  <c r="Z154" i="18"/>
  <c r="AC97" i="23"/>
  <c r="AF62" i="29"/>
  <c r="N44" i="23"/>
  <c r="Q81" i="23"/>
  <c r="AF198" i="32"/>
  <c r="AE198" i="32"/>
  <c r="AC86" i="23"/>
  <c r="N75" i="23"/>
  <c r="F35" i="18"/>
  <c r="H36" i="18"/>
  <c r="T7" i="29"/>
  <c r="R6" i="29"/>
  <c r="S78" i="29" s="1"/>
  <c r="AG100" i="32"/>
  <c r="AI101" i="32"/>
  <c r="Z187" i="29"/>
  <c r="AC40" i="23"/>
  <c r="AA39" i="23"/>
  <c r="AA66" i="23"/>
  <c r="N157" i="32"/>
  <c r="K70" i="29"/>
  <c r="AC69" i="29"/>
  <c r="AB69" i="29"/>
  <c r="AF122" i="29"/>
  <c r="Z85" i="18"/>
  <c r="AO89" i="23"/>
  <c r="AI155" i="29"/>
  <c r="K147" i="18"/>
  <c r="W93" i="23"/>
  <c r="AO105" i="23"/>
  <c r="AM104" i="23"/>
  <c r="AO33" i="18"/>
  <c r="T124" i="29"/>
  <c r="Z217" i="32"/>
  <c r="Y217" i="32"/>
  <c r="N41" i="18"/>
  <c r="Q136" i="23"/>
  <c r="N67" i="29"/>
  <c r="AF84" i="18"/>
  <c r="AC64" i="32"/>
  <c r="AB64" i="32"/>
  <c r="Z23" i="23"/>
  <c r="K57" i="18"/>
  <c r="N81" i="32"/>
  <c r="AI17" i="18"/>
  <c r="N131" i="18"/>
  <c r="Q83" i="23"/>
  <c r="P75" i="32"/>
  <c r="Q75" i="32"/>
  <c r="K123" i="29"/>
  <c r="AL68" i="32"/>
  <c r="AC76" i="32"/>
  <c r="AB76" i="32"/>
  <c r="AI41" i="23"/>
  <c r="W61" i="29"/>
  <c r="Z52" i="23"/>
  <c r="AL109" i="23"/>
  <c r="N31" i="18"/>
  <c r="L30" i="18"/>
  <c r="AI127" i="29"/>
  <c r="AF167" i="32"/>
  <c r="AE167" i="32"/>
  <c r="J206" i="32"/>
  <c r="K206" i="32"/>
  <c r="W68" i="23"/>
  <c r="N100" i="23"/>
  <c r="AF70" i="18"/>
  <c r="AF26" i="18"/>
  <c r="W64" i="18"/>
  <c r="AI162" i="32"/>
  <c r="N86" i="23"/>
  <c r="AL40" i="23"/>
  <c r="AJ39" i="23"/>
  <c r="U100" i="32"/>
  <c r="W101" i="32"/>
  <c r="AI29" i="29"/>
  <c r="S8" i="28"/>
  <c r="AO27" i="18"/>
  <c r="H68" i="29"/>
  <c r="G68" i="29"/>
  <c r="H65" i="18"/>
  <c r="AI102" i="32"/>
  <c r="AL24" i="18"/>
  <c r="AF76" i="32"/>
  <c r="AE76" i="32"/>
  <c r="T126" i="32"/>
  <c r="S126" i="32"/>
  <c r="N196" i="32"/>
  <c r="Z89" i="23"/>
  <c r="Z74" i="23"/>
  <c r="AC167" i="32"/>
  <c r="AB167" i="32"/>
  <c r="AI49" i="18"/>
  <c r="K74" i="32"/>
  <c r="J74" i="32"/>
  <c r="D201" i="32"/>
  <c r="H135" i="23"/>
  <c r="F133" i="23"/>
  <c r="W89" i="23"/>
  <c r="AO90" i="23"/>
  <c r="H72" i="23"/>
  <c r="H67" i="29"/>
  <c r="G67" i="29"/>
  <c r="AC133" i="18"/>
  <c r="AI31" i="32"/>
  <c r="AG24" i="32"/>
  <c r="H40" i="23"/>
  <c r="F39" i="23"/>
  <c r="AC71" i="29"/>
  <c r="AB71" i="29"/>
  <c r="AC62" i="18"/>
  <c r="O8" i="14"/>
  <c r="K4" i="7"/>
  <c r="AL148" i="29"/>
  <c r="AK148" i="29"/>
  <c r="Q72" i="23"/>
  <c r="K195" i="32"/>
  <c r="J195" i="32"/>
  <c r="I194" i="32"/>
  <c r="Q220" i="32"/>
  <c r="O219" i="32"/>
  <c r="P220" i="32"/>
  <c r="AF139" i="18"/>
  <c r="AC33" i="18"/>
  <c r="AI107" i="23"/>
  <c r="H4" i="27"/>
  <c r="N67" i="32"/>
  <c r="AI161" i="32"/>
  <c r="AI124" i="32"/>
  <c r="AL132" i="18"/>
  <c r="AC42" i="23"/>
  <c r="N4" i="7"/>
  <c r="N10" i="7" s="1"/>
  <c r="F24" i="29"/>
  <c r="H25" i="29"/>
  <c r="G25" i="29"/>
  <c r="W50" i="18"/>
  <c r="AO73" i="23"/>
  <c r="Q66" i="29"/>
  <c r="P66" i="29"/>
  <c r="AI42" i="18"/>
  <c r="E185" i="29"/>
  <c r="AF76" i="29"/>
  <c r="AE76" i="29"/>
  <c r="H140" i="18"/>
  <c r="AF50" i="23"/>
  <c r="AC42" i="18"/>
  <c r="K137" i="23"/>
  <c r="AC119" i="29"/>
  <c r="AB119" i="29"/>
  <c r="K176" i="29"/>
  <c r="I175" i="29"/>
  <c r="AF102" i="32"/>
  <c r="AE102" i="32"/>
  <c r="O74" i="18"/>
  <c r="Q75" i="18"/>
  <c r="AI131" i="18"/>
  <c r="M4" i="7"/>
  <c r="K8" i="17"/>
  <c r="Q83" i="18"/>
  <c r="AL217" i="32"/>
  <c r="N63" i="29"/>
  <c r="W68" i="32"/>
  <c r="AI148" i="29"/>
  <c r="AF66" i="29"/>
  <c r="AE66" i="29"/>
  <c r="N109" i="23"/>
  <c r="K83" i="23"/>
  <c r="AL9" i="23"/>
  <c r="AL116" i="23"/>
  <c r="Q64" i="18"/>
  <c r="T75" i="18"/>
  <c r="R74" i="18"/>
  <c r="Q8" i="1"/>
  <c r="T87" i="23"/>
  <c r="AL92" i="23"/>
  <c r="H49" i="18"/>
  <c r="U57" i="29"/>
  <c r="W58" i="29"/>
  <c r="Z48" i="23"/>
  <c r="Q33" i="18"/>
  <c r="AO81" i="23"/>
  <c r="N101" i="32"/>
  <c r="L100" i="32"/>
  <c r="O4" i="27"/>
  <c r="O10" i="27" s="1"/>
  <c r="Z184" i="29"/>
  <c r="AO8" i="18"/>
  <c r="AM7" i="18"/>
  <c r="N96" i="29"/>
  <c r="D145" i="29"/>
  <c r="E145" i="29" s="1"/>
  <c r="E146" i="29"/>
  <c r="X54" i="23"/>
  <c r="Z55" i="23"/>
  <c r="AO71" i="23"/>
  <c r="W55" i="18"/>
  <c r="H10" i="23"/>
  <c r="AI7" i="32"/>
  <c r="AG6" i="32"/>
  <c r="AH170" i="32" s="1"/>
  <c r="AF198" i="29"/>
  <c r="H142" i="23"/>
  <c r="AC66" i="29"/>
  <c r="AB66" i="29"/>
  <c r="Q25" i="18"/>
  <c r="AC21" i="23"/>
  <c r="AA20" i="23"/>
  <c r="W56" i="18"/>
  <c r="AI9" i="23"/>
  <c r="AD24" i="32"/>
  <c r="AF31" i="32"/>
  <c r="AE31" i="32"/>
  <c r="K117" i="32"/>
  <c r="J117" i="32"/>
  <c r="AI65" i="29"/>
  <c r="Q69" i="23"/>
  <c r="AO28" i="18"/>
  <c r="T60" i="23"/>
  <c r="K99" i="29"/>
  <c r="AI122" i="32"/>
  <c r="AF164" i="29"/>
  <c r="AD163" i="29"/>
  <c r="T103" i="32"/>
  <c r="S103" i="32"/>
  <c r="T70" i="32"/>
  <c r="T125" i="32"/>
  <c r="S125" i="32"/>
  <c r="T92" i="23"/>
  <c r="Q135" i="18"/>
  <c r="Z21" i="18"/>
  <c r="AL64" i="32"/>
  <c r="AK64" i="32"/>
  <c r="W54" i="18"/>
  <c r="Q162" i="32"/>
  <c r="P162" i="32"/>
  <c r="N161" i="32"/>
  <c r="H86" i="18"/>
  <c r="AF65" i="29"/>
  <c r="AE65" i="29"/>
  <c r="T138" i="18"/>
  <c r="E178" i="29"/>
  <c r="Q24" i="23"/>
  <c r="Z12" i="23"/>
  <c r="N154" i="18"/>
  <c r="Z50" i="23"/>
  <c r="AC102" i="32"/>
  <c r="AB102" i="32"/>
  <c r="N64" i="18"/>
  <c r="N164" i="29"/>
  <c r="L163" i="29"/>
  <c r="AO138" i="18"/>
  <c r="K48" i="23"/>
  <c r="W102" i="23"/>
  <c r="P113" i="32"/>
  <c r="Q113" i="32"/>
  <c r="AF123" i="32"/>
  <c r="AE123" i="32"/>
  <c r="N80" i="23"/>
  <c r="T21" i="18"/>
  <c r="AO26" i="23"/>
  <c r="P4" i="1"/>
  <c r="AI60" i="23"/>
  <c r="AF201" i="29"/>
  <c r="AD200" i="29"/>
  <c r="H78" i="23"/>
  <c r="N205" i="32"/>
  <c r="AO104" i="18"/>
  <c r="Z11" i="23"/>
  <c r="S8" i="1"/>
  <c r="AC108" i="23"/>
  <c r="I4" i="28"/>
  <c r="K133" i="18"/>
  <c r="AI106" i="23"/>
  <c r="Z80" i="32"/>
  <c r="Y80" i="32"/>
  <c r="N110" i="32"/>
  <c r="H114" i="32"/>
  <c r="AL80" i="32"/>
  <c r="AK80" i="32"/>
  <c r="H32" i="32"/>
  <c r="AA30" i="18"/>
  <c r="AC31" i="18"/>
  <c r="Q9" i="23"/>
  <c r="AL85" i="18"/>
  <c r="S4" i="28"/>
  <c r="T81" i="23"/>
  <c r="AI105" i="32"/>
  <c r="AF108" i="18"/>
  <c r="X215" i="32"/>
  <c r="Z216" i="32"/>
  <c r="Y216" i="32"/>
  <c r="Z93" i="23"/>
  <c r="K21" i="18"/>
  <c r="W117" i="32"/>
  <c r="AC55" i="23"/>
  <c r="AA54" i="23"/>
  <c r="T42" i="23"/>
  <c r="K33" i="18"/>
  <c r="AC11" i="23"/>
  <c r="Q140" i="18"/>
  <c r="W31" i="32"/>
  <c r="U24" i="32"/>
  <c r="O145" i="29"/>
  <c r="Q146" i="29"/>
  <c r="P146" i="29"/>
  <c r="AF39" i="18"/>
  <c r="I201" i="32"/>
  <c r="K202" i="32"/>
  <c r="J202" i="32"/>
  <c r="Q89" i="18"/>
  <c r="K53" i="18"/>
  <c r="AL71" i="18"/>
  <c r="AJ68" i="18"/>
  <c r="AL78" i="29"/>
  <c r="AK78" i="29"/>
  <c r="U129" i="23"/>
  <c r="W130" i="23"/>
  <c r="AI120" i="32"/>
  <c r="AL136" i="18"/>
  <c r="AC83" i="18"/>
  <c r="AF57" i="18"/>
  <c r="M8" i="2"/>
  <c r="W42" i="23"/>
  <c r="H127" i="23"/>
  <c r="AF64" i="32"/>
  <c r="AE64" i="32"/>
  <c r="Q115" i="18"/>
  <c r="AL122" i="29"/>
  <c r="AK122" i="29"/>
  <c r="AL50" i="23"/>
  <c r="K180" i="29"/>
  <c r="Z137" i="23"/>
  <c r="H153" i="29"/>
  <c r="G153" i="29"/>
  <c r="AO142" i="23"/>
  <c r="R118" i="23"/>
  <c r="T119" i="23"/>
  <c r="W24" i="18"/>
  <c r="T130" i="18"/>
  <c r="H123" i="32"/>
  <c r="AC89" i="18"/>
  <c r="AI57" i="18"/>
  <c r="Z75" i="32"/>
  <c r="Y75" i="32"/>
  <c r="N156" i="18"/>
  <c r="O163" i="29"/>
  <c r="Q164" i="29"/>
  <c r="P164" i="29"/>
  <c r="Q143" i="18"/>
  <c r="T32" i="32"/>
  <c r="S32" i="32"/>
  <c r="AC88" i="18"/>
  <c r="G8" i="15"/>
  <c r="AL25" i="18"/>
  <c r="AC76" i="23"/>
  <c r="AC70" i="18"/>
  <c r="N155" i="18"/>
  <c r="AL196" i="32"/>
  <c r="AO102" i="23"/>
  <c r="N105" i="23"/>
  <c r="L104" i="23"/>
  <c r="H167" i="32"/>
  <c r="AO88" i="23"/>
  <c r="K71" i="18"/>
  <c r="I68" i="18"/>
  <c r="AO38" i="18"/>
  <c r="D94" i="29"/>
  <c r="E94" i="29" s="1"/>
  <c r="E95" i="29"/>
  <c r="AC142" i="23"/>
  <c r="W143" i="18"/>
  <c r="H221" i="32"/>
  <c r="AI104" i="18"/>
  <c r="AI86" i="18"/>
  <c r="Z42" i="23"/>
  <c r="AO59" i="23"/>
  <c r="AM58" i="23"/>
  <c r="H62" i="29"/>
  <c r="G62" i="29"/>
  <c r="H59" i="29"/>
  <c r="G59" i="29"/>
  <c r="AF205" i="32"/>
  <c r="AE205" i="32"/>
  <c r="T119" i="18"/>
  <c r="Q147" i="29"/>
  <c r="P147" i="29"/>
  <c r="P216" i="32"/>
  <c r="Q216" i="32"/>
  <c r="O215" i="32"/>
  <c r="T62" i="29"/>
  <c r="T49" i="18"/>
  <c r="Z60" i="29"/>
  <c r="F129" i="23"/>
  <c r="H130" i="23"/>
  <c r="N108" i="32"/>
  <c r="AC221" i="32"/>
  <c r="AB221" i="32"/>
  <c r="O102" i="18"/>
  <c r="Q103" i="18"/>
  <c r="AL115" i="29"/>
  <c r="AK115" i="29"/>
  <c r="AL59" i="23"/>
  <c r="AJ58" i="23"/>
  <c r="K45" i="23"/>
  <c r="AO49" i="18"/>
  <c r="Q27" i="18"/>
  <c r="AF58" i="18"/>
  <c r="Z9" i="23"/>
  <c r="E118" i="29"/>
  <c r="K183" i="29"/>
  <c r="I182" i="29"/>
  <c r="J183" i="29"/>
  <c r="W33" i="18"/>
  <c r="Q120" i="23"/>
  <c r="AI98" i="23"/>
  <c r="T152" i="29"/>
  <c r="T54" i="18"/>
  <c r="Q11" i="23"/>
  <c r="AO70" i="18"/>
  <c r="AI111" i="32"/>
  <c r="AL25" i="23"/>
  <c r="AG62" i="32"/>
  <c r="AI63" i="32"/>
  <c r="AC74" i="29"/>
  <c r="AB74" i="29"/>
  <c r="K74" i="23"/>
  <c r="W72" i="29"/>
  <c r="H77" i="29"/>
  <c r="G77" i="29"/>
  <c r="W112" i="23"/>
  <c r="U111" i="23"/>
  <c r="W88" i="23"/>
  <c r="H131" i="23"/>
  <c r="T120" i="23"/>
  <c r="AO9" i="18"/>
  <c r="W22" i="18"/>
  <c r="T9" i="23"/>
  <c r="AL66" i="29"/>
  <c r="AK66" i="29"/>
  <c r="AL199" i="32"/>
  <c r="AC65" i="18"/>
  <c r="AF135" i="18"/>
  <c r="AI154" i="29"/>
  <c r="F68" i="18"/>
  <c r="H71" i="18"/>
  <c r="AO24" i="18"/>
  <c r="AL124" i="32"/>
  <c r="W69" i="29"/>
  <c r="K98" i="23"/>
  <c r="AL41" i="18"/>
  <c r="H75" i="23"/>
  <c r="K84" i="18"/>
  <c r="AA104" i="23"/>
  <c r="AC105" i="23"/>
  <c r="Q70" i="18"/>
  <c r="H48" i="23"/>
  <c r="W184" i="29"/>
  <c r="H69" i="29"/>
  <c r="G69" i="29"/>
  <c r="K96" i="18"/>
  <c r="I94" i="18"/>
  <c r="AF98" i="29"/>
  <c r="AE98" i="29"/>
  <c r="AF68" i="23"/>
  <c r="T17" i="18"/>
  <c r="AF118" i="32"/>
  <c r="AE118" i="32"/>
  <c r="AI165" i="29"/>
  <c r="Q170" i="32"/>
  <c r="P170" i="32"/>
  <c r="AB120" i="32"/>
  <c r="AC120" i="32"/>
  <c r="O24" i="32"/>
  <c r="P31" i="32"/>
  <c r="Q31" i="32"/>
  <c r="AF47" i="23"/>
  <c r="N48" i="23"/>
  <c r="AJ157" i="29"/>
  <c r="AK158" i="29"/>
  <c r="AL158" i="29"/>
  <c r="K75" i="32"/>
  <c r="J75" i="32"/>
  <c r="AL87" i="23"/>
  <c r="AF42" i="18"/>
  <c r="Z83" i="32"/>
  <c r="Y83" i="32"/>
  <c r="AO47" i="23"/>
  <c r="H43" i="23"/>
  <c r="AI179" i="29"/>
  <c r="AI72" i="23"/>
  <c r="R172" i="32"/>
  <c r="T173" i="32"/>
  <c r="S173" i="32"/>
  <c r="Q85" i="23"/>
  <c r="AB115" i="32"/>
  <c r="AC115" i="32"/>
  <c r="W73" i="29"/>
  <c r="N57" i="18"/>
  <c r="AO92" i="23"/>
  <c r="N116" i="23"/>
  <c r="AI157" i="32"/>
  <c r="Z125" i="32"/>
  <c r="Y125" i="32"/>
  <c r="AL139" i="18"/>
  <c r="AL86" i="18"/>
  <c r="N100" i="18"/>
  <c r="I66" i="23"/>
  <c r="K68" i="23"/>
  <c r="K52" i="23"/>
  <c r="AF121" i="29"/>
  <c r="AE121" i="29"/>
  <c r="K83" i="18"/>
  <c r="O104" i="23"/>
  <c r="Q105" i="23"/>
  <c r="AI96" i="23"/>
  <c r="AL72" i="29"/>
  <c r="AK72" i="29"/>
  <c r="T95" i="23"/>
  <c r="H118" i="29"/>
  <c r="G118" i="29"/>
  <c r="AM35" i="18"/>
  <c r="AO36" i="18"/>
  <c r="N103" i="18"/>
  <c r="L102" i="18"/>
  <c r="K8" i="8"/>
  <c r="M8" i="11"/>
  <c r="T108" i="23"/>
  <c r="X35" i="29"/>
  <c r="Z36" i="29"/>
  <c r="AC79" i="32"/>
  <c r="AB79" i="32"/>
  <c r="N8" i="14"/>
  <c r="O4" i="15"/>
  <c r="O10" i="15" s="1"/>
  <c r="Q4" i="1"/>
  <c r="N29" i="29"/>
  <c r="F4" i="12"/>
  <c r="F10" i="12" s="1"/>
  <c r="P8" i="1"/>
  <c r="K26" i="23"/>
  <c r="N26" i="23"/>
  <c r="AI68" i="32"/>
  <c r="Z198" i="29"/>
  <c r="N82" i="18"/>
  <c r="Q73" i="29"/>
  <c r="P73" i="29"/>
  <c r="Q17" i="23"/>
  <c r="K4" i="14"/>
  <c r="K10" i="14" s="1"/>
  <c r="K82" i="32"/>
  <c r="J82" i="32"/>
  <c r="K56" i="18"/>
  <c r="AA35" i="18"/>
  <c r="AC36" i="18"/>
  <c r="Z201" i="29"/>
  <c r="X200" i="29"/>
  <c r="L118" i="23"/>
  <c r="N119" i="23"/>
  <c r="K67" i="32"/>
  <c r="J67" i="32"/>
  <c r="AL119" i="32"/>
  <c r="AC22" i="18"/>
  <c r="AL126" i="29"/>
  <c r="AK126" i="29"/>
  <c r="K22" i="18"/>
  <c r="E67" i="29"/>
  <c r="H119" i="32"/>
  <c r="Q156" i="32"/>
  <c r="O155" i="32"/>
  <c r="P156" i="32"/>
  <c r="P112" i="32"/>
  <c r="Q112" i="32"/>
  <c r="F152" i="18"/>
  <c r="H153" i="18"/>
  <c r="Z77" i="29"/>
  <c r="T106" i="32"/>
  <c r="S106" i="32"/>
  <c r="K204" i="32"/>
  <c r="J204" i="32"/>
  <c r="N109" i="32"/>
  <c r="Q115" i="29"/>
  <c r="P115" i="29"/>
  <c r="K51" i="18"/>
  <c r="AO48" i="18"/>
  <c r="E78" i="29"/>
  <c r="AF107" i="23"/>
  <c r="T100" i="18"/>
  <c r="AI186" i="29"/>
  <c r="H123" i="29"/>
  <c r="G123" i="29"/>
  <c r="W106" i="18"/>
  <c r="AG114" i="23"/>
  <c r="AI115" i="23"/>
  <c r="O8" i="28"/>
  <c r="W76" i="32"/>
  <c r="K4" i="10"/>
  <c r="K10" i="10" s="1"/>
  <c r="AF110" i="32"/>
  <c r="AE110" i="32"/>
  <c r="AC157" i="32"/>
  <c r="AB157" i="32"/>
  <c r="N104" i="32"/>
  <c r="AI43" i="23"/>
  <c r="W78" i="18"/>
  <c r="J4" i="1"/>
  <c r="J10" i="1" s="1"/>
  <c r="W165" i="29"/>
  <c r="N132" i="18"/>
  <c r="Q120" i="29"/>
  <c r="P120" i="29"/>
  <c r="AL155" i="29"/>
  <c r="AK155" i="29"/>
  <c r="H50" i="18"/>
  <c r="AF155" i="18"/>
  <c r="T71" i="32"/>
  <c r="S71" i="32"/>
  <c r="T78" i="29"/>
  <c r="H138" i="18"/>
  <c r="W115" i="32"/>
  <c r="L111" i="23"/>
  <c r="N112" i="23"/>
  <c r="T178" i="29"/>
  <c r="T97" i="29"/>
  <c r="Z68" i="32"/>
  <c r="Y68" i="32"/>
  <c r="AC67" i="32"/>
  <c r="AB67" i="32"/>
  <c r="AF69" i="23"/>
  <c r="Z91" i="23"/>
  <c r="T96" i="29"/>
  <c r="K128" i="29"/>
  <c r="J128" i="29"/>
  <c r="R133" i="23"/>
  <c r="T135" i="23"/>
  <c r="W21" i="18"/>
  <c r="AD19" i="18"/>
  <c r="AF20" i="18"/>
  <c r="N118" i="18"/>
  <c r="L117" i="18"/>
  <c r="O114" i="23"/>
  <c r="Q115" i="23"/>
  <c r="W47" i="23"/>
  <c r="AC99" i="29"/>
  <c r="AB99" i="29"/>
  <c r="AC81" i="32"/>
  <c r="AB81" i="32"/>
  <c r="H64" i="29"/>
  <c r="K60" i="23"/>
  <c r="W80" i="18"/>
  <c r="Q106" i="23"/>
  <c r="AI97" i="23"/>
  <c r="W105" i="32"/>
  <c r="Z46" i="23"/>
  <c r="AC202" i="29"/>
  <c r="AB202" i="29"/>
  <c r="Q122" i="29"/>
  <c r="P122" i="29"/>
  <c r="H134" i="18"/>
  <c r="Q80" i="23"/>
  <c r="AL63" i="18"/>
  <c r="R200" i="29"/>
  <c r="T201" i="29"/>
  <c r="AL84" i="23"/>
  <c r="AL100" i="23"/>
  <c r="AC45" i="23"/>
  <c r="N152" i="29"/>
  <c r="U24" i="29"/>
  <c r="W25" i="29"/>
  <c r="F4" i="17"/>
  <c r="K79" i="23"/>
  <c r="H88" i="23"/>
  <c r="AL11" i="32"/>
  <c r="AI103" i="32"/>
  <c r="AL91" i="23"/>
  <c r="AL74" i="29"/>
  <c r="AK74" i="29"/>
  <c r="N66" i="32"/>
  <c r="AC126" i="29"/>
  <c r="AB126" i="29"/>
  <c r="AO43" i="18"/>
  <c r="AI83" i="23"/>
  <c r="AC100" i="18"/>
  <c r="O20" i="23"/>
  <c r="Q21" i="23"/>
  <c r="H75" i="18"/>
  <c r="F74" i="18"/>
  <c r="AL76" i="32"/>
  <c r="AF60" i="29"/>
  <c r="AE60" i="29"/>
  <c r="K184" i="29"/>
  <c r="J184" i="29"/>
  <c r="W26" i="23"/>
  <c r="T120" i="18"/>
  <c r="W113" i="32"/>
  <c r="T56" i="23"/>
  <c r="Q133" i="18"/>
  <c r="Q64" i="29"/>
  <c r="P64" i="29"/>
  <c r="N72" i="23"/>
  <c r="AF25" i="23"/>
  <c r="AD181" i="32"/>
  <c r="AF182" i="32"/>
  <c r="AE182" i="32"/>
  <c r="W101" i="23"/>
  <c r="S4" i="1"/>
  <c r="Q125" i="29"/>
  <c r="P125" i="29"/>
  <c r="X94" i="18"/>
  <c r="Z96" i="18"/>
  <c r="T10" i="18"/>
  <c r="N115" i="18"/>
  <c r="H195" i="32"/>
  <c r="F194" i="32"/>
  <c r="AF11" i="32"/>
  <c r="AE11" i="32"/>
  <c r="AO120" i="23"/>
  <c r="W83" i="32"/>
  <c r="K4" i="15"/>
  <c r="T82" i="32"/>
  <c r="S82" i="32"/>
  <c r="AC183" i="32"/>
  <c r="AB183" i="32"/>
  <c r="Z130" i="23"/>
  <c r="X129" i="23"/>
  <c r="AF153" i="29"/>
  <c r="AE153" i="29"/>
  <c r="N216" i="32"/>
  <c r="L215" i="32"/>
  <c r="Q68" i="23"/>
  <c r="AI102" i="23"/>
  <c r="H4" i="1"/>
  <c r="N55" i="23"/>
  <c r="L54" i="23"/>
  <c r="U35" i="29"/>
  <c r="W36" i="29"/>
  <c r="Q71" i="18"/>
  <c r="O68" i="18"/>
  <c r="AF109" i="32"/>
  <c r="AE109" i="32"/>
  <c r="AC10" i="23"/>
  <c r="W23" i="23"/>
  <c r="O39" i="23"/>
  <c r="Q40" i="23"/>
  <c r="O66" i="23"/>
  <c r="AI47" i="18"/>
  <c r="AG46" i="18"/>
  <c r="T170" i="32"/>
  <c r="S170" i="32"/>
  <c r="AF101" i="23"/>
  <c r="AL26" i="18"/>
  <c r="K4" i="11"/>
  <c r="K10" i="11" s="1"/>
  <c r="N120" i="29"/>
  <c r="AO77" i="18"/>
  <c r="AO55" i="18"/>
  <c r="W40" i="23"/>
  <c r="U39" i="23"/>
  <c r="W96" i="23"/>
  <c r="O117" i="18"/>
  <c r="Q118" i="18"/>
  <c r="T107" i="32"/>
  <c r="S107" i="32"/>
  <c r="K79" i="32"/>
  <c r="J79" i="32"/>
  <c r="AL119" i="18"/>
  <c r="N134" i="23"/>
  <c r="Q118" i="29"/>
  <c r="P118" i="29"/>
  <c r="N173" i="32"/>
  <c r="L172" i="32"/>
  <c r="E165" i="29"/>
  <c r="AF67" i="29"/>
  <c r="AE67" i="29"/>
  <c r="AO132" i="18"/>
  <c r="K217" i="32"/>
  <c r="J217" i="32"/>
  <c r="K55" i="23"/>
  <c r="I54" i="23"/>
  <c r="AC135" i="18"/>
  <c r="AL143" i="18"/>
  <c r="W66" i="32"/>
  <c r="AC24" i="23"/>
  <c r="Z86" i="23"/>
  <c r="AO86" i="23"/>
  <c r="K135" i="18"/>
  <c r="T198" i="29"/>
  <c r="AI121" i="29"/>
  <c r="H17" i="18"/>
  <c r="AC83" i="23"/>
  <c r="AF75" i="32"/>
  <c r="AE75" i="32"/>
  <c r="Q69" i="29"/>
  <c r="P69" i="29"/>
  <c r="P198" i="32"/>
  <c r="Q198" i="32"/>
  <c r="AF68" i="29"/>
  <c r="AE68" i="29"/>
  <c r="H142" i="18"/>
  <c r="T134" i="18"/>
  <c r="AC106" i="18"/>
  <c r="AC72" i="32"/>
  <c r="AB72" i="32"/>
  <c r="P8" i="32"/>
  <c r="Q8" i="32"/>
  <c r="O10" i="9" l="1"/>
  <c r="M120" i="29"/>
  <c r="V66" i="32"/>
  <c r="I10" i="1"/>
  <c r="S109" i="32"/>
  <c r="P158" i="32"/>
  <c r="P121" i="32"/>
  <c r="P122" i="32"/>
  <c r="P120" i="32"/>
  <c r="V153" i="29"/>
  <c r="F10" i="16"/>
  <c r="AH59" i="29"/>
  <c r="M74" i="32"/>
  <c r="AH154" i="29"/>
  <c r="AH62" i="29"/>
  <c r="V184" i="29"/>
  <c r="V95" i="29"/>
  <c r="AB127" i="29"/>
  <c r="AB25" i="29"/>
  <c r="AB70" i="29"/>
  <c r="AB148" i="29"/>
  <c r="AB78" i="29"/>
  <c r="AK68" i="29"/>
  <c r="Y113" i="32"/>
  <c r="AB183" i="29"/>
  <c r="AB187" i="29"/>
  <c r="AB128" i="29"/>
  <c r="AB179" i="29"/>
  <c r="AB65" i="29"/>
  <c r="AB62" i="29"/>
  <c r="AB61" i="29"/>
  <c r="AB177" i="29"/>
  <c r="AB120" i="29"/>
  <c r="Y205" i="32"/>
  <c r="AB152" i="29"/>
  <c r="AB28" i="29"/>
  <c r="AB184" i="29"/>
  <c r="AB176" i="29"/>
  <c r="M157" i="32"/>
  <c r="Y65" i="29"/>
  <c r="AH60" i="29"/>
  <c r="AH28" i="29"/>
  <c r="AE128" i="29"/>
  <c r="AE187" i="29"/>
  <c r="AE26" i="29"/>
  <c r="Y184" i="29"/>
  <c r="AK67" i="32"/>
  <c r="AK40" i="32"/>
  <c r="AK76" i="32"/>
  <c r="AK11" i="32"/>
  <c r="Y201" i="29"/>
  <c r="S157" i="32"/>
  <c r="S115" i="32"/>
  <c r="J122" i="29"/>
  <c r="AH135" i="29"/>
  <c r="AE124" i="29"/>
  <c r="M170" i="32"/>
  <c r="AK216" i="32"/>
  <c r="AE123" i="29"/>
  <c r="AE78" i="29"/>
  <c r="AE186" i="29"/>
  <c r="AB178" i="29"/>
  <c r="AE148" i="29"/>
  <c r="AB77" i="29"/>
  <c r="AE180" i="29"/>
  <c r="L10" i="8"/>
  <c r="AE96" i="29"/>
  <c r="M162" i="32"/>
  <c r="AK124" i="32"/>
  <c r="J180" i="29"/>
  <c r="AE164" i="29"/>
  <c r="AE198" i="29"/>
  <c r="AK217" i="32"/>
  <c r="AH29" i="29"/>
  <c r="AE122" i="29"/>
  <c r="S110" i="32"/>
  <c r="S10" i="32"/>
  <c r="Y128" i="29"/>
  <c r="S105" i="32"/>
  <c r="AE127" i="29"/>
  <c r="AK70" i="32"/>
  <c r="S160" i="32"/>
  <c r="Y73" i="29"/>
  <c r="AH152" i="29"/>
  <c r="AE74" i="29"/>
  <c r="Y165" i="29"/>
  <c r="AE63" i="29"/>
  <c r="AE202" i="29"/>
  <c r="AE118" i="29"/>
  <c r="Y77" i="32"/>
  <c r="M152" i="29"/>
  <c r="AK199" i="32"/>
  <c r="AH65" i="29"/>
  <c r="AK206" i="32"/>
  <c r="AK9" i="32"/>
  <c r="AK182" i="32"/>
  <c r="AK114" i="32"/>
  <c r="AK75" i="32"/>
  <c r="AE95" i="29"/>
  <c r="AE77" i="29"/>
  <c r="AB125" i="29"/>
  <c r="AB121" i="29"/>
  <c r="AE64" i="29"/>
  <c r="AE29" i="29"/>
  <c r="AE25" i="29"/>
  <c r="AH121" i="29"/>
  <c r="AK119" i="32"/>
  <c r="AH165" i="29"/>
  <c r="AH127" i="29"/>
  <c r="Y77" i="29"/>
  <c r="Y36" i="29"/>
  <c r="Y60" i="29"/>
  <c r="J176" i="29"/>
  <c r="AK170" i="32"/>
  <c r="AK166" i="32"/>
  <c r="AE147" i="29"/>
  <c r="AK108" i="32"/>
  <c r="AE116" i="29"/>
  <c r="AB116" i="29"/>
  <c r="AE115" i="29"/>
  <c r="AK128" i="29"/>
  <c r="M67" i="32"/>
  <c r="AE126" i="29"/>
  <c r="AE28" i="29"/>
  <c r="AE70" i="29"/>
  <c r="Y157" i="32"/>
  <c r="Y65" i="32"/>
  <c r="AH186" i="29"/>
  <c r="M29" i="29"/>
  <c r="AH179" i="29"/>
  <c r="M196" i="32"/>
  <c r="AK68" i="32"/>
  <c r="Y187" i="29"/>
  <c r="Y135" i="29"/>
  <c r="M109" i="32"/>
  <c r="Y198" i="29"/>
  <c r="AK196" i="32"/>
  <c r="AE201" i="29"/>
  <c r="S70" i="32"/>
  <c r="J99" i="29"/>
  <c r="AH155" i="29"/>
  <c r="J70" i="29"/>
  <c r="S116" i="32"/>
  <c r="Y123" i="29"/>
  <c r="S79" i="32"/>
  <c r="J125" i="29"/>
  <c r="S67" i="32"/>
  <c r="AH122" i="29"/>
  <c r="S216" i="32"/>
  <c r="AE36" i="29"/>
  <c r="AE152" i="29"/>
  <c r="AE146" i="29"/>
  <c r="Y99" i="29"/>
  <c r="AK126" i="32"/>
  <c r="AK10" i="32"/>
  <c r="AB146" i="29"/>
  <c r="AE176" i="29"/>
  <c r="AE185" i="29"/>
  <c r="V36" i="29"/>
  <c r="V73" i="29"/>
  <c r="V201" i="29"/>
  <c r="G10" i="14"/>
  <c r="R10" i="1"/>
  <c r="K10" i="15"/>
  <c r="V178" i="29"/>
  <c r="V146" i="29"/>
  <c r="V98" i="29"/>
  <c r="V165" i="29"/>
  <c r="V69" i="29"/>
  <c r="V155" i="29"/>
  <c r="V123" i="29"/>
  <c r="V186" i="29"/>
  <c r="V147" i="29"/>
  <c r="V25" i="29"/>
  <c r="E107" i="32"/>
  <c r="V72" i="29"/>
  <c r="V58" i="29"/>
  <c r="V61" i="29"/>
  <c r="V76" i="29"/>
  <c r="V118" i="29"/>
  <c r="AE125" i="29"/>
  <c r="O10" i="7"/>
  <c r="AE151" i="29"/>
  <c r="O10" i="12"/>
  <c r="AK27" i="29"/>
  <c r="M77" i="32"/>
  <c r="V117" i="29"/>
  <c r="G126" i="29"/>
  <c r="M10" i="28"/>
  <c r="M10" i="15"/>
  <c r="E159" i="32"/>
  <c r="E165" i="32"/>
  <c r="H10" i="1"/>
  <c r="O10" i="16"/>
  <c r="F10" i="17"/>
  <c r="M81" i="32"/>
  <c r="M156" i="32"/>
  <c r="AB78" i="32"/>
  <c r="AB80" i="32"/>
  <c r="AB196" i="32"/>
  <c r="AB71" i="32"/>
  <c r="M205" i="32"/>
  <c r="M160" i="32"/>
  <c r="AB163" i="32"/>
  <c r="M216" i="32"/>
  <c r="M161" i="32"/>
  <c r="M163" i="32"/>
  <c r="M111" i="32"/>
  <c r="M116" i="32"/>
  <c r="M217" i="32"/>
  <c r="AB216" i="32"/>
  <c r="L10" i="27"/>
  <c r="AB160" i="32"/>
  <c r="AB8" i="32"/>
  <c r="AB217" i="32"/>
  <c r="M108" i="32"/>
  <c r="V31" i="32"/>
  <c r="M164" i="29"/>
  <c r="M101" i="32"/>
  <c r="M40" i="32"/>
  <c r="AB182" i="32"/>
  <c r="AB83" i="32"/>
  <c r="AB74" i="32"/>
  <c r="AB69" i="32"/>
  <c r="M173" i="32"/>
  <c r="M104" i="32"/>
  <c r="AB121" i="32"/>
  <c r="AB31" i="32"/>
  <c r="AB173" i="32"/>
  <c r="AB105" i="32"/>
  <c r="AB199" i="32"/>
  <c r="AB124" i="32"/>
  <c r="AB77" i="32"/>
  <c r="M66" i="32"/>
  <c r="M110" i="32"/>
  <c r="M206" i="32"/>
  <c r="AB65" i="32"/>
  <c r="AB11" i="32"/>
  <c r="AB198" i="32"/>
  <c r="AB162" i="32"/>
  <c r="AB70" i="32"/>
  <c r="AB82" i="32"/>
  <c r="AB166" i="32"/>
  <c r="M10" i="7"/>
  <c r="AE103" i="32"/>
  <c r="Y26" i="29"/>
  <c r="Y152" i="29"/>
  <c r="Y122" i="29"/>
  <c r="K10" i="28"/>
  <c r="Y126" i="29"/>
  <c r="Y121" i="29"/>
  <c r="Y176" i="29"/>
  <c r="S168" i="32"/>
  <c r="V32" i="32"/>
  <c r="S205" i="32"/>
  <c r="J73" i="29"/>
  <c r="J185" i="29"/>
  <c r="AH95" i="29"/>
  <c r="AH69" i="29"/>
  <c r="AH70" i="29"/>
  <c r="S108" i="32"/>
  <c r="S198" i="32"/>
  <c r="S203" i="32"/>
  <c r="S199" i="32"/>
  <c r="AH74" i="29"/>
  <c r="AH183" i="29"/>
  <c r="AH178" i="29"/>
  <c r="J123" i="29"/>
  <c r="S195" i="32"/>
  <c r="J164" i="29"/>
  <c r="J25" i="29"/>
  <c r="J148" i="29"/>
  <c r="J202" i="29"/>
  <c r="V11" i="32"/>
  <c r="E79" i="32"/>
  <c r="V103" i="32"/>
  <c r="V119" i="32"/>
  <c r="E29" i="25"/>
  <c r="V173" i="32"/>
  <c r="V76" i="32"/>
  <c r="E32" i="32"/>
  <c r="E109" i="32"/>
  <c r="V117" i="32"/>
  <c r="I10" i="28"/>
  <c r="E56" i="32"/>
  <c r="G10" i="10"/>
  <c r="V114" i="32"/>
  <c r="V205" i="32"/>
  <c r="E172" i="32"/>
  <c r="V102" i="32"/>
  <c r="J118" i="29"/>
  <c r="V118" i="32"/>
  <c r="V163" i="32"/>
  <c r="V69" i="32"/>
  <c r="V198" i="32"/>
  <c r="E31" i="25"/>
  <c r="E105" i="32"/>
  <c r="E14" i="31"/>
  <c r="E16" i="25"/>
  <c r="J135" i="29"/>
  <c r="V199" i="32"/>
  <c r="V110" i="32"/>
  <c r="V126" i="32"/>
  <c r="V67" i="32"/>
  <c r="E198" i="32"/>
  <c r="E162" i="32"/>
  <c r="E8" i="32"/>
  <c r="E74" i="32"/>
  <c r="E203" i="32"/>
  <c r="E202" i="32"/>
  <c r="V101" i="32"/>
  <c r="V124" i="32"/>
  <c r="V125" i="32"/>
  <c r="E104" i="32"/>
  <c r="E78" i="32"/>
  <c r="V116" i="32"/>
  <c r="V161" i="32"/>
  <c r="L10" i="1"/>
  <c r="E28" i="25"/>
  <c r="E113" i="32"/>
  <c r="E201" i="32"/>
  <c r="E169" i="32"/>
  <c r="E27" i="25"/>
  <c r="V196" i="32"/>
  <c r="V157" i="32"/>
  <c r="V111" i="32"/>
  <c r="V160" i="32"/>
  <c r="V79" i="32"/>
  <c r="V108" i="32"/>
  <c r="E64" i="32"/>
  <c r="V68" i="32"/>
  <c r="E163" i="32"/>
  <c r="V104" i="32"/>
  <c r="L10" i="12"/>
  <c r="V167" i="32"/>
  <c r="V203" i="32"/>
  <c r="V216" i="32"/>
  <c r="V83" i="32"/>
  <c r="V113" i="32"/>
  <c r="V105" i="32"/>
  <c r="V115" i="32"/>
  <c r="E67" i="32"/>
  <c r="E81" i="32"/>
  <c r="E167" i="32"/>
  <c r="E123" i="32"/>
  <c r="E166" i="32"/>
  <c r="V73" i="32"/>
  <c r="E117" i="32"/>
  <c r="E206" i="32"/>
  <c r="AK160" i="32"/>
  <c r="AB165" i="29"/>
  <c r="AB58" i="29"/>
  <c r="AB66" i="32"/>
  <c r="Y119" i="32"/>
  <c r="AB111" i="32"/>
  <c r="G119" i="32"/>
  <c r="AB27" i="29"/>
  <c r="AK186" i="29"/>
  <c r="AK197" i="32"/>
  <c r="AB153" i="29"/>
  <c r="AH26" i="29"/>
  <c r="AB154" i="29"/>
  <c r="AB151" i="29"/>
  <c r="Y170" i="32"/>
  <c r="Y64" i="32"/>
  <c r="J153" i="29"/>
  <c r="J10" i="28"/>
  <c r="J8" i="29"/>
  <c r="V151" i="29"/>
  <c r="S10" i="1"/>
  <c r="M177" i="29"/>
  <c r="M25" i="29"/>
  <c r="AH180" i="29"/>
  <c r="AH61" i="29"/>
  <c r="J71" i="29"/>
  <c r="M135" i="29"/>
  <c r="M158" i="29"/>
  <c r="M180" i="29"/>
  <c r="M27" i="29"/>
  <c r="M61" i="29"/>
  <c r="M70" i="29"/>
  <c r="M185" i="29"/>
  <c r="AE183" i="32"/>
  <c r="AH72" i="29"/>
  <c r="AE170" i="32"/>
  <c r="AE71" i="32"/>
  <c r="AE79" i="32"/>
  <c r="V122" i="32"/>
  <c r="AE71" i="29"/>
  <c r="K10" i="7"/>
  <c r="M69" i="29"/>
  <c r="AE124" i="32"/>
  <c r="AE195" i="32"/>
  <c r="AE97" i="29"/>
  <c r="M187" i="29"/>
  <c r="M78" i="29"/>
  <c r="M62" i="29"/>
  <c r="M122" i="29"/>
  <c r="M186" i="29"/>
  <c r="AE125" i="32"/>
  <c r="V204" i="32"/>
  <c r="V80" i="32"/>
  <c r="V70" i="32"/>
  <c r="S166" i="32"/>
  <c r="M125" i="29"/>
  <c r="V164" i="29"/>
  <c r="V220" i="32"/>
  <c r="V170" i="32"/>
  <c r="M96" i="29"/>
  <c r="M97" i="29"/>
  <c r="V168" i="32"/>
  <c r="M63" i="29"/>
  <c r="M67" i="29"/>
  <c r="P10" i="27"/>
  <c r="M99" i="29"/>
  <c r="AE115" i="32"/>
  <c r="AE156" i="32"/>
  <c r="AH99" i="29"/>
  <c r="AE65" i="32"/>
  <c r="V106" i="32"/>
  <c r="V77" i="32"/>
  <c r="V158" i="29"/>
  <c r="V183" i="29"/>
  <c r="V96" i="29"/>
  <c r="E152" i="29"/>
  <c r="V176" i="29"/>
  <c r="V71" i="29"/>
  <c r="V169" i="32"/>
  <c r="AE155" i="29"/>
  <c r="V26" i="29"/>
  <c r="V125" i="29"/>
  <c r="G167" i="32"/>
  <c r="E128" i="29"/>
  <c r="AE206" i="32"/>
  <c r="M155" i="29"/>
  <c r="M66" i="29"/>
  <c r="V59" i="29"/>
  <c r="AK7" i="32"/>
  <c r="L10" i="11"/>
  <c r="S161" i="32"/>
  <c r="S11" i="32"/>
  <c r="S120" i="32"/>
  <c r="M107" i="32"/>
  <c r="M159" i="32"/>
  <c r="Y186" i="29"/>
  <c r="E64" i="29"/>
  <c r="M179" i="29"/>
  <c r="P159" i="32"/>
  <c r="F44" i="25"/>
  <c r="G26" i="25" s="1"/>
  <c r="V7" i="29"/>
  <c r="AE7" i="29"/>
  <c r="S158" i="32"/>
  <c r="J120" i="29"/>
  <c r="AE32" i="32"/>
  <c r="V206" i="32"/>
  <c r="V109" i="32"/>
  <c r="J66" i="32"/>
  <c r="J203" i="32"/>
  <c r="G195" i="32"/>
  <c r="G221" i="32"/>
  <c r="G114" i="32"/>
  <c r="V166" i="32"/>
  <c r="G7" i="32"/>
  <c r="Y177" i="29"/>
  <c r="V78" i="29"/>
  <c r="AE159" i="32"/>
  <c r="J115" i="32"/>
  <c r="AK198" i="29"/>
  <c r="Y72" i="29"/>
  <c r="AH63" i="29"/>
  <c r="AE82" i="32"/>
  <c r="AE111" i="32"/>
  <c r="V195" i="32"/>
  <c r="J81" i="32"/>
  <c r="G123" i="32"/>
  <c r="G32" i="32"/>
  <c r="Y28" i="29"/>
  <c r="AE8" i="32"/>
  <c r="V202" i="32"/>
  <c r="V197" i="32"/>
  <c r="Q10" i="1"/>
  <c r="M10" i="1"/>
  <c r="P98" i="29"/>
  <c r="P148" i="29"/>
  <c r="V156" i="32"/>
  <c r="G10" i="8"/>
  <c r="K10" i="1"/>
  <c r="M220" i="32"/>
  <c r="M121" i="32"/>
  <c r="M126" i="32"/>
  <c r="M7" i="32"/>
  <c r="AH111" i="32"/>
  <c r="E7" i="29"/>
  <c r="V121" i="32"/>
  <c r="M80" i="32"/>
  <c r="V10" i="32"/>
  <c r="Y127" i="29"/>
  <c r="V148" i="29"/>
  <c r="Y197" i="29"/>
  <c r="V71" i="32"/>
  <c r="M123" i="32"/>
  <c r="Y7" i="29"/>
  <c r="V116" i="29"/>
  <c r="AE73" i="29"/>
  <c r="AE135" i="29"/>
  <c r="AK7" i="29"/>
  <c r="P10" i="28"/>
  <c r="G79" i="32"/>
  <c r="E40" i="32"/>
  <c r="E173" i="32"/>
  <c r="E80" i="32"/>
  <c r="E126" i="32"/>
  <c r="AH202" i="29"/>
  <c r="E75" i="32"/>
  <c r="AH124" i="29"/>
  <c r="V63" i="29"/>
  <c r="AH118" i="29"/>
  <c r="Y76" i="29"/>
  <c r="N10" i="9"/>
  <c r="V177" i="29"/>
  <c r="AB26" i="29"/>
  <c r="P8" i="29"/>
  <c r="AE56" i="32"/>
  <c r="AE120" i="32"/>
  <c r="AB122" i="29"/>
  <c r="J7" i="32"/>
  <c r="AH101" i="32"/>
  <c r="R10" i="28"/>
  <c r="AE106" i="32"/>
  <c r="AH78" i="29"/>
  <c r="AE162" i="32"/>
  <c r="AB98" i="29"/>
  <c r="AB7" i="29"/>
  <c r="J104" i="32"/>
  <c r="E35" i="29"/>
  <c r="AK29" i="29"/>
  <c r="E63" i="32"/>
  <c r="E168" i="32"/>
  <c r="Y74" i="29"/>
  <c r="E68" i="32"/>
  <c r="P176" i="29"/>
  <c r="G185" i="29"/>
  <c r="AB205" i="32"/>
  <c r="AH120" i="32"/>
  <c r="AH124" i="32"/>
  <c r="G109" i="32"/>
  <c r="E102" i="32"/>
  <c r="E70" i="32"/>
  <c r="Y75" i="29"/>
  <c r="E216" i="32"/>
  <c r="Y158" i="29"/>
  <c r="N10" i="16"/>
  <c r="P7" i="29"/>
  <c r="V28" i="29"/>
  <c r="AB198" i="29"/>
  <c r="V123" i="32"/>
  <c r="E97" i="29"/>
  <c r="V162" i="32"/>
  <c r="AB36" i="29"/>
  <c r="J173" i="32"/>
  <c r="J220" i="32"/>
  <c r="J120" i="32"/>
  <c r="J168" i="32"/>
  <c r="V56" i="32"/>
  <c r="AE168" i="32"/>
  <c r="AH31" i="32"/>
  <c r="E10" i="32"/>
  <c r="E121" i="32"/>
  <c r="E83" i="32"/>
  <c r="E221" i="32"/>
  <c r="AH185" i="29"/>
  <c r="AH97" i="29"/>
  <c r="J67" i="29"/>
  <c r="Y8" i="29"/>
  <c r="AE158" i="32"/>
  <c r="AE121" i="32"/>
  <c r="AH36" i="29"/>
  <c r="Y155" i="29"/>
  <c r="AB73" i="32"/>
  <c r="AH115" i="29"/>
  <c r="V81" i="32"/>
  <c r="E59" i="29"/>
  <c r="V112" i="32"/>
  <c r="G196" i="32"/>
  <c r="E120" i="32"/>
  <c r="E118" i="32"/>
  <c r="E82" i="32"/>
  <c r="V135" i="29"/>
  <c r="AH123" i="29"/>
  <c r="AH184" i="29"/>
  <c r="E170" i="32"/>
  <c r="E161" i="32"/>
  <c r="E7" i="32"/>
  <c r="N10" i="8"/>
  <c r="AE73" i="32"/>
  <c r="AE104" i="32"/>
  <c r="AE7" i="32"/>
  <c r="AE67" i="32"/>
  <c r="E72" i="32"/>
  <c r="V62" i="29"/>
  <c r="P183" i="29"/>
  <c r="Y124" i="29"/>
  <c r="V75" i="29"/>
  <c r="E195" i="32"/>
  <c r="V158" i="32"/>
  <c r="V185" i="29"/>
  <c r="J111" i="32"/>
  <c r="E100" i="32"/>
  <c r="V27" i="29"/>
  <c r="E122" i="32"/>
  <c r="E11" i="32"/>
  <c r="Y164" i="29"/>
  <c r="AB63" i="29"/>
  <c r="AH63" i="32"/>
  <c r="AH102" i="32"/>
  <c r="AH68" i="29"/>
  <c r="V65" i="29"/>
  <c r="AH58" i="29"/>
  <c r="L10" i="13"/>
  <c r="V121" i="29"/>
  <c r="AH67" i="29"/>
  <c r="AB164" i="29"/>
  <c r="P151" i="29"/>
  <c r="J102" i="32"/>
  <c r="J158" i="32"/>
  <c r="AB168" i="32"/>
  <c r="Q114" i="23"/>
  <c r="AC54" i="23"/>
  <c r="S96" i="29"/>
  <c r="S21" i="29"/>
  <c r="S83" i="29"/>
  <c r="S15" i="29"/>
  <c r="S105" i="29"/>
  <c r="S92" i="29"/>
  <c r="S20" i="29"/>
  <c r="S107" i="29"/>
  <c r="S166" i="29"/>
  <c r="S129" i="29"/>
  <c r="S160" i="29"/>
  <c r="S42" i="29"/>
  <c r="S90" i="29"/>
  <c r="S81" i="29"/>
  <c r="S17" i="29"/>
  <c r="S37" i="29"/>
  <c r="T6" i="29"/>
  <c r="S113" i="29"/>
  <c r="S167" i="29"/>
  <c r="S106" i="29"/>
  <c r="S13" i="29"/>
  <c r="S140" i="29"/>
  <c r="S188" i="29"/>
  <c r="S16" i="29"/>
  <c r="R32" i="29"/>
  <c r="S84" i="29"/>
  <c r="S14" i="29"/>
  <c r="S130" i="29"/>
  <c r="S142" i="29"/>
  <c r="S141" i="29"/>
  <c r="S40" i="29"/>
  <c r="S102" i="29"/>
  <c r="S137" i="29"/>
  <c r="S49" i="29"/>
  <c r="S108" i="29"/>
  <c r="S136" i="29"/>
  <c r="S91" i="29"/>
  <c r="S19" i="29"/>
  <c r="S159" i="29"/>
  <c r="S88" i="29"/>
  <c r="S47" i="29"/>
  <c r="S9" i="29"/>
  <c r="S43" i="29"/>
  <c r="S46" i="29"/>
  <c r="S139" i="29"/>
  <c r="S22" i="29"/>
  <c r="S39" i="29"/>
  <c r="S51" i="29"/>
  <c r="S87" i="29"/>
  <c r="S79" i="29"/>
  <c r="S168" i="29"/>
  <c r="S132" i="29"/>
  <c r="S82" i="29"/>
  <c r="S114" i="29"/>
  <c r="S101" i="29"/>
  <c r="S10" i="29"/>
  <c r="S6" i="29"/>
  <c r="S85" i="29"/>
  <c r="S103" i="29"/>
  <c r="S44" i="29"/>
  <c r="S138" i="29"/>
  <c r="S41" i="29"/>
  <c r="S112" i="29"/>
  <c r="S109" i="29"/>
  <c r="S143" i="29"/>
  <c r="S131" i="29"/>
  <c r="S100" i="29"/>
  <c r="S165" i="29"/>
  <c r="S38" i="29"/>
  <c r="S50" i="29"/>
  <c r="S12" i="29"/>
  <c r="S11" i="29"/>
  <c r="S48" i="29"/>
  <c r="S86" i="29"/>
  <c r="S89" i="29"/>
  <c r="S110" i="29"/>
  <c r="S45" i="29"/>
  <c r="S161" i="29"/>
  <c r="S18" i="29"/>
  <c r="S80" i="29"/>
  <c r="S111" i="29"/>
  <c r="S104" i="29"/>
  <c r="S70" i="29"/>
  <c r="S72" i="29"/>
  <c r="S185" i="29"/>
  <c r="S197" i="29"/>
  <c r="S187" i="29"/>
  <c r="S125" i="29"/>
  <c r="S119" i="29"/>
  <c r="S123" i="29"/>
  <c r="S63" i="29"/>
  <c r="S117" i="29"/>
  <c r="S95" i="29"/>
  <c r="S69" i="29"/>
  <c r="S176" i="29"/>
  <c r="S122" i="29"/>
  <c r="S146" i="29"/>
  <c r="S115" i="29"/>
  <c r="S148" i="29"/>
  <c r="S36" i="29"/>
  <c r="S66" i="29"/>
  <c r="S202" i="29"/>
  <c r="S68" i="29"/>
  <c r="S77" i="29"/>
  <c r="S76" i="29"/>
  <c r="S71" i="29"/>
  <c r="S99" i="29"/>
  <c r="S135" i="29"/>
  <c r="S58" i="29"/>
  <c r="S180" i="29"/>
  <c r="S8" i="29"/>
  <c r="S179" i="29"/>
  <c r="S184" i="29"/>
  <c r="S29" i="29"/>
  <c r="S61" i="29"/>
  <c r="S25" i="29"/>
  <c r="S75" i="29"/>
  <c r="S177" i="29"/>
  <c r="S27" i="29"/>
  <c r="S198" i="29"/>
  <c r="Q66" i="23"/>
  <c r="O122" i="23"/>
  <c r="Q20" i="23"/>
  <c r="T133" i="23"/>
  <c r="Z35" i="29"/>
  <c r="Y35" i="29"/>
  <c r="AH157" i="32"/>
  <c r="S172" i="32"/>
  <c r="T172" i="32"/>
  <c r="AC104" i="23"/>
  <c r="P145" i="29"/>
  <c r="Q145" i="29"/>
  <c r="AF163" i="29"/>
  <c r="AE163" i="29"/>
  <c r="AC20" i="23"/>
  <c r="AL39" i="23"/>
  <c r="S73" i="29"/>
  <c r="AC98" i="18"/>
  <c r="AH78" i="32"/>
  <c r="N24" i="29"/>
  <c r="M24" i="29"/>
  <c r="S183" i="29"/>
  <c r="G81" i="32"/>
  <c r="AH114" i="32"/>
  <c r="AC201" i="32"/>
  <c r="AB201" i="32"/>
  <c r="AH108" i="32"/>
  <c r="N129" i="23"/>
  <c r="AK215" i="32"/>
  <c r="AL215" i="32"/>
  <c r="AH159" i="32"/>
  <c r="AO54" i="23"/>
  <c r="G124" i="32"/>
  <c r="S164" i="29"/>
  <c r="Q60" i="18"/>
  <c r="G200" i="29"/>
  <c r="H200" i="29"/>
  <c r="AL219" i="32"/>
  <c r="AK219" i="32"/>
  <c r="AH205" i="32"/>
  <c r="G156" i="32"/>
  <c r="AH216" i="32"/>
  <c r="V150" i="29"/>
  <c r="W150" i="29"/>
  <c r="AH125" i="32"/>
  <c r="M202" i="29"/>
  <c r="M47" i="29"/>
  <c r="M168" i="29"/>
  <c r="M114" i="29"/>
  <c r="M159" i="29"/>
  <c r="M42" i="29"/>
  <c r="M139" i="29"/>
  <c r="M105" i="29"/>
  <c r="M13" i="29"/>
  <c r="M21" i="29"/>
  <c r="M85" i="29"/>
  <c r="M140" i="29"/>
  <c r="M102" i="29"/>
  <c r="M100" i="29"/>
  <c r="M109" i="29"/>
  <c r="M9" i="29"/>
  <c r="M48" i="29"/>
  <c r="M40" i="29"/>
  <c r="M104" i="29"/>
  <c r="M130" i="29"/>
  <c r="M15" i="29"/>
  <c r="M12" i="29"/>
  <c r="M49" i="29"/>
  <c r="M83" i="29"/>
  <c r="M160" i="29"/>
  <c r="M107" i="29"/>
  <c r="M14" i="29"/>
  <c r="M113" i="29"/>
  <c r="M143" i="29"/>
  <c r="M84" i="29"/>
  <c r="M88" i="29"/>
  <c r="M86" i="29"/>
  <c r="M80" i="29"/>
  <c r="M129" i="29"/>
  <c r="M112" i="29"/>
  <c r="M17" i="29"/>
  <c r="M20" i="29"/>
  <c r="M137" i="29"/>
  <c r="M81" i="29"/>
  <c r="M132" i="29"/>
  <c r="M103" i="29"/>
  <c r="M108" i="29"/>
  <c r="M43" i="29"/>
  <c r="M111" i="29"/>
  <c r="M50" i="29"/>
  <c r="M51" i="29"/>
  <c r="M11" i="29"/>
  <c r="M41" i="29"/>
  <c r="M6" i="29"/>
  <c r="M45" i="29"/>
  <c r="M136" i="29"/>
  <c r="M161" i="29"/>
  <c r="M18" i="29"/>
  <c r="L32" i="29"/>
  <c r="M167" i="29"/>
  <c r="M138" i="29"/>
  <c r="M39" i="29"/>
  <c r="M141" i="29"/>
  <c r="M79" i="29"/>
  <c r="M44" i="29"/>
  <c r="M10" i="29"/>
  <c r="M106" i="29"/>
  <c r="M82" i="29"/>
  <c r="M101" i="29"/>
  <c r="M37" i="29"/>
  <c r="M16" i="29"/>
  <c r="M90" i="29"/>
  <c r="M142" i="29"/>
  <c r="M89" i="29"/>
  <c r="M166" i="29"/>
  <c r="M91" i="29"/>
  <c r="M110" i="29"/>
  <c r="N6" i="29"/>
  <c r="M87" i="29"/>
  <c r="M22" i="29"/>
  <c r="M92" i="29"/>
  <c r="M38" i="29"/>
  <c r="M46" i="29"/>
  <c r="M188" i="29"/>
  <c r="M19" i="29"/>
  <c r="M131" i="29"/>
  <c r="M116" i="29"/>
  <c r="M146" i="29"/>
  <c r="M73" i="29"/>
  <c r="M178" i="29"/>
  <c r="M197" i="29"/>
  <c r="M127" i="29"/>
  <c r="M151" i="29"/>
  <c r="M26" i="29"/>
  <c r="M184" i="29"/>
  <c r="M154" i="29"/>
  <c r="M77" i="29"/>
  <c r="M121" i="29"/>
  <c r="M148" i="29"/>
  <c r="M119" i="29"/>
  <c r="M76" i="29"/>
  <c r="M95" i="29"/>
  <c r="M128" i="29"/>
  <c r="M60" i="29"/>
  <c r="M68" i="29"/>
  <c r="M65" i="29"/>
  <c r="M117" i="29"/>
  <c r="M153" i="29"/>
  <c r="M75" i="29"/>
  <c r="M165" i="29"/>
  <c r="M98" i="29"/>
  <c r="M124" i="29"/>
  <c r="M74" i="29"/>
  <c r="M71" i="29"/>
  <c r="M126" i="29"/>
  <c r="M64" i="29"/>
  <c r="M115" i="29"/>
  <c r="M58" i="29"/>
  <c r="M59" i="29"/>
  <c r="M176" i="29"/>
  <c r="M72" i="29"/>
  <c r="M123" i="29"/>
  <c r="W163" i="29"/>
  <c r="V163" i="29"/>
  <c r="AO133" i="23"/>
  <c r="AC68" i="18"/>
  <c r="G173" i="32"/>
  <c r="S59" i="29"/>
  <c r="J126" i="29"/>
  <c r="AF98" i="18"/>
  <c r="K118" i="23"/>
  <c r="AC118" i="23"/>
  <c r="T30" i="18"/>
  <c r="J66" i="29"/>
  <c r="M166" i="32"/>
  <c r="AC60" i="18"/>
  <c r="Q201" i="32"/>
  <c r="P201" i="32"/>
  <c r="J65" i="29"/>
  <c r="J215" i="32"/>
  <c r="K215" i="32"/>
  <c r="AL163" i="29"/>
  <c r="AK163" i="29"/>
  <c r="E19" i="25"/>
  <c r="E14" i="25"/>
  <c r="E20" i="25"/>
  <c r="E18" i="25"/>
  <c r="E21" i="25"/>
  <c r="E26" i="25"/>
  <c r="E15" i="25"/>
  <c r="E30" i="25"/>
  <c r="M10" i="10"/>
  <c r="AK74" i="32"/>
  <c r="R63" i="23"/>
  <c r="T7" i="23"/>
  <c r="H118" i="23"/>
  <c r="AK158" i="32"/>
  <c r="W98" i="18"/>
  <c r="Y100" i="32"/>
  <c r="Z100" i="32"/>
  <c r="W94" i="29"/>
  <c r="V94" i="29"/>
  <c r="K24" i="29"/>
  <c r="J24" i="29"/>
  <c r="AF182" i="29"/>
  <c r="AE182" i="29"/>
  <c r="H30" i="18"/>
  <c r="AE215" i="32"/>
  <c r="AF215" i="32"/>
  <c r="S155" i="29"/>
  <c r="T165" i="32"/>
  <c r="S165" i="32"/>
  <c r="AH220" i="32"/>
  <c r="K165" i="32"/>
  <c r="J165" i="32"/>
  <c r="AH195" i="32"/>
  <c r="AO129" i="23"/>
  <c r="Z165" i="32"/>
  <c r="Y165" i="32"/>
  <c r="Q133" i="23"/>
  <c r="AH56" i="32"/>
  <c r="M28" i="29"/>
  <c r="AK172" i="32"/>
  <c r="AL172" i="32"/>
  <c r="AH203" i="32"/>
  <c r="O10" i="8"/>
  <c r="L10" i="14"/>
  <c r="J155" i="29"/>
  <c r="AH197" i="32"/>
  <c r="S181" i="32"/>
  <c r="T181" i="32"/>
  <c r="G57" i="29"/>
  <c r="H57" i="29"/>
  <c r="F170" i="29"/>
  <c r="AH175" i="29"/>
  <c r="AI175" i="29"/>
  <c r="AG190" i="29"/>
  <c r="AK71" i="32"/>
  <c r="S76" i="32"/>
  <c r="AL54" i="23"/>
  <c r="AF157" i="29"/>
  <c r="AE157" i="29"/>
  <c r="AH165" i="32"/>
  <c r="AI165" i="32"/>
  <c r="S147" i="29"/>
  <c r="M183" i="29"/>
  <c r="AK24" i="32"/>
  <c r="AL24" i="32"/>
  <c r="K54" i="23"/>
  <c r="S124" i="29"/>
  <c r="H35" i="18"/>
  <c r="AC94" i="29"/>
  <c r="AB94" i="29"/>
  <c r="P24" i="29"/>
  <c r="Q24" i="29"/>
  <c r="J163" i="29"/>
  <c r="K163" i="29"/>
  <c r="Q39" i="23"/>
  <c r="W24" i="29"/>
  <c r="V24" i="29"/>
  <c r="AI114" i="23"/>
  <c r="AO35" i="18"/>
  <c r="W111" i="23"/>
  <c r="AL58" i="23"/>
  <c r="W24" i="32"/>
  <c r="V24" i="32"/>
  <c r="AH105" i="32"/>
  <c r="AH122" i="32"/>
  <c r="AE24" i="32"/>
  <c r="AF24" i="32"/>
  <c r="AH7" i="32"/>
  <c r="N100" i="32"/>
  <c r="M100" i="32"/>
  <c r="Q74" i="18"/>
  <c r="G216" i="32"/>
  <c r="G139" i="32"/>
  <c r="G25" i="32"/>
  <c r="G6" i="32"/>
  <c r="G185" i="32"/>
  <c r="G16" i="32"/>
  <c r="G53" i="32"/>
  <c r="G47" i="32"/>
  <c r="G27" i="32"/>
  <c r="G89" i="32"/>
  <c r="G186" i="32"/>
  <c r="G48" i="32"/>
  <c r="G178" i="32"/>
  <c r="G20" i="32"/>
  <c r="G177" i="32"/>
  <c r="G88" i="32"/>
  <c r="G179" i="32"/>
  <c r="G142" i="32"/>
  <c r="G46" i="32"/>
  <c r="G131" i="32"/>
  <c r="G135" i="32"/>
  <c r="G97" i="32"/>
  <c r="G30" i="32"/>
  <c r="G130" i="32"/>
  <c r="G134" i="32"/>
  <c r="G136" i="32"/>
  <c r="G176" i="32"/>
  <c r="G148" i="32"/>
  <c r="G138" i="32"/>
  <c r="G86" i="32"/>
  <c r="G91" i="32"/>
  <c r="G153" i="32"/>
  <c r="G22" i="32"/>
  <c r="G13" i="32"/>
  <c r="G12" i="32"/>
  <c r="G174" i="32"/>
  <c r="F35" i="32"/>
  <c r="F59" i="32" s="1"/>
  <c r="G133" i="32"/>
  <c r="G14" i="32"/>
  <c r="G49" i="32"/>
  <c r="G147" i="32"/>
  <c r="G152" i="32"/>
  <c r="G129" i="32"/>
  <c r="G42" i="32"/>
  <c r="G137" i="32"/>
  <c r="G151" i="32"/>
  <c r="G44" i="32"/>
  <c r="G184" i="32"/>
  <c r="G92" i="32"/>
  <c r="G127" i="32"/>
  <c r="G55" i="32"/>
  <c r="G95" i="32"/>
  <c r="G85" i="32"/>
  <c r="G41" i="32"/>
  <c r="G50" i="32"/>
  <c r="G150" i="32"/>
  <c r="G98" i="32"/>
  <c r="G19" i="32"/>
  <c r="G54" i="32"/>
  <c r="G17" i="32"/>
  <c r="G18" i="32"/>
  <c r="G26" i="32"/>
  <c r="G145" i="32"/>
  <c r="G29" i="32"/>
  <c r="G93" i="32"/>
  <c r="G140" i="32"/>
  <c r="G52" i="32"/>
  <c r="G15" i="32"/>
  <c r="G207" i="32"/>
  <c r="H6" i="32"/>
  <c r="G149" i="32"/>
  <c r="G146" i="32"/>
  <c r="G144" i="32"/>
  <c r="G143" i="32"/>
  <c r="G84" i="32"/>
  <c r="G43" i="32"/>
  <c r="G94" i="32"/>
  <c r="G51" i="32"/>
  <c r="G96" i="32"/>
  <c r="G132" i="32"/>
  <c r="G45" i="32"/>
  <c r="G128" i="32"/>
  <c r="G90" i="32"/>
  <c r="G175" i="32"/>
  <c r="G21" i="32"/>
  <c r="G28" i="32"/>
  <c r="G87" i="32"/>
  <c r="G120" i="32"/>
  <c r="G118" i="32"/>
  <c r="G80" i="32"/>
  <c r="G166" i="32"/>
  <c r="G205" i="32"/>
  <c r="G117" i="32"/>
  <c r="G157" i="32"/>
  <c r="G76" i="32"/>
  <c r="G74" i="32"/>
  <c r="G63" i="32"/>
  <c r="G160" i="32"/>
  <c r="G202" i="32"/>
  <c r="G56" i="32"/>
  <c r="G220" i="32"/>
  <c r="G161" i="32"/>
  <c r="G69" i="32"/>
  <c r="G39" i="32"/>
  <c r="G183" i="32"/>
  <c r="G163" i="32"/>
  <c r="G113" i="32"/>
  <c r="G121" i="32"/>
  <c r="G9" i="32"/>
  <c r="G75" i="32"/>
  <c r="G108" i="32"/>
  <c r="G204" i="32"/>
  <c r="G70" i="32"/>
  <c r="G170" i="32"/>
  <c r="G199" i="32"/>
  <c r="G68" i="32"/>
  <c r="G101" i="32"/>
  <c r="G31" i="32"/>
  <c r="G65" i="32"/>
  <c r="G104" i="32"/>
  <c r="G64" i="32"/>
  <c r="G158" i="32"/>
  <c r="G72" i="32"/>
  <c r="G122" i="32"/>
  <c r="G77" i="32"/>
  <c r="G105" i="32"/>
  <c r="G78" i="32"/>
  <c r="G67" i="32"/>
  <c r="G71" i="32"/>
  <c r="G115" i="32"/>
  <c r="G112" i="32"/>
  <c r="G116" i="32"/>
  <c r="G168" i="32"/>
  <c r="G126" i="32"/>
  <c r="G102" i="32"/>
  <c r="G82" i="32"/>
  <c r="G197" i="32"/>
  <c r="G83" i="32"/>
  <c r="G40" i="32"/>
  <c r="G162" i="32"/>
  <c r="G125" i="32"/>
  <c r="S65" i="29"/>
  <c r="AJ122" i="23"/>
  <c r="AL66" i="23"/>
  <c r="Z134" i="29"/>
  <c r="Y134" i="29"/>
  <c r="Z39" i="23"/>
  <c r="G203" i="32"/>
  <c r="G66" i="32"/>
  <c r="N58" i="23"/>
  <c r="AF196" i="29"/>
  <c r="AE196" i="29"/>
  <c r="S182" i="29"/>
  <c r="T182" i="29"/>
  <c r="AF60" i="18"/>
  <c r="O158" i="18"/>
  <c r="Q94" i="18"/>
  <c r="P94" i="29"/>
  <c r="Q94" i="29"/>
  <c r="AH219" i="32"/>
  <c r="AI219" i="32"/>
  <c r="W30" i="18"/>
  <c r="AC157" i="29"/>
  <c r="AB157" i="29"/>
  <c r="S163" i="29"/>
  <c r="T163" i="29"/>
  <c r="AC175" i="29"/>
  <c r="AA190" i="29"/>
  <c r="AB175" i="29"/>
  <c r="AI194" i="32"/>
  <c r="AH194" i="32"/>
  <c r="AG209" i="32"/>
  <c r="Q15" i="23"/>
  <c r="H155" i="32"/>
  <c r="G155" i="32"/>
  <c r="AH182" i="29"/>
  <c r="AI182" i="29"/>
  <c r="AI215" i="32"/>
  <c r="AH215" i="32"/>
  <c r="S127" i="29"/>
  <c r="Q196" i="29"/>
  <c r="P196" i="29"/>
  <c r="S175" i="29"/>
  <c r="T175" i="29"/>
  <c r="R190" i="29"/>
  <c r="S28" i="29"/>
  <c r="M68" i="32"/>
  <c r="H19" i="18"/>
  <c r="AO68" i="18"/>
  <c r="M71" i="32"/>
  <c r="Y181" i="32"/>
  <c r="Z181" i="32"/>
  <c r="G198" i="32"/>
  <c r="AI7" i="18"/>
  <c r="AG91" i="18"/>
  <c r="M147" i="29"/>
  <c r="T60" i="18"/>
  <c r="N46" i="18"/>
  <c r="AF125" i="23"/>
  <c r="N66" i="23"/>
  <c r="L122" i="23"/>
  <c r="T196" i="29"/>
  <c r="S196" i="29"/>
  <c r="G110" i="32"/>
  <c r="H68" i="18"/>
  <c r="N172" i="32"/>
  <c r="M172" i="32"/>
  <c r="S201" i="29"/>
  <c r="N111" i="23"/>
  <c r="Q24" i="32"/>
  <c r="P24" i="32"/>
  <c r="K201" i="32"/>
  <c r="J201" i="32"/>
  <c r="M163" i="29"/>
  <c r="N163" i="29"/>
  <c r="AH68" i="32"/>
  <c r="AH13" i="32"/>
  <c r="AH44" i="32"/>
  <c r="AH17" i="32"/>
  <c r="AH87" i="32"/>
  <c r="AH142" i="32"/>
  <c r="AH177" i="32"/>
  <c r="AH93" i="32"/>
  <c r="AH6" i="32"/>
  <c r="AH178" i="32"/>
  <c r="AH95" i="32"/>
  <c r="AH55" i="32"/>
  <c r="AH146" i="32"/>
  <c r="AH91" i="32"/>
  <c r="AH185" i="32"/>
  <c r="AH19" i="32"/>
  <c r="AH140" i="32"/>
  <c r="AH16" i="32"/>
  <c r="AH54" i="32"/>
  <c r="AH26" i="32"/>
  <c r="AH153" i="32"/>
  <c r="AH41" i="32"/>
  <c r="AH46" i="32"/>
  <c r="AH175" i="32"/>
  <c r="AH47" i="32"/>
  <c r="AH15" i="32"/>
  <c r="AH29" i="32"/>
  <c r="AH14" i="32"/>
  <c r="AH138" i="32"/>
  <c r="AH90" i="32"/>
  <c r="AH85" i="32"/>
  <c r="AH143" i="32"/>
  <c r="AH50" i="32"/>
  <c r="AH92" i="32"/>
  <c r="AH21" i="32"/>
  <c r="AH43" i="32"/>
  <c r="AH86" i="32"/>
  <c r="AH27" i="32"/>
  <c r="AH49" i="32"/>
  <c r="AH96" i="32"/>
  <c r="AH97" i="32"/>
  <c r="AH130" i="32"/>
  <c r="AH48" i="32"/>
  <c r="AH179" i="32"/>
  <c r="AH174" i="32"/>
  <c r="AH25" i="32"/>
  <c r="AH207" i="32"/>
  <c r="AG35" i="32"/>
  <c r="AH89" i="32"/>
  <c r="AH88" i="32"/>
  <c r="AH22" i="32"/>
  <c r="AH184" i="32"/>
  <c r="AH129" i="32"/>
  <c r="AH136" i="32"/>
  <c r="AH148" i="32"/>
  <c r="AH151" i="32"/>
  <c r="AH131" i="32"/>
  <c r="AH135" i="32"/>
  <c r="AH147" i="32"/>
  <c r="AH18" i="32"/>
  <c r="AH12" i="32"/>
  <c r="AH127" i="32"/>
  <c r="AH20" i="32"/>
  <c r="AH128" i="32"/>
  <c r="AH84" i="32"/>
  <c r="AH139" i="32"/>
  <c r="AH149" i="32"/>
  <c r="AH152" i="32"/>
  <c r="AH145" i="32"/>
  <c r="AH45" i="32"/>
  <c r="AH51" i="32"/>
  <c r="AH134" i="32"/>
  <c r="AH30" i="32"/>
  <c r="AI6" i="32"/>
  <c r="AH133" i="32"/>
  <c r="AH52" i="32"/>
  <c r="AH132" i="32"/>
  <c r="AH42" i="32"/>
  <c r="AH28" i="32"/>
  <c r="AH53" i="32"/>
  <c r="AH94" i="32"/>
  <c r="AH137" i="32"/>
  <c r="AH144" i="32"/>
  <c r="AH186" i="32"/>
  <c r="AH98" i="32"/>
  <c r="AH150" i="32"/>
  <c r="AH176" i="32"/>
  <c r="AG59" i="32"/>
  <c r="AH167" i="32"/>
  <c r="AH40" i="32"/>
  <c r="AH72" i="32"/>
  <c r="AH83" i="32"/>
  <c r="AH116" i="32"/>
  <c r="AH77" i="32"/>
  <c r="AH166" i="32"/>
  <c r="AH173" i="32"/>
  <c r="AH104" i="32"/>
  <c r="AH169" i="32"/>
  <c r="AH198" i="32"/>
  <c r="AH69" i="32"/>
  <c r="AH76" i="32"/>
  <c r="AH115" i="32"/>
  <c r="AH9" i="32"/>
  <c r="AH118" i="32"/>
  <c r="AH82" i="32"/>
  <c r="AH202" i="32"/>
  <c r="AH160" i="32"/>
  <c r="AH74" i="32"/>
  <c r="AH11" i="32"/>
  <c r="AH64" i="32"/>
  <c r="AH70" i="32"/>
  <c r="AH158" i="32"/>
  <c r="AH81" i="32"/>
  <c r="AH196" i="32"/>
  <c r="AH80" i="32"/>
  <c r="AH73" i="32"/>
  <c r="AH123" i="32"/>
  <c r="AH204" i="32"/>
  <c r="AH8" i="32"/>
  <c r="AH107" i="32"/>
  <c r="AH79" i="32"/>
  <c r="AH67" i="32"/>
  <c r="AH182" i="32"/>
  <c r="AH221" i="32"/>
  <c r="AH183" i="32"/>
  <c r="AH10" i="32"/>
  <c r="AH117" i="32"/>
  <c r="AH32" i="32"/>
  <c r="P219" i="32"/>
  <c r="Q219" i="32"/>
  <c r="H133" i="23"/>
  <c r="AI100" i="32"/>
  <c r="AH100" i="32"/>
  <c r="AH156" i="32"/>
  <c r="S186" i="29"/>
  <c r="AO39" i="23"/>
  <c r="Y201" i="32"/>
  <c r="Z201" i="32"/>
  <c r="N157" i="29"/>
  <c r="M157" i="29"/>
  <c r="K60" i="18"/>
  <c r="Z66" i="23"/>
  <c r="X122" i="23"/>
  <c r="F91" i="18"/>
  <c r="H91" i="18" s="1"/>
  <c r="H7" i="18"/>
  <c r="W7" i="18"/>
  <c r="U91" i="18"/>
  <c r="AL145" i="29"/>
  <c r="AK145" i="29"/>
  <c r="P194" i="32"/>
  <c r="Q194" i="32"/>
  <c r="O209" i="32"/>
  <c r="G103" i="32"/>
  <c r="AC38" i="32"/>
  <c r="AB38" i="32"/>
  <c r="AH126" i="32"/>
  <c r="G182" i="32"/>
  <c r="G217" i="32"/>
  <c r="Z125" i="23"/>
  <c r="G8" i="32"/>
  <c r="R158" i="18"/>
  <c r="T94" i="18"/>
  <c r="J61" i="29"/>
  <c r="J166" i="29"/>
  <c r="J103" i="29"/>
  <c r="J20" i="29"/>
  <c r="J39" i="29"/>
  <c r="J114" i="29"/>
  <c r="J106" i="29"/>
  <c r="J90" i="29"/>
  <c r="J86" i="29"/>
  <c r="J81" i="29"/>
  <c r="J111" i="29"/>
  <c r="J139" i="29"/>
  <c r="J107" i="29"/>
  <c r="J47" i="29"/>
  <c r="J13" i="29"/>
  <c r="J83" i="29"/>
  <c r="J45" i="29"/>
  <c r="J18" i="29"/>
  <c r="J44" i="29"/>
  <c r="J138" i="29"/>
  <c r="J21" i="29"/>
  <c r="J108" i="29"/>
  <c r="J167" i="29"/>
  <c r="J101" i="29"/>
  <c r="J91" i="29"/>
  <c r="J43" i="29"/>
  <c r="J129" i="29"/>
  <c r="J168" i="29"/>
  <c r="J110" i="29"/>
  <c r="J113" i="29"/>
  <c r="J80" i="29"/>
  <c r="J102" i="29"/>
  <c r="J160" i="29"/>
  <c r="J50" i="29"/>
  <c r="J92" i="29"/>
  <c r="J104" i="29"/>
  <c r="J17" i="29"/>
  <c r="J159" i="29"/>
  <c r="J49" i="29"/>
  <c r="J130" i="29"/>
  <c r="J41" i="29"/>
  <c r="J137" i="29"/>
  <c r="J132" i="29"/>
  <c r="J109" i="29"/>
  <c r="J48" i="29"/>
  <c r="J42" i="29"/>
  <c r="J15" i="29"/>
  <c r="J142" i="29"/>
  <c r="J131" i="29"/>
  <c r="I32" i="29"/>
  <c r="I54" i="29" s="1"/>
  <c r="J143" i="29"/>
  <c r="J105" i="29"/>
  <c r="K6" i="29"/>
  <c r="J11" i="29"/>
  <c r="J37" i="29"/>
  <c r="J136" i="29"/>
  <c r="J19" i="29"/>
  <c r="J10" i="29"/>
  <c r="J100" i="29"/>
  <c r="J188" i="29"/>
  <c r="J51" i="29"/>
  <c r="J14" i="29"/>
  <c r="J84" i="29"/>
  <c r="J79" i="29"/>
  <c r="J46" i="29"/>
  <c r="J16" i="29"/>
  <c r="J85" i="29"/>
  <c r="J82" i="29"/>
  <c r="J38" i="29"/>
  <c r="J141" i="29"/>
  <c r="J9" i="29"/>
  <c r="J87" i="29"/>
  <c r="J12" i="29"/>
  <c r="J89" i="29"/>
  <c r="J22" i="29"/>
  <c r="J6" i="29"/>
  <c r="J140" i="29"/>
  <c r="J40" i="29"/>
  <c r="J112" i="29"/>
  <c r="J88" i="29"/>
  <c r="J161" i="29"/>
  <c r="J96" i="29"/>
  <c r="J72" i="29"/>
  <c r="J197" i="29"/>
  <c r="J117" i="29"/>
  <c r="J154" i="29"/>
  <c r="J177" i="29"/>
  <c r="J186" i="29"/>
  <c r="J27" i="29"/>
  <c r="J121" i="29"/>
  <c r="J59" i="29"/>
  <c r="J69" i="29"/>
  <c r="J58" i="29"/>
  <c r="J64" i="29"/>
  <c r="J151" i="29"/>
  <c r="J28" i="29"/>
  <c r="J146" i="29"/>
  <c r="J165" i="29"/>
  <c r="J98" i="29"/>
  <c r="J178" i="29"/>
  <c r="J77" i="29"/>
  <c r="J198" i="29"/>
  <c r="J152" i="29"/>
  <c r="J62" i="29"/>
  <c r="J127" i="29"/>
  <c r="J78" i="29"/>
  <c r="J68" i="29"/>
  <c r="J115" i="29"/>
  <c r="J147" i="29"/>
  <c r="J119" i="29"/>
  <c r="J201" i="29"/>
  <c r="J26" i="29"/>
  <c r="J7" i="29"/>
  <c r="J63" i="29"/>
  <c r="J75" i="29"/>
  <c r="J179" i="29"/>
  <c r="J158" i="29"/>
  <c r="J76" i="29"/>
  <c r="J187" i="29"/>
  <c r="J97" i="29"/>
  <c r="M10" i="14"/>
  <c r="G215" i="32"/>
  <c r="H215" i="32"/>
  <c r="AH106" i="32"/>
  <c r="P38" i="32"/>
  <c r="Q38" i="32"/>
  <c r="T114" i="23"/>
  <c r="T98" i="18"/>
  <c r="M73" i="32"/>
  <c r="AH217" i="32"/>
  <c r="H150" i="29"/>
  <c r="G150" i="29"/>
  <c r="AF54" i="23"/>
  <c r="AH163" i="32"/>
  <c r="J36" i="29"/>
  <c r="J60" i="29"/>
  <c r="W54" i="23"/>
  <c r="AC215" i="32"/>
  <c r="AB215" i="32"/>
  <c r="K133" i="23"/>
  <c r="Z7" i="18"/>
  <c r="X91" i="18"/>
  <c r="AK100" i="32"/>
  <c r="AL100" i="32"/>
  <c r="AI98" i="18"/>
  <c r="AF7" i="18"/>
  <c r="AD91" i="18"/>
  <c r="AC114" i="23"/>
  <c r="K15" i="23"/>
  <c r="AB134" i="29"/>
  <c r="AC134" i="29"/>
  <c r="G107" i="32"/>
  <c r="N54" i="23"/>
  <c r="N215" i="32"/>
  <c r="M215" i="32"/>
  <c r="AE200" i="29"/>
  <c r="AF200" i="29"/>
  <c r="Q68" i="18"/>
  <c r="AF19" i="18"/>
  <c r="Q155" i="32"/>
  <c r="P155" i="32"/>
  <c r="AC35" i="18"/>
  <c r="S152" i="29"/>
  <c r="S62" i="29"/>
  <c r="AO58" i="23"/>
  <c r="AL68" i="18"/>
  <c r="AO7" i="18"/>
  <c r="AM91" i="18"/>
  <c r="H10" i="27"/>
  <c r="H39" i="23"/>
  <c r="F209" i="32"/>
  <c r="G194" i="32"/>
  <c r="H194" i="32"/>
  <c r="Z94" i="18"/>
  <c r="X158" i="18"/>
  <c r="AE181" i="32"/>
  <c r="AF181" i="32"/>
  <c r="H74" i="18"/>
  <c r="S97" i="29"/>
  <c r="AK157" i="29"/>
  <c r="AL157" i="29"/>
  <c r="I158" i="18"/>
  <c r="K94" i="18"/>
  <c r="K182" i="29"/>
  <c r="J182" i="29"/>
  <c r="U170" i="29"/>
  <c r="W57" i="29"/>
  <c r="V57" i="29"/>
  <c r="AH162" i="32"/>
  <c r="AA122" i="23"/>
  <c r="AC66" i="23"/>
  <c r="S7" i="29"/>
  <c r="AF74" i="18"/>
  <c r="M134" i="29"/>
  <c r="N134" i="29"/>
  <c r="C13" i="31"/>
  <c r="C14" i="31" s="1"/>
  <c r="T18" i="25"/>
  <c r="S21" i="25"/>
  <c r="AI134" i="29"/>
  <c r="AH134" i="29"/>
  <c r="AC24" i="29"/>
  <c r="AB24" i="29"/>
  <c r="AJ63" i="23"/>
  <c r="AL7" i="23"/>
  <c r="N155" i="32"/>
  <c r="M155" i="32"/>
  <c r="Y38" i="32"/>
  <c r="Z38" i="32"/>
  <c r="AL74" i="18"/>
  <c r="T125" i="23"/>
  <c r="AH113" i="32"/>
  <c r="AH66" i="32"/>
  <c r="P157" i="29"/>
  <c r="Q157" i="29"/>
  <c r="S215" i="32"/>
  <c r="T215" i="32"/>
  <c r="S120" i="29"/>
  <c r="O10" i="2"/>
  <c r="AC100" i="32"/>
  <c r="AB100" i="32"/>
  <c r="W46" i="18"/>
  <c r="AE35" i="29"/>
  <c r="AF35" i="29"/>
  <c r="V175" i="29"/>
  <c r="U190" i="29"/>
  <c r="W175" i="29"/>
  <c r="AJ158" i="18"/>
  <c r="AL94" i="18"/>
  <c r="Q7" i="18"/>
  <c r="O91" i="18"/>
  <c r="AH119" i="32"/>
  <c r="AI94" i="29"/>
  <c r="AH94" i="29"/>
  <c r="AL196" i="29"/>
  <c r="AK196" i="29"/>
  <c r="G181" i="32"/>
  <c r="H181" i="32"/>
  <c r="L190" i="29"/>
  <c r="M175" i="29"/>
  <c r="N175" i="29"/>
  <c r="AL114" i="23"/>
  <c r="AL134" i="29"/>
  <c r="AK134" i="29"/>
  <c r="M198" i="29"/>
  <c r="Q58" i="23"/>
  <c r="M102" i="32"/>
  <c r="L10" i="7"/>
  <c r="M182" i="32"/>
  <c r="AH121" i="32"/>
  <c r="S153" i="29"/>
  <c r="M115" i="32"/>
  <c r="K20" i="23"/>
  <c r="M56" i="32"/>
  <c r="S118" i="29"/>
  <c r="H38" i="32"/>
  <c r="G38" i="32"/>
  <c r="G10" i="11"/>
  <c r="G159" i="32"/>
  <c r="M8" i="29"/>
  <c r="AI74" i="18"/>
  <c r="W20" i="23"/>
  <c r="K38" i="32"/>
  <c r="J38" i="32"/>
  <c r="H165" i="32"/>
  <c r="G165" i="32"/>
  <c r="AH65" i="32"/>
  <c r="M8" i="32"/>
  <c r="Z133" i="23"/>
  <c r="M118" i="29"/>
  <c r="AI129" i="23"/>
  <c r="W39" i="23"/>
  <c r="N118" i="23"/>
  <c r="Q104" i="23"/>
  <c r="AC30" i="18"/>
  <c r="Z54" i="23"/>
  <c r="AI155" i="32"/>
  <c r="AH155" i="32"/>
  <c r="S154" i="29"/>
  <c r="K100" i="32"/>
  <c r="J100" i="32"/>
  <c r="Z60" i="18"/>
  <c r="Z35" i="18"/>
  <c r="P172" i="32"/>
  <c r="Q172" i="32"/>
  <c r="J155" i="32"/>
  <c r="K155" i="32"/>
  <c r="K19" i="18"/>
  <c r="AC46" i="18"/>
  <c r="Q111" i="23"/>
  <c r="K46" i="18"/>
  <c r="S121" i="29"/>
  <c r="AH112" i="32"/>
  <c r="AF118" i="23"/>
  <c r="D140" i="23"/>
  <c r="J74" i="29"/>
  <c r="N7" i="18"/>
  <c r="L91" i="18"/>
  <c r="S158" i="29"/>
  <c r="AK125" i="32"/>
  <c r="AK28" i="32"/>
  <c r="AK98" i="32"/>
  <c r="AK25" i="32"/>
  <c r="AK139" i="32"/>
  <c r="AK128" i="32"/>
  <c r="AK136" i="32"/>
  <c r="AK54" i="32"/>
  <c r="AK95" i="32"/>
  <c r="AK84" i="32"/>
  <c r="AK49" i="32"/>
  <c r="AK85" i="32"/>
  <c r="AK144" i="32"/>
  <c r="AK47" i="32"/>
  <c r="AK145" i="32"/>
  <c r="AK55" i="32"/>
  <c r="AK20" i="32"/>
  <c r="AK142" i="32"/>
  <c r="AK89" i="32"/>
  <c r="AL6" i="32"/>
  <c r="AK30" i="32"/>
  <c r="AK134" i="32"/>
  <c r="AK131" i="32"/>
  <c r="AK146" i="32"/>
  <c r="AK52" i="32"/>
  <c r="AK18" i="32"/>
  <c r="AK48" i="32"/>
  <c r="AK127" i="32"/>
  <c r="AK15" i="32"/>
  <c r="AK179" i="32"/>
  <c r="AK12" i="32"/>
  <c r="AK174" i="32"/>
  <c r="AK132" i="32"/>
  <c r="AK149" i="32"/>
  <c r="AJ35" i="32"/>
  <c r="AJ59" i="32" s="1"/>
  <c r="AK22" i="32"/>
  <c r="AK96" i="32"/>
  <c r="AK176" i="32"/>
  <c r="AK97" i="32"/>
  <c r="AK207" i="32"/>
  <c r="AK143" i="32"/>
  <c r="AK43" i="32"/>
  <c r="AK152" i="32"/>
  <c r="AK148" i="32"/>
  <c r="AK13" i="32"/>
  <c r="AK129" i="32"/>
  <c r="AK86" i="32"/>
  <c r="AK175" i="32"/>
  <c r="AK186" i="32"/>
  <c r="AK50" i="32"/>
  <c r="AK6" i="32"/>
  <c r="AK92" i="32"/>
  <c r="AK29" i="32"/>
  <c r="AK147" i="32"/>
  <c r="AK53" i="32"/>
  <c r="AK45" i="32"/>
  <c r="AK16" i="32"/>
  <c r="AK91" i="32"/>
  <c r="AK94" i="32"/>
  <c r="AK150" i="32"/>
  <c r="AK133" i="32"/>
  <c r="AK17" i="32"/>
  <c r="AK184" i="32"/>
  <c r="AK177" i="32"/>
  <c r="AK21" i="32"/>
  <c r="AK151" i="32"/>
  <c r="AK138" i="32"/>
  <c r="AK88" i="32"/>
  <c r="AK130" i="32"/>
  <c r="AK185" i="32"/>
  <c r="AK153" i="32"/>
  <c r="AK140" i="32"/>
  <c r="AK178" i="32"/>
  <c r="AK90" i="32"/>
  <c r="AK51" i="32"/>
  <c r="AK135" i="32"/>
  <c r="AK41" i="32"/>
  <c r="AK44" i="32"/>
  <c r="AK87" i="32"/>
  <c r="AK42" i="32"/>
  <c r="AK46" i="32"/>
  <c r="AK137" i="32"/>
  <c r="AK93" i="32"/>
  <c r="AK19" i="32"/>
  <c r="AK14" i="32"/>
  <c r="AK26" i="32"/>
  <c r="AK27" i="32"/>
  <c r="AK205" i="32"/>
  <c r="AK161" i="32"/>
  <c r="AK8" i="32"/>
  <c r="AK117" i="32"/>
  <c r="AK198" i="32"/>
  <c r="AK101" i="32"/>
  <c r="AK31" i="32"/>
  <c r="AK122" i="32"/>
  <c r="AK79" i="32"/>
  <c r="AK102" i="32"/>
  <c r="AK173" i="32"/>
  <c r="AK105" i="32"/>
  <c r="AK109" i="32"/>
  <c r="AK103" i="32"/>
  <c r="AK157" i="32"/>
  <c r="AK111" i="32"/>
  <c r="AK162" i="32"/>
  <c r="AK65" i="32"/>
  <c r="AK120" i="32"/>
  <c r="AK221" i="32"/>
  <c r="AK63" i="32"/>
  <c r="AK81" i="32"/>
  <c r="AK39" i="32"/>
  <c r="AK195" i="32"/>
  <c r="AK78" i="32"/>
  <c r="AK66" i="32"/>
  <c r="AK73" i="32"/>
  <c r="AK72" i="32"/>
  <c r="AK116" i="32"/>
  <c r="AK56" i="32"/>
  <c r="AK203" i="32"/>
  <c r="AK110" i="32"/>
  <c r="AK121" i="32"/>
  <c r="AK168" i="32"/>
  <c r="AK163" i="32"/>
  <c r="AK156" i="32"/>
  <c r="AK183" i="32"/>
  <c r="AK112" i="32"/>
  <c r="AK32" i="32"/>
  <c r="AK107" i="32"/>
  <c r="AK106" i="32"/>
  <c r="AK77" i="32"/>
  <c r="AK204" i="32"/>
  <c r="AK115" i="32"/>
  <c r="AK169" i="32"/>
  <c r="AK69" i="32"/>
  <c r="AK118" i="32"/>
  <c r="AK104" i="32"/>
  <c r="AK83" i="32"/>
  <c r="AK82" i="32"/>
  <c r="AK202" i="32"/>
  <c r="AL104" i="23"/>
  <c r="AH199" i="32"/>
  <c r="G111" i="32"/>
  <c r="M36" i="29"/>
  <c r="W181" i="32"/>
  <c r="V181" i="32"/>
  <c r="M118" i="32"/>
  <c r="AO125" i="23"/>
  <c r="AF114" i="23"/>
  <c r="AO98" i="18"/>
  <c r="K98" i="18"/>
  <c r="AI46" i="18"/>
  <c r="T200" i="29"/>
  <c r="S200" i="29"/>
  <c r="P10" i="1"/>
  <c r="I209" i="32"/>
  <c r="K194" i="32"/>
  <c r="J194" i="32"/>
  <c r="AF15" i="23"/>
  <c r="S116" i="29"/>
  <c r="AF111" i="23"/>
  <c r="Z129" i="23"/>
  <c r="I122" i="23"/>
  <c r="K66" i="23"/>
  <c r="H129" i="23"/>
  <c r="K68" i="18"/>
  <c r="N104" i="23"/>
  <c r="P163" i="29"/>
  <c r="Q163" i="29"/>
  <c r="S10" i="28"/>
  <c r="K175" i="29"/>
  <c r="J175" i="29"/>
  <c r="I190" i="29"/>
  <c r="AI24" i="32"/>
  <c r="AH24" i="32"/>
  <c r="V100" i="32"/>
  <c r="W100" i="32"/>
  <c r="AO104" i="23"/>
  <c r="AI54" i="23"/>
  <c r="AG158" i="18"/>
  <c r="AI94" i="18"/>
  <c r="S151" i="29"/>
  <c r="AH109" i="32"/>
  <c r="M10" i="11"/>
  <c r="S60" i="29"/>
  <c r="V145" i="29"/>
  <c r="W145" i="29"/>
  <c r="W133" i="23"/>
  <c r="N19" i="18"/>
  <c r="V157" i="29"/>
  <c r="W157" i="29"/>
  <c r="AB182" i="29"/>
  <c r="AC182" i="29"/>
  <c r="Y175" i="29"/>
  <c r="Z175" i="29"/>
  <c r="X190" i="29"/>
  <c r="S64" i="29"/>
  <c r="M7" i="29"/>
  <c r="G106" i="32"/>
  <c r="AL7" i="18"/>
  <c r="AJ91" i="18"/>
  <c r="S128" i="29"/>
  <c r="S67" i="29"/>
  <c r="AH71" i="32"/>
  <c r="AD63" i="23"/>
  <c r="AF7" i="23"/>
  <c r="G145" i="29"/>
  <c r="H145" i="29"/>
  <c r="S126" i="29"/>
  <c r="AI125" i="23"/>
  <c r="AH110" i="32"/>
  <c r="AH75" i="32"/>
  <c r="AL46" i="18"/>
  <c r="G11" i="32"/>
  <c r="N125" i="23"/>
  <c r="H46" i="18"/>
  <c r="AH172" i="32"/>
  <c r="AI172" i="32"/>
  <c r="AI133" i="23"/>
  <c r="Q215" i="32"/>
  <c r="P215" i="32"/>
  <c r="T74" i="18"/>
  <c r="AC39" i="23"/>
  <c r="T194" i="32"/>
  <c r="R209" i="32"/>
  <c r="S194" i="32"/>
  <c r="AE57" i="29"/>
  <c r="AD170" i="29"/>
  <c r="AF57" i="29"/>
  <c r="AA189" i="32"/>
  <c r="AB62" i="32"/>
  <c r="AC62" i="32"/>
  <c r="W35" i="29"/>
  <c r="V35" i="29"/>
  <c r="AH103" i="32"/>
  <c r="S178" i="29"/>
  <c r="Y200" i="29"/>
  <c r="Z200" i="29"/>
  <c r="AH62" i="32"/>
  <c r="AI62" i="32"/>
  <c r="AG189" i="32"/>
  <c r="T118" i="23"/>
  <c r="W129" i="23"/>
  <c r="Y215" i="32"/>
  <c r="Z215" i="32"/>
  <c r="G24" i="29"/>
  <c r="H24" i="29"/>
  <c r="AH161" i="32"/>
  <c r="N30" i="18"/>
  <c r="V200" i="29"/>
  <c r="W200" i="29"/>
  <c r="AE172" i="32"/>
  <c r="AF172" i="32"/>
  <c r="T129" i="23"/>
  <c r="AC219" i="32"/>
  <c r="AB219" i="32"/>
  <c r="Q54" i="23"/>
  <c r="Y24" i="32"/>
  <c r="Z24" i="32"/>
  <c r="G73" i="32"/>
  <c r="K10" i="17"/>
  <c r="AK181" i="32"/>
  <c r="AL181" i="32"/>
  <c r="AO66" i="23"/>
  <c r="AM122" i="23"/>
  <c r="P200" i="29"/>
  <c r="Q200" i="29"/>
  <c r="AL165" i="32"/>
  <c r="AK165" i="32"/>
  <c r="S26" i="29"/>
  <c r="S150" i="29"/>
  <c r="T150" i="29"/>
  <c r="N219" i="32"/>
  <c r="M219" i="32"/>
  <c r="AC15" i="23"/>
  <c r="AH206" i="32"/>
  <c r="Z74" i="18"/>
  <c r="AE145" i="29"/>
  <c r="AF145" i="29"/>
  <c r="R91" i="18"/>
  <c r="T7" i="18"/>
  <c r="G169" i="32"/>
  <c r="M113" i="32"/>
  <c r="M179" i="32"/>
  <c r="M27" i="32"/>
  <c r="N6" i="32"/>
  <c r="M146" i="32"/>
  <c r="M139" i="32"/>
  <c r="M178" i="32"/>
  <c r="M44" i="32"/>
  <c r="M140" i="32"/>
  <c r="M143" i="32"/>
  <c r="M43" i="32"/>
  <c r="M22" i="32"/>
  <c r="M84" i="32"/>
  <c r="M93" i="32"/>
  <c r="M142" i="32"/>
  <c r="M12" i="32"/>
  <c r="M148" i="32"/>
  <c r="M130" i="32"/>
  <c r="M150" i="32"/>
  <c r="M127" i="32"/>
  <c r="M137" i="32"/>
  <c r="M15" i="32"/>
  <c r="M41" i="32"/>
  <c r="M17" i="32"/>
  <c r="M30" i="32"/>
  <c r="M89" i="32"/>
  <c r="M28" i="32"/>
  <c r="M19" i="32"/>
  <c r="M20" i="32"/>
  <c r="M49" i="32"/>
  <c r="M96" i="32"/>
  <c r="M26" i="32"/>
  <c r="M131" i="32"/>
  <c r="M91" i="32"/>
  <c r="M151" i="32"/>
  <c r="M185" i="32"/>
  <c r="M54" i="32"/>
  <c r="M152" i="32"/>
  <c r="M177" i="32"/>
  <c r="M98" i="32"/>
  <c r="M97" i="32"/>
  <c r="M184" i="32"/>
  <c r="M153" i="32"/>
  <c r="M42" i="32"/>
  <c r="M50" i="32"/>
  <c r="M88" i="32"/>
  <c r="M176" i="32"/>
  <c r="M55" i="32"/>
  <c r="M87" i="32"/>
  <c r="M48" i="32"/>
  <c r="M53" i="32"/>
  <c r="M29" i="32"/>
  <c r="M45" i="32"/>
  <c r="M14" i="32"/>
  <c r="M95" i="32"/>
  <c r="M6" i="32"/>
  <c r="M136" i="32"/>
  <c r="M133" i="32"/>
  <c r="M145" i="32"/>
  <c r="M129" i="32"/>
  <c r="M85" i="32"/>
  <c r="M207" i="32"/>
  <c r="M134" i="32"/>
  <c r="M175" i="32"/>
  <c r="M18" i="32"/>
  <c r="M86" i="32"/>
  <c r="M94" i="32"/>
  <c r="M149" i="32"/>
  <c r="M21" i="32"/>
  <c r="M25" i="32"/>
  <c r="M138" i="32"/>
  <c r="M92" i="32"/>
  <c r="M47" i="32"/>
  <c r="M135" i="32"/>
  <c r="M128" i="32"/>
  <c r="M13" i="32"/>
  <c r="M147" i="32"/>
  <c r="M186" i="32"/>
  <c r="M174" i="32"/>
  <c r="M51" i="32"/>
  <c r="M90" i="32"/>
  <c r="M16" i="32"/>
  <c r="M144" i="32"/>
  <c r="L35" i="32"/>
  <c r="M46" i="32"/>
  <c r="M132" i="32"/>
  <c r="M52" i="32"/>
  <c r="M82" i="32"/>
  <c r="M125" i="32"/>
  <c r="M39" i="32"/>
  <c r="M78" i="32"/>
  <c r="M122" i="32"/>
  <c r="M70" i="32"/>
  <c r="M75" i="32"/>
  <c r="M168" i="32"/>
  <c r="M65" i="32"/>
  <c r="M9" i="32"/>
  <c r="M106" i="32"/>
  <c r="M112" i="32"/>
  <c r="M72" i="32"/>
  <c r="M69" i="32"/>
  <c r="M11" i="32"/>
  <c r="M120" i="32"/>
  <c r="M114" i="32"/>
  <c r="M63" i="32"/>
  <c r="M117" i="32"/>
  <c r="M83" i="32"/>
  <c r="M105" i="32"/>
  <c r="M158" i="32"/>
  <c r="M197" i="32"/>
  <c r="M32" i="32"/>
  <c r="M199" i="32"/>
  <c r="M204" i="32"/>
  <c r="M31" i="32"/>
  <c r="M167" i="32"/>
  <c r="M103" i="32"/>
  <c r="M221" i="32"/>
  <c r="M203" i="32"/>
  <c r="M202" i="32"/>
  <c r="M195" i="32"/>
  <c r="M124" i="32"/>
  <c r="M10" i="32"/>
  <c r="M119" i="32"/>
  <c r="M198" i="32"/>
  <c r="M76" i="32"/>
  <c r="M169" i="32"/>
  <c r="M79" i="32"/>
  <c r="M64" i="32"/>
  <c r="V182" i="29"/>
  <c r="W182" i="29"/>
  <c r="T104" i="23"/>
  <c r="O10" i="13"/>
  <c r="M196" i="29"/>
  <c r="N196" i="29"/>
  <c r="S68" i="32"/>
  <c r="S186" i="32"/>
  <c r="S135" i="32"/>
  <c r="S145" i="32"/>
  <c r="S51" i="32"/>
  <c r="S140" i="32"/>
  <c r="S151" i="32"/>
  <c r="S6" i="32"/>
  <c r="S134" i="32"/>
  <c r="S94" i="32"/>
  <c r="S138" i="32"/>
  <c r="S93" i="32"/>
  <c r="S133" i="32"/>
  <c r="S90" i="32"/>
  <c r="S146" i="32"/>
  <c r="S29" i="32"/>
  <c r="S85" i="32"/>
  <c r="S89" i="32"/>
  <c r="S18" i="32"/>
  <c r="S87" i="32"/>
  <c r="S40" i="32"/>
  <c r="S14" i="32"/>
  <c r="S96" i="32"/>
  <c r="S48" i="32"/>
  <c r="S147" i="32"/>
  <c r="S30" i="32"/>
  <c r="S142" i="32"/>
  <c r="S49" i="32"/>
  <c r="S149" i="32"/>
  <c r="S47" i="32"/>
  <c r="S152" i="32"/>
  <c r="S131" i="32"/>
  <c r="S27" i="32"/>
  <c r="S137" i="32"/>
  <c r="S86" i="32"/>
  <c r="S45" i="32"/>
  <c r="S22" i="32"/>
  <c r="S19" i="32"/>
  <c r="S21" i="32"/>
  <c r="S127" i="32"/>
  <c r="S130" i="32"/>
  <c r="S28" i="32"/>
  <c r="S26" i="32"/>
  <c r="S95" i="32"/>
  <c r="S84" i="32"/>
  <c r="S144" i="32"/>
  <c r="S136" i="32"/>
  <c r="S175" i="32"/>
  <c r="S13" i="32"/>
  <c r="S139" i="32"/>
  <c r="S174" i="32"/>
  <c r="S132" i="32"/>
  <c r="S97" i="32"/>
  <c r="S15" i="32"/>
  <c r="S20" i="32"/>
  <c r="S143" i="32"/>
  <c r="S98" i="32"/>
  <c r="S176" i="32"/>
  <c r="S92" i="32"/>
  <c r="S207" i="32"/>
  <c r="S153" i="32"/>
  <c r="S16" i="32"/>
  <c r="S44" i="32"/>
  <c r="S12" i="32"/>
  <c r="S53" i="32"/>
  <c r="S42" i="32"/>
  <c r="S55" i="32"/>
  <c r="S88" i="32"/>
  <c r="S25" i="32"/>
  <c r="S184" i="32"/>
  <c r="S178" i="32"/>
  <c r="S91" i="32"/>
  <c r="S185" i="32"/>
  <c r="S129" i="32"/>
  <c r="S43" i="32"/>
  <c r="S54" i="32"/>
  <c r="S52" i="32"/>
  <c r="S179" i="32"/>
  <c r="S46" i="32"/>
  <c r="S41" i="32"/>
  <c r="S128" i="32"/>
  <c r="R35" i="32"/>
  <c r="R59" i="32" s="1"/>
  <c r="S17" i="32"/>
  <c r="S177" i="32"/>
  <c r="T6" i="32"/>
  <c r="S148" i="32"/>
  <c r="S150" i="32"/>
  <c r="S50" i="32"/>
  <c r="S183" i="32"/>
  <c r="S104" i="32"/>
  <c r="S83" i="32"/>
  <c r="S118" i="32"/>
  <c r="S182" i="32"/>
  <c r="S204" i="32"/>
  <c r="S9" i="32"/>
  <c r="S123" i="32"/>
  <c r="S121" i="32"/>
  <c r="S220" i="32"/>
  <c r="S111" i="32"/>
  <c r="S196" i="32"/>
  <c r="S117" i="32"/>
  <c r="S163" i="32"/>
  <c r="S56" i="32"/>
  <c r="S65" i="32"/>
  <c r="S77" i="32"/>
  <c r="S63" i="32"/>
  <c r="S197" i="32"/>
  <c r="S119" i="32"/>
  <c r="S156" i="32"/>
  <c r="S114" i="32"/>
  <c r="S159" i="32"/>
  <c r="S101" i="32"/>
  <c r="S113" i="32"/>
  <c r="S39" i="32"/>
  <c r="S124" i="32"/>
  <c r="S75" i="32"/>
  <c r="S169" i="32"/>
  <c r="S31" i="32"/>
  <c r="S69" i="32"/>
  <c r="S72" i="32"/>
  <c r="S217" i="32"/>
  <c r="S80" i="32"/>
  <c r="S167" i="32"/>
  <c r="S122" i="32"/>
  <c r="S78" i="32"/>
  <c r="S102" i="32"/>
  <c r="S206" i="32"/>
  <c r="S8" i="32"/>
  <c r="S162" i="32"/>
  <c r="S64" i="32"/>
  <c r="S7" i="32"/>
  <c r="S81" i="32"/>
  <c r="S112" i="32"/>
  <c r="S202" i="32"/>
  <c r="S74" i="32"/>
  <c r="S73" i="32"/>
  <c r="AL182" i="29"/>
  <c r="AK182" i="29"/>
  <c r="S98" i="29"/>
  <c r="AI66" i="23"/>
  <c r="AG122" i="23"/>
  <c r="AH39" i="32"/>
  <c r="G10" i="32"/>
  <c r="S74" i="29"/>
  <c r="AH168" i="32"/>
  <c r="S221" i="32"/>
  <c r="AF104" i="23"/>
  <c r="AK123" i="32"/>
  <c r="P57" i="29"/>
  <c r="Q57" i="29"/>
  <c r="O170" i="29"/>
  <c r="Z172" i="32"/>
  <c r="Y172" i="32"/>
  <c r="E71" i="32"/>
  <c r="V64" i="29"/>
  <c r="AO46" i="18"/>
  <c r="K196" i="29"/>
  <c r="J196" i="29"/>
  <c r="E135" i="29"/>
  <c r="E10" i="29"/>
  <c r="E82" i="29"/>
  <c r="E51" i="29"/>
  <c r="E87" i="29"/>
  <c r="E20" i="29"/>
  <c r="E143" i="29"/>
  <c r="E137" i="29"/>
  <c r="E112" i="29"/>
  <c r="E101" i="29"/>
  <c r="E105" i="29"/>
  <c r="E129" i="29"/>
  <c r="E103" i="29"/>
  <c r="E15" i="29"/>
  <c r="E6" i="29"/>
  <c r="E106" i="29"/>
  <c r="E107" i="29"/>
  <c r="E19" i="29"/>
  <c r="E37" i="29"/>
  <c r="E140" i="29"/>
  <c r="E18" i="29"/>
  <c r="E38" i="29"/>
  <c r="D32" i="29"/>
  <c r="E32" i="29" s="1"/>
  <c r="E44" i="29"/>
  <c r="E136" i="29"/>
  <c r="E90" i="29"/>
  <c r="E11" i="29"/>
  <c r="E40" i="29"/>
  <c r="E167" i="29"/>
  <c r="E91" i="29"/>
  <c r="E81" i="29"/>
  <c r="E108" i="29"/>
  <c r="E50" i="29"/>
  <c r="E46" i="29"/>
  <c r="E111" i="29"/>
  <c r="E168" i="29"/>
  <c r="E85" i="29"/>
  <c r="E79" i="29"/>
  <c r="E22" i="29"/>
  <c r="E45" i="29"/>
  <c r="E109" i="29"/>
  <c r="E49" i="29"/>
  <c r="E14" i="29"/>
  <c r="E131" i="29"/>
  <c r="E92" i="29"/>
  <c r="E130" i="29"/>
  <c r="E166" i="29"/>
  <c r="E86" i="29"/>
  <c r="E88" i="29"/>
  <c r="E132" i="29"/>
  <c r="E89" i="29"/>
  <c r="E12" i="29"/>
  <c r="E41" i="29"/>
  <c r="E9" i="29"/>
  <c r="E83" i="29"/>
  <c r="E84" i="29"/>
  <c r="E159" i="29"/>
  <c r="E21" i="29"/>
  <c r="E100" i="29"/>
  <c r="E113" i="29"/>
  <c r="E17" i="29"/>
  <c r="E80" i="29"/>
  <c r="E102" i="29"/>
  <c r="E161" i="29"/>
  <c r="E43" i="29"/>
  <c r="E13" i="29"/>
  <c r="E42" i="29"/>
  <c r="E16" i="29"/>
  <c r="E141" i="29"/>
  <c r="E114" i="29"/>
  <c r="E138" i="29"/>
  <c r="E139" i="29"/>
  <c r="E104" i="29"/>
  <c r="E160" i="29"/>
  <c r="E47" i="29"/>
  <c r="E188" i="29"/>
  <c r="E48" i="29"/>
  <c r="E110" i="29"/>
  <c r="E142" i="29"/>
  <c r="E39" i="29"/>
  <c r="Y62" i="32"/>
  <c r="Z62" i="32"/>
  <c r="X189" i="32"/>
  <c r="Z98" i="18"/>
  <c r="H157" i="29"/>
  <c r="G157" i="29"/>
  <c r="V165" i="32"/>
  <c r="W165" i="32"/>
  <c r="E69" i="29"/>
  <c r="N35" i="29"/>
  <c r="M35" i="29"/>
  <c r="T111" i="23"/>
  <c r="AI150" i="29"/>
  <c r="AH150" i="29"/>
  <c r="S10" i="27"/>
  <c r="P165" i="32"/>
  <c r="Q165" i="32"/>
  <c r="M145" i="29"/>
  <c r="N145" i="29"/>
  <c r="W7" i="23"/>
  <c r="U63" i="23"/>
  <c r="E194" i="32"/>
  <c r="D209" i="32"/>
  <c r="E209" i="32" s="1"/>
  <c r="N38" i="32"/>
  <c r="M38" i="32"/>
  <c r="Y68" i="29"/>
  <c r="AH164" i="29"/>
  <c r="E120" i="29"/>
  <c r="K74" i="18"/>
  <c r="E77" i="32"/>
  <c r="G64" i="29"/>
  <c r="G85" i="29"/>
  <c r="G104" i="29"/>
  <c r="G49" i="29"/>
  <c r="G103" i="29"/>
  <c r="G10" i="29"/>
  <c r="G110" i="29"/>
  <c r="G38" i="29"/>
  <c r="G112" i="29"/>
  <c r="G167" i="29"/>
  <c r="G159" i="29"/>
  <c r="G22" i="29"/>
  <c r="G91" i="29"/>
  <c r="G102" i="29"/>
  <c r="G20" i="29"/>
  <c r="G40" i="29"/>
  <c r="G100" i="29"/>
  <c r="G92" i="29"/>
  <c r="G131" i="29"/>
  <c r="G51" i="29"/>
  <c r="F32" i="29"/>
  <c r="G50" i="29"/>
  <c r="G113" i="29"/>
  <c r="G18" i="29"/>
  <c r="G14" i="29"/>
  <c r="G106" i="29"/>
  <c r="G107" i="29"/>
  <c r="G41" i="29"/>
  <c r="G13" i="29"/>
  <c r="G65" i="29"/>
  <c r="G109" i="29"/>
  <c r="G82" i="29"/>
  <c r="G136" i="29"/>
  <c r="G114" i="29"/>
  <c r="G130" i="29"/>
  <c r="G168" i="29"/>
  <c r="G83" i="29"/>
  <c r="G81" i="29"/>
  <c r="G12" i="29"/>
  <c r="G37" i="29"/>
  <c r="G15" i="29"/>
  <c r="G79" i="29"/>
  <c r="G89" i="29"/>
  <c r="G88" i="29"/>
  <c r="G132" i="29"/>
  <c r="G44" i="29"/>
  <c r="G80" i="29"/>
  <c r="G105" i="29"/>
  <c r="G139" i="29"/>
  <c r="G90" i="29"/>
  <c r="G21" i="29"/>
  <c r="G138" i="29"/>
  <c r="G101" i="29"/>
  <c r="G108" i="29"/>
  <c r="H6" i="29"/>
  <c r="G166" i="29"/>
  <c r="G111" i="29"/>
  <c r="G84" i="29"/>
  <c r="G43" i="29"/>
  <c r="G137" i="29"/>
  <c r="G87" i="29"/>
  <c r="G142" i="29"/>
  <c r="G19" i="29"/>
  <c r="G11" i="29"/>
  <c r="G143" i="29"/>
  <c r="G17" i="29"/>
  <c r="G39" i="29"/>
  <c r="G86" i="29"/>
  <c r="G160" i="29"/>
  <c r="G9" i="29"/>
  <c r="G16" i="29"/>
  <c r="G141" i="29"/>
  <c r="G140" i="29"/>
  <c r="G129" i="29"/>
  <c r="G188" i="29"/>
  <c r="G6" i="29"/>
  <c r="G45" i="29"/>
  <c r="G161" i="29"/>
  <c r="G47" i="29"/>
  <c r="G46" i="29"/>
  <c r="G42" i="29"/>
  <c r="G48" i="29"/>
  <c r="E73" i="29"/>
  <c r="J172" i="32"/>
  <c r="K172" i="32"/>
  <c r="W60" i="18"/>
  <c r="AF38" i="32"/>
  <c r="AE38" i="32"/>
  <c r="Z7" i="23"/>
  <c r="X63" i="23"/>
  <c r="H104" i="23"/>
  <c r="AH198" i="29"/>
  <c r="P36" i="29"/>
  <c r="P175" i="29"/>
  <c r="Q175" i="29"/>
  <c r="O190" i="29"/>
  <c r="Y178" i="29"/>
  <c r="E114" i="32"/>
  <c r="G73" i="29"/>
  <c r="G127" i="29"/>
  <c r="AI60" i="18"/>
  <c r="L10" i="28"/>
  <c r="P63" i="29"/>
  <c r="AK35" i="29"/>
  <c r="AL35" i="29"/>
  <c r="G26" i="29"/>
  <c r="O10" i="10"/>
  <c r="G98" i="29"/>
  <c r="Z19" i="18"/>
  <c r="K134" i="29"/>
  <c r="J134" i="29"/>
  <c r="H10" i="28"/>
  <c r="T35" i="18"/>
  <c r="Z114" i="23"/>
  <c r="T58" i="23"/>
  <c r="AF30" i="18"/>
  <c r="N60" i="18"/>
  <c r="M200" i="29"/>
  <c r="N200" i="29"/>
  <c r="AL30" i="18"/>
  <c r="AC7" i="18"/>
  <c r="AA91" i="18"/>
  <c r="E71" i="29"/>
  <c r="AB145" i="29"/>
  <c r="AC145" i="29"/>
  <c r="G172" i="32"/>
  <c r="H172" i="32"/>
  <c r="W215" i="32"/>
  <c r="V215" i="32"/>
  <c r="AE94" i="29"/>
  <c r="AF94" i="29"/>
  <c r="T19" i="18"/>
  <c r="V197" i="29"/>
  <c r="V87" i="29"/>
  <c r="V86" i="29"/>
  <c r="V12" i="29"/>
  <c r="V84" i="29"/>
  <c r="V141" i="29"/>
  <c r="V44" i="29"/>
  <c r="V107" i="29"/>
  <c r="V130" i="29"/>
  <c r="V129" i="29"/>
  <c r="V82" i="29"/>
  <c r="V43" i="29"/>
  <c r="V167" i="29"/>
  <c r="V166" i="29"/>
  <c r="V109" i="29"/>
  <c r="V91" i="29"/>
  <c r="V48" i="29"/>
  <c r="V101" i="29"/>
  <c r="V18" i="29"/>
  <c r="V83" i="29"/>
  <c r="V41" i="29"/>
  <c r="V168" i="29"/>
  <c r="V45" i="29"/>
  <c r="V112" i="29"/>
  <c r="V81" i="29"/>
  <c r="V159" i="29"/>
  <c r="V39" i="29"/>
  <c r="V22" i="29"/>
  <c r="W6" i="29"/>
  <c r="V80" i="29"/>
  <c r="V161" i="29"/>
  <c r="V20" i="29"/>
  <c r="V89" i="29"/>
  <c r="V142" i="29"/>
  <c r="V103" i="29"/>
  <c r="V6" i="29"/>
  <c r="V102" i="29"/>
  <c r="V38" i="29"/>
  <c r="V40" i="29"/>
  <c r="V111" i="29"/>
  <c r="V138" i="29"/>
  <c r="V160" i="29"/>
  <c r="V37" i="29"/>
  <c r="V104" i="29"/>
  <c r="V49" i="29"/>
  <c r="V139" i="29"/>
  <c r="V10" i="29"/>
  <c r="V140" i="29"/>
  <c r="V13" i="29"/>
  <c r="V132" i="29"/>
  <c r="V21" i="29"/>
  <c r="V11" i="29"/>
  <c r="V137" i="29"/>
  <c r="V9" i="29"/>
  <c r="V60" i="29"/>
  <c r="V16" i="29"/>
  <c r="V17" i="29"/>
  <c r="U32" i="29"/>
  <c r="U54" i="29" s="1"/>
  <c r="V188" i="29"/>
  <c r="V15" i="29"/>
  <c r="V100" i="29"/>
  <c r="V106" i="29"/>
  <c r="V14" i="29"/>
  <c r="V131" i="29"/>
  <c r="V47" i="29"/>
  <c r="V88" i="29"/>
  <c r="V50" i="29"/>
  <c r="V108" i="29"/>
  <c r="V143" i="29"/>
  <c r="V42" i="29"/>
  <c r="V113" i="29"/>
  <c r="V46" i="29"/>
  <c r="V19" i="29"/>
  <c r="V85" i="29"/>
  <c r="V90" i="29"/>
  <c r="V114" i="29"/>
  <c r="V92" i="29"/>
  <c r="V110" i="29"/>
  <c r="V136" i="29"/>
  <c r="V105" i="29"/>
  <c r="V51" i="29"/>
  <c r="V79" i="29"/>
  <c r="T15" i="23"/>
  <c r="G175" i="29"/>
  <c r="H175" i="29"/>
  <c r="F190" i="29"/>
  <c r="E69" i="32"/>
  <c r="E47" i="32"/>
  <c r="E29" i="32"/>
  <c r="E179" i="32"/>
  <c r="E138" i="32"/>
  <c r="E98" i="32"/>
  <c r="E143" i="32"/>
  <c r="E93" i="32"/>
  <c r="E42" i="32"/>
  <c r="E27" i="32"/>
  <c r="E140" i="32"/>
  <c r="E91" i="32"/>
  <c r="E176" i="32"/>
  <c r="E87" i="32"/>
  <c r="E21" i="32"/>
  <c r="E132" i="32"/>
  <c r="E86" i="32"/>
  <c r="E90" i="32"/>
  <c r="E26" i="32"/>
  <c r="E30" i="32"/>
  <c r="E185" i="32"/>
  <c r="E96" i="32"/>
  <c r="E150" i="32"/>
  <c r="E139" i="32"/>
  <c r="E28" i="32"/>
  <c r="E6" i="32"/>
  <c r="E207" i="32"/>
  <c r="E145" i="32"/>
  <c r="E14" i="32"/>
  <c r="E135" i="32"/>
  <c r="E177" i="32"/>
  <c r="E148" i="32"/>
  <c r="E49" i="32"/>
  <c r="E153" i="32"/>
  <c r="E95" i="32"/>
  <c r="E133" i="32"/>
  <c r="E22" i="32"/>
  <c r="E130" i="32"/>
  <c r="E184" i="32"/>
  <c r="E20" i="32"/>
  <c r="E89" i="32"/>
  <c r="E129" i="32"/>
  <c r="E85" i="32"/>
  <c r="E25" i="32"/>
  <c r="E48" i="32"/>
  <c r="E12" i="32"/>
  <c r="E178" i="32"/>
  <c r="E41" i="32"/>
  <c r="E15" i="32"/>
  <c r="E149" i="32"/>
  <c r="E97" i="32"/>
  <c r="D35" i="32"/>
  <c r="E35" i="32" s="1"/>
  <c r="E142" i="32"/>
  <c r="E128" i="32"/>
  <c r="E92" i="32"/>
  <c r="E146" i="32"/>
  <c r="E43" i="32"/>
  <c r="E151" i="32"/>
  <c r="E88" i="32"/>
  <c r="E175" i="32"/>
  <c r="E94" i="32"/>
  <c r="E50" i="32"/>
  <c r="E51" i="32"/>
  <c r="E19" i="32"/>
  <c r="E147" i="32"/>
  <c r="E134" i="32"/>
  <c r="E52" i="32"/>
  <c r="E54" i="32"/>
  <c r="E131" i="32"/>
  <c r="E136" i="32"/>
  <c r="E174" i="32"/>
  <c r="E13" i="32"/>
  <c r="E152" i="32"/>
  <c r="E44" i="32"/>
  <c r="E186" i="32"/>
  <c r="E53" i="32"/>
  <c r="E46" i="32"/>
  <c r="E55" i="32"/>
  <c r="E144" i="32"/>
  <c r="E84" i="32"/>
  <c r="E18" i="32"/>
  <c r="E127" i="32"/>
  <c r="E137" i="32"/>
  <c r="E17" i="32"/>
  <c r="E16" i="32"/>
  <c r="E45" i="32"/>
  <c r="AH73" i="29"/>
  <c r="K104" i="23"/>
  <c r="AI7" i="23"/>
  <c r="AG63" i="23"/>
  <c r="AH126" i="29"/>
  <c r="Y29" i="29"/>
  <c r="Z104" i="23"/>
  <c r="Q118" i="23"/>
  <c r="AI38" i="32"/>
  <c r="AH38" i="32"/>
  <c r="P67" i="29"/>
  <c r="G179" i="29"/>
  <c r="AE81" i="32"/>
  <c r="AE55" i="32"/>
  <c r="AE46" i="32"/>
  <c r="AE25" i="32"/>
  <c r="AE175" i="32"/>
  <c r="AE98" i="32"/>
  <c r="AE18" i="32"/>
  <c r="AE30" i="32"/>
  <c r="AE6" i="32"/>
  <c r="AE184" i="32"/>
  <c r="AE91" i="32"/>
  <c r="AE142" i="32"/>
  <c r="AF6" i="32"/>
  <c r="AE21" i="32"/>
  <c r="AE89" i="32"/>
  <c r="AE132" i="32"/>
  <c r="AE176" i="32"/>
  <c r="AE90" i="32"/>
  <c r="AE54" i="32"/>
  <c r="AE19" i="32"/>
  <c r="AE134" i="32"/>
  <c r="AE97" i="32"/>
  <c r="AE92" i="32"/>
  <c r="AE177" i="32"/>
  <c r="AE135" i="32"/>
  <c r="AE178" i="32"/>
  <c r="AE17" i="32"/>
  <c r="AE139" i="32"/>
  <c r="AE29" i="32"/>
  <c r="AE186" i="32"/>
  <c r="AE48" i="32"/>
  <c r="AE133" i="32"/>
  <c r="AE86" i="32"/>
  <c r="AE16" i="32"/>
  <c r="AE137" i="32"/>
  <c r="AE88" i="32"/>
  <c r="AE138" i="32"/>
  <c r="AE131" i="32"/>
  <c r="AE95" i="32"/>
  <c r="AE127" i="32"/>
  <c r="AE143" i="32"/>
  <c r="AE152" i="32"/>
  <c r="AE147" i="32"/>
  <c r="AE53" i="32"/>
  <c r="AE42" i="32"/>
  <c r="AE93" i="32"/>
  <c r="AE13" i="32"/>
  <c r="AE43" i="32"/>
  <c r="AE146" i="32"/>
  <c r="AE96" i="32"/>
  <c r="AE27" i="32"/>
  <c r="AE145" i="32"/>
  <c r="AE51" i="32"/>
  <c r="AE128" i="32"/>
  <c r="AE130" i="32"/>
  <c r="AE85" i="32"/>
  <c r="AE45" i="32"/>
  <c r="AE179" i="32"/>
  <c r="AE94" i="32"/>
  <c r="AE52" i="32"/>
  <c r="AE144" i="32"/>
  <c r="AE84" i="32"/>
  <c r="AE26" i="32"/>
  <c r="AE185" i="32"/>
  <c r="AE148" i="32"/>
  <c r="AE20" i="32"/>
  <c r="AE47" i="32"/>
  <c r="AD35" i="32"/>
  <c r="AE136" i="32"/>
  <c r="AE129" i="32"/>
  <c r="AE174" i="32"/>
  <c r="AE87" i="32"/>
  <c r="AE22" i="32"/>
  <c r="AE49" i="32"/>
  <c r="AE150" i="32"/>
  <c r="AE153" i="32"/>
  <c r="AE15" i="32"/>
  <c r="AE44" i="32"/>
  <c r="AE14" i="32"/>
  <c r="AE28" i="32"/>
  <c r="AE140" i="32"/>
  <c r="AE12" i="32"/>
  <c r="AE207" i="32"/>
  <c r="AE151" i="32"/>
  <c r="AE50" i="32"/>
  <c r="AE149" i="32"/>
  <c r="AE41" i="32"/>
  <c r="J35" i="29"/>
  <c r="K35" i="29"/>
  <c r="Z157" i="29"/>
  <c r="Y157" i="29"/>
  <c r="AO60" i="18"/>
  <c r="AH71" i="29"/>
  <c r="AO15" i="23"/>
  <c r="K35" i="18"/>
  <c r="H125" i="23"/>
  <c r="AH35" i="29"/>
  <c r="AI35" i="29"/>
  <c r="P65" i="29"/>
  <c r="K94" i="29"/>
  <c r="J94" i="29"/>
  <c r="N133" i="23"/>
  <c r="Y180" i="29"/>
  <c r="K24" i="32"/>
  <c r="J24" i="32"/>
  <c r="AL20" i="23"/>
  <c r="AG170" i="29"/>
  <c r="AH57" i="29"/>
  <c r="AI57" i="29"/>
  <c r="AH177" i="29"/>
  <c r="AE112" i="32"/>
  <c r="H60" i="18"/>
  <c r="AH201" i="29"/>
  <c r="AE117" i="32"/>
  <c r="V155" i="32"/>
  <c r="W155" i="32"/>
  <c r="E72" i="29"/>
  <c r="Q7" i="23"/>
  <c r="O63" i="23"/>
  <c r="AB96" i="29"/>
  <c r="AB41" i="29"/>
  <c r="AB84" i="29"/>
  <c r="AB104" i="29"/>
  <c r="AB86" i="29"/>
  <c r="AB80" i="29"/>
  <c r="AB81" i="29"/>
  <c r="AB111" i="29"/>
  <c r="AB11" i="29"/>
  <c r="AB39" i="29"/>
  <c r="AB49" i="29"/>
  <c r="AB129" i="29"/>
  <c r="AB137" i="29"/>
  <c r="AB88" i="29"/>
  <c r="AB131" i="29"/>
  <c r="AB102" i="29"/>
  <c r="AB168" i="29"/>
  <c r="AB10" i="29"/>
  <c r="AB100" i="29"/>
  <c r="AB108" i="29"/>
  <c r="AB46" i="29"/>
  <c r="AB105" i="29"/>
  <c r="AB12" i="29"/>
  <c r="AB188" i="29"/>
  <c r="AB107" i="29"/>
  <c r="AB43" i="29"/>
  <c r="AC6" i="29"/>
  <c r="AB132" i="29"/>
  <c r="AB79" i="29"/>
  <c r="AB45" i="29"/>
  <c r="AB103" i="29"/>
  <c r="AB20" i="29"/>
  <c r="AB17" i="29"/>
  <c r="AA32" i="29"/>
  <c r="AB22" i="29"/>
  <c r="AB136" i="29"/>
  <c r="AB109" i="29"/>
  <c r="AB44" i="29"/>
  <c r="AB83" i="29"/>
  <c r="AB21" i="29"/>
  <c r="AB15" i="29"/>
  <c r="AB101" i="29"/>
  <c r="AB160" i="29"/>
  <c r="AB13" i="29"/>
  <c r="AB139" i="29"/>
  <c r="AB140" i="29"/>
  <c r="AB138" i="29"/>
  <c r="AB114" i="29"/>
  <c r="AB106" i="29"/>
  <c r="AB51" i="29"/>
  <c r="AB82" i="29"/>
  <c r="AB19" i="29"/>
  <c r="AB50" i="29"/>
  <c r="AB143" i="29"/>
  <c r="AB42" i="29"/>
  <c r="AB112" i="29"/>
  <c r="AB14" i="29"/>
  <c r="AB91" i="29"/>
  <c r="AB85" i="29"/>
  <c r="AB18" i="29"/>
  <c r="AB48" i="29"/>
  <c r="AB16" i="29"/>
  <c r="AB38" i="29"/>
  <c r="AB6" i="29"/>
  <c r="AB90" i="29"/>
  <c r="AB9" i="29"/>
  <c r="AB141" i="29"/>
  <c r="AB110" i="29"/>
  <c r="AB92" i="29"/>
  <c r="AB37" i="29"/>
  <c r="AB130" i="29"/>
  <c r="AB87" i="29"/>
  <c r="AB142" i="29"/>
  <c r="AB89" i="29"/>
  <c r="AB113" i="29"/>
  <c r="AB166" i="29"/>
  <c r="AB161" i="29"/>
  <c r="AB159" i="29"/>
  <c r="AB167" i="29"/>
  <c r="AB47" i="29"/>
  <c r="AB40" i="29"/>
  <c r="AA54" i="29"/>
  <c r="AE108" i="32"/>
  <c r="H15" i="23"/>
  <c r="AH116" i="29"/>
  <c r="I10" i="27"/>
  <c r="L10" i="16"/>
  <c r="AF150" i="29"/>
  <c r="AE150" i="29"/>
  <c r="E184" i="29"/>
  <c r="J157" i="29"/>
  <c r="K157" i="29"/>
  <c r="Q150" i="29"/>
  <c r="P150" i="29"/>
  <c r="V72" i="32"/>
  <c r="K30" i="18"/>
  <c r="AL201" i="32"/>
  <c r="AK201" i="32"/>
  <c r="AH77" i="29"/>
  <c r="S201" i="32"/>
  <c r="T201" i="32"/>
  <c r="G197" i="29"/>
  <c r="T24" i="29"/>
  <c r="S24" i="29"/>
  <c r="E183" i="32"/>
  <c r="AL15" i="23"/>
  <c r="G72" i="29"/>
  <c r="I63" i="23"/>
  <c r="K7" i="23"/>
  <c r="P99" i="29"/>
  <c r="AC35" i="29"/>
  <c r="AB35" i="29"/>
  <c r="AH98" i="29"/>
  <c r="AE220" i="32"/>
  <c r="V221" i="32"/>
  <c r="Q35" i="18"/>
  <c r="Z163" i="29"/>
  <c r="Y163" i="29"/>
  <c r="V39" i="32"/>
  <c r="AH158" i="29"/>
  <c r="W74" i="18"/>
  <c r="AB75" i="29"/>
  <c r="E158" i="32"/>
  <c r="AL133" i="23"/>
  <c r="Y25" i="29"/>
  <c r="N68" i="18"/>
  <c r="P35" i="29"/>
  <c r="Q35" i="29"/>
  <c r="K111" i="23"/>
  <c r="J118" i="32"/>
  <c r="V74" i="32"/>
  <c r="V9" i="32"/>
  <c r="J114" i="32"/>
  <c r="AB124" i="29"/>
  <c r="AH8" i="29"/>
  <c r="M182" i="29"/>
  <c r="N182" i="29"/>
  <c r="J196" i="32"/>
  <c r="AF129" i="23"/>
  <c r="N10" i="17"/>
  <c r="E177" i="29"/>
  <c r="AB186" i="29"/>
  <c r="P117" i="32"/>
  <c r="P26" i="32"/>
  <c r="P54" i="32"/>
  <c r="P90" i="32"/>
  <c r="P140" i="32"/>
  <c r="P138" i="32"/>
  <c r="P153" i="32"/>
  <c r="P186" i="32"/>
  <c r="P127" i="32"/>
  <c r="P55" i="32"/>
  <c r="P134" i="32"/>
  <c r="P147" i="32"/>
  <c r="P41" i="32"/>
  <c r="P95" i="32"/>
  <c r="P21" i="32"/>
  <c r="P16" i="32"/>
  <c r="P85" i="32"/>
  <c r="P30" i="32"/>
  <c r="P15" i="32"/>
  <c r="P131" i="32"/>
  <c r="P87" i="32"/>
  <c r="P6" i="32"/>
  <c r="P14" i="32"/>
  <c r="P129" i="32"/>
  <c r="P22" i="32"/>
  <c r="P178" i="32"/>
  <c r="P88" i="32"/>
  <c r="P179" i="32"/>
  <c r="P152" i="32"/>
  <c r="P185" i="32"/>
  <c r="P146" i="32"/>
  <c r="P96" i="32"/>
  <c r="P144" i="32"/>
  <c r="P47" i="32"/>
  <c r="P45" i="32"/>
  <c r="P177" i="32"/>
  <c r="P46" i="32"/>
  <c r="P175" i="32"/>
  <c r="P42" i="32"/>
  <c r="P92" i="32"/>
  <c r="P128" i="32"/>
  <c r="P50" i="32"/>
  <c r="P142" i="32"/>
  <c r="P135" i="32"/>
  <c r="P52" i="32"/>
  <c r="O35" i="32"/>
  <c r="O59" i="32" s="1"/>
  <c r="P130" i="32"/>
  <c r="P132" i="32"/>
  <c r="P53" i="32"/>
  <c r="P17" i="32"/>
  <c r="P174" i="32"/>
  <c r="P149" i="32"/>
  <c r="P51" i="32"/>
  <c r="P12" i="32"/>
  <c r="P133" i="32"/>
  <c r="P143" i="32"/>
  <c r="P43" i="32"/>
  <c r="P184" i="32"/>
  <c r="P13" i="32"/>
  <c r="P49" i="32"/>
  <c r="P97" i="32"/>
  <c r="P44" i="32"/>
  <c r="P150" i="32"/>
  <c r="P93" i="32"/>
  <c r="P20" i="32"/>
  <c r="P29" i="32"/>
  <c r="P48" i="32"/>
  <c r="P86" i="32"/>
  <c r="P91" i="32"/>
  <c r="P18" i="32"/>
  <c r="P145" i="32"/>
  <c r="P19" i="32"/>
  <c r="P98" i="32"/>
  <c r="P89" i="32"/>
  <c r="P148" i="32"/>
  <c r="P28" i="32"/>
  <c r="P139" i="32"/>
  <c r="P137" i="32"/>
  <c r="P27" i="32"/>
  <c r="P207" i="32"/>
  <c r="P84" i="32"/>
  <c r="P94" i="32"/>
  <c r="P176" i="32"/>
  <c r="Q6" i="32"/>
  <c r="P136" i="32"/>
  <c r="P151" i="32"/>
  <c r="P25" i="32"/>
  <c r="P169" i="32"/>
  <c r="P197" i="32"/>
  <c r="M181" i="32"/>
  <c r="N181" i="32"/>
  <c r="AO74" i="18"/>
  <c r="AF35" i="18"/>
  <c r="AF24" i="29"/>
  <c r="AE24" i="29"/>
  <c r="N7" i="23"/>
  <c r="L63" i="23"/>
  <c r="AJ190" i="29"/>
  <c r="AL175" i="29"/>
  <c r="AK175" i="29"/>
  <c r="Z20" i="23"/>
  <c r="AI39" i="23"/>
  <c r="AL129" i="23"/>
  <c r="Q100" i="32"/>
  <c r="P100" i="32"/>
  <c r="AC74" i="18"/>
  <c r="AC129" i="23"/>
  <c r="Y119" i="29"/>
  <c r="N74" i="18"/>
  <c r="AO114" i="23"/>
  <c r="Y117" i="29"/>
  <c r="K200" i="29"/>
  <c r="J200" i="29"/>
  <c r="V180" i="29"/>
  <c r="Y196" i="29"/>
  <c r="Z196" i="29"/>
  <c r="P27" i="29"/>
  <c r="P188" i="29"/>
  <c r="P11" i="29"/>
  <c r="P9" i="29"/>
  <c r="P107" i="29"/>
  <c r="Q6" i="29"/>
  <c r="P19" i="29"/>
  <c r="P40" i="29"/>
  <c r="P20" i="29"/>
  <c r="P43" i="29"/>
  <c r="P112" i="29"/>
  <c r="P18" i="29"/>
  <c r="P142" i="29"/>
  <c r="P21" i="29"/>
  <c r="P86" i="29"/>
  <c r="P79" i="29"/>
  <c r="P168" i="29"/>
  <c r="P100" i="29"/>
  <c r="P160" i="29"/>
  <c r="P84" i="29"/>
  <c r="P166" i="29"/>
  <c r="P88" i="29"/>
  <c r="P143" i="29"/>
  <c r="P17" i="29"/>
  <c r="P13" i="29"/>
  <c r="O32" i="29"/>
  <c r="O54" i="29" s="1"/>
  <c r="P50" i="29"/>
  <c r="P129" i="29"/>
  <c r="P49" i="29"/>
  <c r="P139" i="29"/>
  <c r="P46" i="29"/>
  <c r="P22" i="29"/>
  <c r="P80" i="29"/>
  <c r="P10" i="29"/>
  <c r="P81" i="29"/>
  <c r="P92" i="29"/>
  <c r="P159" i="29"/>
  <c r="P91" i="29"/>
  <c r="P113" i="29"/>
  <c r="P101" i="29"/>
  <c r="P103" i="29"/>
  <c r="P14" i="29"/>
  <c r="P109" i="29"/>
  <c r="P87" i="29"/>
  <c r="P114" i="29"/>
  <c r="P132" i="29"/>
  <c r="P38" i="29"/>
  <c r="P130" i="29"/>
  <c r="P37" i="29"/>
  <c r="P47" i="29"/>
  <c r="P167" i="29"/>
  <c r="P51" i="29"/>
  <c r="P141" i="29"/>
  <c r="P6" i="29"/>
  <c r="P108" i="29"/>
  <c r="P105" i="29"/>
  <c r="P41" i="29"/>
  <c r="P15" i="29"/>
  <c r="P90" i="29"/>
  <c r="P111" i="29"/>
  <c r="P83" i="29"/>
  <c r="P131" i="29"/>
  <c r="P85" i="29"/>
  <c r="P82" i="29"/>
  <c r="P45" i="29"/>
  <c r="P44" i="29"/>
  <c r="P102" i="29"/>
  <c r="P110" i="29"/>
  <c r="P104" i="29"/>
  <c r="P48" i="29"/>
  <c r="P16" i="29"/>
  <c r="P136" i="29"/>
  <c r="P89" i="29"/>
  <c r="P42" i="29"/>
  <c r="P138" i="29"/>
  <c r="P140" i="29"/>
  <c r="P39" i="29"/>
  <c r="P12" i="29"/>
  <c r="P106" i="29"/>
  <c r="P161" i="29"/>
  <c r="P137" i="29"/>
  <c r="AK200" i="29"/>
  <c r="AL200" i="29"/>
  <c r="AK150" i="29"/>
  <c r="AL150" i="29"/>
  <c r="AI200" i="29"/>
  <c r="AH200" i="29"/>
  <c r="AI15" i="23"/>
  <c r="P128" i="29"/>
  <c r="Z111" i="23"/>
  <c r="N10" i="14"/>
  <c r="C3" i="31"/>
  <c r="C4" i="31"/>
  <c r="E22" i="25"/>
  <c r="P182" i="29"/>
  <c r="Q182" i="29"/>
  <c r="V67" i="29"/>
  <c r="H20" i="23"/>
  <c r="AE122" i="32"/>
  <c r="U122" i="23"/>
  <c r="W66" i="23"/>
  <c r="I91" i="18"/>
  <c r="K7" i="18"/>
  <c r="AO7" i="23"/>
  <c r="AM63" i="23"/>
  <c r="Y61" i="29"/>
  <c r="AB163" i="29"/>
  <c r="AC163" i="29"/>
  <c r="E75" i="29"/>
  <c r="P78" i="29"/>
  <c r="E9" i="32"/>
  <c r="AH25" i="29"/>
  <c r="AI163" i="29"/>
  <c r="AH163" i="29"/>
  <c r="V183" i="32"/>
  <c r="Y59" i="29"/>
  <c r="V126" i="29"/>
  <c r="AH75" i="29"/>
  <c r="V159" i="32"/>
  <c r="W38" i="32"/>
  <c r="V38" i="32"/>
  <c r="N15" i="23"/>
  <c r="V29" i="29"/>
  <c r="V124" i="29"/>
  <c r="H54" i="23"/>
  <c r="Y62" i="29"/>
  <c r="E199" i="32"/>
  <c r="Y115" i="29"/>
  <c r="G70" i="29"/>
  <c r="AE197" i="32"/>
  <c r="AF201" i="32"/>
  <c r="AE201" i="32"/>
  <c r="AE166" i="32"/>
  <c r="AH181" i="32"/>
  <c r="AI181" i="32"/>
  <c r="Y58" i="29"/>
  <c r="AK36" i="29"/>
  <c r="AK161" i="29"/>
  <c r="AK47" i="29"/>
  <c r="AK168" i="29"/>
  <c r="AK140" i="29"/>
  <c r="AK113" i="29"/>
  <c r="AK105" i="29"/>
  <c r="AK13" i="29"/>
  <c r="AK112" i="29"/>
  <c r="AK137" i="29"/>
  <c r="AK22" i="29"/>
  <c r="AK142" i="29"/>
  <c r="AK50" i="29"/>
  <c r="AK82" i="29"/>
  <c r="AK136" i="29"/>
  <c r="AK45" i="29"/>
  <c r="AK129" i="29"/>
  <c r="AK15" i="29"/>
  <c r="AK92" i="29"/>
  <c r="AJ32" i="29"/>
  <c r="AK86" i="29"/>
  <c r="AK107" i="29"/>
  <c r="AK90" i="29"/>
  <c r="AK20" i="29"/>
  <c r="AK49" i="29"/>
  <c r="AK100" i="29"/>
  <c r="AK43" i="29"/>
  <c r="AK6" i="29"/>
  <c r="AK89" i="29"/>
  <c r="AK103" i="29"/>
  <c r="AK106" i="29"/>
  <c r="AK160" i="29"/>
  <c r="AK110" i="29"/>
  <c r="AK111" i="29"/>
  <c r="AK143" i="29"/>
  <c r="AK12" i="29"/>
  <c r="AK40" i="29"/>
  <c r="AK167" i="29"/>
  <c r="AK79" i="29"/>
  <c r="AK159" i="29"/>
  <c r="AK87" i="29"/>
  <c r="AK84" i="29"/>
  <c r="AK51" i="29"/>
  <c r="AK104" i="29"/>
  <c r="AK85" i="29"/>
  <c r="AK141" i="29"/>
  <c r="AK102" i="29"/>
  <c r="AK10" i="29"/>
  <c r="AK19" i="29"/>
  <c r="AK88" i="29"/>
  <c r="AL6" i="29"/>
  <c r="AK48" i="29"/>
  <c r="AK109" i="29"/>
  <c r="AK9" i="29"/>
  <c r="AK80" i="29"/>
  <c r="AK38" i="29"/>
  <c r="AK132" i="29"/>
  <c r="AK16" i="29"/>
  <c r="AK37" i="29"/>
  <c r="AK44" i="29"/>
  <c r="AK101" i="29"/>
  <c r="AK166" i="29"/>
  <c r="AK41" i="29"/>
  <c r="AK108" i="29"/>
  <c r="AK139" i="29"/>
  <c r="AK46" i="29"/>
  <c r="AK14" i="29"/>
  <c r="AK130" i="29"/>
  <c r="AK138" i="29"/>
  <c r="AK18" i="29"/>
  <c r="AK83" i="29"/>
  <c r="AK176" i="29"/>
  <c r="AK17" i="29"/>
  <c r="AK81" i="29"/>
  <c r="AK91" i="29"/>
  <c r="AK131" i="29"/>
  <c r="AK188" i="29"/>
  <c r="AK21" i="29"/>
  <c r="AK39" i="29"/>
  <c r="AK42" i="29"/>
  <c r="AK11" i="29"/>
  <c r="AK114" i="29"/>
  <c r="J40" i="32"/>
  <c r="V82" i="32"/>
  <c r="V78" i="32"/>
  <c r="J169" i="32"/>
  <c r="J167" i="32"/>
  <c r="AB147" i="29"/>
  <c r="E65" i="32"/>
  <c r="AH187" i="29"/>
  <c r="AH197" i="29"/>
  <c r="AB103" i="32"/>
  <c r="V120" i="32"/>
  <c r="E66" i="29"/>
  <c r="W118" i="23"/>
  <c r="AC111" i="23"/>
  <c r="G135" i="29"/>
  <c r="W172" i="32"/>
  <c r="V172" i="32"/>
  <c r="V179" i="29"/>
  <c r="L170" i="29"/>
  <c r="M57" i="29"/>
  <c r="N57" i="29"/>
  <c r="Y146" i="29"/>
  <c r="T54" i="23"/>
  <c r="E27" i="29"/>
  <c r="N24" i="32"/>
  <c r="M24" i="32"/>
  <c r="E115" i="32"/>
  <c r="N20" i="23"/>
  <c r="V122" i="29"/>
  <c r="E73" i="32"/>
  <c r="E58" i="29"/>
  <c r="AE101" i="32"/>
  <c r="AF58" i="23"/>
  <c r="N10" i="27"/>
  <c r="AE199" i="32"/>
  <c r="E220" i="32"/>
  <c r="AC19" i="18"/>
  <c r="S57" i="29"/>
  <c r="T57" i="29"/>
  <c r="R170" i="29"/>
  <c r="N98" i="18"/>
  <c r="Y219" i="32"/>
  <c r="Z219" i="32"/>
  <c r="AH66" i="29"/>
  <c r="V7" i="32"/>
  <c r="AA158" i="18"/>
  <c r="AC94" i="18"/>
  <c r="AE105" i="32"/>
  <c r="G152" i="29"/>
  <c r="Y64" i="29"/>
  <c r="E156" i="32"/>
  <c r="AI68" i="18"/>
  <c r="E116" i="29"/>
  <c r="E31" i="32"/>
  <c r="V64" i="32"/>
  <c r="G196" i="29"/>
  <c r="H196" i="29"/>
  <c r="V202" i="29"/>
  <c r="Y154" i="29"/>
  <c r="AH27" i="29"/>
  <c r="AH76" i="29"/>
  <c r="K58" i="23"/>
  <c r="S134" i="29"/>
  <c r="T134" i="29"/>
  <c r="AE63" i="32"/>
  <c r="R10" i="27"/>
  <c r="AH120" i="29"/>
  <c r="AE219" i="32"/>
  <c r="AF219" i="32"/>
  <c r="AE62" i="29"/>
  <c r="AF6" i="29"/>
  <c r="AE12" i="29"/>
  <c r="AE130" i="29"/>
  <c r="AE111" i="29"/>
  <c r="AE143" i="29"/>
  <c r="AE106" i="29"/>
  <c r="AE89" i="29"/>
  <c r="AE107" i="29"/>
  <c r="AE49" i="29"/>
  <c r="AE16" i="29"/>
  <c r="AE40" i="29"/>
  <c r="AE21" i="29"/>
  <c r="AE50" i="29"/>
  <c r="AE129" i="29"/>
  <c r="AE44" i="29"/>
  <c r="AE136" i="29"/>
  <c r="AE6" i="29"/>
  <c r="AE46" i="29"/>
  <c r="AE167" i="29"/>
  <c r="AE20" i="29"/>
  <c r="AE160" i="29"/>
  <c r="AE79" i="29"/>
  <c r="AE92" i="29"/>
  <c r="AE105" i="29"/>
  <c r="AE112" i="29"/>
  <c r="AE22" i="29"/>
  <c r="AE86" i="29"/>
  <c r="AE138" i="29"/>
  <c r="AE83" i="29"/>
  <c r="AE85" i="29"/>
  <c r="AE139" i="29"/>
  <c r="AE14" i="29"/>
  <c r="AE90" i="29"/>
  <c r="AE84" i="29"/>
  <c r="AE42" i="29"/>
  <c r="AE168" i="29"/>
  <c r="AE91" i="29"/>
  <c r="AE159" i="29"/>
  <c r="AE45" i="29"/>
  <c r="AE82" i="29"/>
  <c r="AE41" i="29"/>
  <c r="AE47" i="29"/>
  <c r="AE17" i="29"/>
  <c r="AE11" i="29"/>
  <c r="AE80" i="29"/>
  <c r="AE101" i="29"/>
  <c r="AE102" i="29"/>
  <c r="AE161" i="29"/>
  <c r="AE140" i="29"/>
  <c r="AE19" i="29"/>
  <c r="AE43" i="29"/>
  <c r="AE166" i="29"/>
  <c r="AE114" i="29"/>
  <c r="AE9" i="29"/>
  <c r="AE87" i="29"/>
  <c r="AE110" i="29"/>
  <c r="AE109" i="29"/>
  <c r="AE88" i="29"/>
  <c r="AE141" i="29"/>
  <c r="AE142" i="29"/>
  <c r="AE137" i="29"/>
  <c r="AE13" i="29"/>
  <c r="AE18" i="29"/>
  <c r="AE48" i="29"/>
  <c r="AD32" i="29"/>
  <c r="AE132" i="29"/>
  <c r="AE104" i="29"/>
  <c r="AE81" i="29"/>
  <c r="AE37" i="29"/>
  <c r="AE100" i="29"/>
  <c r="AE103" i="29"/>
  <c r="AE10" i="29"/>
  <c r="AE15" i="29"/>
  <c r="AE131" i="29"/>
  <c r="AE108" i="29"/>
  <c r="AE188" i="29"/>
  <c r="AE113" i="29"/>
  <c r="AE51" i="29"/>
  <c r="AE38" i="29"/>
  <c r="AE39" i="29"/>
  <c r="N194" i="32"/>
  <c r="L209" i="32"/>
  <c r="M194" i="32"/>
  <c r="AC165" i="32"/>
  <c r="AB165" i="32"/>
  <c r="G27" i="29"/>
  <c r="J219" i="32"/>
  <c r="K219" i="32"/>
  <c r="AL60" i="18"/>
  <c r="AI157" i="29"/>
  <c r="AH157" i="29"/>
  <c r="AM158" i="18"/>
  <c r="AO94" i="18"/>
  <c r="Z24" i="29"/>
  <c r="Y24" i="29"/>
  <c r="G10" i="12"/>
  <c r="N201" i="32"/>
  <c r="M201" i="32"/>
  <c r="Q30" i="18"/>
  <c r="V77" i="29"/>
  <c r="Q10" i="27"/>
  <c r="E180" i="29"/>
  <c r="AL98" i="18"/>
  <c r="AE169" i="32"/>
  <c r="AK95" i="29"/>
  <c r="E62" i="29"/>
  <c r="Y153" i="29"/>
  <c r="AB29" i="29"/>
  <c r="AH147" i="29"/>
  <c r="G24" i="32"/>
  <c r="H24" i="32"/>
  <c r="Y69" i="29"/>
  <c r="J182" i="32"/>
  <c r="AH196" i="29"/>
  <c r="AI196" i="29"/>
  <c r="Q10" i="28"/>
  <c r="AB40" i="32"/>
  <c r="T46" i="18"/>
  <c r="G122" i="29"/>
  <c r="AI104" i="23"/>
  <c r="AI118" i="23"/>
  <c r="F10" i="10"/>
  <c r="E127" i="29"/>
  <c r="AL19" i="18"/>
  <c r="AD190" i="29"/>
  <c r="AE175" i="29"/>
  <c r="AF175" i="29"/>
  <c r="W134" i="29"/>
  <c r="V134" i="29"/>
  <c r="AC58" i="23"/>
  <c r="H114" i="23"/>
  <c r="AF133" i="23"/>
  <c r="AI20" i="23"/>
  <c r="V115" i="29"/>
  <c r="F158" i="18"/>
  <c r="H94" i="18"/>
  <c r="V187" i="29"/>
  <c r="S157" i="29"/>
  <c r="T157" i="29"/>
  <c r="O10" i="28"/>
  <c r="N165" i="32"/>
  <c r="M165" i="32"/>
  <c r="AL125" i="23"/>
  <c r="K125" i="23"/>
  <c r="Q129" i="23"/>
  <c r="F63" i="23"/>
  <c r="H7" i="23"/>
  <c r="Z68" i="18"/>
  <c r="AC181" i="32"/>
  <c r="AB181" i="32"/>
  <c r="AK155" i="32"/>
  <c r="AL155" i="32"/>
  <c r="AA170" i="29"/>
  <c r="AB57" i="29"/>
  <c r="AC57" i="29"/>
  <c r="AC7" i="23"/>
  <c r="AA63" i="23"/>
  <c r="W219" i="32"/>
  <c r="V219" i="32"/>
  <c r="X209" i="32"/>
  <c r="Z194" i="32"/>
  <c r="Y194" i="32"/>
  <c r="Y155" i="32"/>
  <c r="Z155" i="32"/>
  <c r="K10" i="12"/>
  <c r="Q62" i="32"/>
  <c r="O189" i="32"/>
  <c r="P62" i="32"/>
  <c r="Y202" i="29"/>
  <c r="AE196" i="32"/>
  <c r="AF68" i="18"/>
  <c r="E103" i="32"/>
  <c r="Y148" i="29"/>
  <c r="Y125" i="29"/>
  <c r="W196" i="29"/>
  <c r="V196" i="29"/>
  <c r="AH146" i="29"/>
  <c r="Y78" i="29"/>
  <c r="AC125" i="23"/>
  <c r="AH153" i="29"/>
  <c r="E98" i="29"/>
  <c r="U209" i="32"/>
  <c r="W194" i="32"/>
  <c r="V194" i="32"/>
  <c r="V97" i="29"/>
  <c r="E57" i="29"/>
  <c r="D170" i="29"/>
  <c r="E170" i="29" s="1"/>
  <c r="F122" i="23"/>
  <c r="H66" i="23"/>
  <c r="E204" i="32"/>
  <c r="AE100" i="32"/>
  <c r="AF100" i="32"/>
  <c r="E112" i="32"/>
  <c r="E219" i="32"/>
  <c r="K114" i="23"/>
  <c r="AH125" i="29"/>
  <c r="Y63" i="29"/>
  <c r="Z15" i="23"/>
  <c r="W125" i="23"/>
  <c r="E108" i="32"/>
  <c r="Y120" i="29"/>
  <c r="P181" i="32"/>
  <c r="Q181" i="32"/>
  <c r="AL38" i="32"/>
  <c r="AK38" i="32"/>
  <c r="U21" i="25"/>
  <c r="U32" i="25" s="1"/>
  <c r="V18" i="25"/>
  <c r="AB97" i="29"/>
  <c r="W15" i="23"/>
  <c r="P123" i="29"/>
  <c r="E217" i="32"/>
  <c r="E176" i="29"/>
  <c r="E119" i="32"/>
  <c r="E155" i="32"/>
  <c r="AH24" i="29"/>
  <c r="AI24" i="29"/>
  <c r="E76" i="32"/>
  <c r="E24" i="32"/>
  <c r="E182" i="32"/>
  <c r="V65" i="32"/>
  <c r="AO19" i="18"/>
  <c r="T20" i="23"/>
  <c r="E124" i="32"/>
  <c r="V68" i="29"/>
  <c r="Y183" i="29"/>
  <c r="AF62" i="32"/>
  <c r="AE62" i="32"/>
  <c r="AD189" i="32"/>
  <c r="U158" i="18"/>
  <c r="W94" i="18"/>
  <c r="AE9" i="32"/>
  <c r="E68" i="29"/>
  <c r="E148" i="29"/>
  <c r="AK62" i="32"/>
  <c r="AJ189" i="32"/>
  <c r="AL62" i="32"/>
  <c r="AI58" i="23"/>
  <c r="N35" i="18"/>
  <c r="G177" i="29"/>
  <c r="AB201" i="29"/>
  <c r="G10" i="16"/>
  <c r="Y98" i="29"/>
  <c r="AB60" i="29"/>
  <c r="V40" i="32"/>
  <c r="E124" i="29"/>
  <c r="G117" i="29"/>
  <c r="J71" i="32"/>
  <c r="J49" i="32"/>
  <c r="K6" i="32"/>
  <c r="J127" i="32"/>
  <c r="J85" i="32"/>
  <c r="J84" i="32"/>
  <c r="J175" i="32"/>
  <c r="J150" i="32"/>
  <c r="J147" i="32"/>
  <c r="J143" i="32"/>
  <c r="J87" i="32"/>
  <c r="J136" i="32"/>
  <c r="J44" i="32"/>
  <c r="J176" i="32"/>
  <c r="J22" i="32"/>
  <c r="J45" i="32"/>
  <c r="J94" i="32"/>
  <c r="J137" i="32"/>
  <c r="J46" i="32"/>
  <c r="J185" i="32"/>
  <c r="J14" i="32"/>
  <c r="J131" i="32"/>
  <c r="J140" i="32"/>
  <c r="J43" i="32"/>
  <c r="J15" i="32"/>
  <c r="J52" i="32"/>
  <c r="I35" i="32"/>
  <c r="J47" i="32"/>
  <c r="J130" i="32"/>
  <c r="J146" i="32"/>
  <c r="J207" i="32"/>
  <c r="J17" i="32"/>
  <c r="J145" i="32"/>
  <c r="J19" i="32"/>
  <c r="J134" i="32"/>
  <c r="J142" i="32"/>
  <c r="J54" i="32"/>
  <c r="J179" i="32"/>
  <c r="J20" i="32"/>
  <c r="J184" i="32"/>
  <c r="J91" i="32"/>
  <c r="J128" i="32"/>
  <c r="J55" i="32"/>
  <c r="J18" i="32"/>
  <c r="J178" i="32"/>
  <c r="J89" i="32"/>
  <c r="J90" i="32"/>
  <c r="J13" i="32"/>
  <c r="J92" i="32"/>
  <c r="J186" i="32"/>
  <c r="J48" i="32"/>
  <c r="J21" i="32"/>
  <c r="J12" i="32"/>
  <c r="J144" i="32"/>
  <c r="J138" i="32"/>
  <c r="J177" i="32"/>
  <c r="J27" i="32"/>
  <c r="J95" i="32"/>
  <c r="J149" i="32"/>
  <c r="J98" i="32"/>
  <c r="J28" i="32"/>
  <c r="J96" i="32"/>
  <c r="J139" i="32"/>
  <c r="J25" i="32"/>
  <c r="J30" i="32"/>
  <c r="J29" i="32"/>
  <c r="J53" i="32"/>
  <c r="J153" i="32"/>
  <c r="J132" i="32"/>
  <c r="J16" i="32"/>
  <c r="J93" i="32"/>
  <c r="J42" i="32"/>
  <c r="J26" i="32"/>
  <c r="J133" i="32"/>
  <c r="J135" i="32"/>
  <c r="J97" i="32"/>
  <c r="J129" i="32"/>
  <c r="J50" i="32"/>
  <c r="J174" i="32"/>
  <c r="J88" i="32"/>
  <c r="J151" i="32"/>
  <c r="J51" i="32"/>
  <c r="J6" i="32"/>
  <c r="J152" i="32"/>
  <c r="J148" i="32"/>
  <c r="J41" i="32"/>
  <c r="J86" i="32"/>
  <c r="V63" i="32"/>
  <c r="AE165" i="32"/>
  <c r="AF165" i="32"/>
  <c r="Q125" i="23"/>
  <c r="X170" i="29"/>
  <c r="Y57" i="29"/>
  <c r="Z57" i="29"/>
  <c r="Z58" i="23"/>
  <c r="K129" i="23"/>
  <c r="V74" i="29"/>
  <c r="AB7" i="32"/>
  <c r="T68" i="18"/>
  <c r="Z118" i="23"/>
  <c r="J126" i="32"/>
  <c r="P126" i="29"/>
  <c r="S38" i="32"/>
  <c r="T38" i="32"/>
  <c r="Y151" i="29"/>
  <c r="AL111" i="23"/>
  <c r="S100" i="32"/>
  <c r="T100" i="32"/>
  <c r="AB197" i="32"/>
  <c r="E111" i="32"/>
  <c r="AB64" i="29"/>
  <c r="AF155" i="32"/>
  <c r="AE155" i="32"/>
  <c r="L158" i="18"/>
  <c r="N94" i="18"/>
  <c r="AL118" i="23"/>
  <c r="AC133" i="23"/>
  <c r="Z30" i="18"/>
  <c r="E117" i="29"/>
  <c r="W19" i="18"/>
  <c r="AO111" i="23"/>
  <c r="S155" i="32"/>
  <c r="T155" i="32"/>
  <c r="E96" i="29"/>
  <c r="H98" i="18"/>
  <c r="AF46" i="18"/>
  <c r="AI30" i="18"/>
  <c r="AL35" i="18"/>
  <c r="E179" i="29"/>
  <c r="E8" i="29"/>
  <c r="E154" i="29"/>
  <c r="V120" i="29"/>
  <c r="Y96" i="29"/>
  <c r="AK57" i="29"/>
  <c r="AJ170" i="29"/>
  <c r="AL57" i="29"/>
  <c r="Y66" i="29"/>
  <c r="Y179" i="29"/>
  <c r="Y71" i="29"/>
  <c r="AH117" i="29"/>
  <c r="AH7" i="29"/>
  <c r="E29" i="29"/>
  <c r="E3" i="31"/>
  <c r="E4" i="31"/>
  <c r="W68" i="18"/>
  <c r="N114" i="23"/>
  <c r="Q134" i="29"/>
  <c r="P134" i="29"/>
  <c r="G35" i="29"/>
  <c r="H35" i="29"/>
  <c r="AB194" i="32"/>
  <c r="AC194" i="32"/>
  <c r="AA209" i="32"/>
  <c r="F10" i="7"/>
  <c r="E215" i="32"/>
  <c r="N10" i="28"/>
  <c r="E116" i="32"/>
  <c r="V119" i="29"/>
  <c r="E77" i="29"/>
  <c r="H134" i="29"/>
  <c r="G134" i="29"/>
  <c r="G183" i="29"/>
  <c r="Y70" i="29"/>
  <c r="P185" i="29"/>
  <c r="G10" i="9"/>
  <c r="Z145" i="29"/>
  <c r="Y145" i="29"/>
  <c r="K10" i="16"/>
  <c r="P154" i="29"/>
  <c r="AC150" i="29"/>
  <c r="AB150" i="29"/>
  <c r="R189" i="32"/>
  <c r="T62" i="32"/>
  <c r="S62" i="32"/>
  <c r="E125" i="32"/>
  <c r="AO30" i="18"/>
  <c r="H100" i="32"/>
  <c r="G100" i="32"/>
  <c r="H111" i="23"/>
  <c r="Y27" i="29"/>
  <c r="G66" i="29"/>
  <c r="V201" i="32"/>
  <c r="W201" i="32"/>
  <c r="H58" i="23"/>
  <c r="S24" i="32"/>
  <c r="T24" i="32"/>
  <c r="O10" i="14"/>
  <c r="AL194" i="32"/>
  <c r="AJ209" i="32"/>
  <c r="AK194" i="32"/>
  <c r="E63" i="29"/>
  <c r="AE74" i="32"/>
  <c r="E39" i="32"/>
  <c r="V8" i="32"/>
  <c r="V142" i="32"/>
  <c r="V12" i="32"/>
  <c r="V53" i="32"/>
  <c r="V185" i="32"/>
  <c r="V147" i="32"/>
  <c r="V13" i="32"/>
  <c r="V19" i="32"/>
  <c r="V86" i="32"/>
  <c r="V47" i="32"/>
  <c r="V132" i="32"/>
  <c r="V135" i="32"/>
  <c r="V88" i="32"/>
  <c r="V84" i="32"/>
  <c r="V92" i="32"/>
  <c r="V127" i="32"/>
  <c r="V138" i="32"/>
  <c r="V41" i="32"/>
  <c r="V52" i="32"/>
  <c r="V55" i="32"/>
  <c r="V146" i="32"/>
  <c r="V175" i="32"/>
  <c r="V145" i="32"/>
  <c r="V15" i="32"/>
  <c r="V42" i="32"/>
  <c r="V14" i="32"/>
  <c r="V26" i="32"/>
  <c r="V98" i="32"/>
  <c r="V95" i="32"/>
  <c r="V45" i="32"/>
  <c r="V16" i="32"/>
  <c r="V186" i="32"/>
  <c r="V150" i="32"/>
  <c r="V44" i="32"/>
  <c r="V184" i="32"/>
  <c r="V137" i="32"/>
  <c r="V96" i="32"/>
  <c r="V6" i="32"/>
  <c r="V140" i="32"/>
  <c r="V54" i="32"/>
  <c r="V179" i="32"/>
  <c r="V152" i="32"/>
  <c r="V148" i="32"/>
  <c r="V207" i="32"/>
  <c r="V22" i="32"/>
  <c r="V134" i="32"/>
  <c r="V50" i="32"/>
  <c r="V49" i="32"/>
  <c r="V20" i="32"/>
  <c r="V97" i="32"/>
  <c r="V48" i="32"/>
  <c r="V18" i="32"/>
  <c r="V133" i="32"/>
  <c r="V144" i="32"/>
  <c r="V130" i="32"/>
  <c r="V28" i="32"/>
  <c r="V174" i="32"/>
  <c r="V46" i="32"/>
  <c r="V51" i="32"/>
  <c r="V30" i="32"/>
  <c r="V43" i="32"/>
  <c r="V128" i="32"/>
  <c r="V87" i="32"/>
  <c r="U35" i="32"/>
  <c r="U59" i="32" s="1"/>
  <c r="V178" i="32"/>
  <c r="V94" i="32"/>
  <c r="V93" i="32"/>
  <c r="V151" i="32"/>
  <c r="V85" i="32"/>
  <c r="V143" i="32"/>
  <c r="V177" i="32"/>
  <c r="V176" i="32"/>
  <c r="V129" i="32"/>
  <c r="V153" i="32"/>
  <c r="V139" i="32"/>
  <c r="V29" i="32"/>
  <c r="V17" i="32"/>
  <c r="V131" i="32"/>
  <c r="V91" i="32"/>
  <c r="V90" i="32"/>
  <c r="W6" i="32"/>
  <c r="V27" i="32"/>
  <c r="V136" i="32"/>
  <c r="V149" i="32"/>
  <c r="V21" i="32"/>
  <c r="V89" i="32"/>
  <c r="V25" i="32"/>
  <c r="V99" i="29"/>
  <c r="E110" i="32"/>
  <c r="E175" i="29"/>
  <c r="D190" i="29"/>
  <c r="E190" i="29" s="1"/>
  <c r="Y116" i="29"/>
  <c r="E183" i="29"/>
  <c r="E181" i="32"/>
  <c r="G74" i="29"/>
  <c r="G95" i="29"/>
  <c r="AF94" i="18"/>
  <c r="AD158" i="18"/>
  <c r="T66" i="23"/>
  <c r="R122" i="23"/>
  <c r="Y95" i="29"/>
  <c r="V107" i="32"/>
  <c r="AE134" i="29"/>
  <c r="AF134" i="29"/>
  <c r="Z182" i="29"/>
  <c r="Y182" i="29"/>
  <c r="Q46" i="18"/>
  <c r="V182" i="32"/>
  <c r="AE72" i="32"/>
  <c r="T35" i="29"/>
  <c r="S35" i="29"/>
  <c r="G155" i="29"/>
  <c r="P60" i="29"/>
  <c r="AE158" i="29"/>
  <c r="E205" i="32"/>
  <c r="AB59" i="29"/>
  <c r="P124" i="29"/>
  <c r="AB180" i="29"/>
  <c r="K10" i="9"/>
  <c r="AE179" i="29"/>
  <c r="V66" i="29"/>
  <c r="G10" i="13"/>
  <c r="P29" i="29"/>
  <c r="AB115" i="29"/>
  <c r="E61" i="29"/>
  <c r="AF66" i="23"/>
  <c r="AD122" i="23"/>
  <c r="M62" i="32"/>
  <c r="N62" i="32"/>
  <c r="L189" i="32"/>
  <c r="E65" i="29"/>
  <c r="AE120" i="29"/>
  <c r="AI35" i="18"/>
  <c r="AK25" i="29"/>
  <c r="N10" i="12"/>
  <c r="K10" i="27"/>
  <c r="AB197" i="29"/>
  <c r="AL94" i="29"/>
  <c r="AK94" i="29"/>
  <c r="K57" i="29"/>
  <c r="J57" i="29"/>
  <c r="I170" i="29"/>
  <c r="E157" i="32"/>
  <c r="AB204" i="32"/>
  <c r="K10" i="8"/>
  <c r="M10" i="2"/>
  <c r="V198" i="29"/>
  <c r="E106" i="32"/>
  <c r="K181" i="32"/>
  <c r="J181" i="32"/>
  <c r="J105" i="32"/>
  <c r="Q98" i="18"/>
  <c r="Y7" i="32"/>
  <c r="AO118" i="23"/>
  <c r="S145" i="29"/>
  <c r="T145" i="29"/>
  <c r="Y173" i="32"/>
  <c r="P72" i="32"/>
  <c r="P11" i="32"/>
  <c r="M10" i="13"/>
  <c r="E147" i="29"/>
  <c r="AK60" i="29"/>
  <c r="G10" i="15"/>
  <c r="D189" i="32"/>
  <c r="E189" i="32" s="1"/>
  <c r="E62" i="32"/>
  <c r="E76" i="29"/>
  <c r="AI111" i="23"/>
  <c r="W104" i="23"/>
  <c r="Y97" i="29"/>
  <c r="Y160" i="29"/>
  <c r="Y43" i="29"/>
  <c r="Y19" i="29"/>
  <c r="Y141" i="29"/>
  <c r="Y38" i="29"/>
  <c r="Y22" i="29"/>
  <c r="Y159" i="29"/>
  <c r="Y142" i="29"/>
  <c r="Y136" i="29"/>
  <c r="Y132" i="29"/>
  <c r="Y86" i="29"/>
  <c r="Y138" i="29"/>
  <c r="Y14" i="29"/>
  <c r="Y92" i="29"/>
  <c r="Y40" i="29"/>
  <c r="Y44" i="29"/>
  <c r="Y21" i="29"/>
  <c r="Y83" i="29"/>
  <c r="Y105" i="29"/>
  <c r="Y45" i="29"/>
  <c r="Y103" i="29"/>
  <c r="Y111" i="29"/>
  <c r="Y130" i="29"/>
  <c r="Y143" i="29"/>
  <c r="Y49" i="29"/>
  <c r="Y15" i="29"/>
  <c r="Z6" i="29"/>
  <c r="Y6" i="29"/>
  <c r="Y131" i="29"/>
  <c r="Y81" i="29"/>
  <c r="Y51" i="29"/>
  <c r="Y79" i="29"/>
  <c r="Y12" i="29"/>
  <c r="Y104" i="29"/>
  <c r="Y140" i="29"/>
  <c r="Y20" i="29"/>
  <c r="Y46" i="29"/>
  <c r="Y168" i="29"/>
  <c r="Y16" i="29"/>
  <c r="Y84" i="29"/>
  <c r="Y137" i="29"/>
  <c r="Y89" i="29"/>
  <c r="Y39" i="29"/>
  <c r="Y11" i="29"/>
  <c r="Y50" i="29"/>
  <c r="Y85" i="29"/>
  <c r="Y139" i="29"/>
  <c r="Y90" i="29"/>
  <c r="Y82" i="29"/>
  <c r="Y80" i="29"/>
  <c r="Y37" i="29"/>
  <c r="Y188" i="29"/>
  <c r="Y10" i="29"/>
  <c r="Y91" i="29"/>
  <c r="Y106" i="29"/>
  <c r="Y102" i="29"/>
  <c r="Y107" i="29"/>
  <c r="Y114" i="29"/>
  <c r="Y41" i="29"/>
  <c r="X32" i="29"/>
  <c r="X54" i="29" s="1"/>
  <c r="Y161" i="29"/>
  <c r="Y129" i="29"/>
  <c r="Y9" i="29"/>
  <c r="Y88" i="29"/>
  <c r="Y109" i="29"/>
  <c r="Y87" i="29"/>
  <c r="Y47" i="29"/>
  <c r="Y100" i="29"/>
  <c r="Y112" i="29"/>
  <c r="Y48" i="29"/>
  <c r="Y110" i="29"/>
  <c r="Y166" i="29"/>
  <c r="Y18" i="29"/>
  <c r="Y17" i="29"/>
  <c r="Y101" i="29"/>
  <c r="Y42" i="29"/>
  <c r="Y108" i="29"/>
  <c r="Y13" i="29"/>
  <c r="Y167" i="29"/>
  <c r="Y113" i="29"/>
  <c r="Y118" i="29"/>
  <c r="H163" i="29"/>
  <c r="G163" i="29"/>
  <c r="E25" i="29"/>
  <c r="O10" i="1"/>
  <c r="V154" i="29"/>
  <c r="AH148" i="29"/>
  <c r="AH129" i="29"/>
  <c r="AH48" i="29"/>
  <c r="AH41" i="29"/>
  <c r="AH45" i="29"/>
  <c r="AH130" i="29"/>
  <c r="AH90" i="29"/>
  <c r="AH160" i="29"/>
  <c r="AH47" i="29"/>
  <c r="AH22" i="29"/>
  <c r="AH39" i="29"/>
  <c r="AH105" i="29"/>
  <c r="AH87" i="29"/>
  <c r="AH38" i="29"/>
  <c r="AH142" i="29"/>
  <c r="AH92" i="29"/>
  <c r="AH107" i="29"/>
  <c r="AH40" i="29"/>
  <c r="AH104" i="29"/>
  <c r="AH91" i="29"/>
  <c r="AH137" i="29"/>
  <c r="AH89" i="29"/>
  <c r="AH166" i="29"/>
  <c r="AH80" i="29"/>
  <c r="AH114" i="29"/>
  <c r="AI6" i="29"/>
  <c r="AH44" i="29"/>
  <c r="AH16" i="29"/>
  <c r="AH138" i="29"/>
  <c r="AH83" i="29"/>
  <c r="AH9" i="29"/>
  <c r="AH88" i="29"/>
  <c r="AH101" i="29"/>
  <c r="AH17" i="29"/>
  <c r="AH6" i="29"/>
  <c r="AH140" i="29"/>
  <c r="AH19" i="29"/>
  <c r="AH167" i="29"/>
  <c r="AH46" i="29"/>
  <c r="AH42" i="29"/>
  <c r="AH13" i="29"/>
  <c r="AH18" i="29"/>
  <c r="AH188" i="29"/>
  <c r="AH161" i="29"/>
  <c r="AH159" i="29"/>
  <c r="AH85" i="29"/>
  <c r="AH43" i="29"/>
  <c r="AH143" i="29"/>
  <c r="AH82" i="29"/>
  <c r="AH15" i="29"/>
  <c r="AH131" i="29"/>
  <c r="AH14" i="29"/>
  <c r="AH81" i="29"/>
  <c r="AH141" i="29"/>
  <c r="AH112" i="29"/>
  <c r="AH86" i="29"/>
  <c r="AH168" i="29"/>
  <c r="AH100" i="29"/>
  <c r="AH21" i="29"/>
  <c r="AH106" i="29"/>
  <c r="AH109" i="29"/>
  <c r="AH110" i="29"/>
  <c r="AH139" i="29"/>
  <c r="AH136" i="29"/>
  <c r="AH10" i="29"/>
  <c r="AH51" i="29"/>
  <c r="AH49" i="29"/>
  <c r="AH20" i="29"/>
  <c r="AH103" i="29"/>
  <c r="AH12" i="29"/>
  <c r="AH11" i="29"/>
  <c r="AH50" i="29"/>
  <c r="AH111" i="29"/>
  <c r="AH37" i="29"/>
  <c r="AH84" i="29"/>
  <c r="AG32" i="29"/>
  <c r="AH132" i="29"/>
  <c r="AH113" i="29"/>
  <c r="AH79" i="29"/>
  <c r="AH108" i="29"/>
  <c r="AH96" i="29"/>
  <c r="AI201" i="32"/>
  <c r="AH201" i="32"/>
  <c r="W58" i="23"/>
  <c r="AB24" i="32"/>
  <c r="AC24" i="32"/>
  <c r="AF194" i="32"/>
  <c r="AD209" i="32"/>
  <c r="AE194" i="32"/>
  <c r="S219" i="32"/>
  <c r="T219" i="32"/>
  <c r="E70" i="29"/>
  <c r="Q19" i="18"/>
  <c r="N10" i="11"/>
  <c r="P121" i="29"/>
  <c r="G182" i="29"/>
  <c r="H182" i="29"/>
  <c r="K39" i="23"/>
  <c r="J145" i="29"/>
  <c r="K145" i="29"/>
  <c r="AH176" i="29"/>
  <c r="E101" i="32"/>
  <c r="W35" i="18"/>
  <c r="P127" i="29"/>
  <c r="E160" i="32"/>
  <c r="H219" i="32"/>
  <c r="G219" i="32"/>
  <c r="AI145" i="29"/>
  <c r="AH145" i="29"/>
  <c r="V152" i="29"/>
  <c r="V70" i="29"/>
  <c r="AH128" i="29"/>
  <c r="E197" i="32"/>
  <c r="AE157" i="32"/>
  <c r="AI19" i="18"/>
  <c r="AB172" i="32"/>
  <c r="AC172" i="32"/>
  <c r="Y147" i="29"/>
  <c r="AF20" i="23"/>
  <c r="N94" i="29"/>
  <c r="M94" i="29"/>
  <c r="AE113" i="32"/>
  <c r="E74" i="29"/>
  <c r="AO20" i="23"/>
  <c r="J150" i="29"/>
  <c r="K150" i="29"/>
  <c r="G61" i="29"/>
  <c r="J62" i="32"/>
  <c r="K62" i="32"/>
  <c r="I189" i="32"/>
  <c r="N39" i="23"/>
  <c r="AB68" i="29"/>
  <c r="AH151" i="29"/>
  <c r="AH64" i="29"/>
  <c r="L10" i="17"/>
  <c r="E38" i="32"/>
  <c r="F10" i="2"/>
  <c r="W114" i="23"/>
  <c r="Z46" i="18"/>
  <c r="G201" i="32"/>
  <c r="H201" i="32"/>
  <c r="Y185" i="29"/>
  <c r="E182" i="29"/>
  <c r="AB185" i="29"/>
  <c r="L10" i="9"/>
  <c r="G94" i="29"/>
  <c r="H94" i="29"/>
  <c r="S94" i="29"/>
  <c r="T94" i="29"/>
  <c r="T39" i="23"/>
  <c r="Y94" i="29"/>
  <c r="Z94" i="29"/>
  <c r="AE39" i="32"/>
  <c r="AC200" i="29"/>
  <c r="AB200" i="29"/>
  <c r="V8" i="29"/>
  <c r="P58" i="29"/>
  <c r="AE75" i="29"/>
  <c r="G28" i="29"/>
  <c r="G10" i="7"/>
  <c r="E36" i="29"/>
  <c r="H62" i="32"/>
  <c r="G62" i="32"/>
  <c r="F189" i="32"/>
  <c r="K10" i="2"/>
  <c r="AF39" i="23"/>
  <c r="E32" i="25"/>
  <c r="U189" i="32"/>
  <c r="W62" i="32"/>
  <c r="V62" i="32"/>
  <c r="F10" i="8"/>
  <c r="AB135" i="29"/>
  <c r="AL24" i="29"/>
  <c r="AK24" i="29"/>
  <c r="AE165" i="29"/>
  <c r="J183" i="32"/>
  <c r="N150" i="29"/>
  <c r="M150" i="29"/>
  <c r="AE27" i="29"/>
  <c r="AB118" i="29"/>
  <c r="AC196" i="29"/>
  <c r="AB196" i="29"/>
  <c r="E198" i="29"/>
  <c r="AK65" i="29"/>
  <c r="G60" i="29"/>
  <c r="V128" i="29"/>
  <c r="AB156" i="32"/>
  <c r="AB135" i="32"/>
  <c r="AB47" i="32"/>
  <c r="AB130" i="32"/>
  <c r="AB128" i="32"/>
  <c r="AB97" i="32"/>
  <c r="AB149" i="32"/>
  <c r="AB52" i="32"/>
  <c r="AB146" i="32"/>
  <c r="AB92" i="32"/>
  <c r="AB94" i="32"/>
  <c r="AB85" i="32"/>
  <c r="AB19" i="32"/>
  <c r="AB90" i="32"/>
  <c r="AB148" i="32"/>
  <c r="AB53" i="32"/>
  <c r="AB151" i="32"/>
  <c r="AB131" i="32"/>
  <c r="AB137" i="32"/>
  <c r="AB175" i="32"/>
  <c r="AB6" i="32"/>
  <c r="AB86" i="32"/>
  <c r="AB49" i="32"/>
  <c r="AB21" i="32"/>
  <c r="AB41" i="32"/>
  <c r="AB127" i="32"/>
  <c r="AB87" i="32"/>
  <c r="AB93" i="32"/>
  <c r="AB91" i="32"/>
  <c r="AB152" i="32"/>
  <c r="AB177" i="32"/>
  <c r="AB44" i="32"/>
  <c r="AB153" i="32"/>
  <c r="AB95" i="32"/>
  <c r="AB14" i="32"/>
  <c r="AB12" i="32"/>
  <c r="AB96" i="32"/>
  <c r="AB27" i="32"/>
  <c r="AB89" i="32"/>
  <c r="AB48" i="32"/>
  <c r="AB174" i="32"/>
  <c r="AB143" i="32"/>
  <c r="AB136" i="32"/>
  <c r="AB129" i="32"/>
  <c r="AB42" i="32"/>
  <c r="AA35" i="32"/>
  <c r="AB16" i="32"/>
  <c r="AB17" i="32"/>
  <c r="AB29" i="32"/>
  <c r="AB20" i="32"/>
  <c r="AB176" i="32"/>
  <c r="AB147" i="32"/>
  <c r="AB43" i="32"/>
  <c r="AB50" i="32"/>
  <c r="AB54" i="32"/>
  <c r="AB22" i="32"/>
  <c r="AB18" i="32"/>
  <c r="AC6" i="32"/>
  <c r="AB184" i="32"/>
  <c r="AB179" i="32"/>
  <c r="AB55" i="32"/>
  <c r="AB28" i="32"/>
  <c r="AB45" i="32"/>
  <c r="AB186" i="32"/>
  <c r="AB46" i="32"/>
  <c r="AB178" i="32"/>
  <c r="AB25" i="32"/>
  <c r="AB139" i="32"/>
  <c r="AB88" i="32"/>
  <c r="AB140" i="32"/>
  <c r="AB150" i="32"/>
  <c r="AB13" i="32"/>
  <c r="AB51" i="32"/>
  <c r="AB98" i="32"/>
  <c r="AB132" i="32"/>
  <c r="AB15" i="32"/>
  <c r="AB185" i="32"/>
  <c r="AB142" i="32"/>
  <c r="AB144" i="32"/>
  <c r="AB84" i="32"/>
  <c r="AB133" i="32"/>
  <c r="AB134" i="32"/>
  <c r="AB26" i="32"/>
  <c r="AB145" i="32"/>
  <c r="AB30" i="32"/>
  <c r="AB138" i="32"/>
  <c r="AB207" i="32"/>
  <c r="AE8" i="29"/>
  <c r="V75" i="32"/>
  <c r="Y150" i="29"/>
  <c r="Z150" i="29"/>
  <c r="Y69" i="32"/>
  <c r="Y15" i="32"/>
  <c r="Y133" i="32"/>
  <c r="Y52" i="32"/>
  <c r="Y48" i="32"/>
  <c r="Y132" i="32"/>
  <c r="Y20" i="32"/>
  <c r="Y185" i="32"/>
  <c r="Y139" i="32"/>
  <c r="Y50" i="32"/>
  <c r="Y145" i="32"/>
  <c r="Y128" i="32"/>
  <c r="Y89" i="32"/>
  <c r="Y16" i="32"/>
  <c r="Y151" i="32"/>
  <c r="Y138" i="32"/>
  <c r="Y184" i="32"/>
  <c r="Y46" i="32"/>
  <c r="Y140" i="32"/>
  <c r="Y17" i="32"/>
  <c r="Y19" i="32"/>
  <c r="Y14" i="32"/>
  <c r="Y84" i="32"/>
  <c r="Y153" i="32"/>
  <c r="Y26" i="32"/>
  <c r="Y49" i="32"/>
  <c r="Y207" i="32"/>
  <c r="Y43" i="32"/>
  <c r="Y25" i="32"/>
  <c r="Y42" i="32"/>
  <c r="Y13" i="32"/>
  <c r="Y94" i="32"/>
  <c r="Y148" i="32"/>
  <c r="Y136" i="32"/>
  <c r="Y27" i="32"/>
  <c r="Y54" i="32"/>
  <c r="Y88" i="32"/>
  <c r="Y92" i="32"/>
  <c r="Y143" i="32"/>
  <c r="Y142" i="32"/>
  <c r="Y98" i="32"/>
  <c r="Y22" i="32"/>
  <c r="Y129" i="32"/>
  <c r="Y137" i="32"/>
  <c r="Y130" i="32"/>
  <c r="Y55" i="32"/>
  <c r="Y96" i="32"/>
  <c r="Y45" i="32"/>
  <c r="Y30" i="32"/>
  <c r="Y93" i="32"/>
  <c r="Y144" i="32"/>
  <c r="Y87" i="32"/>
  <c r="Y91" i="32"/>
  <c r="X35" i="32"/>
  <c r="Y44" i="32"/>
  <c r="Y152" i="32"/>
  <c r="Y51" i="32"/>
  <c r="Y150" i="32"/>
  <c r="Y135" i="32"/>
  <c r="Y177" i="32"/>
  <c r="Y6" i="32"/>
  <c r="Y147" i="32"/>
  <c r="Y178" i="32"/>
  <c r="Y28" i="32"/>
  <c r="Y97" i="32"/>
  <c r="Y174" i="32"/>
  <c r="Y146" i="32"/>
  <c r="Y186" i="32"/>
  <c r="Y85" i="32"/>
  <c r="Y176" i="32"/>
  <c r="Y127" i="32"/>
  <c r="Y95" i="32"/>
  <c r="Y175" i="32"/>
  <c r="Y179" i="32"/>
  <c r="Y134" i="32"/>
  <c r="Y149" i="32"/>
  <c r="Y90" i="32"/>
  <c r="Y41" i="32"/>
  <c r="Z6" i="32"/>
  <c r="Y131" i="32"/>
  <c r="Y53" i="32"/>
  <c r="Y86" i="32"/>
  <c r="Y18" i="32"/>
  <c r="Y47" i="32"/>
  <c r="Y29" i="32"/>
  <c r="Y21" i="32"/>
  <c r="Y12" i="32"/>
  <c r="E196" i="32"/>
  <c r="AC155" i="32"/>
  <c r="AB155" i="32"/>
  <c r="AK70" i="29"/>
  <c r="Y111" i="32"/>
  <c r="AE203" i="32"/>
  <c r="I160" i="18" l="1"/>
  <c r="J60" i="18" s="1"/>
  <c r="G15" i="25"/>
  <c r="AJ160" i="18"/>
  <c r="AK60" i="18" s="1"/>
  <c r="G31" i="25"/>
  <c r="G29" i="25"/>
  <c r="G27" i="25"/>
  <c r="G17" i="25"/>
  <c r="G20" i="25"/>
  <c r="G32" i="25"/>
  <c r="L160" i="18"/>
  <c r="M16" i="18" s="1"/>
  <c r="G19" i="25"/>
  <c r="G22" i="25"/>
  <c r="G14" i="25"/>
  <c r="G16" i="25"/>
  <c r="Z91" i="18"/>
  <c r="R160" i="18"/>
  <c r="S98" i="18" s="1"/>
  <c r="G21" i="25"/>
  <c r="G30" i="25"/>
  <c r="G28" i="25"/>
  <c r="G18" i="25"/>
  <c r="D59" i="32"/>
  <c r="E59" i="32" s="1"/>
  <c r="AF158" i="18"/>
  <c r="O160" i="18"/>
  <c r="P19" i="18" s="1"/>
  <c r="D54" i="29"/>
  <c r="E54" i="29" s="1"/>
  <c r="AD160" i="18"/>
  <c r="AE121" i="18" s="1"/>
  <c r="U191" i="32"/>
  <c r="U224" i="32" s="1"/>
  <c r="O172" i="29"/>
  <c r="P172" i="29" s="1"/>
  <c r="AG160" i="18"/>
  <c r="AH91" i="18" s="1"/>
  <c r="R191" i="32"/>
  <c r="R224" i="32" s="1"/>
  <c r="F191" i="32"/>
  <c r="G59" i="32"/>
  <c r="AK59" i="32"/>
  <c r="AL59" i="32"/>
  <c r="V54" i="29"/>
  <c r="AF209" i="32"/>
  <c r="AE209" i="32"/>
  <c r="T122" i="23"/>
  <c r="Z54" i="29"/>
  <c r="Y54" i="29"/>
  <c r="K170" i="29"/>
  <c r="J170" i="29"/>
  <c r="Y170" i="29"/>
  <c r="Z170" i="29"/>
  <c r="V21" i="25"/>
  <c r="E5" i="31"/>
  <c r="H122" i="23"/>
  <c r="Q189" i="32"/>
  <c r="P189" i="32"/>
  <c r="AC170" i="29"/>
  <c r="AB170" i="29"/>
  <c r="AF190" i="29"/>
  <c r="AE190" i="29"/>
  <c r="AO158" i="18"/>
  <c r="P35" i="32"/>
  <c r="Q35" i="32"/>
  <c r="K63" i="23"/>
  <c r="AD59" i="32"/>
  <c r="AI59" i="32" s="1"/>
  <c r="AE35" i="32"/>
  <c r="AF35" i="32"/>
  <c r="L59" i="32"/>
  <c r="Q59" i="32" s="1"/>
  <c r="M35" i="32"/>
  <c r="N35" i="32"/>
  <c r="T91" i="18"/>
  <c r="AI189" i="32"/>
  <c r="AH189" i="32"/>
  <c r="T209" i="32"/>
  <c r="S209" i="32"/>
  <c r="AJ191" i="32"/>
  <c r="AL63" i="23"/>
  <c r="F160" i="18"/>
  <c r="G158" i="18" s="1"/>
  <c r="N122" i="23"/>
  <c r="S190" i="29"/>
  <c r="T190" i="29"/>
  <c r="Q158" i="18"/>
  <c r="AC35" i="32"/>
  <c r="AB35" i="32"/>
  <c r="AF122" i="23"/>
  <c r="AB209" i="32"/>
  <c r="AC209" i="32"/>
  <c r="H63" i="23"/>
  <c r="S170" i="29"/>
  <c r="T170" i="29"/>
  <c r="K91" i="18"/>
  <c r="N63" i="23"/>
  <c r="Y189" i="32"/>
  <c r="Z189" i="32"/>
  <c r="S35" i="32"/>
  <c r="T35" i="32"/>
  <c r="D144" i="23"/>
  <c r="D146" i="23" s="1"/>
  <c r="E140" i="23" s="1"/>
  <c r="AC122" i="23"/>
  <c r="AL122" i="23"/>
  <c r="H189" i="32"/>
  <c r="G189" i="32"/>
  <c r="V189" i="32"/>
  <c r="W189" i="32"/>
  <c r="AK209" i="32"/>
  <c r="AL209" i="32"/>
  <c r="H158" i="18"/>
  <c r="AA160" i="18"/>
  <c r="AB158" i="18" s="1"/>
  <c r="AC158" i="18"/>
  <c r="N170" i="29"/>
  <c r="M170" i="29"/>
  <c r="Q63" i="23"/>
  <c r="U172" i="29"/>
  <c r="T59" i="32"/>
  <c r="S59" i="32"/>
  <c r="AO122" i="23"/>
  <c r="Z190" i="29"/>
  <c r="Y190" i="29"/>
  <c r="K158" i="18"/>
  <c r="AC190" i="29"/>
  <c r="AB190" i="29"/>
  <c r="G170" i="29"/>
  <c r="H170" i="29"/>
  <c r="T63" i="23"/>
  <c r="R54" i="29"/>
  <c r="T54" i="29" s="1"/>
  <c r="T32" i="29"/>
  <c r="S32" i="29"/>
  <c r="AH32" i="29"/>
  <c r="AI32" i="29"/>
  <c r="X59" i="32"/>
  <c r="Z59" i="32" s="1"/>
  <c r="Y35" i="32"/>
  <c r="Z35" i="32"/>
  <c r="W158" i="18"/>
  <c r="M209" i="32"/>
  <c r="N209" i="32"/>
  <c r="AC91" i="18"/>
  <c r="AI122" i="23"/>
  <c r="AC189" i="32"/>
  <c r="AB189" i="32"/>
  <c r="AL158" i="18"/>
  <c r="Z158" i="18"/>
  <c r="P68" i="18"/>
  <c r="X160" i="18"/>
  <c r="Y158" i="18" s="1"/>
  <c r="T158" i="18"/>
  <c r="I59" i="32"/>
  <c r="I191" i="32" s="1"/>
  <c r="J35" i="32"/>
  <c r="K35" i="32"/>
  <c r="AE189" i="32"/>
  <c r="AF189" i="32"/>
  <c r="AC63" i="23"/>
  <c r="AO63" i="23"/>
  <c r="W122" i="23"/>
  <c r="P54" i="29"/>
  <c r="Q32" i="29"/>
  <c r="P32" i="29"/>
  <c r="W32" i="29"/>
  <c r="V32" i="29"/>
  <c r="F54" i="29"/>
  <c r="F172" i="29" s="1"/>
  <c r="H32" i="29"/>
  <c r="G32" i="29"/>
  <c r="AK16" i="18"/>
  <c r="AK121" i="18"/>
  <c r="AK146" i="18"/>
  <c r="AK11" i="18"/>
  <c r="AK126" i="18"/>
  <c r="AK12" i="18"/>
  <c r="AK111" i="18"/>
  <c r="AK32" i="18"/>
  <c r="AK53" i="18"/>
  <c r="AK38" i="18"/>
  <c r="AK156" i="18"/>
  <c r="AK84" i="18"/>
  <c r="AK105" i="18"/>
  <c r="AK37" i="18"/>
  <c r="AK55" i="18"/>
  <c r="AK82" i="18"/>
  <c r="AK134" i="18"/>
  <c r="AK61" i="18"/>
  <c r="AK28" i="18"/>
  <c r="AK33" i="18"/>
  <c r="AK54" i="18"/>
  <c r="AK144" i="18"/>
  <c r="AK9" i="18"/>
  <c r="AK88" i="18"/>
  <c r="AK23" i="18"/>
  <c r="AK26" i="18"/>
  <c r="AK41" i="18"/>
  <c r="AK100" i="18"/>
  <c r="AK140" i="18"/>
  <c r="AK132" i="18"/>
  <c r="AK136" i="18"/>
  <c r="AK130" i="18"/>
  <c r="AK153" i="18"/>
  <c r="AK25" i="18"/>
  <c r="AK22" i="18"/>
  <c r="AK39" i="18"/>
  <c r="AK107" i="18"/>
  <c r="AK51" i="18"/>
  <c r="AK119" i="18"/>
  <c r="AK103" i="18"/>
  <c r="K122" i="23"/>
  <c r="J98" i="18"/>
  <c r="J19" i="18"/>
  <c r="AM160" i="18"/>
  <c r="AF91" i="18"/>
  <c r="U160" i="18"/>
  <c r="Z122" i="23"/>
  <c r="AI91" i="18"/>
  <c r="H35" i="32"/>
  <c r="G35" i="32"/>
  <c r="L54" i="29"/>
  <c r="L172" i="29" s="1"/>
  <c r="N32" i="29"/>
  <c r="M32" i="29"/>
  <c r="P60" i="18"/>
  <c r="AL189" i="32"/>
  <c r="AK189" i="32"/>
  <c r="Z32" i="29"/>
  <c r="Y32" i="29"/>
  <c r="M189" i="32"/>
  <c r="N189" i="32"/>
  <c r="N158" i="18"/>
  <c r="U38" i="25"/>
  <c r="O191" i="32"/>
  <c r="H190" i="29"/>
  <c r="G190" i="29"/>
  <c r="AK30" i="18"/>
  <c r="Q190" i="29"/>
  <c r="P190" i="29"/>
  <c r="Z63" i="23"/>
  <c r="W63" i="23"/>
  <c r="AE170" i="29"/>
  <c r="AF170" i="29"/>
  <c r="AL91" i="18"/>
  <c r="AI158" i="18"/>
  <c r="N91" i="18"/>
  <c r="N190" i="29"/>
  <c r="M190" i="29"/>
  <c r="V190" i="29"/>
  <c r="W190" i="29"/>
  <c r="V170" i="29"/>
  <c r="W170" i="29"/>
  <c r="AO91" i="18"/>
  <c r="W91" i="18"/>
  <c r="S189" i="32"/>
  <c r="T189" i="32"/>
  <c r="AL170" i="29"/>
  <c r="AK170" i="29"/>
  <c r="V32" i="25"/>
  <c r="E9" i="31"/>
  <c r="E7" i="31"/>
  <c r="W209" i="32"/>
  <c r="V209" i="32"/>
  <c r="AD54" i="29"/>
  <c r="AE32" i="29"/>
  <c r="AF32" i="29"/>
  <c r="AJ54" i="29"/>
  <c r="AJ172" i="29" s="1"/>
  <c r="AL32" i="29"/>
  <c r="AK32" i="29"/>
  <c r="P59" i="32"/>
  <c r="AA172" i="29"/>
  <c r="J190" i="29"/>
  <c r="K190" i="29"/>
  <c r="J209" i="32"/>
  <c r="K209" i="32"/>
  <c r="AL35" i="32"/>
  <c r="AK35" i="32"/>
  <c r="J46" i="18"/>
  <c r="P15" i="18"/>
  <c r="P14" i="18"/>
  <c r="P126" i="18"/>
  <c r="P112" i="18"/>
  <c r="P13" i="18"/>
  <c r="P123" i="18"/>
  <c r="P122" i="18"/>
  <c r="P11" i="18"/>
  <c r="P62" i="18"/>
  <c r="P110" i="18"/>
  <c r="P146" i="18"/>
  <c r="P37" i="18"/>
  <c r="P84" i="18"/>
  <c r="P147" i="18"/>
  <c r="P54" i="18"/>
  <c r="P139" i="18"/>
  <c r="P20" i="18"/>
  <c r="P9" i="18"/>
  <c r="P24" i="18"/>
  <c r="P87" i="18"/>
  <c r="P80" i="18"/>
  <c r="P145" i="18"/>
  <c r="P119" i="18"/>
  <c r="P144" i="18"/>
  <c r="P17" i="18"/>
  <c r="P104" i="18"/>
  <c r="P142" i="18"/>
  <c r="P81" i="18"/>
  <c r="P36" i="18"/>
  <c r="P130" i="18"/>
  <c r="P48" i="18"/>
  <c r="P88" i="18"/>
  <c r="P64" i="18"/>
  <c r="P78" i="18"/>
  <c r="P61" i="18"/>
  <c r="P44" i="18"/>
  <c r="P65" i="18"/>
  <c r="P33" i="18"/>
  <c r="P135" i="18"/>
  <c r="P136" i="18"/>
  <c r="P140" i="18"/>
  <c r="P27" i="18"/>
  <c r="P77" i="18"/>
  <c r="P133" i="18"/>
  <c r="P52" i="18"/>
  <c r="P25" i="18"/>
  <c r="P71" i="18"/>
  <c r="P63" i="18"/>
  <c r="P156" i="18"/>
  <c r="P75" i="18"/>
  <c r="P209" i="32"/>
  <c r="Q209" i="32"/>
  <c r="AG191" i="32"/>
  <c r="AH209" i="32"/>
  <c r="AI209" i="32"/>
  <c r="J189" i="32"/>
  <c r="K189" i="32"/>
  <c r="W59" i="32"/>
  <c r="V59" i="32"/>
  <c r="W35" i="32"/>
  <c r="V35" i="32"/>
  <c r="AA59" i="32"/>
  <c r="AG54" i="29"/>
  <c r="X172" i="29"/>
  <c r="Y209" i="32"/>
  <c r="Z209" i="32"/>
  <c r="J14" i="18"/>
  <c r="J121" i="18"/>
  <c r="J11" i="18"/>
  <c r="J69" i="18"/>
  <c r="J123" i="18"/>
  <c r="J126" i="18"/>
  <c r="J95" i="18"/>
  <c r="J13" i="18"/>
  <c r="J12" i="18"/>
  <c r="J15" i="18"/>
  <c r="J110" i="18"/>
  <c r="J62" i="18"/>
  <c r="J111" i="18"/>
  <c r="J66" i="18"/>
  <c r="J16" i="18"/>
  <c r="J114" i="18"/>
  <c r="J32" i="18"/>
  <c r="J87" i="18"/>
  <c r="J160" i="18"/>
  <c r="J112" i="18"/>
  <c r="J122" i="18"/>
  <c r="J124" i="18"/>
  <c r="J125" i="18"/>
  <c r="J146" i="18"/>
  <c r="J113" i="18"/>
  <c r="J99" i="18"/>
  <c r="J42" i="18"/>
  <c r="J137" i="18"/>
  <c r="J76" i="18"/>
  <c r="J75" i="18"/>
  <c r="J109" i="18"/>
  <c r="J50" i="18"/>
  <c r="J132" i="18"/>
  <c r="J108" i="18"/>
  <c r="J100" i="18"/>
  <c r="J139" i="18"/>
  <c r="J58" i="18"/>
  <c r="J39" i="18"/>
  <c r="J103" i="18"/>
  <c r="J52" i="18"/>
  <c r="J78" i="18"/>
  <c r="J41" i="18"/>
  <c r="J54" i="18"/>
  <c r="J38" i="18"/>
  <c r="J77" i="18"/>
  <c r="J80" i="18"/>
  <c r="J49" i="18"/>
  <c r="J155" i="18"/>
  <c r="J44" i="18"/>
  <c r="J9" i="18"/>
  <c r="J63" i="18"/>
  <c r="J81" i="18"/>
  <c r="J82" i="18"/>
  <c r="J120" i="18"/>
  <c r="J115" i="18"/>
  <c r="J106" i="18"/>
  <c r="J64" i="18"/>
  <c r="J23" i="18"/>
  <c r="J144" i="18"/>
  <c r="J26" i="18"/>
  <c r="J43" i="18"/>
  <c r="J140" i="18"/>
  <c r="J25" i="18"/>
  <c r="J89" i="18"/>
  <c r="J145" i="18"/>
  <c r="J130" i="18"/>
  <c r="J156" i="18"/>
  <c r="J24" i="18"/>
  <c r="J20" i="18"/>
  <c r="J28" i="18"/>
  <c r="J10" i="18"/>
  <c r="J65" i="18"/>
  <c r="J143" i="18"/>
  <c r="J8" i="18"/>
  <c r="J37" i="18"/>
  <c r="J40" i="18"/>
  <c r="J138" i="18"/>
  <c r="J129" i="18"/>
  <c r="J55" i="18"/>
  <c r="J17" i="18"/>
  <c r="J83" i="18"/>
  <c r="J53" i="18"/>
  <c r="J71" i="18"/>
  <c r="J105" i="18"/>
  <c r="J86" i="18"/>
  <c r="J31" i="18"/>
  <c r="J131" i="18"/>
  <c r="J107" i="18"/>
  <c r="J56" i="18"/>
  <c r="J21" i="18"/>
  <c r="J22" i="18"/>
  <c r="J153" i="18"/>
  <c r="J118" i="18"/>
  <c r="J47" i="18"/>
  <c r="J104" i="18"/>
  <c r="J96" i="18"/>
  <c r="J70" i="18"/>
  <c r="J79" i="18"/>
  <c r="J88" i="18"/>
  <c r="J72" i="18"/>
  <c r="J142" i="18"/>
  <c r="J134" i="18"/>
  <c r="J154" i="18"/>
  <c r="J85" i="18"/>
  <c r="J147" i="18"/>
  <c r="J133" i="18"/>
  <c r="J135" i="18"/>
  <c r="J57" i="18"/>
  <c r="J84" i="18"/>
  <c r="J36" i="18"/>
  <c r="J119" i="18"/>
  <c r="J61" i="18"/>
  <c r="J136" i="18"/>
  <c r="J27" i="18"/>
  <c r="J48" i="18"/>
  <c r="J141" i="18"/>
  <c r="J33" i="18"/>
  <c r="J51" i="18"/>
  <c r="AL190" i="29"/>
  <c r="AK190" i="29"/>
  <c r="AC54" i="29"/>
  <c r="AB54" i="29"/>
  <c r="AC32" i="29"/>
  <c r="AB32" i="29"/>
  <c r="AH170" i="29"/>
  <c r="AI170" i="29"/>
  <c r="AI63" i="23"/>
  <c r="P170" i="29"/>
  <c r="Q170" i="29"/>
  <c r="AF63" i="23"/>
  <c r="Q91" i="18"/>
  <c r="P91" i="18"/>
  <c r="S32" i="25"/>
  <c r="T21" i="25"/>
  <c r="C5" i="31"/>
  <c r="G209" i="32"/>
  <c r="H209" i="32"/>
  <c r="AK68" i="18"/>
  <c r="I172" i="29"/>
  <c r="J54" i="29"/>
  <c r="K32" i="29"/>
  <c r="J32" i="29"/>
  <c r="AH59" i="32"/>
  <c r="AI35" i="32"/>
  <c r="AH35" i="32"/>
  <c r="AI190" i="29"/>
  <c r="AH190" i="29"/>
  <c r="Q122" i="23"/>
  <c r="J94" i="18" l="1"/>
  <c r="J7" i="18"/>
  <c r="P143" i="18"/>
  <c r="P115" i="18"/>
  <c r="P56" i="18"/>
  <c r="P131" i="18"/>
  <c r="P109" i="18"/>
  <c r="P76" i="18"/>
  <c r="P49" i="18"/>
  <c r="P141" i="18"/>
  <c r="P66" i="18"/>
  <c r="P113" i="18"/>
  <c r="P96" i="18"/>
  <c r="P72" i="18"/>
  <c r="P108" i="18"/>
  <c r="P39" i="18"/>
  <c r="P38" i="18"/>
  <c r="P28" i="18"/>
  <c r="P138" i="18"/>
  <c r="P23" i="18"/>
  <c r="P114" i="18"/>
  <c r="P160" i="18"/>
  <c r="P134" i="18"/>
  <c r="P153" i="18"/>
  <c r="P53" i="18"/>
  <c r="P118" i="18"/>
  <c r="P21" i="18"/>
  <c r="P107" i="18"/>
  <c r="P79" i="18"/>
  <c r="P105" i="18"/>
  <c r="P124" i="18"/>
  <c r="P125" i="18"/>
  <c r="J91" i="18"/>
  <c r="J74" i="18"/>
  <c r="AK94" i="18"/>
  <c r="J158" i="18"/>
  <c r="J68" i="18"/>
  <c r="J30" i="18"/>
  <c r="AK56" i="18"/>
  <c r="AK65" i="18"/>
  <c r="AK80" i="18"/>
  <c r="AK76" i="18"/>
  <c r="AK142" i="18"/>
  <c r="AK78" i="18"/>
  <c r="AK14" i="18"/>
  <c r="AK138" i="18"/>
  <c r="AK71" i="18"/>
  <c r="AK20" i="18"/>
  <c r="AK31" i="18"/>
  <c r="AK58" i="18"/>
  <c r="AK89" i="18"/>
  <c r="AK69" i="18"/>
  <c r="J35" i="18"/>
  <c r="S82" i="18"/>
  <c r="S24" i="18"/>
  <c r="S52" i="18"/>
  <c r="S44" i="18"/>
  <c r="S60" i="18"/>
  <c r="S135" i="18"/>
  <c r="S12" i="18"/>
  <c r="S54" i="18"/>
  <c r="S112" i="18"/>
  <c r="S142" i="18"/>
  <c r="P43" i="18"/>
  <c r="P55" i="18"/>
  <c r="P100" i="18"/>
  <c r="P10" i="18"/>
  <c r="P154" i="18"/>
  <c r="P106" i="18"/>
  <c r="P51" i="18"/>
  <c r="P22" i="18"/>
  <c r="P26" i="18"/>
  <c r="P155" i="18"/>
  <c r="P12" i="18"/>
  <c r="P32" i="18"/>
  <c r="P121" i="18"/>
  <c r="S140" i="18"/>
  <c r="S16" i="18"/>
  <c r="D172" i="29"/>
  <c r="E172" i="29" s="1"/>
  <c r="AK72" i="18"/>
  <c r="AK79" i="18"/>
  <c r="AK96" i="18"/>
  <c r="AK50" i="18"/>
  <c r="AK85" i="18"/>
  <c r="AK106" i="18"/>
  <c r="AK36" i="18"/>
  <c r="AK10" i="18"/>
  <c r="AK95" i="18"/>
  <c r="S158" i="18"/>
  <c r="S94" i="18"/>
  <c r="S35" i="18"/>
  <c r="P94" i="18"/>
  <c r="P58" i="18"/>
  <c r="P83" i="18"/>
  <c r="P70" i="18"/>
  <c r="P103" i="18"/>
  <c r="P120" i="18"/>
  <c r="P50" i="18"/>
  <c r="P129" i="18"/>
  <c r="P42" i="18"/>
  <c r="P99" i="18"/>
  <c r="P41" i="18"/>
  <c r="P137" i="18"/>
  <c r="P95" i="18"/>
  <c r="P16" i="18"/>
  <c r="S86" i="18"/>
  <c r="S83" i="18"/>
  <c r="AK91" i="18"/>
  <c r="AK135" i="18"/>
  <c r="AK86" i="18"/>
  <c r="AK75" i="18"/>
  <c r="AK40" i="18"/>
  <c r="AK131" i="18"/>
  <c r="AK99" i="18"/>
  <c r="AK118" i="18"/>
  <c r="AK122" i="18"/>
  <c r="AK13" i="18"/>
  <c r="S37" i="18"/>
  <c r="S133" i="18"/>
  <c r="S87" i="18"/>
  <c r="S9" i="18"/>
  <c r="S122" i="18"/>
  <c r="S56" i="18"/>
  <c r="S129" i="18"/>
  <c r="S42" i="18"/>
  <c r="S79" i="18"/>
  <c r="S25" i="18"/>
  <c r="S11" i="18"/>
  <c r="S119" i="18"/>
  <c r="S107" i="18"/>
  <c r="S47" i="18"/>
  <c r="S58" i="18"/>
  <c r="S39" i="18"/>
  <c r="S53" i="18"/>
  <c r="S50" i="18"/>
  <c r="S126" i="18"/>
  <c r="S136" i="18"/>
  <c r="S21" i="18"/>
  <c r="S84" i="18"/>
  <c r="S109" i="18"/>
  <c r="S51" i="18"/>
  <c r="S147" i="18"/>
  <c r="S38" i="18"/>
  <c r="S96" i="18"/>
  <c r="S160" i="18"/>
  <c r="S40" i="18"/>
  <c r="S144" i="18"/>
  <c r="S120" i="18"/>
  <c r="S57" i="18"/>
  <c r="S20" i="18"/>
  <c r="S26" i="18"/>
  <c r="S33" i="18"/>
  <c r="S143" i="18"/>
  <c r="S108" i="18"/>
  <c r="S43" i="18"/>
  <c r="S121" i="18"/>
  <c r="S15" i="18"/>
  <c r="S80" i="18"/>
  <c r="S72" i="18"/>
  <c r="S22" i="18"/>
  <c r="S130" i="18"/>
  <c r="S145" i="18"/>
  <c r="S36" i="18"/>
  <c r="S78" i="18"/>
  <c r="S41" i="18"/>
  <c r="S63" i="18"/>
  <c r="S61" i="18"/>
  <c r="S64" i="18"/>
  <c r="S32" i="18"/>
  <c r="S28" i="18"/>
  <c r="T160" i="18"/>
  <c r="S123" i="18"/>
  <c r="S17" i="18"/>
  <c r="S105" i="18"/>
  <c r="S154" i="18"/>
  <c r="S75" i="18"/>
  <c r="S156" i="18"/>
  <c r="S31" i="18"/>
  <c r="S85" i="18"/>
  <c r="S131" i="18"/>
  <c r="S71" i="18"/>
  <c r="S106" i="18"/>
  <c r="S13" i="18"/>
  <c r="S113" i="18"/>
  <c r="S146" i="18"/>
  <c r="S49" i="18"/>
  <c r="S155" i="18"/>
  <c r="S65" i="18"/>
  <c r="S104" i="18"/>
  <c r="S66" i="18"/>
  <c r="S10" i="18"/>
  <c r="S132" i="18"/>
  <c r="S100" i="18"/>
  <c r="S115" i="18"/>
  <c r="S8" i="18"/>
  <c r="S153" i="18"/>
  <c r="S70" i="18"/>
  <c r="S89" i="18"/>
  <c r="S27" i="18"/>
  <c r="S55" i="18"/>
  <c r="S69" i="18"/>
  <c r="S62" i="18"/>
  <c r="S114" i="18"/>
  <c r="K54" i="29"/>
  <c r="AK19" i="18"/>
  <c r="AK104" i="18"/>
  <c r="AK141" i="18"/>
  <c r="AK155" i="18"/>
  <c r="AK64" i="18"/>
  <c r="AK42" i="18"/>
  <c r="AK123" i="18"/>
  <c r="AK66" i="18"/>
  <c r="AK154" i="18"/>
  <c r="AK143" i="18"/>
  <c r="AK147" i="18"/>
  <c r="AK87" i="18"/>
  <c r="AK21" i="18"/>
  <c r="AK108" i="18"/>
  <c r="AK70" i="18"/>
  <c r="AK57" i="18"/>
  <c r="AK124" i="18"/>
  <c r="AK125" i="18"/>
  <c r="AK46" i="18"/>
  <c r="AK137" i="18"/>
  <c r="AK48" i="18"/>
  <c r="AK49" i="18"/>
  <c r="AK52" i="18"/>
  <c r="AK8" i="18"/>
  <c r="AK109" i="18"/>
  <c r="AK133" i="18"/>
  <c r="AK17" i="18"/>
  <c r="AK83" i="18"/>
  <c r="AK77" i="18"/>
  <c r="AK120" i="18"/>
  <c r="AK81" i="18"/>
  <c r="AK114" i="18"/>
  <c r="AK113" i="18"/>
  <c r="AK15" i="18"/>
  <c r="AK158" i="18"/>
  <c r="AK74" i="18"/>
  <c r="AK35" i="18"/>
  <c r="AK98" i="18"/>
  <c r="P8" i="18"/>
  <c r="P82" i="18"/>
  <c r="P57" i="18"/>
  <c r="P89" i="18"/>
  <c r="P132" i="18"/>
  <c r="P31" i="18"/>
  <c r="P47" i="18"/>
  <c r="P86" i="18"/>
  <c r="P40" i="18"/>
  <c r="P85" i="18"/>
  <c r="P69" i="18"/>
  <c r="P111" i="18"/>
  <c r="Q160" i="18"/>
  <c r="S138" i="18"/>
  <c r="S77" i="18"/>
  <c r="S99" i="18"/>
  <c r="S141" i="18"/>
  <c r="S81" i="18"/>
  <c r="S134" i="18"/>
  <c r="S76" i="18"/>
  <c r="S118" i="18"/>
  <c r="S23" i="18"/>
  <c r="S88" i="18"/>
  <c r="S103" i="18"/>
  <c r="S48" i="18"/>
  <c r="S111" i="18"/>
  <c r="S95" i="18"/>
  <c r="S124" i="18"/>
  <c r="S7" i="18"/>
  <c r="AK129" i="18"/>
  <c r="AK43" i="18"/>
  <c r="AK145" i="18"/>
  <c r="AK139" i="18"/>
  <c r="AK63" i="18"/>
  <c r="AK24" i="18"/>
  <c r="AK27" i="18"/>
  <c r="AK115" i="18"/>
  <c r="AK62" i="18"/>
  <c r="AK44" i="18"/>
  <c r="AK47" i="18"/>
  <c r="AK112" i="18"/>
  <c r="AK160" i="18"/>
  <c r="AK110" i="18"/>
  <c r="M19" i="18"/>
  <c r="M33" i="18"/>
  <c r="M85" i="18"/>
  <c r="M155" i="18"/>
  <c r="M132" i="18"/>
  <c r="M115" i="18"/>
  <c r="M75" i="18"/>
  <c r="M71" i="18"/>
  <c r="M27" i="18"/>
  <c r="M137" i="18"/>
  <c r="M70" i="18"/>
  <c r="M134" i="18"/>
  <c r="M28" i="18"/>
  <c r="M124" i="18"/>
  <c r="M11" i="18"/>
  <c r="M12" i="18"/>
  <c r="AK7" i="18"/>
  <c r="M60" i="18"/>
  <c r="M98" i="18"/>
  <c r="M136" i="18"/>
  <c r="M65" i="18"/>
  <c r="M79" i="18"/>
  <c r="M64" i="18"/>
  <c r="M38" i="18"/>
  <c r="M81" i="18"/>
  <c r="M141" i="18"/>
  <c r="M139" i="18"/>
  <c r="M80" i="18"/>
  <c r="M146" i="18"/>
  <c r="M15" i="18"/>
  <c r="M32" i="18"/>
  <c r="M94" i="18"/>
  <c r="M17" i="18"/>
  <c r="M89" i="18"/>
  <c r="M154" i="18"/>
  <c r="M82" i="18"/>
  <c r="M118" i="18"/>
  <c r="M53" i="18"/>
  <c r="M120" i="18"/>
  <c r="M52" i="18"/>
  <c r="M8" i="18"/>
  <c r="M24" i="18"/>
  <c r="M42" i="18"/>
  <c r="M48" i="18"/>
  <c r="M66" i="18"/>
  <c r="M122" i="18"/>
  <c r="M114" i="18"/>
  <c r="M140" i="18"/>
  <c r="M7" i="18"/>
  <c r="M109" i="18"/>
  <c r="M105" i="18"/>
  <c r="M40" i="18"/>
  <c r="M103" i="18"/>
  <c r="M57" i="18"/>
  <c r="M100" i="18"/>
  <c r="M88" i="18"/>
  <c r="M99" i="18"/>
  <c r="M119" i="18"/>
  <c r="M54" i="18"/>
  <c r="M107" i="18"/>
  <c r="M135" i="18"/>
  <c r="M69" i="18"/>
  <c r="M13" i="18"/>
  <c r="M111" i="18"/>
  <c r="M91" i="18"/>
  <c r="M30" i="18"/>
  <c r="M147" i="18"/>
  <c r="M83" i="18"/>
  <c r="M37" i="18"/>
  <c r="M41" i="18"/>
  <c r="M31" i="18"/>
  <c r="M156" i="18"/>
  <c r="M9" i="18"/>
  <c r="M104" i="18"/>
  <c r="M21" i="18"/>
  <c r="M63" i="18"/>
  <c r="M47" i="18"/>
  <c r="M138" i="18"/>
  <c r="M123" i="18"/>
  <c r="M125" i="18"/>
  <c r="M62" i="18"/>
  <c r="M36" i="18"/>
  <c r="M46" i="18"/>
  <c r="M133" i="18"/>
  <c r="M131" i="18"/>
  <c r="M23" i="18"/>
  <c r="M26" i="18"/>
  <c r="M49" i="18"/>
  <c r="M55" i="18"/>
  <c r="M84" i="18"/>
  <c r="M72" i="18"/>
  <c r="M144" i="18"/>
  <c r="M50" i="18"/>
  <c r="M77" i="18"/>
  <c r="M76" i="18"/>
  <c r="M113" i="18"/>
  <c r="M121" i="18"/>
  <c r="N160" i="18"/>
  <c r="S191" i="32"/>
  <c r="M74" i="18"/>
  <c r="M143" i="18"/>
  <c r="M142" i="18"/>
  <c r="M61" i="18"/>
  <c r="M20" i="18"/>
  <c r="M145" i="18"/>
  <c r="M58" i="18"/>
  <c r="M43" i="18"/>
  <c r="M86" i="18"/>
  <c r="M129" i="18"/>
  <c r="M87" i="18"/>
  <c r="M106" i="18"/>
  <c r="M10" i="18"/>
  <c r="M112" i="18"/>
  <c r="M126" i="18"/>
  <c r="M158" i="18"/>
  <c r="M68" i="18"/>
  <c r="M35" i="18"/>
  <c r="M39" i="18"/>
  <c r="M96" i="18"/>
  <c r="M130" i="18"/>
  <c r="M51" i="18"/>
  <c r="M25" i="18"/>
  <c r="M44" i="18"/>
  <c r="M22" i="18"/>
  <c r="M153" i="18"/>
  <c r="M78" i="18"/>
  <c r="M56" i="18"/>
  <c r="M108" i="18"/>
  <c r="M95" i="18"/>
  <c r="M160" i="18"/>
  <c r="M14" i="18"/>
  <c r="M110" i="18"/>
  <c r="P158" i="18"/>
  <c r="P74" i="18"/>
  <c r="AE133" i="18"/>
  <c r="AE113" i="18"/>
  <c r="O205" i="29"/>
  <c r="AE55" i="18"/>
  <c r="AE11" i="18"/>
  <c r="AE33" i="18"/>
  <c r="D191" i="32"/>
  <c r="E191" i="32" s="1"/>
  <c r="AE147" i="18"/>
  <c r="AE84" i="18"/>
  <c r="AE91" i="18"/>
  <c r="AE26" i="18"/>
  <c r="AE79" i="18"/>
  <c r="AE60" i="18"/>
  <c r="AE48" i="18"/>
  <c r="AE155" i="18"/>
  <c r="AE100" i="18"/>
  <c r="S91" i="18"/>
  <c r="K160" i="18"/>
  <c r="S139" i="18"/>
  <c r="S137" i="18"/>
  <c r="S14" i="18"/>
  <c r="S125" i="18"/>
  <c r="S110" i="18"/>
  <c r="S30" i="18"/>
  <c r="AE58" i="18"/>
  <c r="AE104" i="18"/>
  <c r="S74" i="18"/>
  <c r="S19" i="18"/>
  <c r="AE88" i="18"/>
  <c r="AE12" i="18"/>
  <c r="P46" i="18"/>
  <c r="S68" i="18"/>
  <c r="S46" i="18"/>
  <c r="H59" i="32"/>
  <c r="AE42" i="18"/>
  <c r="AE142" i="18"/>
  <c r="P30" i="18"/>
  <c r="AE70" i="18"/>
  <c r="AE119" i="18"/>
  <c r="AE17" i="18"/>
  <c r="AE7" i="18"/>
  <c r="AE56" i="18"/>
  <c r="AE83" i="18"/>
  <c r="AE154" i="18"/>
  <c r="AE40" i="18"/>
  <c r="AE76" i="18"/>
  <c r="AE80" i="18"/>
  <c r="AE14" i="18"/>
  <c r="P35" i="18"/>
  <c r="AH74" i="18"/>
  <c r="AH23" i="18"/>
  <c r="AH82" i="18"/>
  <c r="AH132" i="18"/>
  <c r="AH17" i="18"/>
  <c r="AH106" i="18"/>
  <c r="AH64" i="18"/>
  <c r="AH139" i="18"/>
  <c r="AH62" i="18"/>
  <c r="AH135" i="18"/>
  <c r="AH107" i="18"/>
  <c r="AH143" i="18"/>
  <c r="AH76" i="18"/>
  <c r="AH111" i="18"/>
  <c r="AI160" i="18"/>
  <c r="AH112" i="18"/>
  <c r="AE68" i="18"/>
  <c r="AE103" i="18"/>
  <c r="AE75" i="18"/>
  <c r="AE135" i="18"/>
  <c r="AE137" i="18"/>
  <c r="AE41" i="18"/>
  <c r="AE115" i="18"/>
  <c r="AE96" i="18"/>
  <c r="AE141" i="18"/>
  <c r="AE146" i="18"/>
  <c r="P98" i="18"/>
  <c r="AH108" i="18"/>
  <c r="AH100" i="18"/>
  <c r="AH52" i="18"/>
  <c r="AH72" i="18"/>
  <c r="AH146" i="18"/>
  <c r="AH7" i="18"/>
  <c r="AH145" i="18"/>
  <c r="AH88" i="18"/>
  <c r="AH144" i="18"/>
  <c r="AH96" i="18"/>
  <c r="AH42" i="18"/>
  <c r="AH61" i="18"/>
  <c r="AH79" i="18"/>
  <c r="AH70" i="18"/>
  <c r="AH129" i="18"/>
  <c r="AH50" i="18"/>
  <c r="AH20" i="18"/>
  <c r="AH115" i="18"/>
  <c r="AH11" i="18"/>
  <c r="AH122" i="18"/>
  <c r="AH125" i="18"/>
  <c r="AE30" i="18"/>
  <c r="AE27" i="18"/>
  <c r="AE131" i="18"/>
  <c r="AE39" i="18"/>
  <c r="AE43" i="18"/>
  <c r="AE50" i="18"/>
  <c r="AE49" i="18"/>
  <c r="AE138" i="18"/>
  <c r="AE52" i="18"/>
  <c r="AE111" i="18"/>
  <c r="P7" i="18"/>
  <c r="AL160" i="18"/>
  <c r="AH94" i="18"/>
  <c r="AH38" i="18"/>
  <c r="AH141" i="18"/>
  <c r="AH154" i="18"/>
  <c r="AH40" i="18"/>
  <c r="AH86" i="18"/>
  <c r="AH24" i="18"/>
  <c r="AH25" i="18"/>
  <c r="AH133" i="18"/>
  <c r="AH134" i="18"/>
  <c r="AH27" i="18"/>
  <c r="AH153" i="18"/>
  <c r="AH99" i="18"/>
  <c r="AH95" i="18"/>
  <c r="AH121" i="18"/>
  <c r="AH15" i="18"/>
  <c r="AE35" i="18"/>
  <c r="AE120" i="18"/>
  <c r="AE21" i="18"/>
  <c r="AE89" i="18"/>
  <c r="AE9" i="18"/>
  <c r="AE99" i="18"/>
  <c r="AE134" i="18"/>
  <c r="AE130" i="18"/>
  <c r="AE32" i="18"/>
  <c r="AE16" i="18"/>
  <c r="W191" i="32"/>
  <c r="AH46" i="18"/>
  <c r="AH85" i="18"/>
  <c r="AH131" i="18"/>
  <c r="AH8" i="18"/>
  <c r="AH124" i="18"/>
  <c r="AH19" i="18"/>
  <c r="AH120" i="18"/>
  <c r="AH87" i="18"/>
  <c r="AH47" i="18"/>
  <c r="AH155" i="18"/>
  <c r="AH78" i="18"/>
  <c r="AH138" i="18"/>
  <c r="AH142" i="18"/>
  <c r="AH156" i="18"/>
  <c r="AH36" i="18"/>
  <c r="AH28" i="18"/>
  <c r="AH75" i="18"/>
  <c r="AH77" i="18"/>
  <c r="AH160" i="18"/>
  <c r="AH14" i="18"/>
  <c r="AH114" i="18"/>
  <c r="AH98" i="18"/>
  <c r="AH84" i="18"/>
  <c r="AH104" i="18"/>
  <c r="AH105" i="18"/>
  <c r="AH140" i="18"/>
  <c r="AH41" i="18"/>
  <c r="AH103" i="18"/>
  <c r="AH109" i="18"/>
  <c r="AH71" i="18"/>
  <c r="AH58" i="18"/>
  <c r="AH147" i="18"/>
  <c r="AH89" i="18"/>
  <c r="AH9" i="18"/>
  <c r="AH110" i="18"/>
  <c r="AH12" i="18"/>
  <c r="AH118" i="18"/>
  <c r="AE46" i="18"/>
  <c r="AE57" i="18"/>
  <c r="AE61" i="18"/>
  <c r="AE109" i="18"/>
  <c r="AE23" i="18"/>
  <c r="AE65" i="18"/>
  <c r="AE10" i="18"/>
  <c r="AE106" i="18"/>
  <c r="AE143" i="18"/>
  <c r="AE160" i="18"/>
  <c r="AE126" i="18"/>
  <c r="AH35" i="18"/>
  <c r="AH30" i="18"/>
  <c r="AH80" i="18"/>
  <c r="AH49" i="18"/>
  <c r="AH63" i="18"/>
  <c r="AH39" i="18"/>
  <c r="AH10" i="18"/>
  <c r="AH51" i="18"/>
  <c r="AH26" i="18"/>
  <c r="AH44" i="18"/>
  <c r="AH55" i="18"/>
  <c r="AH43" i="18"/>
  <c r="AH137" i="18"/>
  <c r="AH66" i="18"/>
  <c r="AH32" i="18"/>
  <c r="AH13" i="18"/>
  <c r="AH113" i="18"/>
  <c r="AE19" i="18"/>
  <c r="AE139" i="18"/>
  <c r="AE62" i="18"/>
  <c r="AE136" i="18"/>
  <c r="AE107" i="18"/>
  <c r="AE38" i="18"/>
  <c r="AE129" i="18"/>
  <c r="AE153" i="18"/>
  <c r="AE25" i="18"/>
  <c r="AE112" i="18"/>
  <c r="AE124" i="18"/>
  <c r="AH83" i="18"/>
  <c r="AH54" i="18"/>
  <c r="AH21" i="18"/>
  <c r="AH136" i="18"/>
  <c r="AH56" i="18"/>
  <c r="AH69" i="18"/>
  <c r="AH158" i="18"/>
  <c r="AH68" i="18"/>
  <c r="AH60" i="18"/>
  <c r="AH53" i="18"/>
  <c r="AH57" i="18"/>
  <c r="AH37" i="18"/>
  <c r="AH33" i="18"/>
  <c r="AH81" i="18"/>
  <c r="AH119" i="18"/>
  <c r="AH48" i="18"/>
  <c r="AH130" i="18"/>
  <c r="AH31" i="18"/>
  <c r="AH65" i="18"/>
  <c r="AH22" i="18"/>
  <c r="AH16" i="18"/>
  <c r="AH123" i="18"/>
  <c r="AH126" i="18"/>
  <c r="AE94" i="18"/>
  <c r="AE74" i="18"/>
  <c r="AE85" i="18"/>
  <c r="AE64" i="18"/>
  <c r="AE20" i="18"/>
  <c r="AE28" i="18"/>
  <c r="AE53" i="18"/>
  <c r="AE24" i="18"/>
  <c r="AE36" i="18"/>
  <c r="AE105" i="18"/>
  <c r="AE54" i="18"/>
  <c r="AE132" i="18"/>
  <c r="AE81" i="18"/>
  <c r="AE72" i="18"/>
  <c r="AE13" i="18"/>
  <c r="AE110" i="18"/>
  <c r="AE158" i="18"/>
  <c r="AE47" i="18"/>
  <c r="AE140" i="18"/>
  <c r="AE86" i="18"/>
  <c r="AE66" i="18"/>
  <c r="AE125" i="18"/>
  <c r="AE122" i="18"/>
  <c r="V191" i="32"/>
  <c r="AE77" i="18"/>
  <c r="AE118" i="18"/>
  <c r="AE78" i="18"/>
  <c r="AE51" i="18"/>
  <c r="AE37" i="18"/>
  <c r="AE114" i="18"/>
  <c r="AE123" i="18"/>
  <c r="AE69" i="18"/>
  <c r="AB91" i="18"/>
  <c r="AE98" i="18"/>
  <c r="AE108" i="18"/>
  <c r="AE44" i="18"/>
  <c r="AE156" i="18"/>
  <c r="AE22" i="18"/>
  <c r="AE31" i="18"/>
  <c r="AE87" i="18"/>
  <c r="AE63" i="18"/>
  <c r="AE145" i="18"/>
  <c r="AE71" i="18"/>
  <c r="AE144" i="18"/>
  <c r="AE82" i="18"/>
  <c r="AE8" i="18"/>
  <c r="AE95" i="18"/>
  <c r="AE15" i="18"/>
  <c r="L205" i="29"/>
  <c r="M172" i="29"/>
  <c r="N172" i="29"/>
  <c r="Q172" i="29"/>
  <c r="AJ205" i="29"/>
  <c r="AK172" i="29"/>
  <c r="AC172" i="29"/>
  <c r="AB172" i="29"/>
  <c r="AE54" i="29"/>
  <c r="AF54" i="29"/>
  <c r="AD172" i="29"/>
  <c r="AD205" i="29" s="1"/>
  <c r="O224" i="32"/>
  <c r="T224" i="32" s="1"/>
  <c r="P191" i="32"/>
  <c r="AN69" i="18"/>
  <c r="AN11" i="18"/>
  <c r="AN14" i="18"/>
  <c r="AO160" i="18"/>
  <c r="AN121" i="18"/>
  <c r="AN123" i="18"/>
  <c r="AN111" i="18"/>
  <c r="AN32" i="18"/>
  <c r="AN110" i="18"/>
  <c r="AN124" i="18"/>
  <c r="AN66" i="18"/>
  <c r="AN112" i="18"/>
  <c r="AN13" i="18"/>
  <c r="AN16" i="18"/>
  <c r="AN12" i="18"/>
  <c r="AN122" i="18"/>
  <c r="AN114" i="18"/>
  <c r="AN113" i="18"/>
  <c r="AN160" i="18"/>
  <c r="AN95" i="18"/>
  <c r="AN125" i="18"/>
  <c r="AN146" i="18"/>
  <c r="AN15" i="18"/>
  <c r="AN126" i="18"/>
  <c r="AN99" i="18"/>
  <c r="AN63" i="18"/>
  <c r="AN22" i="18"/>
  <c r="AN139" i="18"/>
  <c r="AN155" i="18"/>
  <c r="AN52" i="18"/>
  <c r="AN47" i="18"/>
  <c r="AN145" i="18"/>
  <c r="AN72" i="18"/>
  <c r="AN71" i="18"/>
  <c r="AN79" i="18"/>
  <c r="AN62" i="18"/>
  <c r="AN89" i="18"/>
  <c r="AN51" i="18"/>
  <c r="AN25" i="18"/>
  <c r="AN131" i="18"/>
  <c r="AN100" i="18"/>
  <c r="AN88" i="18"/>
  <c r="AN119" i="18"/>
  <c r="AN87" i="18"/>
  <c r="AN107" i="18"/>
  <c r="AN108" i="18"/>
  <c r="AN37" i="18"/>
  <c r="AN23" i="18"/>
  <c r="AN82" i="18"/>
  <c r="AN109" i="18"/>
  <c r="AN137" i="18"/>
  <c r="AN31" i="18"/>
  <c r="AN81" i="18"/>
  <c r="AN134" i="18"/>
  <c r="AN147" i="18"/>
  <c r="AN115" i="18"/>
  <c r="AN133" i="18"/>
  <c r="AN26" i="18"/>
  <c r="AN20" i="18"/>
  <c r="AN136" i="18"/>
  <c r="AN86" i="18"/>
  <c r="AN58" i="18"/>
  <c r="AN96" i="18"/>
  <c r="AN118" i="18"/>
  <c r="AN57" i="18"/>
  <c r="AN144" i="18"/>
  <c r="AN78" i="18"/>
  <c r="AN85" i="18"/>
  <c r="AN56" i="18"/>
  <c r="AN142" i="18"/>
  <c r="AN50" i="18"/>
  <c r="AN53" i="18"/>
  <c r="AN75" i="18"/>
  <c r="AN39" i="18"/>
  <c r="AN130" i="18"/>
  <c r="AN129" i="18"/>
  <c r="AN17" i="18"/>
  <c r="AN64" i="18"/>
  <c r="AN105" i="18"/>
  <c r="AN41" i="18"/>
  <c r="AN27" i="18"/>
  <c r="AN55" i="18"/>
  <c r="AN44" i="18"/>
  <c r="AN48" i="18"/>
  <c r="AN49" i="18"/>
  <c r="AN84" i="18"/>
  <c r="AN42" i="18"/>
  <c r="AN54" i="18"/>
  <c r="AN70" i="18"/>
  <c r="AN43" i="18"/>
  <c r="AN132" i="18"/>
  <c r="AN83" i="18"/>
  <c r="AN40" i="18"/>
  <c r="AN38" i="18"/>
  <c r="AN76" i="18"/>
  <c r="AN156" i="18"/>
  <c r="AN141" i="18"/>
  <c r="AN33" i="18"/>
  <c r="AN9" i="18"/>
  <c r="AN154" i="18"/>
  <c r="AN103" i="18"/>
  <c r="AN80" i="18"/>
  <c r="AN106" i="18"/>
  <c r="AN8" i="18"/>
  <c r="AN104" i="18"/>
  <c r="AN77" i="18"/>
  <c r="AN61" i="18"/>
  <c r="AN21" i="18"/>
  <c r="AN143" i="18"/>
  <c r="AN135" i="18"/>
  <c r="AN65" i="18"/>
  <c r="AN153" i="18"/>
  <c r="AN120" i="18"/>
  <c r="AN140" i="18"/>
  <c r="AN10" i="18"/>
  <c r="AN28" i="18"/>
  <c r="AN138" i="18"/>
  <c r="AN36" i="18"/>
  <c r="AN24" i="18"/>
  <c r="AN74" i="18"/>
  <c r="AN98" i="18"/>
  <c r="AN94" i="18"/>
  <c r="AN60" i="18"/>
  <c r="AN19" i="18"/>
  <c r="AN7" i="18"/>
  <c r="AN68" i="18"/>
  <c r="AN46" i="18"/>
  <c r="AN30" i="18"/>
  <c r="AN35" i="18"/>
  <c r="Y91" i="18"/>
  <c r="Y123" i="18"/>
  <c r="Y69" i="18"/>
  <c r="Y160" i="18"/>
  <c r="Y32" i="18"/>
  <c r="Y121" i="18"/>
  <c r="Y95" i="18"/>
  <c r="Y111" i="18"/>
  <c r="Y125" i="18"/>
  <c r="Y113" i="18"/>
  <c r="Y16" i="18"/>
  <c r="Y66" i="18"/>
  <c r="Y14" i="18"/>
  <c r="Y11" i="18"/>
  <c r="Y122" i="18"/>
  <c r="Y12" i="18"/>
  <c r="Y13" i="18"/>
  <c r="Y126" i="18"/>
  <c r="Y114" i="18"/>
  <c r="Y110" i="18"/>
  <c r="Y124" i="18"/>
  <c r="Y112" i="18"/>
  <c r="Y146" i="18"/>
  <c r="Y15" i="18"/>
  <c r="Z160" i="18"/>
  <c r="Y139" i="18"/>
  <c r="Y22" i="18"/>
  <c r="Y143" i="18"/>
  <c r="Y141" i="18"/>
  <c r="Y57" i="18"/>
  <c r="Y62" i="18"/>
  <c r="Y39" i="18"/>
  <c r="Y147" i="18"/>
  <c r="Y47" i="18"/>
  <c r="Y8" i="18"/>
  <c r="Y78" i="18"/>
  <c r="Y81" i="18"/>
  <c r="Y88" i="18"/>
  <c r="Y70" i="18"/>
  <c r="Y82" i="18"/>
  <c r="Y118" i="18"/>
  <c r="Y107" i="18"/>
  <c r="Y140" i="18"/>
  <c r="Y44" i="18"/>
  <c r="Y40" i="18"/>
  <c r="Y156" i="18"/>
  <c r="Y77" i="18"/>
  <c r="Y153" i="18"/>
  <c r="Y129" i="18"/>
  <c r="Y142" i="18"/>
  <c r="Y65" i="18"/>
  <c r="Y84" i="18"/>
  <c r="Y104" i="18"/>
  <c r="Y28" i="18"/>
  <c r="Y38" i="18"/>
  <c r="Y115" i="18"/>
  <c r="Y134" i="18"/>
  <c r="Y120" i="18"/>
  <c r="Y87" i="18"/>
  <c r="Y55" i="18"/>
  <c r="Y71" i="18"/>
  <c r="Y25" i="18"/>
  <c r="Y50" i="18"/>
  <c r="Y132" i="18"/>
  <c r="Y51" i="18"/>
  <c r="Y89" i="18"/>
  <c r="Y23" i="18"/>
  <c r="Y26" i="18"/>
  <c r="Y33" i="18"/>
  <c r="Y100" i="18"/>
  <c r="Y138" i="18"/>
  <c r="Y137" i="18"/>
  <c r="Y54" i="18"/>
  <c r="Y58" i="18"/>
  <c r="Y52" i="18"/>
  <c r="Y41" i="18"/>
  <c r="Y79" i="18"/>
  <c r="Y42" i="18"/>
  <c r="Y155" i="18"/>
  <c r="Y9" i="18"/>
  <c r="Y43" i="18"/>
  <c r="Y108" i="18"/>
  <c r="Y48" i="18"/>
  <c r="Y75" i="18"/>
  <c r="Y53" i="18"/>
  <c r="Y135" i="18"/>
  <c r="Y37" i="18"/>
  <c r="Y130" i="18"/>
  <c r="Y10" i="18"/>
  <c r="Y99" i="18"/>
  <c r="Y56" i="18"/>
  <c r="Y144" i="18"/>
  <c r="Y136" i="18"/>
  <c r="Y31" i="18"/>
  <c r="Y36" i="18"/>
  <c r="Y106" i="18"/>
  <c r="Y63" i="18"/>
  <c r="Y21" i="18"/>
  <c r="Y76" i="18"/>
  <c r="Y105" i="18"/>
  <c r="Y64" i="18"/>
  <c r="Y61" i="18"/>
  <c r="Y86" i="18"/>
  <c r="Y145" i="18"/>
  <c r="Y49" i="18"/>
  <c r="Y103" i="18"/>
  <c r="Y119" i="18"/>
  <c r="Y80" i="18"/>
  <c r="Y96" i="18"/>
  <c r="Y133" i="18"/>
  <c r="Y20" i="18"/>
  <c r="Y17" i="18"/>
  <c r="Y131" i="18"/>
  <c r="Y27" i="18"/>
  <c r="Y83" i="18"/>
  <c r="Y24" i="18"/>
  <c r="Y109" i="18"/>
  <c r="Y72" i="18"/>
  <c r="Y154" i="18"/>
  <c r="Y85" i="18"/>
  <c r="Y98" i="18"/>
  <c r="Y19" i="18"/>
  <c r="Y68" i="18"/>
  <c r="Y30" i="18"/>
  <c r="Y60" i="18"/>
  <c r="Y74" i="18"/>
  <c r="Y7" i="18"/>
  <c r="Y94" i="18"/>
  <c r="Y35" i="18"/>
  <c r="Y46" i="18"/>
  <c r="S54" i="29"/>
  <c r="U205" i="29"/>
  <c r="V172" i="29"/>
  <c r="AB13" i="18"/>
  <c r="AB32" i="18"/>
  <c r="AB110" i="18"/>
  <c r="AB123" i="18"/>
  <c r="AB124" i="18"/>
  <c r="AB15" i="18"/>
  <c r="AB114" i="18"/>
  <c r="AB95" i="18"/>
  <c r="AB11" i="18"/>
  <c r="AB126" i="18"/>
  <c r="AB113" i="18"/>
  <c r="AB111" i="18"/>
  <c r="AB112" i="18"/>
  <c r="AB146" i="18"/>
  <c r="AB121" i="18"/>
  <c r="AB66" i="18"/>
  <c r="AB14" i="18"/>
  <c r="AB16" i="18"/>
  <c r="AB122" i="18"/>
  <c r="AB125" i="18"/>
  <c r="AB160" i="18"/>
  <c r="AB69" i="18"/>
  <c r="AB12" i="18"/>
  <c r="AC160" i="18"/>
  <c r="AB24" i="18"/>
  <c r="AB120" i="18"/>
  <c r="AB25" i="18"/>
  <c r="AB87" i="18"/>
  <c r="AB104" i="18"/>
  <c r="AB26" i="18"/>
  <c r="AB50" i="18"/>
  <c r="AB130" i="18"/>
  <c r="AB81" i="18"/>
  <c r="AB80" i="18"/>
  <c r="AB63" i="18"/>
  <c r="AB57" i="18"/>
  <c r="AB48" i="18"/>
  <c r="AB132" i="18"/>
  <c r="AB103" i="18"/>
  <c r="AB156" i="18"/>
  <c r="AB131" i="18"/>
  <c r="AB41" i="18"/>
  <c r="AB37" i="18"/>
  <c r="AB105" i="18"/>
  <c r="AB136" i="18"/>
  <c r="AB49" i="18"/>
  <c r="AB72" i="18"/>
  <c r="AB86" i="18"/>
  <c r="AB23" i="18"/>
  <c r="AB53" i="18"/>
  <c r="AB61" i="18"/>
  <c r="AB145" i="18"/>
  <c r="AB52" i="18"/>
  <c r="AB55" i="18"/>
  <c r="AB85" i="18"/>
  <c r="AB96" i="18"/>
  <c r="AB20" i="18"/>
  <c r="AB9" i="18"/>
  <c r="AB40" i="18"/>
  <c r="AB107" i="18"/>
  <c r="AB77" i="18"/>
  <c r="AB71" i="18"/>
  <c r="AB84" i="18"/>
  <c r="AB51" i="18"/>
  <c r="AB82" i="18"/>
  <c r="AB134" i="18"/>
  <c r="AB10" i="18"/>
  <c r="AB142" i="18"/>
  <c r="AB119" i="18"/>
  <c r="AB54" i="18"/>
  <c r="AB44" i="18"/>
  <c r="AB154" i="18"/>
  <c r="AB99" i="18"/>
  <c r="AB153" i="18"/>
  <c r="AB83" i="18"/>
  <c r="AB65" i="18"/>
  <c r="AB140" i="18"/>
  <c r="AB28" i="18"/>
  <c r="AB108" i="18"/>
  <c r="AB129" i="18"/>
  <c r="AB27" i="18"/>
  <c r="AB62" i="18"/>
  <c r="AB33" i="18"/>
  <c r="AB88" i="18"/>
  <c r="AB70" i="18"/>
  <c r="AB135" i="18"/>
  <c r="AB89" i="18"/>
  <c r="AB141" i="18"/>
  <c r="AB155" i="18"/>
  <c r="AB8" i="18"/>
  <c r="AB79" i="18"/>
  <c r="AB118" i="18"/>
  <c r="AB42" i="18"/>
  <c r="AB106" i="18"/>
  <c r="AB143" i="18"/>
  <c r="AB47" i="18"/>
  <c r="AB115" i="18"/>
  <c r="AB78" i="18"/>
  <c r="AB109" i="18"/>
  <c r="AB31" i="18"/>
  <c r="AB100" i="18"/>
  <c r="AB138" i="18"/>
  <c r="AB56" i="18"/>
  <c r="AB144" i="18"/>
  <c r="AB76" i="18"/>
  <c r="AB38" i="18"/>
  <c r="AB21" i="18"/>
  <c r="AB36" i="18"/>
  <c r="AB64" i="18"/>
  <c r="AB17" i="18"/>
  <c r="AB139" i="18"/>
  <c r="AB147" i="18"/>
  <c r="AB39" i="18"/>
  <c r="AB137" i="18"/>
  <c r="AB43" i="18"/>
  <c r="AB75" i="18"/>
  <c r="AB133" i="18"/>
  <c r="AB58" i="18"/>
  <c r="AB22" i="18"/>
  <c r="AB60" i="18"/>
  <c r="AB68" i="18"/>
  <c r="AB35" i="18"/>
  <c r="AB30" i="18"/>
  <c r="AB19" i="18"/>
  <c r="AB74" i="18"/>
  <c r="AB46" i="18"/>
  <c r="AB7" i="18"/>
  <c r="AB98" i="18"/>
  <c r="AB94" i="18"/>
  <c r="C9" i="31"/>
  <c r="T32" i="25"/>
  <c r="C7" i="31"/>
  <c r="S38" i="25"/>
  <c r="T38" i="25" s="1"/>
  <c r="V38" i="25"/>
  <c r="U44" i="25"/>
  <c r="G54" i="29"/>
  <c r="H54" i="29"/>
  <c r="E144" i="23"/>
  <c r="E91" i="23"/>
  <c r="E96" i="23"/>
  <c r="E133" i="23"/>
  <c r="E73" i="23"/>
  <c r="E75" i="23"/>
  <c r="E61" i="23"/>
  <c r="E28" i="23"/>
  <c r="E112" i="23"/>
  <c r="E108" i="23"/>
  <c r="E15" i="23"/>
  <c r="E119" i="23"/>
  <c r="E26" i="23"/>
  <c r="E130" i="23"/>
  <c r="E49" i="23"/>
  <c r="E37" i="23"/>
  <c r="E136" i="23"/>
  <c r="E104" i="23"/>
  <c r="E129" i="23"/>
  <c r="E131" i="23"/>
  <c r="E85" i="23"/>
  <c r="E135" i="23"/>
  <c r="E21" i="23"/>
  <c r="E109" i="23"/>
  <c r="E93" i="23"/>
  <c r="E107" i="23"/>
  <c r="E43" i="23"/>
  <c r="E102" i="23"/>
  <c r="E92" i="23"/>
  <c r="E31" i="23"/>
  <c r="E98" i="23"/>
  <c r="E122" i="23"/>
  <c r="E71" i="23"/>
  <c r="E36" i="23"/>
  <c r="E70" i="23"/>
  <c r="E48" i="23"/>
  <c r="E77" i="23"/>
  <c r="E95" i="23"/>
  <c r="E40" i="23"/>
  <c r="E59" i="23"/>
  <c r="E89" i="23"/>
  <c r="E46" i="23"/>
  <c r="E34" i="23"/>
  <c r="E76" i="23"/>
  <c r="E79" i="23"/>
  <c r="E118" i="23"/>
  <c r="E63" i="23"/>
  <c r="E111" i="23"/>
  <c r="E86" i="23"/>
  <c r="E50" i="23"/>
  <c r="E35" i="23"/>
  <c r="E80" i="23"/>
  <c r="E54" i="23"/>
  <c r="E88" i="23"/>
  <c r="E125" i="23"/>
  <c r="E114" i="23"/>
  <c r="E105" i="23"/>
  <c r="E29" i="23"/>
  <c r="E82" i="23"/>
  <c r="E84" i="23"/>
  <c r="E12" i="23"/>
  <c r="E120" i="23"/>
  <c r="E42" i="23"/>
  <c r="E17" i="23"/>
  <c r="D148" i="23"/>
  <c r="E68" i="23"/>
  <c r="E56" i="23"/>
  <c r="E11" i="23"/>
  <c r="E146" i="23"/>
  <c r="E81" i="23"/>
  <c r="E51" i="23"/>
  <c r="E99" i="23"/>
  <c r="E58" i="23"/>
  <c r="E9" i="23"/>
  <c r="E20" i="23"/>
  <c r="E74" i="23"/>
  <c r="E97" i="23"/>
  <c r="E69" i="23"/>
  <c r="E72" i="23"/>
  <c r="E7" i="23"/>
  <c r="E22" i="23"/>
  <c r="E90" i="23"/>
  <c r="D162" i="18"/>
  <c r="E78" i="23"/>
  <c r="E126" i="23"/>
  <c r="E33" i="23"/>
  <c r="E30" i="23"/>
  <c r="E127" i="23"/>
  <c r="E32" i="23"/>
  <c r="E47" i="23"/>
  <c r="E41" i="23"/>
  <c r="E55" i="23"/>
  <c r="E27" i="23"/>
  <c r="E44" i="23"/>
  <c r="E94" i="23"/>
  <c r="E23" i="23"/>
  <c r="E137" i="23"/>
  <c r="E116" i="23"/>
  <c r="E87" i="23"/>
  <c r="E83" i="23"/>
  <c r="E18" i="23"/>
  <c r="E45" i="23"/>
  <c r="E106" i="23"/>
  <c r="E13" i="23"/>
  <c r="E16" i="23"/>
  <c r="E142" i="23"/>
  <c r="E25" i="23"/>
  <c r="E39" i="23"/>
  <c r="E115" i="23"/>
  <c r="E67" i="23"/>
  <c r="E101" i="23"/>
  <c r="E60" i="23"/>
  <c r="E10" i="23"/>
  <c r="E134" i="23"/>
  <c r="E8" i="23"/>
  <c r="E24" i="23"/>
  <c r="E52" i="23"/>
  <c r="E100" i="23"/>
  <c r="E141" i="23"/>
  <c r="AJ224" i="32"/>
  <c r="AL191" i="32"/>
  <c r="AK191" i="32"/>
  <c r="I224" i="32"/>
  <c r="K191" i="32"/>
  <c r="J191" i="32"/>
  <c r="M59" i="32"/>
  <c r="N59" i="32"/>
  <c r="L191" i="32"/>
  <c r="Q191" i="32" s="1"/>
  <c r="W54" i="29"/>
  <c r="F224" i="32"/>
  <c r="G191" i="32"/>
  <c r="AF59" i="32"/>
  <c r="AB59" i="32"/>
  <c r="AC59" i="32"/>
  <c r="AA191" i="32"/>
  <c r="J172" i="29"/>
  <c r="K172" i="29"/>
  <c r="AG224" i="32"/>
  <c r="AH191" i="32"/>
  <c r="AN91" i="18"/>
  <c r="Y59" i="32"/>
  <c r="X191" i="32"/>
  <c r="P205" i="29"/>
  <c r="AN158" i="18"/>
  <c r="AA205" i="29"/>
  <c r="J59" i="32"/>
  <c r="K59" i="32"/>
  <c r="G91" i="18"/>
  <c r="G113" i="18"/>
  <c r="G11" i="18"/>
  <c r="G112" i="18"/>
  <c r="G69" i="18"/>
  <c r="G66" i="18"/>
  <c r="G14" i="18"/>
  <c r="G16" i="18"/>
  <c r="G32" i="18"/>
  <c r="G122" i="18"/>
  <c r="H160" i="18"/>
  <c r="G160" i="18"/>
  <c r="G125" i="18"/>
  <c r="G111" i="18"/>
  <c r="G124" i="18"/>
  <c r="G13" i="18"/>
  <c r="G114" i="18"/>
  <c r="G146" i="18"/>
  <c r="G110" i="18"/>
  <c r="G121" i="18"/>
  <c r="G95" i="18"/>
  <c r="G123" i="18"/>
  <c r="G12" i="18"/>
  <c r="G126" i="18"/>
  <c r="G15" i="18"/>
  <c r="G24" i="18"/>
  <c r="G47" i="18"/>
  <c r="G156" i="18"/>
  <c r="G85" i="18"/>
  <c r="G20" i="18"/>
  <c r="G106" i="18"/>
  <c r="G105" i="18"/>
  <c r="G104" i="18"/>
  <c r="G115" i="18"/>
  <c r="G81" i="18"/>
  <c r="G38" i="18"/>
  <c r="G119" i="18"/>
  <c r="G145" i="18"/>
  <c r="G84" i="18"/>
  <c r="G87" i="18"/>
  <c r="G80" i="18"/>
  <c r="G78" i="18"/>
  <c r="G132" i="18"/>
  <c r="G99" i="18"/>
  <c r="G135" i="18"/>
  <c r="G26" i="18"/>
  <c r="G40" i="18"/>
  <c r="G100" i="18"/>
  <c r="G120" i="18"/>
  <c r="G56" i="18"/>
  <c r="G130" i="18"/>
  <c r="G9" i="18"/>
  <c r="G54" i="18"/>
  <c r="G89" i="18"/>
  <c r="G58" i="18"/>
  <c r="G21" i="18"/>
  <c r="G143" i="18"/>
  <c r="G48" i="18"/>
  <c r="G137" i="18"/>
  <c r="G136" i="18"/>
  <c r="G41" i="18"/>
  <c r="G61" i="18"/>
  <c r="G70" i="18"/>
  <c r="G141" i="18"/>
  <c r="G139" i="18"/>
  <c r="G96" i="18"/>
  <c r="G72" i="18"/>
  <c r="G88" i="18"/>
  <c r="G63" i="18"/>
  <c r="G129" i="18"/>
  <c r="G36" i="18"/>
  <c r="G71" i="18"/>
  <c r="G50" i="18"/>
  <c r="G154" i="18"/>
  <c r="G57" i="18"/>
  <c r="G43" i="18"/>
  <c r="G133" i="18"/>
  <c r="G79" i="18"/>
  <c r="G144" i="18"/>
  <c r="G108" i="18"/>
  <c r="G53" i="18"/>
  <c r="G138" i="18"/>
  <c r="G82" i="18"/>
  <c r="G27" i="18"/>
  <c r="G51" i="18"/>
  <c r="G52" i="18"/>
  <c r="G131" i="18"/>
  <c r="G39" i="18"/>
  <c r="G17" i="18"/>
  <c r="G86" i="18"/>
  <c r="G44" i="18"/>
  <c r="G28" i="18"/>
  <c r="G147" i="18"/>
  <c r="G107" i="18"/>
  <c r="G118" i="18"/>
  <c r="G65" i="18"/>
  <c r="G75" i="18"/>
  <c r="G42" i="18"/>
  <c r="G62" i="18"/>
  <c r="G8" i="18"/>
  <c r="G134" i="18"/>
  <c r="G33" i="18"/>
  <c r="G109" i="18"/>
  <c r="G83" i="18"/>
  <c r="G76" i="18"/>
  <c r="G55" i="18"/>
  <c r="G37" i="18"/>
  <c r="G22" i="18"/>
  <c r="G10" i="18"/>
  <c r="G64" i="18"/>
  <c r="G77" i="18"/>
  <c r="G25" i="18"/>
  <c r="G103" i="18"/>
  <c r="G31" i="18"/>
  <c r="G155" i="18"/>
  <c r="G140" i="18"/>
  <c r="G142" i="18"/>
  <c r="G23" i="18"/>
  <c r="G49" i="18"/>
  <c r="G153" i="18"/>
  <c r="G30" i="18"/>
  <c r="G7" i="18"/>
  <c r="G35" i="18"/>
  <c r="G74" i="18"/>
  <c r="G46" i="18"/>
  <c r="G19" i="18"/>
  <c r="G98" i="18"/>
  <c r="G68" i="18"/>
  <c r="G60" i="18"/>
  <c r="G94" i="18"/>
  <c r="R172" i="29"/>
  <c r="W172" i="29" s="1"/>
  <c r="T191" i="32"/>
  <c r="AK54" i="29"/>
  <c r="AL54" i="29"/>
  <c r="V91" i="18"/>
  <c r="V15" i="18"/>
  <c r="V11" i="18"/>
  <c r="V32" i="18"/>
  <c r="V14" i="18"/>
  <c r="V95" i="18"/>
  <c r="V124" i="18"/>
  <c r="V160" i="18"/>
  <c r="V125" i="18"/>
  <c r="V12" i="18"/>
  <c r="V112" i="18"/>
  <c r="V122" i="18"/>
  <c r="V16" i="18"/>
  <c r="V126" i="18"/>
  <c r="V146" i="18"/>
  <c r="V114" i="18"/>
  <c r="V69" i="18"/>
  <c r="V121" i="18"/>
  <c r="V110" i="18"/>
  <c r="V66" i="18"/>
  <c r="W160" i="18"/>
  <c r="V123" i="18"/>
  <c r="V111" i="18"/>
  <c r="V113" i="18"/>
  <c r="V13" i="18"/>
  <c r="V89" i="18"/>
  <c r="V156" i="18"/>
  <c r="V99" i="18"/>
  <c r="V61" i="18"/>
  <c r="V87" i="18"/>
  <c r="V44" i="18"/>
  <c r="V119" i="18"/>
  <c r="V49" i="18"/>
  <c r="V137" i="18"/>
  <c r="V131" i="18"/>
  <c r="V142" i="18"/>
  <c r="V154" i="18"/>
  <c r="V82" i="18"/>
  <c r="V118" i="18"/>
  <c r="V9" i="18"/>
  <c r="V36" i="18"/>
  <c r="V145" i="18"/>
  <c r="V144" i="18"/>
  <c r="V62" i="18"/>
  <c r="V26" i="18"/>
  <c r="V140" i="18"/>
  <c r="V38" i="18"/>
  <c r="V141" i="18"/>
  <c r="V104" i="18"/>
  <c r="V81" i="18"/>
  <c r="V28" i="18"/>
  <c r="V63" i="18"/>
  <c r="V120" i="18"/>
  <c r="V57" i="18"/>
  <c r="V39" i="18"/>
  <c r="V43" i="18"/>
  <c r="V52" i="18"/>
  <c r="V96" i="18"/>
  <c r="V109" i="18"/>
  <c r="V70" i="18"/>
  <c r="V27" i="18"/>
  <c r="V132" i="18"/>
  <c r="V134" i="18"/>
  <c r="V86" i="18"/>
  <c r="V138" i="18"/>
  <c r="V40" i="18"/>
  <c r="V100" i="18"/>
  <c r="V41" i="18"/>
  <c r="V103" i="18"/>
  <c r="V129" i="18"/>
  <c r="V37" i="18"/>
  <c r="V20" i="18"/>
  <c r="V136" i="18"/>
  <c r="V53" i="18"/>
  <c r="V88" i="18"/>
  <c r="V55" i="18"/>
  <c r="V54" i="18"/>
  <c r="V22" i="18"/>
  <c r="V56" i="18"/>
  <c r="V75" i="18"/>
  <c r="V64" i="18"/>
  <c r="V85" i="18"/>
  <c r="V83" i="18"/>
  <c r="V147" i="18"/>
  <c r="V105" i="18"/>
  <c r="V48" i="18"/>
  <c r="V76" i="18"/>
  <c r="V143" i="18"/>
  <c r="V155" i="18"/>
  <c r="V23" i="18"/>
  <c r="V21" i="18"/>
  <c r="V24" i="18"/>
  <c r="V106" i="18"/>
  <c r="V79" i="18"/>
  <c r="V58" i="18"/>
  <c r="V84" i="18"/>
  <c r="V47" i="18"/>
  <c r="V50" i="18"/>
  <c r="V65" i="18"/>
  <c r="V25" i="18"/>
  <c r="V77" i="18"/>
  <c r="V8" i="18"/>
  <c r="V135" i="18"/>
  <c r="V133" i="18"/>
  <c r="V78" i="18"/>
  <c r="V72" i="18"/>
  <c r="V33" i="18"/>
  <c r="V115" i="18"/>
  <c r="V107" i="18"/>
  <c r="V153" i="18"/>
  <c r="V108" i="18"/>
  <c r="V51" i="18"/>
  <c r="V42" i="18"/>
  <c r="V31" i="18"/>
  <c r="V10" i="18"/>
  <c r="V71" i="18"/>
  <c r="V139" i="18"/>
  <c r="V130" i="18"/>
  <c r="V17" i="18"/>
  <c r="V80" i="18"/>
  <c r="V74" i="18"/>
  <c r="V7" i="18"/>
  <c r="V35" i="18"/>
  <c r="V98" i="18"/>
  <c r="V19" i="18"/>
  <c r="V68" i="18"/>
  <c r="V46" i="18"/>
  <c r="V60" i="18"/>
  <c r="V94" i="18"/>
  <c r="V30" i="18"/>
  <c r="D205" i="29"/>
  <c r="AE59" i="32"/>
  <c r="AD191" i="32"/>
  <c r="AE191" i="32" s="1"/>
  <c r="S224" i="32"/>
  <c r="U141" i="23"/>
  <c r="W224" i="32"/>
  <c r="X141" i="23"/>
  <c r="V224" i="32"/>
  <c r="Z172" i="29"/>
  <c r="Y172" i="29"/>
  <c r="X205" i="29"/>
  <c r="I205" i="29"/>
  <c r="AF160" i="18"/>
  <c r="AI54" i="29"/>
  <c r="AH54" i="29"/>
  <c r="F205" i="29"/>
  <c r="G172" i="29"/>
  <c r="H172" i="29"/>
  <c r="M54" i="29"/>
  <c r="N54" i="29"/>
  <c r="Q54" i="29"/>
  <c r="V158" i="18"/>
  <c r="AG172" i="29"/>
  <c r="AG205" i="29" s="1"/>
  <c r="H191" i="32" l="1"/>
  <c r="D224" i="32"/>
  <c r="E224" i="32" s="1"/>
  <c r="Q205" i="29"/>
  <c r="L224" i="32"/>
  <c r="N224" i="32" s="1"/>
  <c r="S44" i="25"/>
  <c r="AH205" i="29"/>
  <c r="AI205" i="29"/>
  <c r="D208" i="29"/>
  <c r="F208" i="29" s="1"/>
  <c r="E205" i="29"/>
  <c r="I141" i="23"/>
  <c r="G224" i="32"/>
  <c r="L141" i="23"/>
  <c r="K224" i="32"/>
  <c r="J224" i="32"/>
  <c r="R205" i="29"/>
  <c r="W205" i="29" s="1"/>
  <c r="AE205" i="29"/>
  <c r="AF205" i="29"/>
  <c r="U140" i="23"/>
  <c r="R141" i="23"/>
  <c r="W141" i="23" s="1"/>
  <c r="P224" i="32"/>
  <c r="AK205" i="29"/>
  <c r="AL205" i="29"/>
  <c r="K205" i="29"/>
  <c r="J205" i="29"/>
  <c r="AF191" i="32"/>
  <c r="AC191" i="32"/>
  <c r="AB191" i="32"/>
  <c r="AE172" i="29"/>
  <c r="AF172" i="29"/>
  <c r="AA224" i="32"/>
  <c r="Y205" i="29"/>
  <c r="Z205" i="29"/>
  <c r="M191" i="32"/>
  <c r="N191" i="32"/>
  <c r="AM141" i="23"/>
  <c r="AK224" i="32"/>
  <c r="AL224" i="32"/>
  <c r="X224" i="32"/>
  <c r="Y191" i="32"/>
  <c r="Z191" i="32"/>
  <c r="G205" i="29"/>
  <c r="H205" i="29"/>
  <c r="AD224" i="32"/>
  <c r="AI224" i="32" s="1"/>
  <c r="AB205" i="29"/>
  <c r="AC205" i="29"/>
  <c r="AI191" i="32"/>
  <c r="M37" i="25"/>
  <c r="E8" i="31"/>
  <c r="V44" i="25"/>
  <c r="E6" i="31"/>
  <c r="AI172" i="29"/>
  <c r="AH172" i="29"/>
  <c r="S172" i="29"/>
  <c r="T172" i="29"/>
  <c r="Z141" i="23"/>
  <c r="X140" i="23"/>
  <c r="AG227" i="32"/>
  <c r="AJ141" i="23"/>
  <c r="AH224" i="32"/>
  <c r="V205" i="29"/>
  <c r="U210" i="29"/>
  <c r="AL172" i="29"/>
  <c r="M205" i="29"/>
  <c r="N205" i="29"/>
  <c r="F141" i="23" l="1"/>
  <c r="K141" i="23" s="1"/>
  <c r="H224" i="32"/>
  <c r="D211" i="29"/>
  <c r="C8" i="31"/>
  <c r="T44" i="25"/>
  <c r="Q224" i="32"/>
  <c r="M224" i="32"/>
  <c r="O141" i="23"/>
  <c r="O140" i="23" s="1"/>
  <c r="K37" i="25"/>
  <c r="K38" i="25" s="1"/>
  <c r="K44" i="25" s="1"/>
  <c r="C6" i="31"/>
  <c r="Z140" i="23"/>
  <c r="X144" i="23"/>
  <c r="AG141" i="23"/>
  <c r="AL141" i="23" s="1"/>
  <c r="AE224" i="32"/>
  <c r="AF224" i="32"/>
  <c r="AM140" i="23"/>
  <c r="AO141" i="23"/>
  <c r="M38" i="25"/>
  <c r="N141" i="23"/>
  <c r="L140" i="23"/>
  <c r="R140" i="23"/>
  <c r="W140" i="23" s="1"/>
  <c r="I140" i="23"/>
  <c r="AJ140" i="23"/>
  <c r="AA141" i="23"/>
  <c r="Y224" i="32"/>
  <c r="Z224" i="32"/>
  <c r="AD141" i="23"/>
  <c r="AB224" i="32"/>
  <c r="AC224" i="32"/>
  <c r="F211" i="29"/>
  <c r="I208" i="29"/>
  <c r="L208" i="29" s="1"/>
  <c r="O208" i="29" s="1"/>
  <c r="R208" i="29" s="1"/>
  <c r="U208" i="29" s="1"/>
  <c r="X208" i="29" s="1"/>
  <c r="AA208" i="29" s="1"/>
  <c r="AD208" i="29" s="1"/>
  <c r="AG208" i="29" s="1"/>
  <c r="AJ208" i="29" s="1"/>
  <c r="S205" i="29"/>
  <c r="T205" i="29"/>
  <c r="U144" i="23"/>
  <c r="U146" i="23" s="1"/>
  <c r="H141" i="23" l="1"/>
  <c r="F140" i="23"/>
  <c r="T141" i="23"/>
  <c r="Q141" i="23"/>
  <c r="L37" i="25"/>
  <c r="L16" i="25"/>
  <c r="L27" i="25"/>
  <c r="L18" i="25"/>
  <c r="L17" i="25"/>
  <c r="L15" i="25"/>
  <c r="L19" i="25"/>
  <c r="L29" i="25"/>
  <c r="L26" i="25"/>
  <c r="L14" i="25"/>
  <c r="L28" i="25"/>
  <c r="L34" i="25"/>
  <c r="L30" i="25"/>
  <c r="L35" i="25"/>
  <c r="L36" i="25"/>
  <c r="L20" i="25"/>
  <c r="L31" i="25"/>
  <c r="K1" i="25"/>
  <c r="K140" i="23"/>
  <c r="H140" i="23"/>
  <c r="F144" i="23"/>
  <c r="AA140" i="23"/>
  <c r="AC141" i="23"/>
  <c r="Q140" i="23"/>
  <c r="O144" i="23"/>
  <c r="AI141" i="23"/>
  <c r="AG140" i="23"/>
  <c r="AL140" i="23" s="1"/>
  <c r="X146" i="23"/>
  <c r="Y144" i="23" s="1"/>
  <c r="Z144" i="23"/>
  <c r="M44" i="25"/>
  <c r="Q1" i="25" s="1"/>
  <c r="E10" i="31"/>
  <c r="T140" i="23"/>
  <c r="R144" i="23"/>
  <c r="R146" i="23" s="1"/>
  <c r="V144" i="23"/>
  <c r="U148" i="23"/>
  <c r="V35" i="23"/>
  <c r="V146" i="23"/>
  <c r="V36" i="23"/>
  <c r="V33" i="23"/>
  <c r="V27" i="23"/>
  <c r="V18" i="23"/>
  <c r="V29" i="23"/>
  <c r="V30" i="23"/>
  <c r="V34" i="23"/>
  <c r="V28" i="23"/>
  <c r="V37" i="23"/>
  <c r="V32" i="23"/>
  <c r="V31" i="23"/>
  <c r="V136" i="23"/>
  <c r="V107" i="23"/>
  <c r="V78" i="23"/>
  <c r="V127" i="23"/>
  <c r="V79" i="23"/>
  <c r="V21" i="23"/>
  <c r="V55" i="23"/>
  <c r="V22" i="23"/>
  <c r="V77" i="23"/>
  <c r="V25" i="23"/>
  <c r="V84" i="23"/>
  <c r="V10" i="23"/>
  <c r="V115" i="23"/>
  <c r="V91" i="23"/>
  <c r="V75" i="23"/>
  <c r="V59" i="23"/>
  <c r="V82" i="23"/>
  <c r="V80" i="23"/>
  <c r="V12" i="23"/>
  <c r="V105" i="23"/>
  <c r="V109" i="23"/>
  <c r="V44" i="23"/>
  <c r="V126" i="23"/>
  <c r="V11" i="23"/>
  <c r="V108" i="23"/>
  <c r="V24" i="23"/>
  <c r="V131" i="23"/>
  <c r="V16" i="23"/>
  <c r="V134" i="23"/>
  <c r="V86" i="23"/>
  <c r="V81" i="23"/>
  <c r="V49" i="23"/>
  <c r="V87" i="23"/>
  <c r="V98" i="23"/>
  <c r="V99" i="23"/>
  <c r="V76" i="23"/>
  <c r="V60" i="23"/>
  <c r="V95" i="23"/>
  <c r="V92" i="23"/>
  <c r="V120" i="23"/>
  <c r="V67" i="23"/>
  <c r="V48" i="23"/>
  <c r="V90" i="23"/>
  <c r="V97" i="23"/>
  <c r="V45" i="23"/>
  <c r="V119" i="23"/>
  <c r="V100" i="23"/>
  <c r="V52" i="23"/>
  <c r="V70" i="23"/>
  <c r="V116" i="23"/>
  <c r="V137" i="23"/>
  <c r="V9" i="23"/>
  <c r="V71" i="23"/>
  <c r="V88" i="23"/>
  <c r="V94" i="23"/>
  <c r="V142" i="23"/>
  <c r="V68" i="23"/>
  <c r="V73" i="23"/>
  <c r="V61" i="23"/>
  <c r="V135" i="23"/>
  <c r="V130" i="23"/>
  <c r="V41" i="23"/>
  <c r="V8" i="23"/>
  <c r="V69" i="23"/>
  <c r="V13" i="23"/>
  <c r="V102" i="23"/>
  <c r="V40" i="23"/>
  <c r="V112" i="23"/>
  <c r="V72" i="23"/>
  <c r="V50" i="23"/>
  <c r="V26" i="23"/>
  <c r="V23" i="23"/>
  <c r="V47" i="23"/>
  <c r="V51" i="23"/>
  <c r="V43" i="23"/>
  <c r="V56" i="23"/>
  <c r="V46" i="23"/>
  <c r="V106" i="23"/>
  <c r="V42" i="23"/>
  <c r="V96" i="23"/>
  <c r="V17" i="23"/>
  <c r="V85" i="23"/>
  <c r="V74" i="23"/>
  <c r="V83" i="23"/>
  <c r="V93" i="23"/>
  <c r="V89" i="23"/>
  <c r="V101" i="23"/>
  <c r="V125" i="23"/>
  <c r="V111" i="23"/>
  <c r="V129" i="23"/>
  <c r="V39" i="23"/>
  <c r="V133" i="23"/>
  <c r="V7" i="23"/>
  <c r="V54" i="23"/>
  <c r="V66" i="23"/>
  <c r="V104" i="23"/>
  <c r="V114" i="23"/>
  <c r="V118" i="23"/>
  <c r="V15" i="23"/>
  <c r="V20" i="23"/>
  <c r="V58" i="23"/>
  <c r="V63" i="23"/>
  <c r="V122" i="23"/>
  <c r="U162" i="18"/>
  <c r="V141" i="23"/>
  <c r="AJ144" i="23"/>
  <c r="N140" i="23"/>
  <c r="L144" i="23"/>
  <c r="AD140" i="23"/>
  <c r="AF141" i="23"/>
  <c r="V140" i="23"/>
  <c r="I144" i="23"/>
  <c r="AO140" i="23"/>
  <c r="AM144" i="23"/>
  <c r="C10" i="31"/>
  <c r="L38" i="25"/>
  <c r="K144" i="23" l="1"/>
  <c r="N38" i="25"/>
  <c r="T144" i="23"/>
  <c r="Q2" i="25"/>
  <c r="S144" i="23"/>
  <c r="S29" i="23"/>
  <c r="S146" i="23"/>
  <c r="S34" i="23"/>
  <c r="S31" i="23"/>
  <c r="S27" i="23"/>
  <c r="S35" i="23"/>
  <c r="S37" i="23"/>
  <c r="S25" i="23"/>
  <c r="S28" i="23"/>
  <c r="S36" i="23"/>
  <c r="R148" i="23"/>
  <c r="S33" i="23"/>
  <c r="S18" i="23"/>
  <c r="S30" i="23"/>
  <c r="S32" i="23"/>
  <c r="S142" i="23"/>
  <c r="S90" i="23"/>
  <c r="S49" i="23"/>
  <c r="S72" i="23"/>
  <c r="S22" i="23"/>
  <c r="S115" i="23"/>
  <c r="S46" i="23"/>
  <c r="S71" i="23"/>
  <c r="S98" i="23"/>
  <c r="S51" i="23"/>
  <c r="S91" i="23"/>
  <c r="S86" i="23"/>
  <c r="S8" i="23"/>
  <c r="S74" i="23"/>
  <c r="S12" i="23"/>
  <c r="S100" i="23"/>
  <c r="S40" i="23"/>
  <c r="S23" i="23"/>
  <c r="S41" i="23"/>
  <c r="S68" i="23"/>
  <c r="S43" i="23"/>
  <c r="S11" i="23"/>
  <c r="S13" i="23"/>
  <c r="S45" i="23"/>
  <c r="S21" i="23"/>
  <c r="S101" i="23"/>
  <c r="S48" i="23"/>
  <c r="S116" i="23"/>
  <c r="S97" i="23"/>
  <c r="S79" i="23"/>
  <c r="S47" i="23"/>
  <c r="S55" i="23"/>
  <c r="S67" i="23"/>
  <c r="S89" i="23"/>
  <c r="S44" i="23"/>
  <c r="S102" i="23"/>
  <c r="S127" i="23"/>
  <c r="S109" i="23"/>
  <c r="S50" i="23"/>
  <c r="S88" i="23"/>
  <c r="S77" i="23"/>
  <c r="S82" i="23"/>
  <c r="S85" i="23"/>
  <c r="S69" i="23"/>
  <c r="S134" i="23"/>
  <c r="S70" i="23"/>
  <c r="S73" i="23"/>
  <c r="S92" i="23"/>
  <c r="S26" i="23"/>
  <c r="S105" i="23"/>
  <c r="S96" i="23"/>
  <c r="S99" i="23"/>
  <c r="S130" i="23"/>
  <c r="S60" i="23"/>
  <c r="S135" i="23"/>
  <c r="S76" i="23"/>
  <c r="S80" i="23"/>
  <c r="S61" i="23"/>
  <c r="S52" i="23"/>
  <c r="S131" i="23"/>
  <c r="S9" i="23"/>
  <c r="S56" i="23"/>
  <c r="S94" i="23"/>
  <c r="S83" i="23"/>
  <c r="S112" i="23"/>
  <c r="S59" i="23"/>
  <c r="S81" i="23"/>
  <c r="S120" i="23"/>
  <c r="S136" i="23"/>
  <c r="S107" i="23"/>
  <c r="S16" i="23"/>
  <c r="S137" i="23"/>
  <c r="S87" i="23"/>
  <c r="S17" i="23"/>
  <c r="S75" i="23"/>
  <c r="S24" i="23"/>
  <c r="S78" i="23"/>
  <c r="S126" i="23"/>
  <c r="S42" i="23"/>
  <c r="S108" i="23"/>
  <c r="S10" i="23"/>
  <c r="S106" i="23"/>
  <c r="S84" i="23"/>
  <c r="S93" i="23"/>
  <c r="S119" i="23"/>
  <c r="S95" i="23"/>
  <c r="S7" i="23"/>
  <c r="S114" i="23"/>
  <c r="S129" i="23"/>
  <c r="S118" i="23"/>
  <c r="S104" i="23"/>
  <c r="S111" i="23"/>
  <c r="S125" i="23"/>
  <c r="S58" i="23"/>
  <c r="S54" i="23"/>
  <c r="S66" i="23"/>
  <c r="S133" i="23"/>
  <c r="S20" i="23"/>
  <c r="S39" i="23"/>
  <c r="S15" i="23"/>
  <c r="S122" i="23"/>
  <c r="R162" i="18"/>
  <c r="S63" i="23"/>
  <c r="S141" i="23"/>
  <c r="I146" i="23"/>
  <c r="S140" i="23"/>
  <c r="AC140" i="23"/>
  <c r="AA144" i="23"/>
  <c r="AC144" i="23" s="1"/>
  <c r="W144" i="23"/>
  <c r="AI140" i="23"/>
  <c r="AG144" i="23"/>
  <c r="AL144" i="23" s="1"/>
  <c r="F146" i="23"/>
  <c r="G144" i="23" s="1"/>
  <c r="H144" i="23"/>
  <c r="AJ146" i="23"/>
  <c r="AK144" i="23" s="1"/>
  <c r="L146" i="23"/>
  <c r="M144" i="23" s="1"/>
  <c r="N144" i="23"/>
  <c r="O146" i="23"/>
  <c r="P144" i="23" s="1"/>
  <c r="Q144" i="23"/>
  <c r="AM146" i="23"/>
  <c r="AN144" i="23" s="1"/>
  <c r="AO144" i="23"/>
  <c r="N18" i="25"/>
  <c r="N19" i="25"/>
  <c r="N34" i="25"/>
  <c r="N30" i="25"/>
  <c r="N36" i="25"/>
  <c r="N29" i="25"/>
  <c r="N27" i="25"/>
  <c r="N14" i="25"/>
  <c r="N16" i="25"/>
  <c r="N28" i="25"/>
  <c r="N15" i="25"/>
  <c r="N35" i="25"/>
  <c r="N26" i="25"/>
  <c r="N17" i="25"/>
  <c r="N20" i="25"/>
  <c r="N31" i="25"/>
  <c r="M1" i="25"/>
  <c r="N37" i="25"/>
  <c r="AF140" i="23"/>
  <c r="AD144" i="23"/>
  <c r="W146" i="23"/>
  <c r="Y36" i="23"/>
  <c r="Y31" i="23"/>
  <c r="Y28" i="23"/>
  <c r="Y18" i="23"/>
  <c r="Y34" i="23"/>
  <c r="Y30" i="23"/>
  <c r="Y29" i="23"/>
  <c r="X148" i="23"/>
  <c r="Y146" i="23"/>
  <c r="Y32" i="23"/>
  <c r="Y37" i="23"/>
  <c r="Z146" i="23"/>
  <c r="Y35" i="23"/>
  <c r="Y33" i="23"/>
  <c r="Y27" i="23"/>
  <c r="Y8" i="23"/>
  <c r="Y98" i="23"/>
  <c r="Y102" i="23"/>
  <c r="Y83" i="23"/>
  <c r="Y82" i="23"/>
  <c r="Y131" i="23"/>
  <c r="Y10" i="23"/>
  <c r="Y100" i="23"/>
  <c r="Y70" i="23"/>
  <c r="Y135" i="23"/>
  <c r="Y25" i="23"/>
  <c r="Y49" i="23"/>
  <c r="Y136" i="23"/>
  <c r="Y81" i="23"/>
  <c r="Y78" i="23"/>
  <c r="Y92" i="23"/>
  <c r="Y85" i="23"/>
  <c r="Y43" i="23"/>
  <c r="Y119" i="23"/>
  <c r="Y80" i="23"/>
  <c r="Y45" i="23"/>
  <c r="Y75" i="23"/>
  <c r="Y99" i="23"/>
  <c r="Y59" i="23"/>
  <c r="Y69" i="23"/>
  <c r="Y47" i="23"/>
  <c r="Y16" i="23"/>
  <c r="Y94" i="23"/>
  <c r="Y26" i="23"/>
  <c r="Y79" i="23"/>
  <c r="Y112" i="23"/>
  <c r="Y95" i="23"/>
  <c r="Y68" i="23"/>
  <c r="Y24" i="23"/>
  <c r="Y106" i="23"/>
  <c r="Y61" i="23"/>
  <c r="Y56" i="23"/>
  <c r="Y17" i="23"/>
  <c r="Y84" i="23"/>
  <c r="Y77" i="23"/>
  <c r="Y71" i="23"/>
  <c r="Y72" i="23"/>
  <c r="Y107" i="23"/>
  <c r="Y89" i="23"/>
  <c r="Y9" i="23"/>
  <c r="Y42" i="23"/>
  <c r="Y13" i="23"/>
  <c r="Y22" i="23"/>
  <c r="Y44" i="23"/>
  <c r="Y60" i="23"/>
  <c r="Y86" i="23"/>
  <c r="Y90" i="23"/>
  <c r="Y74" i="23"/>
  <c r="Y88" i="23"/>
  <c r="Y51" i="23"/>
  <c r="Y115" i="23"/>
  <c r="Y130" i="23"/>
  <c r="Y105" i="23"/>
  <c r="Y97" i="23"/>
  <c r="Y108" i="23"/>
  <c r="Y41" i="23"/>
  <c r="Y137" i="23"/>
  <c r="Y91" i="23"/>
  <c r="Y96" i="23"/>
  <c r="Y134" i="23"/>
  <c r="Y116" i="23"/>
  <c r="Y127" i="23"/>
  <c r="Y73" i="23"/>
  <c r="Y23" i="23"/>
  <c r="Y52" i="23"/>
  <c r="Y55" i="23"/>
  <c r="Y93" i="23"/>
  <c r="Y76" i="23"/>
  <c r="Y126" i="23"/>
  <c r="Y50" i="23"/>
  <c r="Y120" i="23"/>
  <c r="Y109" i="23"/>
  <c r="Y142" i="23"/>
  <c r="Y101" i="23"/>
  <c r="Y40" i="23"/>
  <c r="Y87" i="23"/>
  <c r="Y21" i="23"/>
  <c r="Y67" i="23"/>
  <c r="Y48" i="23"/>
  <c r="Y12" i="23"/>
  <c r="Y11" i="23"/>
  <c r="Y46" i="23"/>
  <c r="Y114" i="23"/>
  <c r="Y111" i="23"/>
  <c r="Y125" i="23"/>
  <c r="Y129" i="23"/>
  <c r="Y58" i="23"/>
  <c r="Y7" i="23"/>
  <c r="Y118" i="23"/>
  <c r="Y39" i="23"/>
  <c r="Y66" i="23"/>
  <c r="Y54" i="23"/>
  <c r="Y20" i="23"/>
  <c r="Y104" i="23"/>
  <c r="Y15" i="23"/>
  <c r="Y133" i="23"/>
  <c r="Y63" i="23"/>
  <c r="Y122" i="23"/>
  <c r="X162" i="18"/>
  <c r="Y141" i="23"/>
  <c r="Y140" i="23"/>
  <c r="AA146" i="23" l="1"/>
  <c r="AB144" i="23" s="1"/>
  <c r="AN33" i="23"/>
  <c r="AN35" i="23"/>
  <c r="AN30" i="23"/>
  <c r="AN27" i="23"/>
  <c r="AN36" i="23"/>
  <c r="AN32" i="23"/>
  <c r="AM148" i="23"/>
  <c r="AO146" i="23"/>
  <c r="AN28" i="23"/>
  <c r="AN31" i="23"/>
  <c r="AN34" i="23"/>
  <c r="AN29" i="23"/>
  <c r="AN37" i="23"/>
  <c r="AN18" i="23"/>
  <c r="AN146" i="23"/>
  <c r="AN94" i="23"/>
  <c r="AN126" i="23"/>
  <c r="AN135" i="23"/>
  <c r="AN68" i="23"/>
  <c r="AN82" i="23"/>
  <c r="AN99" i="23"/>
  <c r="AN17" i="23"/>
  <c r="AN96" i="23"/>
  <c r="AN61" i="23"/>
  <c r="AN21" i="23"/>
  <c r="AN91" i="23"/>
  <c r="AN101" i="23"/>
  <c r="AN119" i="23"/>
  <c r="AN42" i="23"/>
  <c r="AN56" i="23"/>
  <c r="AN85" i="23"/>
  <c r="AN76" i="23"/>
  <c r="AN112" i="23"/>
  <c r="AN11" i="23"/>
  <c r="AN95" i="23"/>
  <c r="AN44" i="23"/>
  <c r="AN72" i="23"/>
  <c r="AN80" i="23"/>
  <c r="AN77" i="23"/>
  <c r="AN13" i="23"/>
  <c r="AN75" i="23"/>
  <c r="AN109" i="23"/>
  <c r="AN131" i="23"/>
  <c r="AN23" i="23"/>
  <c r="AN24" i="23"/>
  <c r="AN74" i="23"/>
  <c r="AN84" i="23"/>
  <c r="AN106" i="23"/>
  <c r="AN70" i="23"/>
  <c r="AN25" i="23"/>
  <c r="AN69" i="23"/>
  <c r="AN8" i="23"/>
  <c r="AN79" i="23"/>
  <c r="AN60" i="23"/>
  <c r="AN100" i="23"/>
  <c r="AN107" i="23"/>
  <c r="AN136" i="23"/>
  <c r="AN130" i="23"/>
  <c r="AN137" i="23"/>
  <c r="AN46" i="23"/>
  <c r="AN26" i="23"/>
  <c r="AN120" i="23"/>
  <c r="AN134" i="23"/>
  <c r="AN55" i="23"/>
  <c r="AN22" i="23"/>
  <c r="AN67" i="23"/>
  <c r="AN48" i="23"/>
  <c r="AN89" i="23"/>
  <c r="AN90" i="23"/>
  <c r="AN9" i="23"/>
  <c r="AN115" i="23"/>
  <c r="AN45" i="23"/>
  <c r="AN105" i="23"/>
  <c r="AN16" i="23"/>
  <c r="AN93" i="23"/>
  <c r="AN52" i="23"/>
  <c r="AN50" i="23"/>
  <c r="AN43" i="23"/>
  <c r="AN10" i="23"/>
  <c r="AN81" i="23"/>
  <c r="AN92" i="23"/>
  <c r="AN86" i="23"/>
  <c r="AN73" i="23"/>
  <c r="AN49" i="23"/>
  <c r="AN87" i="23"/>
  <c r="AN41" i="23"/>
  <c r="AN116" i="23"/>
  <c r="AN98" i="23"/>
  <c r="AN40" i="23"/>
  <c r="AN127" i="23"/>
  <c r="AN59" i="23"/>
  <c r="AN71" i="23"/>
  <c r="AN78" i="23"/>
  <c r="AN83" i="23"/>
  <c r="AN12" i="23"/>
  <c r="AN108" i="23"/>
  <c r="AN97" i="23"/>
  <c r="AN51" i="23"/>
  <c r="AN142" i="23"/>
  <c r="AN102" i="23"/>
  <c r="AN88" i="23"/>
  <c r="AN47" i="23"/>
  <c r="AN129" i="23"/>
  <c r="AN39" i="23"/>
  <c r="AN114" i="23"/>
  <c r="AN7" i="23"/>
  <c r="AN125" i="23"/>
  <c r="AN15" i="23"/>
  <c r="AN118" i="23"/>
  <c r="AN20" i="23"/>
  <c r="AN58" i="23"/>
  <c r="AN66" i="23"/>
  <c r="AN54" i="23"/>
  <c r="AN133" i="23"/>
  <c r="AN104" i="23"/>
  <c r="AN111" i="23"/>
  <c r="AN63" i="23"/>
  <c r="AN122" i="23"/>
  <c r="AM162" i="18"/>
  <c r="AN141" i="23"/>
  <c r="AN140" i="23"/>
  <c r="T146" i="23"/>
  <c r="AK35" i="23"/>
  <c r="AK33" i="23"/>
  <c r="AK146" i="23"/>
  <c r="AJ148" i="23"/>
  <c r="AK28" i="23"/>
  <c r="AK44" i="23"/>
  <c r="AK27" i="23"/>
  <c r="AK34" i="23"/>
  <c r="AK45" i="23"/>
  <c r="AK30" i="23"/>
  <c r="AK31" i="23"/>
  <c r="AK29" i="23"/>
  <c r="AK37" i="23"/>
  <c r="AK32" i="23"/>
  <c r="AK18" i="23"/>
  <c r="AK36" i="23"/>
  <c r="AK68" i="23"/>
  <c r="AK55" i="23"/>
  <c r="AK47" i="23"/>
  <c r="AK61" i="23"/>
  <c r="AK77" i="23"/>
  <c r="AK94" i="23"/>
  <c r="AK83" i="23"/>
  <c r="AK79" i="23"/>
  <c r="AK86" i="23"/>
  <c r="AK52" i="23"/>
  <c r="AK105" i="23"/>
  <c r="AK88" i="23"/>
  <c r="AK102" i="23"/>
  <c r="AK99" i="23"/>
  <c r="AK75" i="23"/>
  <c r="AK107" i="23"/>
  <c r="AK112" i="23"/>
  <c r="AK108" i="23"/>
  <c r="AK106" i="23"/>
  <c r="AK89" i="23"/>
  <c r="AK135" i="23"/>
  <c r="AK96" i="23"/>
  <c r="AK41" i="23"/>
  <c r="AK69" i="23"/>
  <c r="AK10" i="23"/>
  <c r="AK49" i="23"/>
  <c r="AK95" i="23"/>
  <c r="AK120" i="23"/>
  <c r="AK93" i="23"/>
  <c r="AK23" i="23"/>
  <c r="AK80" i="23"/>
  <c r="AK17" i="23"/>
  <c r="AK13" i="23"/>
  <c r="AK42" i="23"/>
  <c r="AK97" i="23"/>
  <c r="AK56" i="23"/>
  <c r="AK115" i="23"/>
  <c r="AK11" i="23"/>
  <c r="AK43" i="23"/>
  <c r="AK74" i="23"/>
  <c r="AK131" i="23"/>
  <c r="AK71" i="23"/>
  <c r="AK21" i="23"/>
  <c r="AK26" i="23"/>
  <c r="AK16" i="23"/>
  <c r="AK127" i="23"/>
  <c r="AK126" i="23"/>
  <c r="AK81" i="23"/>
  <c r="AK12" i="23"/>
  <c r="AK40" i="23"/>
  <c r="AK92" i="23"/>
  <c r="AK100" i="23"/>
  <c r="AK90" i="23"/>
  <c r="AK46" i="23"/>
  <c r="AK137" i="23"/>
  <c r="AK87" i="23"/>
  <c r="AK48" i="23"/>
  <c r="AK142" i="23"/>
  <c r="AK78" i="23"/>
  <c r="AK60" i="23"/>
  <c r="AK84" i="23"/>
  <c r="AK134" i="23"/>
  <c r="AK73" i="23"/>
  <c r="AK98" i="23"/>
  <c r="AK82" i="23"/>
  <c r="AK9" i="23"/>
  <c r="AK59" i="23"/>
  <c r="AK119" i="23"/>
  <c r="AK70" i="23"/>
  <c r="AK8" i="23"/>
  <c r="AK109" i="23"/>
  <c r="AK116" i="23"/>
  <c r="AK136" i="23"/>
  <c r="AK76" i="23"/>
  <c r="AK51" i="23"/>
  <c r="AK24" i="23"/>
  <c r="AK22" i="23"/>
  <c r="AK130" i="23"/>
  <c r="AK85" i="23"/>
  <c r="AK72" i="23"/>
  <c r="AK101" i="23"/>
  <c r="AK67" i="23"/>
  <c r="AK50" i="23"/>
  <c r="AK25" i="23"/>
  <c r="AK91" i="23"/>
  <c r="AK66" i="23"/>
  <c r="AK129" i="23"/>
  <c r="AK125" i="23"/>
  <c r="AK7" i="23"/>
  <c r="AK111" i="23"/>
  <c r="AK58" i="23"/>
  <c r="AK39" i="23"/>
  <c r="AK54" i="23"/>
  <c r="AK104" i="23"/>
  <c r="AK133" i="23"/>
  <c r="AK15" i="23"/>
  <c r="AK114" i="23"/>
  <c r="AK118" i="23"/>
  <c r="AK20" i="23"/>
  <c r="AK63" i="23"/>
  <c r="AJ162" i="18"/>
  <c r="AK122" i="23"/>
  <c r="AK141" i="23"/>
  <c r="AK140" i="23"/>
  <c r="AD146" i="23"/>
  <c r="AE144" i="23" s="1"/>
  <c r="AF144" i="23"/>
  <c r="P37" i="23"/>
  <c r="P35" i="23"/>
  <c r="P27" i="23"/>
  <c r="P36" i="23"/>
  <c r="P146" i="23"/>
  <c r="O148" i="23"/>
  <c r="P33" i="23"/>
  <c r="P34" i="23"/>
  <c r="P25" i="23"/>
  <c r="P32" i="23"/>
  <c r="P29" i="23"/>
  <c r="P18" i="23"/>
  <c r="P30" i="23"/>
  <c r="P31" i="23"/>
  <c r="Q146" i="23"/>
  <c r="P28" i="23"/>
  <c r="P98" i="23"/>
  <c r="P43" i="23"/>
  <c r="P10" i="23"/>
  <c r="P13" i="23"/>
  <c r="P22" i="23"/>
  <c r="P86" i="23"/>
  <c r="P73" i="23"/>
  <c r="P74" i="23"/>
  <c r="P52" i="23"/>
  <c r="P89" i="23"/>
  <c r="P127" i="23"/>
  <c r="P109" i="23"/>
  <c r="P99" i="23"/>
  <c r="P42" i="23"/>
  <c r="P116" i="23"/>
  <c r="P93" i="23"/>
  <c r="P100" i="23"/>
  <c r="P56" i="23"/>
  <c r="P108" i="23"/>
  <c r="P91" i="23"/>
  <c r="P49" i="23"/>
  <c r="P23" i="23"/>
  <c r="P77" i="23"/>
  <c r="P70" i="23"/>
  <c r="P60" i="23"/>
  <c r="P101" i="23"/>
  <c r="P76" i="23"/>
  <c r="P134" i="23"/>
  <c r="P47" i="23"/>
  <c r="P71" i="23"/>
  <c r="P130" i="23"/>
  <c r="P26" i="23"/>
  <c r="P79" i="23"/>
  <c r="P126" i="23"/>
  <c r="P87" i="23"/>
  <c r="P82" i="23"/>
  <c r="P12" i="23"/>
  <c r="P59" i="23"/>
  <c r="P48" i="23"/>
  <c r="P8" i="23"/>
  <c r="P96" i="23"/>
  <c r="P88" i="23"/>
  <c r="P135" i="23"/>
  <c r="P95" i="23"/>
  <c r="P97" i="23"/>
  <c r="P120" i="23"/>
  <c r="P11" i="23"/>
  <c r="P40" i="23"/>
  <c r="P46" i="23"/>
  <c r="P67" i="23"/>
  <c r="P106" i="23"/>
  <c r="P21" i="23"/>
  <c r="P68" i="23"/>
  <c r="P55" i="23"/>
  <c r="P119" i="23"/>
  <c r="P45" i="23"/>
  <c r="P78" i="23"/>
  <c r="P51" i="23"/>
  <c r="P112" i="23"/>
  <c r="P75" i="23"/>
  <c r="P85" i="23"/>
  <c r="P136" i="23"/>
  <c r="P50" i="23"/>
  <c r="P137" i="23"/>
  <c r="P105" i="23"/>
  <c r="P115" i="23"/>
  <c r="P17" i="23"/>
  <c r="P102" i="23"/>
  <c r="P41" i="23"/>
  <c r="P131" i="23"/>
  <c r="P69" i="23"/>
  <c r="P24" i="23"/>
  <c r="P83" i="23"/>
  <c r="P9" i="23"/>
  <c r="P94" i="23"/>
  <c r="P142" i="23"/>
  <c r="P84" i="23"/>
  <c r="P61" i="23"/>
  <c r="P16" i="23"/>
  <c r="P107" i="23"/>
  <c r="P90" i="23"/>
  <c r="P92" i="23"/>
  <c r="P44" i="23"/>
  <c r="P81" i="23"/>
  <c r="P72" i="23"/>
  <c r="P80" i="23"/>
  <c r="P104" i="23"/>
  <c r="P66" i="23"/>
  <c r="P39" i="23"/>
  <c r="P114" i="23"/>
  <c r="P20" i="23"/>
  <c r="P15" i="23"/>
  <c r="P58" i="23"/>
  <c r="P54" i="23"/>
  <c r="P129" i="23"/>
  <c r="P7" i="23"/>
  <c r="P125" i="23"/>
  <c r="P133" i="23"/>
  <c r="P111" i="23"/>
  <c r="P118" i="23"/>
  <c r="O162" i="18"/>
  <c r="P122" i="23"/>
  <c r="P63" i="23"/>
  <c r="P141" i="23"/>
  <c r="P140" i="23"/>
  <c r="G130" i="23"/>
  <c r="G35" i="23"/>
  <c r="G146" i="23"/>
  <c r="G31" i="23"/>
  <c r="G37" i="23"/>
  <c r="G29" i="23"/>
  <c r="G28" i="23"/>
  <c r="G33" i="23"/>
  <c r="G36" i="23"/>
  <c r="G32" i="23"/>
  <c r="G18" i="23"/>
  <c r="H146" i="23"/>
  <c r="G27" i="23"/>
  <c r="G30" i="23"/>
  <c r="G34" i="23"/>
  <c r="F148" i="23"/>
  <c r="G105" i="23"/>
  <c r="G136" i="23"/>
  <c r="G44" i="23"/>
  <c r="G73" i="23"/>
  <c r="G119" i="23"/>
  <c r="G45" i="23"/>
  <c r="G47" i="23"/>
  <c r="G134" i="23"/>
  <c r="G137" i="23"/>
  <c r="G59" i="23"/>
  <c r="G17" i="23"/>
  <c r="G97" i="23"/>
  <c r="G107" i="23"/>
  <c r="G91" i="23"/>
  <c r="G76" i="23"/>
  <c r="G84" i="23"/>
  <c r="G100" i="23"/>
  <c r="G67" i="23"/>
  <c r="G112" i="23"/>
  <c r="G9" i="23"/>
  <c r="G81" i="23"/>
  <c r="G49" i="23"/>
  <c r="G85" i="23"/>
  <c r="G52" i="23"/>
  <c r="G8" i="23"/>
  <c r="G94" i="23"/>
  <c r="G61" i="23"/>
  <c r="G51" i="23"/>
  <c r="G90" i="23"/>
  <c r="G25" i="23"/>
  <c r="G56" i="23"/>
  <c r="G80" i="23"/>
  <c r="G41" i="23"/>
  <c r="G98" i="23"/>
  <c r="G42" i="23"/>
  <c r="G46" i="23"/>
  <c r="G50" i="23"/>
  <c r="G71" i="23"/>
  <c r="G55" i="23"/>
  <c r="G21" i="23"/>
  <c r="G126" i="23"/>
  <c r="G70" i="23"/>
  <c r="G106" i="23"/>
  <c r="G12" i="23"/>
  <c r="G69" i="23"/>
  <c r="G131" i="23"/>
  <c r="G83" i="23"/>
  <c r="G60" i="23"/>
  <c r="G79" i="23"/>
  <c r="G109" i="23"/>
  <c r="G22" i="23"/>
  <c r="G99" i="23"/>
  <c r="G142" i="23"/>
  <c r="G78" i="23"/>
  <c r="G82" i="23"/>
  <c r="G11" i="23"/>
  <c r="G16" i="23"/>
  <c r="G108" i="23"/>
  <c r="G13" i="23"/>
  <c r="G96" i="23"/>
  <c r="G89" i="23"/>
  <c r="G72" i="23"/>
  <c r="G24" i="23"/>
  <c r="G77" i="23"/>
  <c r="G95" i="23"/>
  <c r="G116" i="23"/>
  <c r="G86" i="23"/>
  <c r="G26" i="23"/>
  <c r="G74" i="23"/>
  <c r="G75" i="23"/>
  <c r="G88" i="23"/>
  <c r="G68" i="23"/>
  <c r="G101" i="23"/>
  <c r="G23" i="23"/>
  <c r="G135" i="23"/>
  <c r="G40" i="23"/>
  <c r="G48" i="23"/>
  <c r="G120" i="23"/>
  <c r="G87" i="23"/>
  <c r="G102" i="23"/>
  <c r="G92" i="23"/>
  <c r="G115" i="23"/>
  <c r="G93" i="23"/>
  <c r="G127" i="23"/>
  <c r="G10" i="23"/>
  <c r="G43" i="23"/>
  <c r="G7" i="23"/>
  <c r="G58" i="23"/>
  <c r="G20" i="23"/>
  <c r="G66" i="23"/>
  <c r="G118" i="23"/>
  <c r="G125" i="23"/>
  <c r="G54" i="23"/>
  <c r="E66" i="23"/>
  <c r="G111" i="23"/>
  <c r="G133" i="23"/>
  <c r="G104" i="23"/>
  <c r="G15" i="23"/>
  <c r="G39" i="23"/>
  <c r="G129" i="23"/>
  <c r="G114" i="23"/>
  <c r="G63" i="23"/>
  <c r="G122" i="23"/>
  <c r="F162" i="18"/>
  <c r="G141" i="23"/>
  <c r="G140" i="23"/>
  <c r="AG146" i="23"/>
  <c r="AL146" i="23" s="1"/>
  <c r="AI144" i="23"/>
  <c r="M27" i="23"/>
  <c r="L148" i="23"/>
  <c r="M28" i="23"/>
  <c r="M37" i="23"/>
  <c r="M36" i="23"/>
  <c r="M18" i="23"/>
  <c r="M26" i="23"/>
  <c r="M30" i="23"/>
  <c r="M34" i="23"/>
  <c r="M35" i="23"/>
  <c r="M32" i="23"/>
  <c r="M33" i="23"/>
  <c r="M146" i="23"/>
  <c r="M25" i="23"/>
  <c r="M29" i="23"/>
  <c r="M31" i="23"/>
  <c r="N146" i="23"/>
  <c r="M71" i="23"/>
  <c r="M102" i="23"/>
  <c r="M9" i="23"/>
  <c r="M108" i="23"/>
  <c r="M136" i="23"/>
  <c r="M84" i="23"/>
  <c r="M17" i="23"/>
  <c r="M70" i="23"/>
  <c r="M107" i="23"/>
  <c r="M126" i="23"/>
  <c r="M40" i="23"/>
  <c r="M95" i="23"/>
  <c r="M77" i="23"/>
  <c r="M127" i="23"/>
  <c r="M23" i="23"/>
  <c r="M131" i="23"/>
  <c r="M142" i="23"/>
  <c r="M56" i="23"/>
  <c r="M87" i="23"/>
  <c r="M115" i="23"/>
  <c r="M67" i="23"/>
  <c r="M74" i="23"/>
  <c r="M61" i="23"/>
  <c r="M45" i="23"/>
  <c r="M137" i="23"/>
  <c r="M73" i="23"/>
  <c r="M21" i="23"/>
  <c r="M94" i="23"/>
  <c r="M92" i="23"/>
  <c r="M13" i="23"/>
  <c r="M51" i="23"/>
  <c r="M43" i="23"/>
  <c r="M97" i="23"/>
  <c r="M96" i="23"/>
  <c r="M68" i="23"/>
  <c r="M16" i="23"/>
  <c r="M135" i="23"/>
  <c r="M69" i="23"/>
  <c r="M42" i="23"/>
  <c r="M83" i="23"/>
  <c r="M12" i="23"/>
  <c r="M47" i="23"/>
  <c r="M130" i="23"/>
  <c r="M50" i="23"/>
  <c r="M91" i="23"/>
  <c r="M88" i="23"/>
  <c r="M109" i="23"/>
  <c r="M72" i="23"/>
  <c r="M134" i="23"/>
  <c r="M105" i="23"/>
  <c r="M60" i="23"/>
  <c r="M81" i="23"/>
  <c r="M93" i="23"/>
  <c r="M8" i="23"/>
  <c r="M106" i="23"/>
  <c r="M82" i="23"/>
  <c r="M120" i="23"/>
  <c r="M52" i="23"/>
  <c r="M46" i="23"/>
  <c r="M78" i="23"/>
  <c r="M100" i="23"/>
  <c r="M98" i="23"/>
  <c r="M41" i="23"/>
  <c r="M101" i="23"/>
  <c r="M99" i="23"/>
  <c r="M119" i="23"/>
  <c r="M112" i="23"/>
  <c r="M89" i="23"/>
  <c r="M79" i="23"/>
  <c r="M44" i="23"/>
  <c r="M75" i="23"/>
  <c r="M86" i="23"/>
  <c r="M116" i="23"/>
  <c r="M22" i="23"/>
  <c r="M85" i="23"/>
  <c r="M11" i="23"/>
  <c r="M76" i="23"/>
  <c r="M10" i="23"/>
  <c r="M24" i="23"/>
  <c r="M90" i="23"/>
  <c r="M49" i="23"/>
  <c r="M59" i="23"/>
  <c r="M55" i="23"/>
  <c r="M80" i="23"/>
  <c r="M48" i="23"/>
  <c r="M58" i="23"/>
  <c r="M66" i="23"/>
  <c r="M125" i="23"/>
  <c r="M20" i="23"/>
  <c r="M129" i="23"/>
  <c r="M111" i="23"/>
  <c r="M133" i="23"/>
  <c r="M104" i="23"/>
  <c r="M39" i="23"/>
  <c r="M54" i="23"/>
  <c r="M118" i="23"/>
  <c r="M15" i="23"/>
  <c r="M7" i="23"/>
  <c r="M114" i="23"/>
  <c r="L162" i="18"/>
  <c r="M122" i="23"/>
  <c r="M63" i="23"/>
  <c r="M141" i="23"/>
  <c r="M140" i="23"/>
  <c r="J144" i="23"/>
  <c r="J37" i="23"/>
  <c r="J32" i="23"/>
  <c r="J28" i="23"/>
  <c r="J29" i="23"/>
  <c r="J27" i="23"/>
  <c r="I148" i="23"/>
  <c r="J25" i="23"/>
  <c r="J33" i="23"/>
  <c r="J18" i="23"/>
  <c r="J35" i="23"/>
  <c r="J34" i="23"/>
  <c r="J30" i="23"/>
  <c r="J36" i="23"/>
  <c r="J31" i="23"/>
  <c r="J146" i="23"/>
  <c r="K146" i="23"/>
  <c r="J73" i="23"/>
  <c r="J16" i="23"/>
  <c r="J95" i="23"/>
  <c r="J13" i="23"/>
  <c r="J135" i="23"/>
  <c r="J9" i="23"/>
  <c r="J71" i="23"/>
  <c r="J22" i="23"/>
  <c r="J42" i="23"/>
  <c r="J81" i="23"/>
  <c r="J85" i="23"/>
  <c r="J69" i="23"/>
  <c r="J56" i="23"/>
  <c r="J101" i="23"/>
  <c r="J47" i="23"/>
  <c r="J44" i="23"/>
  <c r="J142" i="23"/>
  <c r="J97" i="23"/>
  <c r="J40" i="23"/>
  <c r="J107" i="23"/>
  <c r="J86" i="23"/>
  <c r="J130" i="23"/>
  <c r="J24" i="23"/>
  <c r="J75" i="23"/>
  <c r="J12" i="23"/>
  <c r="J88" i="23"/>
  <c r="J92" i="23"/>
  <c r="J126" i="23"/>
  <c r="J70" i="23"/>
  <c r="J87" i="23"/>
  <c r="J72" i="23"/>
  <c r="J90" i="23"/>
  <c r="J115" i="23"/>
  <c r="J100" i="23"/>
  <c r="J51" i="23"/>
  <c r="J21" i="23"/>
  <c r="J89" i="23"/>
  <c r="J76" i="23"/>
  <c r="J106" i="23"/>
  <c r="J127" i="23"/>
  <c r="J59" i="23"/>
  <c r="J17" i="23"/>
  <c r="J99" i="23"/>
  <c r="J94" i="23"/>
  <c r="J82" i="23"/>
  <c r="J112" i="23"/>
  <c r="J136" i="23"/>
  <c r="J8" i="23"/>
  <c r="J77" i="23"/>
  <c r="J84" i="23"/>
  <c r="J116" i="23"/>
  <c r="J119" i="23"/>
  <c r="J43" i="23"/>
  <c r="J45" i="23"/>
  <c r="J98" i="23"/>
  <c r="J96" i="23"/>
  <c r="J102" i="23"/>
  <c r="J41" i="23"/>
  <c r="J78" i="23"/>
  <c r="J10" i="23"/>
  <c r="J46" i="23"/>
  <c r="J120" i="23"/>
  <c r="J80" i="23"/>
  <c r="J109" i="23"/>
  <c r="J48" i="23"/>
  <c r="J91" i="23"/>
  <c r="J83" i="23"/>
  <c r="J67" i="23"/>
  <c r="J23" i="23"/>
  <c r="J105" i="23"/>
  <c r="J11" i="23"/>
  <c r="J93" i="23"/>
  <c r="J68" i="23"/>
  <c r="J74" i="23"/>
  <c r="J137" i="23"/>
  <c r="J52" i="23"/>
  <c r="J26" i="23"/>
  <c r="J60" i="23"/>
  <c r="J61" i="23"/>
  <c r="J131" i="23"/>
  <c r="J134" i="23"/>
  <c r="J108" i="23"/>
  <c r="J49" i="23"/>
  <c r="J50" i="23"/>
  <c r="J55" i="23"/>
  <c r="J79" i="23"/>
  <c r="J118" i="23"/>
  <c r="J58" i="23"/>
  <c r="J133" i="23"/>
  <c r="J15" i="23"/>
  <c r="J114" i="23"/>
  <c r="J7" i="23"/>
  <c r="J111" i="23"/>
  <c r="J125" i="23"/>
  <c r="J20" i="23"/>
  <c r="J66" i="23"/>
  <c r="J129" i="23"/>
  <c r="J54" i="23"/>
  <c r="J104" i="23"/>
  <c r="J39" i="23"/>
  <c r="J63" i="23"/>
  <c r="I162" i="18"/>
  <c r="J122" i="23"/>
  <c r="J141" i="23"/>
  <c r="J140" i="23"/>
  <c r="AB131" i="23" l="1"/>
  <c r="AB108" i="23"/>
  <c r="AB136" i="23"/>
  <c r="AB66" i="23"/>
  <c r="AB81" i="23"/>
  <c r="AB80" i="23"/>
  <c r="AB135" i="23"/>
  <c r="AB18" i="23"/>
  <c r="AB45" i="23"/>
  <c r="AB105" i="23"/>
  <c r="AB127" i="23"/>
  <c r="AB115" i="23"/>
  <c r="AB69" i="23"/>
  <c r="AB11" i="23"/>
  <c r="AB101" i="23"/>
  <c r="AB36" i="23"/>
  <c r="AA162" i="18"/>
  <c r="AB61" i="23"/>
  <c r="AB23" i="23"/>
  <c r="AB12" i="23"/>
  <c r="AB29" i="23"/>
  <c r="AB129" i="23"/>
  <c r="AB52" i="23"/>
  <c r="AB44" i="23"/>
  <c r="AB17" i="23"/>
  <c r="AB35" i="23"/>
  <c r="AB7" i="23"/>
  <c r="AB55" i="23"/>
  <c r="AB130" i="23"/>
  <c r="AB26" i="23"/>
  <c r="AB54" i="23"/>
  <c r="AB86" i="23"/>
  <c r="AB87" i="23"/>
  <c r="AB94" i="23"/>
  <c r="AB39" i="23"/>
  <c r="AB24" i="23"/>
  <c r="AB42" i="23"/>
  <c r="AB50" i="23"/>
  <c r="AB134" i="23"/>
  <c r="AB51" i="23"/>
  <c r="AB82" i="23"/>
  <c r="AB22" i="23"/>
  <c r="AB137" i="23"/>
  <c r="AC146" i="23"/>
  <c r="AB30" i="23"/>
  <c r="AB104" i="23"/>
  <c r="AB9" i="23"/>
  <c r="AB89" i="23"/>
  <c r="AB74" i="23"/>
  <c r="AB67" i="23"/>
  <c r="AB73" i="23"/>
  <c r="AB68" i="23"/>
  <c r="AB95" i="23"/>
  <c r="AB77" i="23"/>
  <c r="AB34" i="23"/>
  <c r="AB37" i="23"/>
  <c r="AB122" i="23"/>
  <c r="AB20" i="23"/>
  <c r="AB60" i="23"/>
  <c r="AB59" i="23"/>
  <c r="AB49" i="23"/>
  <c r="AB100" i="23"/>
  <c r="AB79" i="23"/>
  <c r="AB8" i="23"/>
  <c r="AB70" i="23"/>
  <c r="AB71" i="23"/>
  <c r="AB31" i="23"/>
  <c r="AB32" i="23"/>
  <c r="AB140" i="23"/>
  <c r="AB63" i="23"/>
  <c r="AB15" i="23"/>
  <c r="AB46" i="23"/>
  <c r="AB84" i="23"/>
  <c r="AB10" i="23"/>
  <c r="AB142" i="23"/>
  <c r="AB93" i="23"/>
  <c r="AB75" i="23"/>
  <c r="AB98" i="23"/>
  <c r="AB120" i="23"/>
  <c r="AB146" i="23"/>
  <c r="AB125" i="23"/>
  <c r="AB133" i="23"/>
  <c r="AB83" i="23"/>
  <c r="AB40" i="23"/>
  <c r="AB85" i="23"/>
  <c r="AB21" i="23"/>
  <c r="AB112" i="23"/>
  <c r="AB126" i="23"/>
  <c r="AB96" i="23"/>
  <c r="AB56" i="23"/>
  <c r="AB33" i="23"/>
  <c r="AB114" i="23"/>
  <c r="AB118" i="23"/>
  <c r="AB76" i="23"/>
  <c r="AB78" i="23"/>
  <c r="AB88" i="23"/>
  <c r="AB97" i="23"/>
  <c r="AB16" i="23"/>
  <c r="AB92" i="23"/>
  <c r="AB25" i="23"/>
  <c r="AB102" i="23"/>
  <c r="AB106" i="23"/>
  <c r="AB13" i="23"/>
  <c r="AB72" i="23"/>
  <c r="AB27" i="23"/>
  <c r="AB28" i="23"/>
  <c r="AB141" i="23"/>
  <c r="AB58" i="23"/>
  <c r="AB111" i="23"/>
  <c r="AB41" i="23"/>
  <c r="AB109" i="23"/>
  <c r="AB48" i="23"/>
  <c r="AB91" i="23"/>
  <c r="AB99" i="23"/>
  <c r="AB119" i="23"/>
  <c r="AB116" i="23"/>
  <c r="AB107" i="23"/>
  <c r="AB43" i="23"/>
  <c r="AB90" i="23"/>
  <c r="AB47" i="23"/>
  <c r="AA148" i="23"/>
  <c r="AH144" i="23"/>
  <c r="AD148" i="23"/>
  <c r="AE31" i="23"/>
  <c r="AE34" i="23"/>
  <c r="AE30" i="23"/>
  <c r="AE36" i="23"/>
  <c r="AE146" i="23"/>
  <c r="AE37" i="23"/>
  <c r="AE18" i="23"/>
  <c r="AE32" i="23"/>
  <c r="AE35" i="23"/>
  <c r="AE27" i="23"/>
  <c r="AE33" i="23"/>
  <c r="AE29" i="23"/>
  <c r="AE28" i="23"/>
  <c r="AF146" i="23"/>
  <c r="AE24" i="23"/>
  <c r="AE115" i="23"/>
  <c r="AE82" i="23"/>
  <c r="AE17" i="23"/>
  <c r="AE126" i="23"/>
  <c r="AE55" i="23"/>
  <c r="AE105" i="23"/>
  <c r="AE26" i="23"/>
  <c r="AE109" i="23"/>
  <c r="AE75" i="23"/>
  <c r="AE8" i="23"/>
  <c r="AE72" i="23"/>
  <c r="AE61" i="23"/>
  <c r="AE91" i="23"/>
  <c r="AE142" i="23"/>
  <c r="AE22" i="23"/>
  <c r="AE102" i="23"/>
  <c r="AE9" i="23"/>
  <c r="AE80" i="23"/>
  <c r="AE21" i="23"/>
  <c r="AE87" i="23"/>
  <c r="AE81" i="23"/>
  <c r="AE60" i="23"/>
  <c r="AE108" i="23"/>
  <c r="AE90" i="23"/>
  <c r="AE40" i="23"/>
  <c r="AE12" i="23"/>
  <c r="AE73" i="23"/>
  <c r="AE43" i="23"/>
  <c r="AE100" i="23"/>
  <c r="AE42" i="23"/>
  <c r="AE97" i="23"/>
  <c r="AE23" i="23"/>
  <c r="AE116" i="23"/>
  <c r="AE99" i="23"/>
  <c r="AE135" i="23"/>
  <c r="AE49" i="23"/>
  <c r="AE89" i="23"/>
  <c r="AE59" i="23"/>
  <c r="AE79" i="23"/>
  <c r="AE93" i="23"/>
  <c r="AE48" i="23"/>
  <c r="AE76" i="23"/>
  <c r="AE77" i="23"/>
  <c r="AE83" i="23"/>
  <c r="AE119" i="23"/>
  <c r="AE41" i="23"/>
  <c r="AE85" i="23"/>
  <c r="AE78" i="23"/>
  <c r="AE130" i="23"/>
  <c r="AE51" i="23"/>
  <c r="AE131" i="23"/>
  <c r="AE74" i="23"/>
  <c r="AE71" i="23"/>
  <c r="AE92" i="23"/>
  <c r="AE98" i="23"/>
  <c r="AE95" i="23"/>
  <c r="AE68" i="23"/>
  <c r="AE47" i="23"/>
  <c r="AE11" i="23"/>
  <c r="AE56" i="23"/>
  <c r="AE136" i="23"/>
  <c r="AE50" i="23"/>
  <c r="AE69" i="23"/>
  <c r="AE25" i="23"/>
  <c r="AE120" i="23"/>
  <c r="AE13" i="23"/>
  <c r="AE86" i="23"/>
  <c r="AE70" i="23"/>
  <c r="AE127" i="23"/>
  <c r="AE52" i="23"/>
  <c r="AE112" i="23"/>
  <c r="AE16" i="23"/>
  <c r="AE137" i="23"/>
  <c r="AE106" i="23"/>
  <c r="AE88" i="23"/>
  <c r="AE67" i="23"/>
  <c r="AE107" i="23"/>
  <c r="AE45" i="23"/>
  <c r="AE94" i="23"/>
  <c r="AE134" i="23"/>
  <c r="AE46" i="23"/>
  <c r="AE44" i="23"/>
  <c r="AE84" i="23"/>
  <c r="AE10" i="23"/>
  <c r="AE96" i="23"/>
  <c r="AE101" i="23"/>
  <c r="AE54" i="23"/>
  <c r="AE111" i="23"/>
  <c r="AE133" i="23"/>
  <c r="AE7" i="23"/>
  <c r="AE104" i="23"/>
  <c r="AE39" i="23"/>
  <c r="AE125" i="23"/>
  <c r="AE118" i="23"/>
  <c r="AE15" i="23"/>
  <c r="AE129" i="23"/>
  <c r="AE58" i="23"/>
  <c r="AE114" i="23"/>
  <c r="AE66" i="23"/>
  <c r="AE20" i="23"/>
  <c r="AD162" i="18"/>
  <c r="AE63" i="23"/>
  <c r="AE122" i="23"/>
  <c r="AE141" i="23"/>
  <c r="AE140" i="23"/>
  <c r="AH18" i="23"/>
  <c r="AH34" i="23"/>
  <c r="AH35" i="23"/>
  <c r="AH146" i="23"/>
  <c r="AH32" i="23"/>
  <c r="AH37" i="23"/>
  <c r="AG148" i="23"/>
  <c r="AH31" i="23"/>
  <c r="AH33" i="23"/>
  <c r="AH36" i="23"/>
  <c r="AH27" i="23"/>
  <c r="AI146" i="23"/>
  <c r="AH29" i="23"/>
  <c r="AH30" i="23"/>
  <c r="AH28" i="23"/>
  <c r="AH135" i="23"/>
  <c r="AH93" i="23"/>
  <c r="AH73" i="23"/>
  <c r="AH78" i="23"/>
  <c r="AH120" i="23"/>
  <c r="AH92" i="23"/>
  <c r="AH131" i="23"/>
  <c r="AH130" i="23"/>
  <c r="AH142" i="23"/>
  <c r="AH67" i="23"/>
  <c r="AH108" i="23"/>
  <c r="AH76" i="23"/>
  <c r="AH69" i="23"/>
  <c r="AH25" i="23"/>
  <c r="AH52" i="23"/>
  <c r="AH94" i="23"/>
  <c r="AH87" i="23"/>
  <c r="AH91" i="23"/>
  <c r="AH112" i="23"/>
  <c r="AH116" i="23"/>
  <c r="AH101" i="23"/>
  <c r="AH13" i="23"/>
  <c r="AH44" i="23"/>
  <c r="AH51" i="23"/>
  <c r="AH42" i="23"/>
  <c r="AH88" i="23"/>
  <c r="AH95" i="23"/>
  <c r="AH59" i="23"/>
  <c r="AH17" i="23"/>
  <c r="AH86" i="23"/>
  <c r="AH81" i="23"/>
  <c r="AH75" i="23"/>
  <c r="AH70" i="23"/>
  <c r="AH47" i="23"/>
  <c r="AH77" i="23"/>
  <c r="AH61" i="23"/>
  <c r="AH99" i="23"/>
  <c r="AH40" i="23"/>
  <c r="AH46" i="23"/>
  <c r="AH126" i="23"/>
  <c r="AH85" i="23"/>
  <c r="AH49" i="23"/>
  <c r="AH50" i="23"/>
  <c r="AH134" i="23"/>
  <c r="AH48" i="23"/>
  <c r="AH16" i="23"/>
  <c r="AH11" i="23"/>
  <c r="AH24" i="23"/>
  <c r="AH22" i="23"/>
  <c r="AH100" i="23"/>
  <c r="AH45" i="23"/>
  <c r="AH41" i="23"/>
  <c r="AH79" i="23"/>
  <c r="AH90" i="23"/>
  <c r="AH55" i="23"/>
  <c r="AH10" i="23"/>
  <c r="AH23" i="23"/>
  <c r="AH105" i="23"/>
  <c r="AH127" i="23"/>
  <c r="AH98" i="23"/>
  <c r="AH82" i="23"/>
  <c r="AH119" i="23"/>
  <c r="AH74" i="23"/>
  <c r="AH107" i="23"/>
  <c r="AH43" i="23"/>
  <c r="AH97" i="23"/>
  <c r="AH102" i="23"/>
  <c r="AH9" i="23"/>
  <c r="AH83" i="23"/>
  <c r="AH136" i="23"/>
  <c r="AH84" i="23"/>
  <c r="AH80" i="23"/>
  <c r="AH60" i="23"/>
  <c r="AH72" i="23"/>
  <c r="AH56" i="23"/>
  <c r="AH68" i="23"/>
  <c r="AH12" i="23"/>
  <c r="AH137" i="23"/>
  <c r="AH96" i="23"/>
  <c r="AH21" i="23"/>
  <c r="AH89" i="23"/>
  <c r="AH8" i="23"/>
  <c r="AH71" i="23"/>
  <c r="AH26" i="23"/>
  <c r="AH106" i="23"/>
  <c r="AH115" i="23"/>
  <c r="AH109" i="23"/>
  <c r="AH125" i="23"/>
  <c r="AH104" i="23"/>
  <c r="AH54" i="23"/>
  <c r="AH7" i="23"/>
  <c r="AH129" i="23"/>
  <c r="AH118" i="23"/>
  <c r="AH20" i="23"/>
  <c r="AH111" i="23"/>
  <c r="AH114" i="23"/>
  <c r="AH66" i="23"/>
  <c r="AH15" i="23"/>
  <c r="AH39" i="23"/>
  <c r="AH58" i="23"/>
  <c r="AH133" i="23"/>
  <c r="AH63" i="23"/>
  <c r="AG162" i="18"/>
  <c r="AH122" i="23"/>
  <c r="AH141" i="23"/>
  <c r="AH140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tc={6B9D0EDC-9F1D-4565-8069-C1A0925A3B12}</author>
    <author>tc={495325F3-2032-401E-BB22-0D6BBBE326C0}</author>
    <author>tc={E3AB28A8-0D5A-4363-8002-FE72F5962705}</author>
    <author>tc={42EF2908-6761-4170-BE37-8575FB39BB2F}</author>
  </authors>
  <commentList>
    <comment ref="Q6" authorId="0" shapeId="0" xr:uid="{6B9D0EDC-9F1D-4565-8069-C1A0925A3B1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 cada 1 real de dividas a curto prazo, a empresa possui 1,40 para honrar com tais obrigações</t>
      </text>
    </comment>
    <comment ref="Q11" authorId="1" shapeId="0" xr:uid="{495325F3-2032-401E-BB22-0D6BBBE326C0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A cada 1 real de dividas a curto prazo, a empresa possui 1,06 para honrar suas obrigações sem o estoque
</t>
      </text>
    </comment>
    <comment ref="Q15" authorId="2" shapeId="0" xr:uid="{E3AB28A8-0D5A-4363-8002-FE72F596270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 cada 1 real de dividas a curto prazo, a empresa possui 0,47 para honrar suas obrigações sem o estoque</t>
      </text>
    </comment>
    <comment ref="Q20" authorId="3" shapeId="0" xr:uid="{42EF2908-6761-4170-BE37-8575FB39BB2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 cada 1 real de dividas a curto prazo e longo prazo, a empresa possui 1,56 para honrar suas obrigações</t>
      </text>
    </comment>
  </commentList>
</comments>
</file>

<file path=xl/sharedStrings.xml><?xml version="1.0" encoding="utf-8"?>
<sst xmlns="http://schemas.openxmlformats.org/spreadsheetml/2006/main" count="9723" uniqueCount="858">
  <si>
    <t>DESCRIÇÃO</t>
  </si>
  <si>
    <t>TP</t>
  </si>
  <si>
    <t>NV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</si>
  <si>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</si>
  <si>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</si>
  <si>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</si>
  <si>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</si>
  <si>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</si>
  <si>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</si>
  <si>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</si>
  <si>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</si>
  <si>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</si>
  <si>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</si>
  <si>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</si>
  <si>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</si>
  <si>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ATIVO</t>
  </si>
  <si>
    <t>A</t>
  </si>
  <si>
    <t>PASSIVO</t>
  </si>
  <si>
    <t>RECEITAS</t>
  </si>
  <si>
    <t>R</t>
  </si>
  <si>
    <t>C</t>
  </si>
  <si>
    <t xml:space="preserve">  </t>
  </si>
  <si>
    <t>Check</t>
  </si>
  <si>
    <t>CONTA</t>
  </si>
  <si>
    <t>SALDO
ANTERIOR</t>
  </si>
  <si>
    <t>DÉBITO</t>
  </si>
  <si>
    <t>CRÉDITO</t>
  </si>
  <si>
    <t>MOVIMENTO</t>
  </si>
  <si>
    <t>SALDO
ATUAL</t>
  </si>
  <si>
    <t>CHK</t>
  </si>
  <si>
    <t>BALANÇO PATRIMONIAL - Em Reais</t>
  </si>
  <si>
    <t>Circulante</t>
  </si>
  <si>
    <t>Caixa e equivalentes de caixa</t>
  </si>
  <si>
    <t>Estoques</t>
  </si>
  <si>
    <t>Não circulante</t>
  </si>
  <si>
    <t>Imobilizado</t>
  </si>
  <si>
    <t>ANTERIOR</t>
  </si>
  <si>
    <t>TOTAL DO ATIVO</t>
  </si>
  <si>
    <t>AC1</t>
  </si>
  <si>
    <t>AC2</t>
  </si>
  <si>
    <t>AC3</t>
  </si>
  <si>
    <t>AC4</t>
  </si>
  <si>
    <t>AC5</t>
  </si>
  <si>
    <t>AC6</t>
  </si>
  <si>
    <t>DC</t>
  </si>
  <si>
    <t>DIFERENÇA</t>
  </si>
  <si>
    <t>SALDO FINAL
ANTERIOR</t>
  </si>
  <si>
    <t>% V</t>
  </si>
  <si>
    <t>% H</t>
  </si>
  <si>
    <t>TOTAL DO PASSIVO</t>
  </si>
  <si>
    <t>PC1</t>
  </si>
  <si>
    <t>PC2</t>
  </si>
  <si>
    <t>PC3</t>
  </si>
  <si>
    <t>PC4</t>
  </si>
  <si>
    <t>PC5</t>
  </si>
  <si>
    <t>PC6</t>
  </si>
  <si>
    <t>Fornecedores</t>
  </si>
  <si>
    <t>Empréstimos e financiamentos</t>
  </si>
  <si>
    <t>Obrigações tributárias</t>
  </si>
  <si>
    <t>Capital social</t>
  </si>
  <si>
    <t>Patrimônio líquido</t>
  </si>
  <si>
    <t>PL1</t>
  </si>
  <si>
    <t>PL2</t>
  </si>
  <si>
    <t>Check (Ativo X Passivo)</t>
  </si>
  <si>
    <t>DEMONSTRAÇÃO DO RESULTADO - Em Reais</t>
  </si>
  <si>
    <t>Lucro Bruto</t>
  </si>
  <si>
    <t>R10</t>
  </si>
  <si>
    <t>R11</t>
  </si>
  <si>
    <t>Resultado financeiro</t>
  </si>
  <si>
    <t>Receitas financeiras</t>
  </si>
  <si>
    <t>Despesas financeiras</t>
  </si>
  <si>
    <t>R12</t>
  </si>
  <si>
    <t>R13</t>
  </si>
  <si>
    <t>BALANÇO PATRIMONIAL</t>
  </si>
  <si>
    <t>DEMONSTRAÇÃO DO RESULTADO DO PERÍODO</t>
  </si>
  <si>
    <t>Lucro bruto</t>
  </si>
  <si>
    <t>Não Circulante</t>
  </si>
  <si>
    <t>Total do Ativo</t>
  </si>
  <si>
    <t>Total do Passivo + Patrimônio Líquido</t>
  </si>
  <si>
    <t>DATA</t>
  </si>
  <si>
    <t>PERÍODO</t>
  </si>
  <si>
    <t>S/A</t>
  </si>
  <si>
    <t>Despesas administrativas</t>
  </si>
  <si>
    <t>Outras receitas / (despesas) operacionais</t>
  </si>
  <si>
    <t>Lucro operacional</t>
  </si>
  <si>
    <t>Resultado líquido financeiro</t>
  </si>
  <si>
    <t>Demais despesas / receitas operacionais</t>
  </si>
  <si>
    <t>Impostos e contribuições a recuperar</t>
  </si>
  <si>
    <t>Obrigações trabalhistas e previdenciárias</t>
  </si>
  <si>
    <t>Outras contas a pagar</t>
  </si>
  <si>
    <t>Depósitos judiciais</t>
  </si>
  <si>
    <t>AN3</t>
  </si>
  <si>
    <t>AN1</t>
  </si>
  <si>
    <t>AN2</t>
  </si>
  <si>
    <t>PN4</t>
  </si>
  <si>
    <t>PN1</t>
  </si>
  <si>
    <t>PN3</t>
  </si>
  <si>
    <t>PN2</t>
  </si>
  <si>
    <t>Resultado líquido do mês</t>
  </si>
  <si>
    <t>Contas a receber</t>
  </si>
  <si>
    <t>Outros valores a receber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</si>
  <si>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</si>
  <si>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</si>
  <si>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</si>
  <si>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</si>
  <si>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</si>
  <si>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</si>
  <si>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</si>
  <si>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</si>
  <si>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</si>
  <si>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PASSIVO &amp; PATRIMÔNIO LÍQUIDO</t>
  </si>
  <si>
    <t>CUSTOS &amp; DESPESAS</t>
  </si>
  <si>
    <t>EBTIDA</t>
  </si>
  <si>
    <t>ANUAL</t>
  </si>
  <si>
    <t>DRE / EBTIDA (Movimento Mensal) - Em Reais</t>
  </si>
  <si>
    <t>EBTIDA  (%)</t>
  </si>
  <si>
    <t>P</t>
  </si>
  <si>
    <t>AN4</t>
  </si>
  <si>
    <t>AN5</t>
  </si>
  <si>
    <t>Transações com partes relacionadas</t>
  </si>
  <si>
    <t>Passivos contingentes</t>
  </si>
  <si>
    <t>RESULTADO DO PERÍODO</t>
  </si>
  <si>
    <t>PN5</t>
  </si>
  <si>
    <t>Outras Receitas / (Despesas) Operacionais</t>
  </si>
  <si>
    <t>AV</t>
  </si>
  <si>
    <t>Liquidez corrente</t>
  </si>
  <si>
    <t>Liquidez seca</t>
  </si>
  <si>
    <t>Margem contribuição</t>
  </si>
  <si>
    <t>Margem líquida</t>
  </si>
  <si>
    <t>Margem Ebitda</t>
  </si>
  <si>
    <t>ROIC (lucro / capital)</t>
  </si>
  <si>
    <t>Margem operacional</t>
  </si>
  <si>
    <t>ROE (lucro/PL)</t>
  </si>
  <si>
    <t>PME</t>
  </si>
  <si>
    <t>PMR</t>
  </si>
  <si>
    <t>PMP</t>
  </si>
  <si>
    <t>NCG (Ciclo financeiro)</t>
  </si>
  <si>
    <t>Resultado líquido no mês</t>
  </si>
  <si>
    <t>Aplicações financeiras</t>
  </si>
  <si>
    <t>Adiantamentos</t>
  </si>
  <si>
    <t>Despesas antecipadas</t>
  </si>
  <si>
    <t>AC7</t>
  </si>
  <si>
    <t>AC8</t>
  </si>
  <si>
    <t>AN6</t>
  </si>
  <si>
    <t>Adiantamento de clientes</t>
  </si>
  <si>
    <t>Receita bruta de vendas e serviços</t>
  </si>
  <si>
    <t>Despesas com pessoal</t>
  </si>
  <si>
    <t>Despesas com terceiros</t>
  </si>
  <si>
    <t>Despsas comerciais</t>
  </si>
  <si>
    <t>Despesas tributárias</t>
  </si>
  <si>
    <t>Despesas de depreciação e amortização</t>
  </si>
  <si>
    <t>Receita líquida de vendas e serviços</t>
  </si>
  <si>
    <t>Custos dos produtos e serviços vendidos</t>
  </si>
  <si>
    <t>Custos dos produtos vendidos</t>
  </si>
  <si>
    <t>(em Reais)</t>
  </si>
  <si>
    <t>(-) Impostos sobre vendas</t>
  </si>
  <si>
    <t>MATERIAL DE ESCRITÓRIO</t>
  </si>
  <si>
    <t>Provisão de contribuição social e imposto de renda</t>
  </si>
  <si>
    <t>Contribuição social</t>
  </si>
  <si>
    <t>Imposto de renda</t>
  </si>
  <si>
    <t>R14</t>
  </si>
  <si>
    <t>Resultado do exercício</t>
  </si>
  <si>
    <t>Adiantamento para aumento de capital</t>
  </si>
  <si>
    <t>PL3</t>
  </si>
  <si>
    <t>SEED ACC Consultoria Contábil e Tributária Ltda</t>
  </si>
  <si>
    <t>CRC/RJ 5.845/O-8</t>
  </si>
  <si>
    <t>CNPJ: 13.889.587/0001-83</t>
  </si>
  <si>
    <t>Despesas comerciais</t>
  </si>
  <si>
    <t>REDUZIDO</t>
  </si>
  <si>
    <t>3.2.1.06.0015</t>
  </si>
  <si>
    <t>Impostos e taxas</t>
  </si>
  <si>
    <t>Jonathan Ventura de Sá</t>
  </si>
  <si>
    <t>Contador CRC/RJ 123930/O-4</t>
  </si>
  <si>
    <t>CPF 128.005.047-06</t>
  </si>
  <si>
    <t>Lucros ou Prejuizos acumulados</t>
  </si>
  <si>
    <t>1.1.01.01.001</t>
  </si>
  <si>
    <t>1.1.01.01.002</t>
  </si>
  <si>
    <t>1.1.01.02.006</t>
  </si>
  <si>
    <t>1.1.01.04.002</t>
  </si>
  <si>
    <t>1.1.03.01.001</t>
  </si>
  <si>
    <t>VALORES A IDENTIFICAR - MATRIZ</t>
  </si>
  <si>
    <t>1.2.03.01.004</t>
  </si>
  <si>
    <t>1.2.03.01.005</t>
  </si>
  <si>
    <t>1.2.03.01.006</t>
  </si>
  <si>
    <t>1.2.03.01.008</t>
  </si>
  <si>
    <t>1.2.03.01.010</t>
  </si>
  <si>
    <t>1.2.03.02.001</t>
  </si>
  <si>
    <t>1.2.03.02.003</t>
  </si>
  <si>
    <t>1.2.03.02.004</t>
  </si>
  <si>
    <t>1.2.03.02.005</t>
  </si>
  <si>
    <t>1.2.03.02.006</t>
  </si>
  <si>
    <t>2.1.03.01.001</t>
  </si>
  <si>
    <t>2.1.03.01.002</t>
  </si>
  <si>
    <t>2.3.01.01.001</t>
  </si>
  <si>
    <t>3.1.01.06.001</t>
  </si>
  <si>
    <t>4.1.01.01.001</t>
  </si>
  <si>
    <t>FGTS</t>
  </si>
  <si>
    <t>1.1</t>
  </si>
  <si>
    <t>ATIVO CIRCULANTE</t>
  </si>
  <si>
    <t>1.1.01</t>
  </si>
  <si>
    <t>DISPONÍVEL</t>
  </si>
  <si>
    <t>1.1.01.01</t>
  </si>
  <si>
    <t>1.1.01.02</t>
  </si>
  <si>
    <t>1.1.01.04</t>
  </si>
  <si>
    <t>1.1.02</t>
  </si>
  <si>
    <t>1.1.02.02</t>
  </si>
  <si>
    <t>1.1.03</t>
  </si>
  <si>
    <t>ESTOQUES</t>
  </si>
  <si>
    <t>1.1.03.01</t>
  </si>
  <si>
    <t>1.1.05</t>
  </si>
  <si>
    <t>1.1.05.01</t>
  </si>
  <si>
    <t>1.2</t>
  </si>
  <si>
    <t>PERMANENTE</t>
  </si>
  <si>
    <t>1.2.03</t>
  </si>
  <si>
    <t>1.2.03.01</t>
  </si>
  <si>
    <t>1.2.03.02</t>
  </si>
  <si>
    <t>2.1</t>
  </si>
  <si>
    <t>PASSIVO CIRCULANTE</t>
  </si>
  <si>
    <t>2.1.02</t>
  </si>
  <si>
    <t>2.1.02.01</t>
  </si>
  <si>
    <t>2.1.02.04</t>
  </si>
  <si>
    <t>2.1.03</t>
  </si>
  <si>
    <t>2.1.03.01</t>
  </si>
  <si>
    <t>2.1.03.02</t>
  </si>
  <si>
    <t>2.1.05</t>
  </si>
  <si>
    <t>2.1.05.01</t>
  </si>
  <si>
    <t>2.2</t>
  </si>
  <si>
    <t>PASSIVO NÃO CIRCULANTE</t>
  </si>
  <si>
    <t>2.3</t>
  </si>
  <si>
    <t>2.3.01</t>
  </si>
  <si>
    <t>2.3.01.01</t>
  </si>
  <si>
    <t>3.1</t>
  </si>
  <si>
    <t>3.1.01</t>
  </si>
  <si>
    <t>3.1.01.06</t>
  </si>
  <si>
    <t>4.1</t>
  </si>
  <si>
    <t>4.1.01</t>
  </si>
  <si>
    <t>4.1.01.01</t>
  </si>
  <si>
    <t>4.1.02</t>
  </si>
  <si>
    <t>4.1.02.01</t>
  </si>
  <si>
    <t>Colocar no check list que precisa da emissão das notas todo mês</t>
  </si>
  <si>
    <t xml:space="preserve">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</si>
  <si>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</si>
  <si>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</si>
  <si>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</si>
  <si>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Relatório de caixa</t>
  </si>
  <si>
    <t>Pontuar inventário físico</t>
  </si>
  <si>
    <t>Consórcio</t>
  </si>
  <si>
    <t>Ativo Circulante</t>
  </si>
  <si>
    <t>Passivo Circulante</t>
  </si>
  <si>
    <t xml:space="preserve">Liquidez Seca = </t>
  </si>
  <si>
    <t>(Ativo Circulante-Estoques)</t>
  </si>
  <si>
    <t>Disponível</t>
  </si>
  <si>
    <t xml:space="preserve">Liquidez Geral = </t>
  </si>
  <si>
    <t>(Passivo Circulante + Passivo Não circulante)</t>
  </si>
  <si>
    <t>Janeiro</t>
  </si>
  <si>
    <t>Fevereiro</t>
  </si>
  <si>
    <t>Março</t>
  </si>
  <si>
    <t>Abril</t>
  </si>
  <si>
    <t>Maio</t>
  </si>
  <si>
    <t>Junho</t>
  </si>
  <si>
    <t xml:space="preserve">Liquidez Imediata = </t>
  </si>
  <si>
    <t>Liquidez Corrente =</t>
  </si>
  <si>
    <t>ÍNDICES</t>
  </si>
  <si>
    <t>(Ativo Circulante + Realizavel a Longo prazo)</t>
  </si>
  <si>
    <t>2.1.03.01.003</t>
  </si>
  <si>
    <t>julho</t>
  </si>
  <si>
    <t>agosto</t>
  </si>
  <si>
    <t>setembro</t>
  </si>
  <si>
    <t>outubro</t>
  </si>
  <si>
    <t>iremos circularizar com os advogados para fechar dezembro correto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</si>
  <si>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</si>
  <si>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novembro</t>
  </si>
  <si>
    <t>dezembro</t>
  </si>
  <si>
    <t>Fundo Fixo</t>
  </si>
  <si>
    <t>Caixa Pequeno</t>
  </si>
  <si>
    <t>1.1.01.01.003</t>
  </si>
  <si>
    <t>Caixa Pequeno Bradesco Loja</t>
  </si>
  <si>
    <t>1.1.01.02.002</t>
  </si>
  <si>
    <t>Bradesco AG. 227 C/C 115400-1</t>
  </si>
  <si>
    <t>Itaú AG. 0389 C/C 09889-8</t>
  </si>
  <si>
    <t>1.1.01.02.007</t>
  </si>
  <si>
    <t>Itaú AG. 0389 C/C 99755-2</t>
  </si>
  <si>
    <t>1.1.01.02.008</t>
  </si>
  <si>
    <t>Bradesco AG. 227 C/C 27527-1</t>
  </si>
  <si>
    <t>Aplicação Bradesco C/C 115400-1</t>
  </si>
  <si>
    <t>1.1.01.04.004</t>
  </si>
  <si>
    <t>Bradesco - Poupança Fácil 115400-1</t>
  </si>
  <si>
    <t>1.1.01.04.008</t>
  </si>
  <si>
    <t>Aplicação Itaú C/C 09889-8</t>
  </si>
  <si>
    <t>1.1.01.04.010</t>
  </si>
  <si>
    <t>Aplicação Bradesco C/C 27527-1</t>
  </si>
  <si>
    <t>1.1.02.02.004</t>
  </si>
  <si>
    <t>Venda de Mercadorias</t>
  </si>
  <si>
    <t>Adiantamentos a Fornecedores</t>
  </si>
  <si>
    <t>1.1.03.01.006</t>
  </si>
  <si>
    <t>Antecipação de Férias</t>
  </si>
  <si>
    <t>1.1.03.02.007</t>
  </si>
  <si>
    <t>INSS a Recuperar</t>
  </si>
  <si>
    <t>1.1.05.01.001</t>
  </si>
  <si>
    <t>Prêmios de Seguros a Apropriar</t>
  </si>
  <si>
    <t>1.2.01.02.001</t>
  </si>
  <si>
    <t>Depósitos Judiciais</t>
  </si>
  <si>
    <t>1.2.02.01.002</t>
  </si>
  <si>
    <t>Imóveis Próprios</t>
  </si>
  <si>
    <t>1.2.02.01.003</t>
  </si>
  <si>
    <t>Ajuste Valor Justo</t>
  </si>
  <si>
    <t>1.2.02.02.001</t>
  </si>
  <si>
    <t>Obras de Arte</t>
  </si>
  <si>
    <t>1.2.02.03.001</t>
  </si>
  <si>
    <t>Fundo de Investimento</t>
  </si>
  <si>
    <t>1.2.03.01.001</t>
  </si>
  <si>
    <t>Terrenos</t>
  </si>
  <si>
    <t>1.2.03.01.002</t>
  </si>
  <si>
    <t>Imóveis</t>
  </si>
  <si>
    <t>Instalações</t>
  </si>
  <si>
    <t>Máquinas e Equipamentos</t>
  </si>
  <si>
    <t>Equipamentos de Informática</t>
  </si>
  <si>
    <t>1.2.03.01.007</t>
  </si>
  <si>
    <t>Equipamentos de Comunicação</t>
  </si>
  <si>
    <t>Móveis e Utensílios</t>
  </si>
  <si>
    <t>Softwares</t>
  </si>
  <si>
    <t>1.2.03.01.011</t>
  </si>
  <si>
    <t>Equipamentos Médicos</t>
  </si>
  <si>
    <t>1.2.03.02.007</t>
  </si>
  <si>
    <t>1.2.03.02.009</t>
  </si>
  <si>
    <t>1.2.03.02.010</t>
  </si>
  <si>
    <t>2.1.01.01.001</t>
  </si>
  <si>
    <t>Salários a Pagar</t>
  </si>
  <si>
    <t>2.1.01.01.002</t>
  </si>
  <si>
    <t>Recisões a Pagar</t>
  </si>
  <si>
    <t>2.1.01.01.004</t>
  </si>
  <si>
    <t>Pensão Alimenticia</t>
  </si>
  <si>
    <t>2.1.01.02.001</t>
  </si>
  <si>
    <t>Provisões de 13º Salário a Pagar</t>
  </si>
  <si>
    <t>2.1.01.03.001</t>
  </si>
  <si>
    <t>Provisões de Férias a Pagar</t>
  </si>
  <si>
    <t>2.1.01.04.001</t>
  </si>
  <si>
    <t>INSS - FOPAG e Contribuinte Individual a Recolher</t>
  </si>
  <si>
    <t>2.1.01.04.002</t>
  </si>
  <si>
    <t>INSS - Cessão Mão de Obra a Recolher</t>
  </si>
  <si>
    <t>2.1.01.06.001</t>
  </si>
  <si>
    <t>FGTS s/FOPAG a Pagar</t>
  </si>
  <si>
    <t>2.1.01.06.002</t>
  </si>
  <si>
    <t>PIS s/FOPAG a Pagar</t>
  </si>
  <si>
    <t>2.1.02.01.001</t>
  </si>
  <si>
    <t>2.1.02.04.001</t>
  </si>
  <si>
    <t>Procedimentos Clínicos e Hospitalares a Pagar</t>
  </si>
  <si>
    <t>IRRF - Pessoa Juridica a Recolher</t>
  </si>
  <si>
    <t>IRRF - FOPAG a Recolher</t>
  </si>
  <si>
    <t>IRRF S/Trab. Sem Vínc. Empreg.</t>
  </si>
  <si>
    <t>2.1.03.01.005</t>
  </si>
  <si>
    <t>COFINS/CSLL/PIS/PASEP a Recolher</t>
  </si>
  <si>
    <t>2.1.03.01.006</t>
  </si>
  <si>
    <t>ISSQN - Pessoas Jurídicas a Recolher</t>
  </si>
  <si>
    <t>2.1.03.02.003</t>
  </si>
  <si>
    <t>ICMS a Recolher</t>
  </si>
  <si>
    <t>2.1.05.01.003</t>
  </si>
  <si>
    <t>Cartão de Crédito a Pagar</t>
  </si>
  <si>
    <t>2.1.06.01.002</t>
  </si>
  <si>
    <t>Adiantamento de Clientes</t>
  </si>
  <si>
    <t>2.2.04.01.003</t>
  </si>
  <si>
    <t>Provisões Trabalhistas</t>
  </si>
  <si>
    <t>2.2.04.01.004</t>
  </si>
  <si>
    <t>Provisões Cíveis</t>
  </si>
  <si>
    <t>Patrimônio Social</t>
  </si>
  <si>
    <t>2.3.01.04.002</t>
  </si>
  <si>
    <t>Défict do Exercício</t>
  </si>
  <si>
    <t>Atendimento Ambulatorial Gratuito</t>
  </si>
  <si>
    <t>3.1.03.01.001</t>
  </si>
  <si>
    <t>Pessoas Jurídicas</t>
  </si>
  <si>
    <t>3.1.03.01.002</t>
  </si>
  <si>
    <t>Pessoas Físicas</t>
  </si>
  <si>
    <t>3.1.03.01.003</t>
  </si>
  <si>
    <t>Doações Internacionais</t>
  </si>
  <si>
    <t>3.1.03.01.005</t>
  </si>
  <si>
    <t>Doação Patrimonial</t>
  </si>
  <si>
    <t>3.1.03.02.001</t>
  </si>
  <si>
    <t>Serviços Voluntários Obtidos</t>
  </si>
  <si>
    <t>3.1.06.01.004</t>
  </si>
  <si>
    <t>Recuperação de Vale Transporte</t>
  </si>
  <si>
    <t>3.1.06.01.006</t>
  </si>
  <si>
    <t>Recuperação de Assistência Médica</t>
  </si>
  <si>
    <t>3.4.01.01.001</t>
  </si>
  <si>
    <t>3.4.02.01.001</t>
  </si>
  <si>
    <t>Descontos Concedidos Incondic.</t>
  </si>
  <si>
    <t>3.4.02.02.001</t>
  </si>
  <si>
    <t>Cancelamentos e Devoluções</t>
  </si>
  <si>
    <t>3.4.03.01.002</t>
  </si>
  <si>
    <t>Contrato Atípico Fixo</t>
  </si>
  <si>
    <t>3.4.03.01.003</t>
  </si>
  <si>
    <t>Contrato Atípico Variável</t>
  </si>
  <si>
    <t>3.5.02.01.004</t>
  </si>
  <si>
    <t>Descontos Obtidos</t>
  </si>
  <si>
    <t>3.5.03.01.001</t>
  </si>
  <si>
    <t>Rendimentos de Aplic. Financeiras</t>
  </si>
  <si>
    <t>3.6.03.01.001</t>
  </si>
  <si>
    <t>Condenações Pecuniárias - TJRJ</t>
  </si>
  <si>
    <t>4.1.01.04.001</t>
  </si>
  <si>
    <t>Medicamentos</t>
  </si>
  <si>
    <t>4.1.01.04.002</t>
  </si>
  <si>
    <t>Materiais Hospitalares</t>
  </si>
  <si>
    <t>4.1.01.04.005</t>
  </si>
  <si>
    <t>Materiais Diversos</t>
  </si>
  <si>
    <t>4.1.01.05.006</t>
  </si>
  <si>
    <t>Serviços de Manutenção e Reparos</t>
  </si>
  <si>
    <t>4.1.01.05.008</t>
  </si>
  <si>
    <t>Serviço Hospitalar e Clínico</t>
  </si>
  <si>
    <t>4.1.01.05.016</t>
  </si>
  <si>
    <t>Serviços Prestados Pessoa Física</t>
  </si>
  <si>
    <t>4.1.01.05.017</t>
  </si>
  <si>
    <t>Serviços de Assistência Familiar</t>
  </si>
  <si>
    <t>4.1.01.06.001</t>
  </si>
  <si>
    <t>Materiais e Medicamentos</t>
  </si>
  <si>
    <t>4.1.01.06.002</t>
  </si>
  <si>
    <t>Gêneros Alimentícios</t>
  </si>
  <si>
    <t>4.1.01.06.003</t>
  </si>
  <si>
    <t>Conduções</t>
  </si>
  <si>
    <t>4.1.01.06.005</t>
  </si>
  <si>
    <t>Materiais e Suprimentos</t>
  </si>
  <si>
    <t>4.1.01.07.001</t>
  </si>
  <si>
    <t>Direito de Uso - Software</t>
  </si>
  <si>
    <t>4.1.02.01.011</t>
  </si>
  <si>
    <t>Atendimento Hospitalar Gratuito - CSV</t>
  </si>
  <si>
    <t>4.1.02.01.013</t>
  </si>
  <si>
    <t>Atendimento Hospitalar Particular - CSV</t>
  </si>
  <si>
    <t>4.4.01.01.001</t>
  </si>
  <si>
    <t>Custo das Mecadorias Vendidas</t>
  </si>
  <si>
    <t>Salários e Ordenados</t>
  </si>
  <si>
    <t>4.1.01.01.002</t>
  </si>
  <si>
    <t>Gratificações</t>
  </si>
  <si>
    <t>4.1.01.01.003</t>
  </si>
  <si>
    <t>Férias</t>
  </si>
  <si>
    <t>4.1.01.01.004</t>
  </si>
  <si>
    <t>13º Salário</t>
  </si>
  <si>
    <t>4.1.01.02.001</t>
  </si>
  <si>
    <t>Assistência Médica</t>
  </si>
  <si>
    <t>4.1.01.03.001</t>
  </si>
  <si>
    <t>Contribuição Previdenciaria</t>
  </si>
  <si>
    <t>4.1.01.03.002</t>
  </si>
  <si>
    <t>4.1.01.03.003</t>
  </si>
  <si>
    <t>PIS Sobre Folha</t>
  </si>
  <si>
    <t>5.1.01.01.001</t>
  </si>
  <si>
    <t>5.1.01.01.002</t>
  </si>
  <si>
    <t>5.1.01.01.003</t>
  </si>
  <si>
    <t>5.1.01.01.004</t>
  </si>
  <si>
    <t>5.1.01.01.007</t>
  </si>
  <si>
    <t>Horas Extras</t>
  </si>
  <si>
    <t>5.1.01.01.008</t>
  </si>
  <si>
    <t>Bolsa Auxílio de Estagiários</t>
  </si>
  <si>
    <t>5.1.01.01.010</t>
  </si>
  <si>
    <t>Recrutamento e Seleção</t>
  </si>
  <si>
    <t>5.1.01.03.001</t>
  </si>
  <si>
    <t>5.1.01.03.002</t>
  </si>
  <si>
    <t>5.1.01.03.003</t>
  </si>
  <si>
    <t>PIS s/ Folha</t>
  </si>
  <si>
    <t>5.1.01.02.006</t>
  </si>
  <si>
    <t>Anuidade - Conselhos Regionais</t>
  </si>
  <si>
    <t>5.1.01.04.001</t>
  </si>
  <si>
    <t>Exames Médicos</t>
  </si>
  <si>
    <t>5.1.02.01.001</t>
  </si>
  <si>
    <t>Assessoria Contábil</t>
  </si>
  <si>
    <t>5.1.02.01.002</t>
  </si>
  <si>
    <t>Assessoria Jurídica</t>
  </si>
  <si>
    <t>5.1.02.01.003</t>
  </si>
  <si>
    <t>Auditoria</t>
  </si>
  <si>
    <t>5.1.02.01.004</t>
  </si>
  <si>
    <t>Consultoria</t>
  </si>
  <si>
    <t>5.1.02.01.007</t>
  </si>
  <si>
    <t>Segurança e Vigilância</t>
  </si>
  <si>
    <t>5.1.02.01.010</t>
  </si>
  <si>
    <t>Assessoria em TI</t>
  </si>
  <si>
    <t>5.1.02.01.011</t>
  </si>
  <si>
    <t>Serviço de Limpeza</t>
  </si>
  <si>
    <t>5.1.02.01.005</t>
  </si>
  <si>
    <t>Propaganda e Publicidade</t>
  </si>
  <si>
    <t>5.1.02.01.008</t>
  </si>
  <si>
    <t>Treinamento de Pessoal</t>
  </si>
  <si>
    <t>5.1.02.01.014</t>
  </si>
  <si>
    <t>Eventos e Programação Visual</t>
  </si>
  <si>
    <t>5.1.02.02.001</t>
  </si>
  <si>
    <t>5.1.02.03.004</t>
  </si>
  <si>
    <t>Voluntários - Dirigentes Estatutários</t>
  </si>
  <si>
    <t>5.1.03.01.001</t>
  </si>
  <si>
    <t>Material de Escritório</t>
  </si>
  <si>
    <t>5.1.03.01.003</t>
  </si>
  <si>
    <t>Higiene e Limpeza</t>
  </si>
  <si>
    <t>5.1.03.01.004</t>
  </si>
  <si>
    <t>Copa, Cozinha e Refeitório</t>
  </si>
  <si>
    <t>5.1.03.01.005</t>
  </si>
  <si>
    <t>5.1.03.02.001</t>
  </si>
  <si>
    <t>Equipamentos Não Imobilizado</t>
  </si>
  <si>
    <t>5.1.04.01.001</t>
  </si>
  <si>
    <t>Energia Elétrica</t>
  </si>
  <si>
    <t>5.1.04.01.002</t>
  </si>
  <si>
    <t>Água e Esgoto</t>
  </si>
  <si>
    <t>5.1.04.01.003</t>
  </si>
  <si>
    <t>Telefone, Internet e Tv a Cabo</t>
  </si>
  <si>
    <t>5.1.04.02.001</t>
  </si>
  <si>
    <t>Correios</t>
  </si>
  <si>
    <t>5.1.04.02.002</t>
  </si>
  <si>
    <t>Reprodução e Serv. Gráficos</t>
  </si>
  <si>
    <t>5.1.04.02.003</t>
  </si>
  <si>
    <t>Legais e Judiciais</t>
  </si>
  <si>
    <t>5.1.04.02.004</t>
  </si>
  <si>
    <t>Tarifas e Taxas Bancárias</t>
  </si>
  <si>
    <t>5.1.04.02.005</t>
  </si>
  <si>
    <t>Taxas Operadoras de Cartão</t>
  </si>
  <si>
    <t>5.1.06.01.002</t>
  </si>
  <si>
    <t>Condomínio</t>
  </si>
  <si>
    <t>5.1.06.02.001</t>
  </si>
  <si>
    <t>Seguros Imóveis</t>
  </si>
  <si>
    <t>5.1.06.03.001</t>
  </si>
  <si>
    <t>Locação de Equipamentos</t>
  </si>
  <si>
    <t>5.1.06.03.002</t>
  </si>
  <si>
    <t>Locação de Bens Móveis</t>
  </si>
  <si>
    <t>5.1.06.04.001</t>
  </si>
  <si>
    <t>5.1.06.05.001</t>
  </si>
  <si>
    <t>Manutenção e Reparo - Itens não Ativados</t>
  </si>
  <si>
    <t>5.1.07.01.999</t>
  </si>
  <si>
    <t>Serviços em Ativo Imobilizado</t>
  </si>
  <si>
    <t>5.1.08.01.001</t>
  </si>
  <si>
    <t>Depreciação</t>
  </si>
  <si>
    <t>5.1.09.01.005</t>
  </si>
  <si>
    <t>Taxas Municipais e Estaduais</t>
  </si>
  <si>
    <t>5.1.09.01.007</t>
  </si>
  <si>
    <t>IOF s/ Aplicações Financeiras</t>
  </si>
  <si>
    <t>5.1.09.01.009</t>
  </si>
  <si>
    <t>Despesas com ICMS</t>
  </si>
  <si>
    <t>5.1.09.02.001</t>
  </si>
  <si>
    <t>5.1.09.02.003</t>
  </si>
  <si>
    <t>Fretes e Carretos</t>
  </si>
  <si>
    <t>5.1.09.02.004</t>
  </si>
  <si>
    <t>Lanches e Refeições</t>
  </si>
  <si>
    <t>5.1.09.02.005</t>
  </si>
  <si>
    <t>Eventos</t>
  </si>
  <si>
    <t>5.1.09.02.008</t>
  </si>
  <si>
    <t>Programação e Comunicação Visual</t>
  </si>
  <si>
    <t>5.1.09.02.010</t>
  </si>
  <si>
    <t>Multa por Atraso de Pagamento</t>
  </si>
  <si>
    <t>5.1.09.02.012</t>
  </si>
  <si>
    <t>Gerenciamento e Guarda de Volumes</t>
  </si>
  <si>
    <t>5.1.09.02.999</t>
  </si>
  <si>
    <t>Despesas Gerais</t>
  </si>
  <si>
    <t>5.1.10.01.002</t>
  </si>
  <si>
    <t>Perdas nos Recebimentos de Particulares</t>
  </si>
  <si>
    <t>5.5.01.03.002</t>
  </si>
  <si>
    <t>Juros Sobre Pagamentos em Atraso</t>
  </si>
  <si>
    <t>5.5.01.04.001</t>
  </si>
  <si>
    <t>Perdas na Variação Cambial</t>
  </si>
  <si>
    <t>5.6.01.01.005</t>
  </si>
  <si>
    <t>Despesas c/comissão de corretagem de imóveis</t>
  </si>
  <si>
    <t>1.1.03.02</t>
  </si>
  <si>
    <t>1.2.01</t>
  </si>
  <si>
    <t>1.2.01.02</t>
  </si>
  <si>
    <t>1.2.02</t>
  </si>
  <si>
    <t>1.2.02.01</t>
  </si>
  <si>
    <t>1.2.02.02</t>
  </si>
  <si>
    <t>1.2.02.03</t>
  </si>
  <si>
    <t>2.1.01</t>
  </si>
  <si>
    <t>2.1.01.01</t>
  </si>
  <si>
    <t>2.1.01.02</t>
  </si>
  <si>
    <t>2.1.01.03</t>
  </si>
  <si>
    <t>2.1.01.04</t>
  </si>
  <si>
    <t>2.1.01.06</t>
  </si>
  <si>
    <t>2.1.06</t>
  </si>
  <si>
    <t>2.1.06.01</t>
  </si>
  <si>
    <t>2.2.04</t>
  </si>
  <si>
    <t>2.2.04.01</t>
  </si>
  <si>
    <t>2.3.01.04</t>
  </si>
  <si>
    <t>3.1.03</t>
  </si>
  <si>
    <t>3.1.03.01</t>
  </si>
  <si>
    <t>3.1.03.02</t>
  </si>
  <si>
    <t>3.1.06</t>
  </si>
  <si>
    <t>3.1.06.01</t>
  </si>
  <si>
    <t>3.4</t>
  </si>
  <si>
    <t>3.4.01</t>
  </si>
  <si>
    <t>3.4.01.01</t>
  </si>
  <si>
    <t>3.4.02</t>
  </si>
  <si>
    <t>3.4.02.01</t>
  </si>
  <si>
    <t>3.4.02.02</t>
  </si>
  <si>
    <t>3.4.03</t>
  </si>
  <si>
    <t>3.4.03.01</t>
  </si>
  <si>
    <t>3.5</t>
  </si>
  <si>
    <t>3.5.02</t>
  </si>
  <si>
    <t>3.5.02.01</t>
  </si>
  <si>
    <t>3.5.03</t>
  </si>
  <si>
    <t>3.5.03.01</t>
  </si>
  <si>
    <t>3.6</t>
  </si>
  <si>
    <t>3.6.03</t>
  </si>
  <si>
    <t>3.6.03.01</t>
  </si>
  <si>
    <t>4.1.01.02</t>
  </si>
  <si>
    <t>4.1.01.03</t>
  </si>
  <si>
    <t>4.1.01.04</t>
  </si>
  <si>
    <t>4.1.01.05</t>
  </si>
  <si>
    <t>4.1.01.06</t>
  </si>
  <si>
    <t>4.1.01.07</t>
  </si>
  <si>
    <t>4.4</t>
  </si>
  <si>
    <t>4.4.01</t>
  </si>
  <si>
    <t>4.4.01.01</t>
  </si>
  <si>
    <t>5.1</t>
  </si>
  <si>
    <t>5.1.01</t>
  </si>
  <si>
    <t>5.1.01.01</t>
  </si>
  <si>
    <t>5.1.01.02</t>
  </si>
  <si>
    <t>5.1.01.03</t>
  </si>
  <si>
    <t>5.1.01.04</t>
  </si>
  <si>
    <t>5.1.02</t>
  </si>
  <si>
    <t>5.1.02.01</t>
  </si>
  <si>
    <t>5.1.02.02</t>
  </si>
  <si>
    <t>5.1.02.03</t>
  </si>
  <si>
    <t>5.1.03</t>
  </si>
  <si>
    <t>5.1.03.01</t>
  </si>
  <si>
    <t>5.1.03.02</t>
  </si>
  <si>
    <t>5.1.04</t>
  </si>
  <si>
    <t>5.1.04.01</t>
  </si>
  <si>
    <t>5.1.04.02</t>
  </si>
  <si>
    <t>5.1.06</t>
  </si>
  <si>
    <t>5.1.06.01</t>
  </si>
  <si>
    <t>5.1.06.02</t>
  </si>
  <si>
    <t>5.1.06.03</t>
  </si>
  <si>
    <t>5.1.06.04</t>
  </si>
  <si>
    <t>5.1.06.05</t>
  </si>
  <si>
    <t>5.1.07</t>
  </si>
  <si>
    <t>5.1.07.01</t>
  </si>
  <si>
    <t>5.1.08</t>
  </si>
  <si>
    <t>5.1.08.01</t>
  </si>
  <si>
    <t>5.1.09</t>
  </si>
  <si>
    <t>5.1.09.01</t>
  </si>
  <si>
    <t>5.1.09.02</t>
  </si>
  <si>
    <t>5.1.10</t>
  </si>
  <si>
    <t>5.1.10.01</t>
  </si>
  <si>
    <t>5.5</t>
  </si>
  <si>
    <t>5.5.01</t>
  </si>
  <si>
    <t>5.5.01.03</t>
  </si>
  <si>
    <t>5.5.01.04</t>
  </si>
  <si>
    <t>5.6</t>
  </si>
  <si>
    <t>5.6.01</t>
  </si>
  <si>
    <t>5.6.01.01</t>
  </si>
  <si>
    <t>Ativo</t>
  </si>
  <si>
    <t>Caixa e equivalente de caixa</t>
  </si>
  <si>
    <t>Caixa</t>
  </si>
  <si>
    <t>Bancos Conta Movimento - Recursos Livres</t>
  </si>
  <si>
    <t>Aplicações Financeiras - Recursos Livres</t>
  </si>
  <si>
    <t>Clientes e Créditos Recebíveis</t>
  </si>
  <si>
    <t>Titulos a Receber</t>
  </si>
  <si>
    <t>Outros Créditos</t>
  </si>
  <si>
    <t>Tributos a Compensar e Recuperar</t>
  </si>
  <si>
    <t>Despesas Antecipadas</t>
  </si>
  <si>
    <t>Ativo Realizável a Longo Prazo</t>
  </si>
  <si>
    <t>Investimentos</t>
  </si>
  <si>
    <t>Propriedades para Investimentos</t>
  </si>
  <si>
    <t>Outros Investimentos</t>
  </si>
  <si>
    <t>Bens em Operação - Custo</t>
  </si>
  <si>
    <t>(-) Depreciação, Amortização e Exaustão Acumuladas</t>
  </si>
  <si>
    <t>Passivo</t>
  </si>
  <si>
    <t>Salários e Encargos Sociais</t>
  </si>
  <si>
    <t>Salários e Recisões a Pagar</t>
  </si>
  <si>
    <t>Provisões de 13º Salário e Encargos</t>
  </si>
  <si>
    <t>Provisões de Férias e Encargos</t>
  </si>
  <si>
    <t>Obrigações Previdenciárias</t>
  </si>
  <si>
    <t>Outros Encargos Sociais</t>
  </si>
  <si>
    <t>Fornecedores e Repasse a Realizar</t>
  </si>
  <si>
    <t>Obrigações Fiscais</t>
  </si>
  <si>
    <t>Impostos e Contribuições Retidas na Fonte</t>
  </si>
  <si>
    <t>Impostos a Recolher</t>
  </si>
  <si>
    <t>Outras Obrigações a Pagar</t>
  </si>
  <si>
    <t>Contas a Pagar</t>
  </si>
  <si>
    <t>Antecipações de Receitas</t>
  </si>
  <si>
    <t>Receitas Antecipadas</t>
  </si>
  <si>
    <t>Provisões</t>
  </si>
  <si>
    <t>Provisões Contingênciais</t>
  </si>
  <si>
    <t>Patrimônio Líquido</t>
  </si>
  <si>
    <t>Resultado do Período</t>
  </si>
  <si>
    <t>Receitas</t>
  </si>
  <si>
    <t>Atividades de Saúde</t>
  </si>
  <si>
    <t>Prestação de Serviços de Saúde</t>
  </si>
  <si>
    <t>Serviço de Saúde Gratuito</t>
  </si>
  <si>
    <t>Doações e Voluntários</t>
  </si>
  <si>
    <t>Doações - Recursos Livres</t>
  </si>
  <si>
    <t>Recuperação de Despesas e Revessão de Estimativa</t>
  </si>
  <si>
    <t>Recuperação de Despesas</t>
  </si>
  <si>
    <t>Atividades de Geração de Recursos - Sustentáveis</t>
  </si>
  <si>
    <t>Receitas de Vendas e Serviços</t>
  </si>
  <si>
    <t>Vendas de Mercadorias</t>
  </si>
  <si>
    <t>(-) Deduções da Receita de Vendas e Serviços</t>
  </si>
  <si>
    <t>(-) Descontos Concedidos Incondic.</t>
  </si>
  <si>
    <t>(-) Cancelamentos e Devoluções</t>
  </si>
  <si>
    <t>Locação de Bens</t>
  </si>
  <si>
    <t>Aluguéis de Propriedades para Investimentos</t>
  </si>
  <si>
    <t>Receitas Financeiras</t>
  </si>
  <si>
    <t>Descontos Financeiros Obtidos</t>
  </si>
  <si>
    <t>Rendimentos Financeiros</t>
  </si>
  <si>
    <t>Outras Receitas</t>
  </si>
  <si>
    <t>Receitas Jurídicas</t>
  </si>
  <si>
    <t>Custos</t>
  </si>
  <si>
    <t>Atividade de Saúde</t>
  </si>
  <si>
    <t>Custos da Prestação dos Servicos de Saúde</t>
  </si>
  <si>
    <t>Custos com Remuneração de Pessoal</t>
  </si>
  <si>
    <t>Custos com Benefícios</t>
  </si>
  <si>
    <t>Custos com Encargos Sociais</t>
  </si>
  <si>
    <t>Custos com Materiais e Medicamentos</t>
  </si>
  <si>
    <t>Custos com Outros Serviços</t>
  </si>
  <si>
    <t>Custos com Assistência Social</t>
  </si>
  <si>
    <t>Custos dos Atendimentos Hospitalares/Ambulatoriais</t>
  </si>
  <si>
    <t>Custos dos Produtos e Serviços</t>
  </si>
  <si>
    <t>Custos das Mercadorias Vendidas</t>
  </si>
  <si>
    <t>Despesas</t>
  </si>
  <si>
    <t>Pessoal</t>
  </si>
  <si>
    <t>Remuneração</t>
  </si>
  <si>
    <t>Benefícios</t>
  </si>
  <si>
    <t>Encargos Sociais</t>
  </si>
  <si>
    <t>Medicina do Trabalho</t>
  </si>
  <si>
    <t>Serviços de Terceiros</t>
  </si>
  <si>
    <t>Serviços Prestados Pessoa Jurídica</t>
  </si>
  <si>
    <t>Serviços Prestados - Terceiros Voluntários</t>
  </si>
  <si>
    <t>Despesas com Materiais</t>
  </si>
  <si>
    <t>Bens de Pequeno Valor</t>
  </si>
  <si>
    <t>Serviços de Infra-Estrutura e Utilidades</t>
  </si>
  <si>
    <t>Infra-Estrutura</t>
  </si>
  <si>
    <t>Utilidades</t>
  </si>
  <si>
    <t>Despesas com Bens de Uso</t>
  </si>
  <si>
    <t>Aluguéis e Condomínios</t>
  </si>
  <si>
    <t>Seguros</t>
  </si>
  <si>
    <t>Locação de Bens Móveis e Equipamentos</t>
  </si>
  <si>
    <t>Despesas com Manutenção e Reparos</t>
  </si>
  <si>
    <t>Depreciação e Amortizações</t>
  </si>
  <si>
    <t>Impostos e Taxas</t>
  </si>
  <si>
    <t>Perdas de Ativos Operacionais</t>
  </si>
  <si>
    <t>Créditos Incobráveis</t>
  </si>
  <si>
    <t>Despesas Financeiras</t>
  </si>
  <si>
    <t>Juros de Mora</t>
  </si>
  <si>
    <t>Outras Despesas</t>
  </si>
  <si>
    <t>Perdas em Itens Monetários</t>
  </si>
  <si>
    <t>Perdas na Alienação de Ativos</t>
  </si>
  <si>
    <t xml:space="preserve">AC7
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</si>
  <si>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</si>
  <si>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3.1.01.07</t>
  </si>
  <si>
    <t>Convênio Gratuidade</t>
  </si>
  <si>
    <t>3.1.01.07.001</t>
  </si>
  <si>
    <t>4.1.02.01.012</t>
  </si>
  <si>
    <t>5.1.06.02.002</t>
  </si>
  <si>
    <t>Seguros Móveis</t>
  </si>
  <si>
    <t>5.1.02.03.002</t>
  </si>
  <si>
    <t>Voluntários - Pessoa Jurídica</t>
  </si>
  <si>
    <t>2.3.01.04.001</t>
  </si>
  <si>
    <t>Superávit do Exercício</t>
  </si>
  <si>
    <t>2.3.01.05</t>
  </si>
  <si>
    <t>Ajustes de Exercício Anteriores</t>
  </si>
  <si>
    <t>2.3.01.05.001</t>
  </si>
  <si>
    <t>4.1.01.01.005</t>
  </si>
  <si>
    <t>Indenizações</t>
  </si>
  <si>
    <t>4.1.01.02.003</t>
  </si>
  <si>
    <t>Vale Transporte</t>
  </si>
  <si>
    <t>5.1.03.01.002</t>
  </si>
  <si>
    <t>Materiais de Manutenção e Conservação</t>
  </si>
  <si>
    <t>PRO CRIANÇA CARDIACA</t>
  </si>
  <si>
    <t>C.N.P.J.: 10.489.487/0001-71 </t>
  </si>
  <si>
    <t>Receita de doação</t>
  </si>
  <si>
    <t>Custos dos serviços prestados</t>
  </si>
  <si>
    <t>Patrimonio Social</t>
  </si>
  <si>
    <t>Deficit acumulado</t>
  </si>
  <si>
    <t>Superavit (deficit) do exercicio</t>
  </si>
  <si>
    <t>Deficiti (superavit) Antes do Resultado Financeiro</t>
  </si>
  <si>
    <t>Superavit / (deficit) líquido do exercício</t>
  </si>
  <si>
    <t>Deixar pontuado que o desconto do vale transporte e assitencia medica estsa na conta efetiva de assistencia médica</t>
  </si>
  <si>
    <t>ver a diferença com o de baixo</t>
  </si>
  <si>
    <t>serviços assitencias - serviços medicos - serviços multidisciplinar - - fazer o comparativo de 2023</t>
  </si>
  <si>
    <t>verificar se foi pago e tambem o conselho regional</t>
  </si>
  <si>
    <t>verificar - mudes verificar onde esta</t>
  </si>
  <si>
    <t>verificar as linhas de alimenntação</t>
  </si>
  <si>
    <t>na veia - leite doado verificar melhor classificação</t>
  </si>
  <si>
    <t>cesta basica</t>
  </si>
  <si>
    <t>pagamnto realizado emnsalmente</t>
  </si>
  <si>
    <t>abrir em 2023</t>
  </si>
  <si>
    <t xml:space="preserve">          Descontos Concedidos Incondic.</t>
  </si>
  <si>
    <t>5.1.01.02.001</t>
  </si>
  <si>
    <t>5.1.01.02.003</t>
  </si>
  <si>
    <t>Verificar o lançamento 5.5k para seed</t>
  </si>
  <si>
    <t>5.1.01.01.005</t>
  </si>
  <si>
    <t xml:space="preserve">Pedir pra Jessica </t>
  </si>
  <si>
    <t>IPCA atualziar taxa</t>
  </si>
  <si>
    <t>Abrir para Bruna</t>
  </si>
  <si>
    <t>Enviar para Bruna aberto</t>
  </si>
  <si>
    <t>Não identificado</t>
  </si>
  <si>
    <t xml:space="preserve"> </t>
  </si>
  <si>
    <t>2.1.01.02.002</t>
  </si>
  <si>
    <t>Provisões de FGTS s/ 13º Salário a Pagar</t>
  </si>
  <si>
    <t>2.1.01.02.003</t>
  </si>
  <si>
    <t>Provisões de PIS s/ 13º Salário a Pagar</t>
  </si>
  <si>
    <t>2.1.01.02.004</t>
  </si>
  <si>
    <t>Provisões de INSS s/ 13º Salário a Pagar</t>
  </si>
  <si>
    <t>2.1.01.03.002</t>
  </si>
  <si>
    <t>Provisões de FGTS s/ Férias a Pagar</t>
  </si>
  <si>
    <t>2.1.01.03.003</t>
  </si>
  <si>
    <t>Provisões de PIS s/ Férias a Pagar</t>
  </si>
  <si>
    <t>2.1.01.03.004</t>
  </si>
  <si>
    <t>Provisão de INSS s/ Férias a pagar</t>
  </si>
  <si>
    <t>4.1.01.01.009</t>
  </si>
  <si>
    <t>Provisão de INSS s/ Férias</t>
  </si>
  <si>
    <t>4.1.01.01.010</t>
  </si>
  <si>
    <t>Provisão de FGTS s/ Férias</t>
  </si>
  <si>
    <t>4.1.01.01.011</t>
  </si>
  <si>
    <t>Provisão de PIS s/ Férias</t>
  </si>
  <si>
    <t>4.1.01.01.012</t>
  </si>
  <si>
    <t>Provisão de INSS s/ 13º Salário</t>
  </si>
  <si>
    <t>4.1.01.01.013</t>
  </si>
  <si>
    <t>Provisão de FGTS s/ 13º Salário</t>
  </si>
  <si>
    <t>4.1.01.01.014</t>
  </si>
  <si>
    <t>Provisão de PIS s/ 13º Salário</t>
  </si>
  <si>
    <t>5.1.01.01.011</t>
  </si>
  <si>
    <t>5.1.01.01.012</t>
  </si>
  <si>
    <t>5.1.01.01.013</t>
  </si>
  <si>
    <t>5.1.01.01.014</t>
  </si>
  <si>
    <t>5.1.01.01.015</t>
  </si>
  <si>
    <t>5.1.01.01.016</t>
  </si>
  <si>
    <t>1.1.01.04.011</t>
  </si>
  <si>
    <t>Aplicação Bradesco - Max DI 115400-1</t>
  </si>
  <si>
    <t>1.1.03.01.004</t>
  </si>
  <si>
    <t>Antecipação de Salários e Ordenados</t>
  </si>
  <si>
    <t>1.1.03.01.005</t>
  </si>
  <si>
    <t>Antecipação de 13º Salário</t>
  </si>
  <si>
    <t>Serviços hospitalares - Gratuitos</t>
  </si>
  <si>
    <t>Venda de Mercadoria</t>
  </si>
  <si>
    <t>Receita de arrendamento</t>
  </si>
  <si>
    <t>Custo Assistencial</t>
  </si>
  <si>
    <t>Custos com Pessoal</t>
  </si>
  <si>
    <t>Custos com Assistência Social [Doações]</t>
  </si>
  <si>
    <t>Custo de materias e medicamentos</t>
  </si>
  <si>
    <t>Despesas Administrativas</t>
  </si>
  <si>
    <t>5.6.01.02</t>
  </si>
  <si>
    <t>Ajuste exercício anterior</t>
  </si>
  <si>
    <t>5.6.01.02.001</t>
  </si>
  <si>
    <t>5.6.03</t>
  </si>
  <si>
    <t>Outras Despesas e Receitas Não Operacionais</t>
  </si>
  <si>
    <t>5.6.03.01</t>
  </si>
  <si>
    <t>5.6.03.01.001</t>
  </si>
  <si>
    <t xml:space="preserve">Outras Despesas e Receitas </t>
  </si>
  <si>
    <t xml:space="preserve">BRUNA VAI ENVIAR CMV </t>
  </si>
  <si>
    <t>1.1.03.02.008</t>
  </si>
  <si>
    <t>ICMS a Recuperar</t>
  </si>
  <si>
    <t>5.1.02.03.003</t>
  </si>
  <si>
    <t>Voluntários - Pessoa Física</t>
  </si>
  <si>
    <t>1.1.02.04</t>
  </si>
  <si>
    <t>Cartões de Crédito a Receber</t>
  </si>
  <si>
    <t>1.1.02.04.001</t>
  </si>
  <si>
    <t>1.1.03.02.004</t>
  </si>
  <si>
    <t>Outros Tributos a Compensar</t>
  </si>
  <si>
    <t>1.1.04</t>
  </si>
  <si>
    <t>Estoque</t>
  </si>
  <si>
    <t>1.1.04.04</t>
  </si>
  <si>
    <t>Mercadorias para Revenda</t>
  </si>
  <si>
    <t>1.1.04.04.001</t>
  </si>
  <si>
    <t>3.1.03.01.004</t>
  </si>
  <si>
    <t>Doações de Materiais</t>
  </si>
  <si>
    <t>3.4.02.03</t>
  </si>
  <si>
    <t>(-) Impostos s/ Receitas</t>
  </si>
  <si>
    <t>3.4.02.03.003</t>
  </si>
  <si>
    <t>ICMS S/ Venda de Mercadorias</t>
  </si>
  <si>
    <t>1.2.03.02.008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</si>
</sst>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.00_);[Red]_(* \(#,##0.00\);_(* &quot;-&quot;??_);_(@_)"/>
    <numFmt numFmtId="165" formatCode="_(* #,##0.00%_);[Red]_(* \(#,##0.00%\);_(* &quot;-&quot;??_);_(@_)"/>
    <numFmt numFmtId="166" formatCode="_(* #,##0_);_(* \(#,##0\);_(* &quot;-&quot;??_);_(@_)"/>
    <numFmt numFmtId="167" formatCode="_(* #,##0_);[Red]_(* \(#,##0\);_(* &quot;-&quot;??_);_(@_)"/>
    <numFmt numFmtId="168" formatCode="_(* #,##0%_);[Red]_(* \(#,##0%\);_(* &quot;-&quot;??_);_(@_)"/>
    <numFmt numFmtId="169" formatCode="mmm/yyyy"/>
  </numFmts>
  <fonts count="2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2"/>
      <color indexed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  <font>
      <b/>
      <sz val="16"/>
      <color indexed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indexed="8"/>
      <name val="Tahoma"/>
      <family val="2"/>
    </font>
    <font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theme="4" tint="0.3999755851924192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6">
    <xf numFmtId="0" fontId="0" fillId="0" borderId="0"/>
    <xf numFmtId="0" fontId="7" fillId="0" borderId="0"/>
    <xf numFmtId="0" fontId="6" fillId="0" borderId="0"/>
    <xf numFmtId="0" fontId="15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</cellStyleXfs>
  <cellXfs count="19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indent="1"/>
    </xf>
    <xf numFmtId="164" fontId="0" fillId="0" borderId="0" xfId="0" applyNumberForma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164" fontId="2" fillId="0" borderId="2" xfId="0" applyNumberFormat="1" applyFont="1" applyBorder="1" applyAlignment="1">
      <alignment vertical="center"/>
    </xf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164" fontId="2" fillId="2" borderId="0" xfId="0" applyNumberFormat="1" applyFont="1" applyFill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indent="3"/>
    </xf>
    <xf numFmtId="164" fontId="2" fillId="0" borderId="3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64" fontId="2" fillId="0" borderId="4" xfId="0" applyNumberFormat="1" applyFont="1" applyBorder="1" applyAlignment="1">
      <alignment vertical="center"/>
    </xf>
    <xf numFmtId="0" fontId="3" fillId="0" borderId="0" xfId="0" applyFont="1" applyAlignment="1">
      <alignment horizontal="left" vertical="center" indent="1"/>
    </xf>
    <xf numFmtId="164" fontId="4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vertical="top"/>
    </xf>
    <xf numFmtId="165" fontId="0" fillId="0" borderId="0" xfId="0" applyNumberFormat="1" applyAlignment="1">
      <alignment vertical="center"/>
    </xf>
    <xf numFmtId="0" fontId="8" fillId="0" borderId="0" xfId="1" applyFont="1" applyAlignment="1" applyProtection="1">
      <alignment vertical="center"/>
      <protection hidden="1"/>
    </xf>
    <xf numFmtId="166" fontId="8" fillId="0" borderId="0" xfId="1" applyNumberFormat="1" applyFont="1" applyAlignment="1" applyProtection="1">
      <alignment vertical="center"/>
      <protection hidden="1"/>
    </xf>
    <xf numFmtId="0" fontId="9" fillId="0" borderId="0" xfId="1" applyFont="1" applyAlignment="1" applyProtection="1">
      <alignment vertical="center"/>
      <protection hidden="1"/>
    </xf>
    <xf numFmtId="37" fontId="8" fillId="0" borderId="0" xfId="1" applyNumberFormat="1" applyFont="1" applyAlignment="1" applyProtection="1">
      <alignment vertical="center"/>
      <protection hidden="1"/>
    </xf>
    <xf numFmtId="0" fontId="6" fillId="0" borderId="0" xfId="2" applyAlignment="1" applyProtection="1">
      <alignment vertical="center"/>
      <protection hidden="1"/>
    </xf>
    <xf numFmtId="14" fontId="6" fillId="0" borderId="0" xfId="2" applyNumberFormat="1" applyAlignment="1" applyProtection="1">
      <alignment horizontal="center" vertical="center"/>
      <protection hidden="1"/>
    </xf>
    <xf numFmtId="0" fontId="10" fillId="0" borderId="0" xfId="1" applyFont="1" applyAlignment="1" applyProtection="1">
      <alignment horizontal="left" vertical="center" indent="1"/>
      <protection hidden="1"/>
    </xf>
    <xf numFmtId="166" fontId="10" fillId="0" borderId="0" xfId="1" applyNumberFormat="1" applyFont="1" applyAlignment="1" applyProtection="1">
      <alignment vertical="center"/>
      <protection hidden="1"/>
    </xf>
    <xf numFmtId="0" fontId="10" fillId="0" borderId="0" xfId="1" applyFont="1" applyAlignment="1" applyProtection="1">
      <alignment vertical="center"/>
      <protection hidden="1"/>
    </xf>
    <xf numFmtId="0" fontId="11" fillId="0" borderId="0" xfId="1" applyFont="1" applyAlignment="1" applyProtection="1">
      <alignment vertical="center"/>
      <protection hidden="1"/>
    </xf>
    <xf numFmtId="0" fontId="11" fillId="0" borderId="0" xfId="1" applyFont="1" applyAlignment="1" applyProtection="1">
      <alignment horizontal="left" vertical="center" indent="1"/>
      <protection hidden="1"/>
    </xf>
    <xf numFmtId="166" fontId="11" fillId="0" borderId="0" xfId="1" applyNumberFormat="1" applyFont="1" applyAlignment="1" applyProtection="1">
      <alignment vertical="center"/>
      <protection hidden="1"/>
    </xf>
    <xf numFmtId="0" fontId="10" fillId="0" borderId="0" xfId="1" applyFont="1" applyAlignment="1" applyProtection="1">
      <alignment horizontal="center" vertical="center"/>
      <protection hidden="1"/>
    </xf>
    <xf numFmtId="37" fontId="11" fillId="0" borderId="0" xfId="1" applyNumberFormat="1" applyFont="1" applyAlignment="1" applyProtection="1">
      <alignment vertical="center"/>
      <protection hidden="1"/>
    </xf>
    <xf numFmtId="166" fontId="10" fillId="0" borderId="0" xfId="1" applyNumberFormat="1" applyFont="1" applyAlignment="1" applyProtection="1">
      <alignment horizontal="center" vertical="center"/>
      <protection hidden="1"/>
    </xf>
    <xf numFmtId="37" fontId="10" fillId="0" borderId="0" xfId="1" applyNumberFormat="1" applyFont="1" applyAlignment="1" applyProtection="1">
      <alignment horizontal="center" vertical="center"/>
      <protection hidden="1"/>
    </xf>
    <xf numFmtId="0" fontId="13" fillId="0" borderId="0" xfId="1" applyFont="1" applyAlignment="1" applyProtection="1">
      <alignment vertical="center"/>
      <protection hidden="1"/>
    </xf>
    <xf numFmtId="0" fontId="5" fillId="0" borderId="5" xfId="1" applyFont="1" applyBorder="1" applyAlignment="1" applyProtection="1">
      <alignment horizontal="left" vertical="center" indent="1"/>
      <protection hidden="1"/>
    </xf>
    <xf numFmtId="0" fontId="5" fillId="0" borderId="6" xfId="1" applyFont="1" applyBorder="1" applyAlignment="1" applyProtection="1">
      <alignment horizontal="center" vertical="center"/>
      <protection hidden="1"/>
    </xf>
    <xf numFmtId="0" fontId="5" fillId="0" borderId="2" xfId="1" applyFont="1" applyBorder="1" applyAlignment="1" applyProtection="1">
      <alignment horizontal="left" vertical="center" indent="1"/>
      <protection hidden="1"/>
    </xf>
    <xf numFmtId="0" fontId="5" fillId="0" borderId="5" xfId="1" applyFont="1" applyBorder="1" applyAlignment="1" applyProtection="1">
      <alignment horizontal="left" vertical="center" wrapText="1" indent="1"/>
      <protection hidden="1"/>
    </xf>
    <xf numFmtId="37" fontId="5" fillId="0" borderId="6" xfId="1" quotePrefix="1" applyNumberFormat="1" applyFont="1" applyBorder="1" applyAlignment="1" applyProtection="1">
      <alignment horizontal="right" vertical="center"/>
      <protection hidden="1"/>
    </xf>
    <xf numFmtId="0" fontId="5" fillId="0" borderId="9" xfId="1" applyFont="1" applyBorder="1" applyAlignment="1" applyProtection="1">
      <alignment horizontal="left" vertical="center" indent="1"/>
      <protection hidden="1"/>
    </xf>
    <xf numFmtId="0" fontId="5" fillId="0" borderId="10" xfId="1" applyFont="1" applyBorder="1" applyAlignment="1" applyProtection="1">
      <alignment horizontal="center" vertical="center"/>
      <protection hidden="1"/>
    </xf>
    <xf numFmtId="0" fontId="5" fillId="0" borderId="0" xfId="1" applyFont="1" applyAlignment="1" applyProtection="1">
      <alignment horizontal="left" vertical="center" indent="1"/>
      <protection hidden="1"/>
    </xf>
    <xf numFmtId="166" fontId="5" fillId="0" borderId="0" xfId="3" applyNumberFormat="1" applyFont="1" applyAlignment="1" applyProtection="1">
      <alignment vertical="center"/>
      <protection hidden="1"/>
    </xf>
    <xf numFmtId="37" fontId="5" fillId="0" borderId="10" xfId="3" applyNumberFormat="1" applyFont="1" applyBorder="1" applyAlignment="1" applyProtection="1">
      <alignment vertical="center"/>
      <protection hidden="1"/>
    </xf>
    <xf numFmtId="0" fontId="6" fillId="0" borderId="0" xfId="2" applyAlignment="1" applyProtection="1">
      <alignment horizontal="left" vertical="center" indent="1"/>
      <protection hidden="1"/>
    </xf>
    <xf numFmtId="0" fontId="5" fillId="0" borderId="9" xfId="1" applyFont="1" applyBorder="1" applyAlignment="1" applyProtection="1">
      <alignment horizontal="left" vertical="center" indent="2"/>
      <protection hidden="1"/>
    </xf>
    <xf numFmtId="0" fontId="8" fillId="0" borderId="10" xfId="1" applyFont="1" applyBorder="1" applyAlignment="1" applyProtection="1">
      <alignment vertical="center"/>
      <protection hidden="1"/>
    </xf>
    <xf numFmtId="0" fontId="14" fillId="0" borderId="0" xfId="1" applyFont="1" applyAlignment="1" applyProtection="1">
      <alignment horizontal="left" vertical="center" indent="2"/>
      <protection hidden="1"/>
    </xf>
    <xf numFmtId="166" fontId="8" fillId="0" borderId="0" xfId="3" applyNumberFormat="1" applyFont="1" applyAlignment="1" applyProtection="1">
      <alignment vertical="center"/>
      <protection hidden="1"/>
    </xf>
    <xf numFmtId="0" fontId="16" fillId="0" borderId="9" xfId="1" applyFont="1" applyBorder="1" applyAlignment="1" applyProtection="1">
      <alignment horizontal="left" vertical="center" indent="3"/>
      <protection hidden="1"/>
    </xf>
    <xf numFmtId="37" fontId="8" fillId="0" borderId="10" xfId="1" applyNumberFormat="1" applyFont="1" applyBorder="1" applyAlignment="1" applyProtection="1">
      <alignment vertical="center"/>
      <protection hidden="1"/>
    </xf>
    <xf numFmtId="166" fontId="8" fillId="0" borderId="1" xfId="3" applyNumberFormat="1" applyFont="1" applyBorder="1" applyAlignment="1" applyProtection="1">
      <alignment vertical="center"/>
      <protection hidden="1"/>
    </xf>
    <xf numFmtId="37" fontId="5" fillId="0" borderId="10" xfId="1" applyNumberFormat="1" applyFont="1" applyBorder="1" applyAlignment="1" applyProtection="1">
      <alignment vertical="center"/>
      <protection hidden="1"/>
    </xf>
    <xf numFmtId="37" fontId="8" fillId="0" borderId="10" xfId="3" applyNumberFormat="1" applyFont="1" applyBorder="1" applyAlignment="1" applyProtection="1">
      <alignment vertical="center"/>
      <protection hidden="1"/>
    </xf>
    <xf numFmtId="0" fontId="8" fillId="0" borderId="9" xfId="1" applyFont="1" applyBorder="1" applyAlignment="1" applyProtection="1">
      <alignment horizontal="left" vertical="center" indent="1"/>
      <protection hidden="1"/>
    </xf>
    <xf numFmtId="0" fontId="8" fillId="0" borderId="9" xfId="1" applyFont="1" applyBorder="1" applyAlignment="1" applyProtection="1">
      <alignment horizontal="left" vertical="center" indent="2"/>
      <protection hidden="1"/>
    </xf>
    <xf numFmtId="0" fontId="5" fillId="0" borderId="0" xfId="1" applyFont="1" applyAlignment="1" applyProtection="1">
      <alignment horizontal="left" vertical="center" indent="2"/>
      <protection hidden="1"/>
    </xf>
    <xf numFmtId="0" fontId="8" fillId="0" borderId="9" xfId="1" applyFont="1" applyBorder="1" applyAlignment="1" applyProtection="1">
      <alignment horizontal="left" vertical="center" indent="3"/>
      <protection hidden="1"/>
    </xf>
    <xf numFmtId="0" fontId="8" fillId="0" borderId="0" xfId="1" applyFont="1" applyAlignment="1" applyProtection="1">
      <alignment horizontal="left" vertical="center" indent="1"/>
      <protection hidden="1"/>
    </xf>
    <xf numFmtId="0" fontId="14" fillId="0" borderId="0" xfId="1" applyFont="1" applyAlignment="1" applyProtection="1">
      <alignment horizontal="left" vertical="center" indent="1"/>
      <protection hidden="1"/>
    </xf>
    <xf numFmtId="0" fontId="8" fillId="0" borderId="7" xfId="1" applyFont="1" applyBorder="1" applyAlignment="1" applyProtection="1">
      <alignment horizontal="left" vertical="center" indent="1"/>
      <protection hidden="1"/>
    </xf>
    <xf numFmtId="0" fontId="8" fillId="0" borderId="8" xfId="1" applyFont="1" applyBorder="1" applyAlignment="1" applyProtection="1">
      <alignment vertical="center"/>
      <protection hidden="1"/>
    </xf>
    <xf numFmtId="0" fontId="8" fillId="0" borderId="1" xfId="1" applyFont="1" applyBorder="1" applyAlignment="1" applyProtection="1">
      <alignment horizontal="left" vertical="center" indent="1"/>
      <protection hidden="1"/>
    </xf>
    <xf numFmtId="166" fontId="8" fillId="0" borderId="1" xfId="1" applyNumberFormat="1" applyFont="1" applyBorder="1" applyAlignment="1" applyProtection="1">
      <alignment vertical="center"/>
      <protection hidden="1"/>
    </xf>
    <xf numFmtId="0" fontId="5" fillId="0" borderId="0" xfId="1" applyFont="1" applyAlignment="1" applyProtection="1">
      <alignment vertical="center"/>
      <protection hidden="1"/>
    </xf>
    <xf numFmtId="166" fontId="17" fillId="0" borderId="0" xfId="1" applyNumberFormat="1" applyFont="1" applyAlignment="1" applyProtection="1">
      <alignment horizontal="left" vertical="center"/>
      <protection hidden="1"/>
    </xf>
    <xf numFmtId="0" fontId="5" fillId="0" borderId="2" xfId="1" applyFont="1" applyBorder="1" applyAlignment="1" applyProtection="1">
      <alignment horizontal="left" vertical="center" wrapText="1" indent="1"/>
      <protection hidden="1"/>
    </xf>
    <xf numFmtId="166" fontId="17" fillId="0" borderId="0" xfId="1" applyNumberFormat="1" applyFont="1" applyAlignment="1" applyProtection="1">
      <alignment vertical="center"/>
      <protection hidden="1"/>
    </xf>
    <xf numFmtId="0" fontId="0" fillId="6" borderId="0" xfId="0" applyFill="1" applyAlignment="1">
      <alignment horizontal="left" vertical="center" indent="1"/>
    </xf>
    <xf numFmtId="0" fontId="0" fillId="6" borderId="0" xfId="0" applyFill="1" applyAlignment="1">
      <alignment horizontal="left" vertical="center" indent="2"/>
    </xf>
    <xf numFmtId="164" fontId="0" fillId="6" borderId="0" xfId="0" applyNumberFormat="1" applyFill="1" applyAlignment="1">
      <alignment vertical="center"/>
    </xf>
    <xf numFmtId="165" fontId="18" fillId="6" borderId="0" xfId="0" applyNumberFormat="1" applyFont="1" applyFill="1" applyAlignment="1">
      <alignment vertical="center"/>
    </xf>
    <xf numFmtId="165" fontId="18" fillId="0" borderId="0" xfId="0" applyNumberFormat="1" applyFont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0" borderId="3" xfId="0" applyNumberFormat="1" applyFont="1" applyBorder="1" applyAlignment="1">
      <alignment vertical="center"/>
    </xf>
    <xf numFmtId="165" fontId="19" fillId="0" borderId="4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  <xf numFmtId="165" fontId="19" fillId="0" borderId="2" xfId="0" applyNumberFormat="1" applyFont="1" applyBorder="1" applyAlignment="1">
      <alignment vertical="center"/>
    </xf>
    <xf numFmtId="165" fontId="20" fillId="3" borderId="0" xfId="0" applyNumberFormat="1" applyFont="1" applyFill="1" applyAlignment="1">
      <alignment horizontal="center" vertical="center"/>
    </xf>
    <xf numFmtId="165" fontId="4" fillId="3" borderId="0" xfId="0" applyNumberFormat="1" applyFont="1" applyFill="1" applyAlignment="1">
      <alignment horizontal="center" vertical="center"/>
    </xf>
    <xf numFmtId="14" fontId="4" fillId="5" borderId="12" xfId="2" applyNumberFormat="1" applyFont="1" applyFill="1" applyBorder="1" applyAlignment="1" applyProtection="1">
      <alignment horizontal="center" vertical="center"/>
      <protection hidden="1"/>
    </xf>
    <xf numFmtId="14" fontId="2" fillId="0" borderId="13" xfId="2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right" vertical="center" indent="1"/>
    </xf>
    <xf numFmtId="0" fontId="0" fillId="0" borderId="0" xfId="0" applyAlignment="1">
      <alignment horizontal="right" vertical="center" indent="1"/>
    </xf>
    <xf numFmtId="0" fontId="5" fillId="0" borderId="0" xfId="1" applyFont="1" applyAlignment="1" applyProtection="1">
      <alignment horizontal="right" vertical="center" indent="1"/>
      <protection hidden="1"/>
    </xf>
    <xf numFmtId="0" fontId="6" fillId="0" borderId="9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indent="1"/>
    </xf>
    <xf numFmtId="167" fontId="5" fillId="0" borderId="0" xfId="0" applyNumberFormat="1" applyFont="1" applyAlignment="1">
      <alignment horizontal="left" vertical="center" indent="1"/>
    </xf>
    <xf numFmtId="167" fontId="2" fillId="7" borderId="0" xfId="0" applyNumberFormat="1" applyFont="1" applyFill="1" applyAlignment="1">
      <alignment horizontal="left" vertical="center" indent="1"/>
    </xf>
    <xf numFmtId="0" fontId="2" fillId="8" borderId="0" xfId="0" applyFont="1" applyFill="1" applyAlignment="1">
      <alignment vertical="center"/>
    </xf>
    <xf numFmtId="165" fontId="2" fillId="8" borderId="0" xfId="0" applyNumberFormat="1" applyFont="1" applyFill="1" applyAlignment="1">
      <alignment vertical="center"/>
    </xf>
    <xf numFmtId="166" fontId="5" fillId="0" borderId="0" xfId="3" applyNumberFormat="1" applyFont="1" applyBorder="1" applyAlignment="1" applyProtection="1">
      <alignment vertical="center"/>
      <protection hidden="1"/>
    </xf>
    <xf numFmtId="166" fontId="8" fillId="0" borderId="0" xfId="3" applyNumberFormat="1" applyFont="1" applyBorder="1" applyAlignment="1" applyProtection="1">
      <alignment vertical="center"/>
      <protection hidden="1"/>
    </xf>
    <xf numFmtId="0" fontId="0" fillId="0" borderId="9" xfId="0" applyBorder="1" applyAlignment="1">
      <alignment horizontal="left" vertical="center" indent="1"/>
    </xf>
    <xf numFmtId="0" fontId="8" fillId="0" borderId="0" xfId="1" applyFont="1" applyAlignment="1" applyProtection="1">
      <alignment horizontal="center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5" fillId="0" borderId="0" xfId="1" applyFont="1" applyAlignment="1" applyProtection="1">
      <alignment horizontal="center" vertical="center"/>
      <protection hidden="1"/>
    </xf>
    <xf numFmtId="166" fontId="8" fillId="0" borderId="0" xfId="1" applyNumberFormat="1" applyFont="1" applyAlignment="1" applyProtection="1">
      <alignment horizontal="center" vertical="center"/>
      <protection hidden="1"/>
    </xf>
    <xf numFmtId="166" fontId="11" fillId="0" borderId="0" xfId="1" applyNumberFormat="1" applyFont="1" applyAlignment="1" applyProtection="1">
      <alignment horizontal="center" vertical="center"/>
      <protection hidden="1"/>
    </xf>
    <xf numFmtId="0" fontId="12" fillId="4" borderId="5" xfId="1" applyFont="1" applyFill="1" applyBorder="1" applyAlignment="1" applyProtection="1">
      <alignment horizontal="centerContinuous" vertical="center"/>
      <protection hidden="1"/>
    </xf>
    <xf numFmtId="0" fontId="12" fillId="4" borderId="2" xfId="1" applyFont="1" applyFill="1" applyBorder="1" applyAlignment="1" applyProtection="1">
      <alignment horizontal="centerContinuous" vertical="center"/>
      <protection hidden="1"/>
    </xf>
    <xf numFmtId="0" fontId="12" fillId="4" borderId="6" xfId="1" applyFont="1" applyFill="1" applyBorder="1" applyAlignment="1" applyProtection="1">
      <alignment horizontal="centerContinuous" vertical="center"/>
      <protection hidden="1"/>
    </xf>
    <xf numFmtId="2" fontId="12" fillId="4" borderId="7" xfId="1" applyNumberFormat="1" applyFont="1" applyFill="1" applyBorder="1" applyAlignment="1" applyProtection="1">
      <alignment horizontal="centerContinuous" vertical="center"/>
      <protection hidden="1"/>
    </xf>
    <xf numFmtId="2" fontId="12" fillId="4" borderId="1" xfId="1" applyNumberFormat="1" applyFont="1" applyFill="1" applyBorder="1" applyAlignment="1" applyProtection="1">
      <alignment horizontal="centerContinuous" vertical="center"/>
      <protection hidden="1"/>
    </xf>
    <xf numFmtId="2" fontId="12" fillId="4" borderId="8" xfId="1" applyNumberFormat="1" applyFont="1" applyFill="1" applyBorder="1" applyAlignment="1" applyProtection="1">
      <alignment horizontal="centerContinuous" vertical="center"/>
      <protection hidden="1"/>
    </xf>
    <xf numFmtId="0" fontId="12" fillId="4" borderId="1" xfId="1" applyFont="1" applyFill="1" applyBorder="1" applyAlignment="1" applyProtection="1">
      <alignment horizontal="centerContinuous" vertical="center"/>
      <protection hidden="1"/>
    </xf>
    <xf numFmtId="0" fontId="12" fillId="4" borderId="8" xfId="1" applyFont="1" applyFill="1" applyBorder="1" applyAlignment="1" applyProtection="1">
      <alignment horizontal="centerContinuous" vertical="center"/>
      <protection hidden="1"/>
    </xf>
    <xf numFmtId="168" fontId="8" fillId="0" borderId="0" xfId="3" applyNumberFormat="1" applyFont="1" applyAlignment="1" applyProtection="1">
      <alignment vertical="center"/>
      <protection hidden="1"/>
    </xf>
    <xf numFmtId="168" fontId="5" fillId="0" borderId="3" xfId="3" applyNumberFormat="1" applyFont="1" applyBorder="1" applyAlignment="1" applyProtection="1">
      <alignment vertical="center"/>
      <protection hidden="1"/>
    </xf>
    <xf numFmtId="168" fontId="5" fillId="0" borderId="1" xfId="3" applyNumberFormat="1" applyFont="1" applyBorder="1" applyAlignment="1" applyProtection="1">
      <alignment vertical="center"/>
      <protection hidden="1"/>
    </xf>
    <xf numFmtId="168" fontId="8" fillId="0" borderId="0" xfId="3" applyNumberFormat="1" applyFont="1" applyBorder="1" applyAlignment="1" applyProtection="1">
      <alignment vertical="center"/>
      <protection hidden="1"/>
    </xf>
    <xf numFmtId="168" fontId="5" fillId="0" borderId="0" xfId="3" applyNumberFormat="1" applyFont="1" applyAlignment="1" applyProtection="1">
      <alignment vertical="center"/>
      <protection hidden="1"/>
    </xf>
    <xf numFmtId="168" fontId="5" fillId="0" borderId="4" xfId="3" applyNumberFormat="1" applyFont="1" applyBorder="1" applyAlignment="1" applyProtection="1">
      <alignment vertical="center"/>
      <protection hidden="1"/>
    </xf>
    <xf numFmtId="168" fontId="5" fillId="0" borderId="2" xfId="3" applyNumberFormat="1" applyFont="1" applyBorder="1" applyAlignment="1" applyProtection="1">
      <alignment vertical="center"/>
      <protection hidden="1"/>
    </xf>
    <xf numFmtId="168" fontId="6" fillId="0" borderId="0" xfId="2" applyNumberFormat="1" applyAlignment="1" applyProtection="1">
      <alignment vertical="center"/>
      <protection hidden="1"/>
    </xf>
    <xf numFmtId="0" fontId="8" fillId="0" borderId="1" xfId="1" applyFont="1" applyBorder="1" applyAlignment="1" applyProtection="1">
      <alignment vertical="center"/>
      <protection hidden="1"/>
    </xf>
    <xf numFmtId="0" fontId="5" fillId="0" borderId="10" xfId="1" applyFont="1" applyBorder="1" applyAlignment="1" applyProtection="1">
      <alignment vertical="center"/>
      <protection hidden="1"/>
    </xf>
    <xf numFmtId="0" fontId="14" fillId="0" borderId="0" xfId="1" applyFont="1" applyAlignment="1" applyProtection="1">
      <alignment vertical="center"/>
      <protection hidden="1"/>
    </xf>
    <xf numFmtId="169" fontId="2" fillId="0" borderId="1" xfId="0" applyNumberFormat="1" applyFont="1" applyBorder="1" applyAlignment="1">
      <alignment horizontal="right" vertical="center" indent="1"/>
    </xf>
    <xf numFmtId="164" fontId="2" fillId="0" borderId="1" xfId="0" applyNumberFormat="1" applyFont="1" applyBorder="1" applyAlignment="1">
      <alignment vertical="center"/>
    </xf>
    <xf numFmtId="164" fontId="8" fillId="0" borderId="0" xfId="3" applyNumberFormat="1" applyFont="1" applyAlignment="1" applyProtection="1">
      <alignment vertical="center"/>
      <protection hidden="1"/>
    </xf>
    <xf numFmtId="164" fontId="5" fillId="0" borderId="2" xfId="3" applyNumberFormat="1" applyFont="1" applyBorder="1" applyAlignment="1" applyProtection="1">
      <alignment vertical="center"/>
      <protection hidden="1"/>
    </xf>
    <xf numFmtId="164" fontId="5" fillId="0" borderId="0" xfId="3" applyNumberFormat="1" applyFont="1" applyAlignment="1" applyProtection="1">
      <alignment vertical="center"/>
      <protection hidden="1"/>
    </xf>
    <xf numFmtId="164" fontId="6" fillId="0" borderId="0" xfId="2" applyNumberFormat="1" applyAlignment="1" applyProtection="1">
      <alignment vertical="center"/>
      <protection hidden="1"/>
    </xf>
    <xf numFmtId="164" fontId="8" fillId="0" borderId="1" xfId="3" applyNumberFormat="1" applyFont="1" applyBorder="1" applyAlignment="1" applyProtection="1">
      <alignment vertical="center"/>
      <protection hidden="1"/>
    </xf>
    <xf numFmtId="164" fontId="5" fillId="0" borderId="11" xfId="3" applyNumberFormat="1" applyFont="1" applyBorder="1" applyAlignment="1" applyProtection="1">
      <alignment vertical="center"/>
      <protection hidden="1"/>
    </xf>
    <xf numFmtId="164" fontId="8" fillId="0" borderId="0" xfId="3" applyNumberFormat="1" applyFont="1" applyBorder="1" applyAlignment="1" applyProtection="1">
      <alignment vertical="center"/>
      <protection hidden="1"/>
    </xf>
    <xf numFmtId="164" fontId="5" fillId="0" borderId="3" xfId="3" applyNumberFormat="1" applyFont="1" applyBorder="1" applyAlignment="1" applyProtection="1">
      <alignment vertical="center"/>
      <protection hidden="1"/>
    </xf>
    <xf numFmtId="164" fontId="5" fillId="0" borderId="1" xfId="3" applyNumberFormat="1" applyFont="1" applyBorder="1" applyAlignment="1" applyProtection="1">
      <alignment vertical="center"/>
      <protection hidden="1"/>
    </xf>
    <xf numFmtId="164" fontId="5" fillId="0" borderId="4" xfId="3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right" indent="1"/>
    </xf>
    <xf numFmtId="0" fontId="21" fillId="0" borderId="0" xfId="0" applyFont="1" applyAlignment="1">
      <alignment vertical="top" wrapText="1"/>
    </xf>
    <xf numFmtId="49" fontId="21" fillId="0" borderId="0" xfId="0" applyNumberFormat="1" applyFont="1" applyAlignment="1">
      <alignment vertical="top" wrapText="1"/>
    </xf>
    <xf numFmtId="0" fontId="22" fillId="0" borderId="0" xfId="0" applyFont="1" applyAlignment="1">
      <alignment vertical="center"/>
    </xf>
    <xf numFmtId="43" fontId="0" fillId="0" borderId="0" xfId="5" applyFont="1" applyAlignment="1">
      <alignment vertical="center"/>
    </xf>
    <xf numFmtId="43" fontId="0" fillId="0" borderId="0" xfId="0" applyNumberFormat="1" applyAlignment="1">
      <alignment vertical="center"/>
    </xf>
    <xf numFmtId="43" fontId="8" fillId="0" borderId="0" xfId="1" applyNumberFormat="1" applyFont="1" applyAlignment="1" applyProtection="1">
      <alignment vertical="center"/>
      <protection hidden="1"/>
    </xf>
    <xf numFmtId="2" fontId="6" fillId="0" borderId="0" xfId="2" applyNumberFormat="1" applyAlignment="1" applyProtection="1">
      <alignment horizontal="center" vertical="center"/>
      <protection hidden="1"/>
    </xf>
    <xf numFmtId="43" fontId="6" fillId="0" borderId="0" xfId="2" applyNumberFormat="1" applyAlignment="1" applyProtection="1">
      <alignment vertical="center"/>
      <protection hidden="1"/>
    </xf>
    <xf numFmtId="43" fontId="10" fillId="0" borderId="0" xfId="5" applyFont="1" applyAlignment="1" applyProtection="1">
      <alignment horizontal="center" vertical="center"/>
      <protection hidden="1"/>
    </xf>
    <xf numFmtId="164" fontId="8" fillId="0" borderId="0" xfId="3" applyNumberFormat="1" applyFont="1" applyFill="1" applyAlignment="1" applyProtection="1">
      <alignment vertical="center"/>
      <protection hidden="1"/>
    </xf>
    <xf numFmtId="168" fontId="8" fillId="0" borderId="0" xfId="3" applyNumberFormat="1" applyFont="1" applyFill="1" applyAlignment="1" applyProtection="1">
      <alignment vertical="center"/>
      <protection hidden="1"/>
    </xf>
    <xf numFmtId="0" fontId="16" fillId="0" borderId="0" xfId="1" applyFont="1" applyAlignment="1" applyProtection="1">
      <alignment horizontal="left" vertical="center" indent="3"/>
      <protection hidden="1"/>
    </xf>
    <xf numFmtId="164" fontId="5" fillId="0" borderId="2" xfId="3" applyNumberFormat="1" applyFont="1" applyFill="1" applyBorder="1" applyAlignment="1" applyProtection="1">
      <alignment vertical="center"/>
      <protection hidden="1"/>
    </xf>
    <xf numFmtId="168" fontId="5" fillId="0" borderId="2" xfId="3" applyNumberFormat="1" applyFont="1" applyFill="1" applyBorder="1" applyAlignment="1" applyProtection="1">
      <alignment vertical="center"/>
      <protection hidden="1"/>
    </xf>
    <xf numFmtId="168" fontId="5" fillId="0" borderId="0" xfId="3" applyNumberFormat="1" applyFont="1" applyFill="1" applyAlignment="1" applyProtection="1">
      <alignment vertical="center"/>
      <protection hidden="1"/>
    </xf>
    <xf numFmtId="164" fontId="5" fillId="0" borderId="0" xfId="3" applyNumberFormat="1" applyFont="1" applyFill="1" applyAlignment="1" applyProtection="1">
      <alignment vertical="center"/>
      <protection hidden="1"/>
    </xf>
    <xf numFmtId="0" fontId="8" fillId="0" borderId="0" xfId="1" applyFont="1" applyAlignment="1" applyProtection="1">
      <alignment horizontal="left" vertical="center" indent="2"/>
      <protection hidden="1"/>
    </xf>
    <xf numFmtId="164" fontId="8" fillId="0" borderId="0" xfId="1" applyNumberFormat="1" applyFont="1" applyAlignment="1" applyProtection="1">
      <alignment vertical="center"/>
      <protection hidden="1"/>
    </xf>
    <xf numFmtId="0" fontId="2" fillId="0" borderId="0" xfId="0" applyFont="1"/>
    <xf numFmtId="2" fontId="0" fillId="0" borderId="14" xfId="0" applyNumberFormat="1" applyBorder="1"/>
    <xf numFmtId="0" fontId="0" fillId="0" borderId="17" xfId="0" applyBorder="1"/>
    <xf numFmtId="0" fontId="0" fillId="0" borderId="18" xfId="0" applyBorder="1"/>
    <xf numFmtId="0" fontId="2" fillId="0" borderId="19" xfId="0" applyFont="1" applyBorder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2" fillId="0" borderId="22" xfId="0" applyFont="1" applyBorder="1"/>
    <xf numFmtId="0" fontId="0" fillId="0" borderId="23" xfId="0" applyBorder="1" applyAlignment="1">
      <alignment horizontal="center"/>
    </xf>
    <xf numFmtId="164" fontId="0" fillId="2" borderId="0" xfId="0" applyNumberFormat="1" applyFill="1" applyAlignment="1">
      <alignment vertical="center"/>
    </xf>
    <xf numFmtId="2" fontId="0" fillId="0" borderId="0" xfId="0" applyNumberFormat="1"/>
    <xf numFmtId="164" fontId="8" fillId="0" borderId="0" xfId="3" applyNumberFormat="1" applyFont="1" applyFill="1" applyBorder="1" applyAlignment="1" applyProtection="1">
      <alignment vertical="center"/>
      <protection hidden="1"/>
    </xf>
    <xf numFmtId="167" fontId="2" fillId="2" borderId="0" xfId="2" applyNumberFormat="1" applyFont="1" applyFill="1" applyAlignment="1" applyProtection="1">
      <alignment vertical="center"/>
      <protection hidden="1"/>
    </xf>
    <xf numFmtId="167" fontId="2" fillId="9" borderId="24" xfId="2" applyNumberFormat="1" applyFont="1" applyFill="1" applyBorder="1" applyAlignment="1" applyProtection="1">
      <alignment vertical="center"/>
      <protection locked="0"/>
    </xf>
    <xf numFmtId="43" fontId="0" fillId="0" borderId="0" xfId="5" applyFont="1"/>
    <xf numFmtId="43" fontId="0" fillId="0" borderId="14" xfId="5" applyFont="1" applyBorder="1"/>
    <xf numFmtId="2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164" fontId="5" fillId="0" borderId="0" xfId="3" applyNumberFormat="1" applyFont="1" applyBorder="1" applyAlignment="1" applyProtection="1">
      <alignment vertical="center"/>
      <protection hidden="1"/>
    </xf>
    <xf numFmtId="168" fontId="5" fillId="0" borderId="0" xfId="3" applyNumberFormat="1" applyFont="1" applyBorder="1" applyAlignment="1" applyProtection="1">
      <alignment vertical="center"/>
      <protection hidden="1"/>
    </xf>
    <xf numFmtId="0" fontId="0" fillId="2" borderId="0" xfId="0" applyFill="1" applyAlignment="1">
      <alignment horizontal="left" vertical="center" indent="2"/>
    </xf>
    <xf numFmtId="165" fontId="18" fillId="2" borderId="0" xfId="0" applyNumberFormat="1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horizontal="right" indent="2"/>
    </xf>
    <xf numFmtId="0" fontId="0" fillId="0" borderId="0" xfId="0" applyAlignment="1">
      <alignment horizontal="right" indent="3"/>
    </xf>
    <xf numFmtId="0" fontId="0" fillId="0" borderId="0" xfId="0" applyAlignment="1">
      <alignment horizontal="right" indent="4"/>
    </xf>
    <xf numFmtId="0" fontId="0" fillId="0" borderId="0" xfId="0" applyAlignment="1">
      <alignment horizontal="left" vertical="center"/>
    </xf>
    <xf numFmtId="0" fontId="0" fillId="10" borderId="25" xfId="0" applyFill="1" applyBorder="1" applyAlignment="1">
      <alignment horizontal="left" vertical="center" indent="1"/>
    </xf>
    <xf numFmtId="0" fontId="23" fillId="0" borderId="0" xfId="0" applyFont="1" applyAlignment="1">
      <alignment horizontal="left" vertical="center" indent="1"/>
    </xf>
    <xf numFmtId="43" fontId="8" fillId="0" borderId="0" xfId="5" applyFont="1" applyAlignment="1" applyProtection="1">
      <alignment vertical="center"/>
      <protection hidden="1"/>
    </xf>
    <xf numFmtId="0" fontId="0" fillId="2" borderId="0" xfId="0" applyFill="1" applyAlignment="1">
      <alignment horizontal="left" vertical="center" indent="1"/>
    </xf>
    <xf numFmtId="0" fontId="0" fillId="0" borderId="0" xfId="0" applyAlignment="1">
      <alignment horizontal="right" indent="5"/>
    </xf>
    <xf numFmtId="0" fontId="0" fillId="0" borderId="0" xfId="0" applyAlignment="1">
      <alignment horizontal="right" indent="6"/>
    </xf>
    <xf numFmtId="0" fontId="0" fillId="2" borderId="0" xfId="0" applyFill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</cellXfs>
  <cellStyles count="6">
    <cellStyle name="Normal" xfId="0" builtinId="0"/>
    <cellStyle name="Normal 2" xfId="1" xr:uid="{006EAA20-F8E9-4ACB-A57E-F96C873BA84F}"/>
    <cellStyle name="Normal 3" xfId="2" xr:uid="{2A901AB4-2D5D-4114-A97C-A1EE32372B2A}"/>
    <cellStyle name="Normal 4" xfId="4" xr:uid="{E819A3E7-A861-41BB-BF53-95443CB19606}"/>
    <cellStyle name="Vírgula" xfId="5" builtinId="3"/>
    <cellStyle name="Vírgula 2" xfId="3" xr:uid="{9373B100-FA44-493D-867B-5D09637D727E}"/>
  </cellStyles>
  <dxfs count="258"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alignment horizontal="right" textRotation="0" wrapText="0" relative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alignment horizontal="right" vertical="center" textRotation="0" wrapText="0" relativeIndent="1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</dxf>
    <dxf>
      <fill>
        <patternFill patternType="none">
          <fgColor indexed="64"/>
          <bgColor auto="1"/>
        </patternFill>
      </fill>
      <alignment horizontal="right" textRotation="0" wrapText="0" relativeIndent="1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2" formatCode="0.00"/>
    </dxf>
    <dxf>
      <numFmt numFmtId="0" formatCode="General"/>
    </dxf>
    <dxf>
      <numFmt numFmtId="0" formatCode="General"/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font>
        <b val="0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ont>
        <b val="0"/>
      </font>
      <alignment horizontal="left" vertical="center" textRotation="0" wrapText="0" indent="1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left" vertical="center" textRotation="0" wrapText="0" indent="1" justifyLastLine="0" shrinkToFit="0" readingOrder="0"/>
    </dxf>
    <dxf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numFmt numFmtId="164" formatCode="_(* #,##0.00_);[Red]_(* \(#,##0.00\);_(* &quot;-&quot;??_);_(@_)"/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left" vertical="center" textRotation="0" wrapText="0" indent="1" justifyLastLine="0" shrinkToFit="0" readingOrder="0"/>
    </dxf>
    <dxf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numFmt numFmtId="164" formatCode="_(* #,##0.00_);[Red]_(* \(#,##0.00\);_(* &quot;-&quot;??_);_(@_)"/>
      <alignment horizontal="center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numFmt numFmtId="164" formatCode="_(* #,##0.00_);[Red]_(* \(#,##0.00\);_(* &quot;-&quot;??_);_(@_)"/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alignment horizontal="left" vertical="center" textRotation="0" wrapText="0" indent="1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left" vertical="center" textRotation="0" wrapText="0" indent="1" justifyLastLine="0" shrinkToFit="0" readingOrder="0"/>
    </dxf>
    <dxf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numFmt numFmtId="164" formatCode="_(* #,##0.00_);[Red]_(* \(#,##0.00\);_(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protection locked="1" hidden="1"/>
    </dxf>
  </dxfs>
  <tableStyles count="0" defaultTableStyle="TableStyleMedium2" defaultPivotStyle="PivotStyleLight16"/>
  <colors>
    <mruColors>
      <color rgb="FF0000FF"/>
      <color rgb="FF99FF99"/>
      <color rgb="FF000080"/>
      <color rgb="FF66FF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Jonathan Sá" id="{FC5CB3C4-C029-45E5-914E-8989B6DA1CDE}" userId="S::jonathan.sa@seedacc.com.br::c2fad077-b38b-47ca-9f42-4609681a2caa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DD782172-60E4-4051-A1F3-76557C2BDFAE}" name="Tab_Data" displayName="Tab_Data" ref="Y10:Y22" totalsRowShown="0" headerRowDxfId="257" dataDxfId="256" dataCellStyle="Normal 3">
  <autoFilter ref="Y10:Y22" xr:uid="{FCF1B103-BBDA-4202-A3A4-D2816C9E9210}"/>
  <tableColumns count="1">
    <tableColumn id="1" xr3:uid="{536795E5-7B84-4641-9237-367879F2A778}" name="DATA" dataDxfId="255" dataCellStyle="Normal 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BB5A0B8-8B74-4944-A6D7-C4EBE68A2870}" name="Tab_05.Mai" displayName="Tab_05.Mai" ref="B14:O281" totalsRowShown="0" headerRowDxfId="123" dataDxfId="122">
  <autoFilter ref="B14:O281" xr:uid="{8138E661-209A-4055-9483-F6E64ADE52E3}"/>
  <tableColumns count="14">
    <tableColumn id="11" xr3:uid="{298C394D-F355-448E-897C-58C10A819ABB}" name="TP" dataDxfId="121">
      <calculatedColumnFormula>_xlfn.XLOOKUP($I15,Tab_00.Trial[CONTA],Tab_00.Trial[TP],"",0,1)</calculatedColumnFormula>
    </tableColumn>
    <tableColumn id="9" xr3:uid="{5D5CE328-6F70-469E-85B6-96D19D5CB7E6}" name="NV" dataDxfId="120">
      <calculatedColumnFormula>_xlfn.XLOOKUP($I15,Tab_00.Trial[CONTA],Tab_00.Trial[NV],"",0,1)</calculatedColumnFormula>
    </tableColumn>
    <tableColumn id="10" xr3:uid="{05C0D332-1AFE-4817-B4C8-76F691BB5B42}" name="S/A" dataDxfId="119">
      <calculatedColumnFormula>_xlfn.XLOOKUP($I15,Tab_00.Trial[CONTA],Tab_00.Trial[S/A],"",0,1)</calculatedColumnFormula>
    </tableColumn>
    <tableColumn id="12" xr3:uid="{A0598F29-5610-456B-A9C2-2B20DA9BC29A}" name="CHK" dataDxfId="118">
      <calculatedColumnFormula>IF($I15="","",COUNTIFS(Tab_00.Trial[CONTA],$I15))</calculatedColumnFormula>
    </tableColumn>
    <tableColumn id="13" xr3:uid="{4B8D1215-8974-46F7-BFF0-978F3DF512AA}" name="SALDO FINAL_x000a_ANTERIOR" dataDxfId="117">
      <calculatedColumnFormula>SUMIFS(Tab_04.Abr[SALDO
ATUAL],Tab_04.Abr[CONTA],$I15)</calculatedColumnFormula>
    </tableColumn>
    <tableColumn id="14" xr3:uid="{458716B3-373F-4523-B233-CCC8220834E1}" name="DIFERENÇA" dataDxfId="116">
      <calculatedColumnFormula>$F15-$K15</calculatedColumnFormula>
    </tableColumn>
    <tableColumn id="2" xr3:uid="{CD1DA9C1-56DF-43F9-BFAE-5B2B7E9CBE0D}" name="REDUZIDO"/>
    <tableColumn id="1" xr3:uid="{CCD78BD4-E919-4472-AC65-C9DF3DCD0A0E}" name="CONTA" dataDxfId="115"/>
    <tableColumn id="3" xr3:uid="{B4F62DF8-3730-4C43-8DED-DDBC8E507B6F}" name="DESCRIÇÃO" dataDxfId="114"/>
    <tableColumn id="4" xr3:uid="{F28C5E1E-61B7-4BBF-AEA2-AF6BBC2D169B}" name="SALDO_x000a_ANTERIOR" dataDxfId="113"/>
    <tableColumn id="5" xr3:uid="{48122707-849C-4733-B897-17DAC649F487}" name="DÉBITO" dataDxfId="112"/>
    <tableColumn id="6" xr3:uid="{AD777AC0-297E-44B1-A015-37D480A8521A}" name="CRÉDITO" dataDxfId="111"/>
    <tableColumn id="8" xr3:uid="{F671124B-1993-475A-8AAA-DAEA4BE810E9}" name="SALDO_x000a_ATUAL" dataDxfId="110"/>
    <tableColumn id="7" xr3:uid="{A976C07F-D81C-482F-BCEA-49FB14CA48C0}" name="MOVIMENTO" dataDxfId="109">
      <calculatedColumnFormula>Tab_05.Mai[[#This Row],[DÉBITO]]-Tab_05.Mai[[#This Row],[CRÉDITO]]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AF38374-1E45-43AC-8920-D29DF6155F56}" name="Tab_06.Jun" displayName="Tab_06.Jun" ref="B14:O288" totalsRowShown="0" headerRowDxfId="108" dataDxfId="107">
  <autoFilter ref="B14:O288" xr:uid="{8138E661-209A-4055-9483-F6E64ADE52E3}"/>
  <tableColumns count="14">
    <tableColumn id="11" xr3:uid="{38459530-3169-4B0B-998D-D1E45DB23A4F}" name="TP" dataDxfId="106">
      <calculatedColumnFormula>_xlfn.XLOOKUP($I15,Tab_00.Trial[CONTA],Tab_00.Trial[TP],"",0,1)</calculatedColumnFormula>
    </tableColumn>
    <tableColumn id="9" xr3:uid="{E201213B-97E9-47C4-ADF5-716EDCA90B0D}" name="NV" dataDxfId="105">
      <calculatedColumnFormula>_xlfn.XLOOKUP($I15,Tab_00.Trial[CONTA],Tab_00.Trial[NV],"",0,1)</calculatedColumnFormula>
    </tableColumn>
    <tableColumn id="10" xr3:uid="{728BD264-676C-4209-ACAD-D08F4349C5F9}" name="S/A" dataDxfId="104">
      <calculatedColumnFormula>_xlfn.XLOOKUP($I15,Tab_00.Trial[CONTA],Tab_00.Trial[S/A],"",0,1)</calculatedColumnFormula>
    </tableColumn>
    <tableColumn id="12" xr3:uid="{0D4E81EB-5716-40C1-8E1F-AE412B1999BD}" name="CHK" dataDxfId="103">
      <calculatedColumnFormula>IF($I15="","",COUNTIFS(Tab_00.Trial[CONTA],$I15))</calculatedColumnFormula>
    </tableColumn>
    <tableColumn id="13" xr3:uid="{4ADA37D6-BE9E-4FC9-A678-7607256DECE2}" name="SALDO FINAL_x000a_ANTERIOR" dataDxfId="102">
      <calculatedColumnFormula>SUMIFS(Tab_05.Mai[SALDO
ATUAL],Tab_05.Mai[CONTA],$I15)</calculatedColumnFormula>
    </tableColumn>
    <tableColumn id="14" xr3:uid="{493E9279-4597-49AC-80EE-862306E1FBA6}" name="DIFERENÇA" dataDxfId="101">
      <calculatedColumnFormula>$F15-$K15</calculatedColumnFormula>
    </tableColumn>
    <tableColumn id="2" xr3:uid="{8B7E2D71-4863-448B-855C-C4520DCF8008}" name="REDUZIDO"/>
    <tableColumn id="1" xr3:uid="{A010BF4E-5B67-4455-A19F-8CD11D3AF7E0}" name="CONTA" dataDxfId="100"/>
    <tableColumn id="3" xr3:uid="{6FF2B3BC-247C-4D1B-A6E6-9EA3891DE69E}" name="DESCRIÇÃO" dataDxfId="99"/>
    <tableColumn id="4" xr3:uid="{1893F894-7350-4B30-813B-A087A24E7B39}" name="SALDO_x000a_ANTERIOR" dataDxfId="98"/>
    <tableColumn id="5" xr3:uid="{5FC18AA9-E703-434B-B4E3-F8AC1586FD04}" name="DÉBITO" dataDxfId="97"/>
    <tableColumn id="6" xr3:uid="{B48B421C-84EE-40A6-B56E-237E7EEA35B4}" name="CRÉDITO" dataDxfId="96"/>
    <tableColumn id="8" xr3:uid="{955C1EA1-D70E-477F-800A-27B52B57DEA7}" name="SALDO_x000a_ATUAL" dataDxfId="95"/>
    <tableColumn id="7" xr3:uid="{7FEA543C-A2C2-424C-8D76-B753ED1928C5}" name="MOVIMENTO" dataDxfId="94">
      <calculatedColumnFormula>Tab_06.Jun[[#This Row],[DÉBITO]]-Tab_06.Jun[[#This Row],[CRÉDITO]]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255091C-289A-412E-AEFD-49DC2D13C23D}" name="Tab_07.Jul" displayName="Tab_07.Jul" ref="B14:O288" totalsRowShown="0" headerRowDxfId="93" dataDxfId="92">
  <autoFilter ref="B14:O288" xr:uid="{8138E661-209A-4055-9483-F6E64ADE52E3}"/>
  <tableColumns count="14">
    <tableColumn id="11" xr3:uid="{928BC998-2CD1-4B00-A7B1-0F8F6C9BC03A}" name="TP" dataDxfId="91">
      <calculatedColumnFormula>_xlfn.XLOOKUP($I15,Tab_00.Trial[CONTA],Tab_00.Trial[TP],"",0,1)</calculatedColumnFormula>
    </tableColumn>
    <tableColumn id="9" xr3:uid="{92CA752E-0019-4DB3-B489-B2798250B4E1}" name="NV" dataDxfId="90">
      <calculatedColumnFormula>_xlfn.XLOOKUP($I15,Tab_00.Trial[CONTA],Tab_00.Trial[NV],"",0,1)</calculatedColumnFormula>
    </tableColumn>
    <tableColumn id="10" xr3:uid="{FE3CEBD1-C009-4698-8971-580D126775DE}" name="S/A" dataDxfId="89">
      <calculatedColumnFormula>_xlfn.XLOOKUP($I15,Tab_00.Trial[CONTA],Tab_00.Trial[S/A],"",0,1)</calculatedColumnFormula>
    </tableColumn>
    <tableColumn id="12" xr3:uid="{80E6CCBD-8BFE-4F44-8602-67DBF6B8528D}" name="CHK" dataDxfId="88">
      <calculatedColumnFormula>IF($I15="","",COUNTIFS(Tab_00.Trial[CONTA],$I15))</calculatedColumnFormula>
    </tableColumn>
    <tableColumn id="13" xr3:uid="{5A4FDA11-804D-40A4-8475-AB388AE30F9A}" name="SALDO FINAL_x000a_ANTERIOR" dataDxfId="87">
      <calculatedColumnFormula>SUMIFS(Tab_06.Jun[SALDO
ATUAL],Tab_06.Jun[CONTA],$I15)</calculatedColumnFormula>
    </tableColumn>
    <tableColumn id="14" xr3:uid="{B6540FBD-5BE2-4A33-A60D-84D5213B963B}" name="DIFERENÇA" dataDxfId="86">
      <calculatedColumnFormula>$F15-$K15</calculatedColumnFormula>
    </tableColumn>
    <tableColumn id="2" xr3:uid="{A32EDEF5-3C5D-4D5C-801F-BE6DD92F77A2}" name="REDUZIDO"/>
    <tableColumn id="1" xr3:uid="{AA92EB1C-2DBE-48DE-B0AA-60FAE8D49FFA}" name="CONTA" dataDxfId="85"/>
    <tableColumn id="3" xr3:uid="{B89A979B-93ED-4512-A780-337794524B30}" name="DESCRIÇÃO" dataDxfId="84"/>
    <tableColumn id="4" xr3:uid="{AD1D6544-DF44-4968-A924-32BEC73B3E55}" name="SALDO_x000a_ANTERIOR" dataDxfId="83"/>
    <tableColumn id="5" xr3:uid="{4EB45F2E-AF2B-4FBC-9FCB-2145A4266114}" name="DÉBITO" dataDxfId="82"/>
    <tableColumn id="6" xr3:uid="{96080E80-A809-4E23-819E-7DF0C51A9CAB}" name="CRÉDITO" dataDxfId="81"/>
    <tableColumn id="8" xr3:uid="{F2E82034-3CD6-44FE-B4E3-205DF5A89FF4}" name="SALDO_x000a_ATUAL" dataDxfId="80"/>
    <tableColumn id="7" xr3:uid="{75ED89F0-59FD-4C13-9AC7-6AC3295F0DB9}" name="MOVIMENTO" dataDxfId="79">
      <calculatedColumnFormula>Tab_07.Jul[[#This Row],[DÉBITO]]-Tab_07.Jul[[#This Row],[CRÉDITO]]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C8A3CD9-C100-402A-9F37-3EB7FB8C2C17}" name="Tab_08.Ago" displayName="Tab_08.Ago" ref="B14:O296" totalsRowShown="0" headerRowDxfId="78" dataDxfId="77">
  <autoFilter ref="B14:O296" xr:uid="{8138E661-209A-4055-9483-F6E64ADE52E3}"/>
  <tableColumns count="14">
    <tableColumn id="11" xr3:uid="{4288C136-4ED1-44CC-9E7A-4178883E75AA}" name="TP" dataDxfId="76">
      <calculatedColumnFormula>_xlfn.XLOOKUP($I15,Tab_00.Trial[CONTA],Tab_00.Trial[TP],"",0,1)</calculatedColumnFormula>
    </tableColumn>
    <tableColumn id="9" xr3:uid="{84658014-8624-44B8-A3A1-B1FD1EEB4687}" name="NV" dataDxfId="75">
      <calculatedColumnFormula>_xlfn.XLOOKUP($I15,Tab_00.Trial[CONTA],Tab_00.Trial[NV],"",0,1)</calculatedColumnFormula>
    </tableColumn>
    <tableColumn id="10" xr3:uid="{3EE111E2-4DDD-4D3C-9582-41F8A0AE096E}" name="S/A" dataDxfId="74">
      <calculatedColumnFormula>_xlfn.XLOOKUP($I15,Tab_00.Trial[CONTA],Tab_00.Trial[S/A],"",0,1)</calculatedColumnFormula>
    </tableColumn>
    <tableColumn id="12" xr3:uid="{14762C56-723F-4EFE-9A87-9606BCD44C34}" name="CHK" dataDxfId="73">
      <calculatedColumnFormula>IF($I15="","",COUNTIFS(Tab_00.Trial[CONTA],$I15))</calculatedColumnFormula>
    </tableColumn>
    <tableColumn id="13" xr3:uid="{E5F3E0C2-BE8D-4EE7-AECF-C3DBCFB27C78}" name="SALDO FINAL_x000a_ANTERIOR" dataDxfId="72">
      <calculatedColumnFormula>SUMIFS(Tab_07.Jul[SALDO
ATUAL],Tab_07.Jul[CONTA],$I15)</calculatedColumnFormula>
    </tableColumn>
    <tableColumn id="14" xr3:uid="{66F66A3D-A7E8-431A-9EAD-29020952EA4C}" name="DIFERENÇA" dataDxfId="71">
      <calculatedColumnFormula>$F15-$K15</calculatedColumnFormula>
    </tableColumn>
    <tableColumn id="2" xr3:uid="{26CE4BC3-0A3A-4D55-BF1F-F27A3E3124C9}" name="REDUZIDO"/>
    <tableColumn id="1" xr3:uid="{0F4C8FE6-0940-4540-9FB0-DE82A3D19E3A}" name="CONTA" dataDxfId="70"/>
    <tableColumn id="3" xr3:uid="{802A510E-788D-452F-9941-04B596ACE917}" name="DESCRIÇÃO" dataDxfId="69"/>
    <tableColumn id="4" xr3:uid="{8205B22B-7003-4B65-AACD-6A709946AA76}" name="SALDO_x000a_ANTERIOR" dataDxfId="68"/>
    <tableColumn id="5" xr3:uid="{C72CC8A6-F236-4B17-82DC-43056D2281B0}" name="DÉBITO" dataDxfId="67"/>
    <tableColumn id="6" xr3:uid="{A0BE4154-BE6B-4089-857D-EF9F86A42CF2}" name="CRÉDITO" dataDxfId="66"/>
    <tableColumn id="8" xr3:uid="{2263944D-B433-47E8-BE51-1C804CE6F548}" name="SALDO_x000a_ATUAL" dataDxfId="65"/>
    <tableColumn id="7" xr3:uid="{E8539B61-343E-4E99-9EC6-3F9D6ACE4A2A}" name="MOVIMENTO" dataDxfId="64">
      <calculatedColumnFormula>$L15-$M15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6E91480-49BA-4FD4-A090-DDD67E4C4F0D}" name="Tab_09.Set" displayName="Tab_09.Set" ref="B14:O295" totalsRowShown="0" headerRowDxfId="63" dataDxfId="62">
  <autoFilter ref="B14:O295" xr:uid="{8138E661-209A-4055-9483-F6E64ADE52E3}"/>
  <tableColumns count="14">
    <tableColumn id="11" xr3:uid="{73568155-1E5B-4B53-89D2-FAA77E276A68}" name="TP" dataDxfId="61">
      <calculatedColumnFormula>_xlfn.XLOOKUP($I15,Tab_00.Trial[CONTA],Tab_00.Trial[TP],"",0,1)</calculatedColumnFormula>
    </tableColumn>
    <tableColumn id="9" xr3:uid="{644A43EE-FB79-42F3-9C67-E288C641BB9B}" name="NV" dataDxfId="60">
      <calculatedColumnFormula>_xlfn.XLOOKUP($I15,Tab_00.Trial[CONTA],Tab_00.Trial[NV],"",0,1)</calculatedColumnFormula>
    </tableColumn>
    <tableColumn id="10" xr3:uid="{BF3685B3-96B4-412B-A3E4-C8EBE9C47649}" name="S/A" dataDxfId="59">
      <calculatedColumnFormula>_xlfn.XLOOKUP($I15,Tab_00.Trial[CONTA],Tab_00.Trial[S/A],"",0,1)</calculatedColumnFormula>
    </tableColumn>
    <tableColumn id="12" xr3:uid="{39E0BD15-E735-4FF9-A200-734C9997B382}" name="CHK" dataDxfId="58">
      <calculatedColumnFormula>IF($I15="","",COUNTIFS(Tab_00.Trial[CONTA],$I15))</calculatedColumnFormula>
    </tableColumn>
    <tableColumn id="13" xr3:uid="{D47D363B-7B5E-4F3F-9824-D3D0317F1F35}" name="SALDO FINAL_x000a_ANTERIOR" dataDxfId="57">
      <calculatedColumnFormula>SUMIFS(Tab_08.Ago[SALDO
ATUAL],Tab_08.Ago[CONTA],$I15)</calculatedColumnFormula>
    </tableColumn>
    <tableColumn id="14" xr3:uid="{17B8D553-07DC-4B1A-BAB1-9D67DA35104D}" name="DIFERENÇA" dataDxfId="56">
      <calculatedColumnFormula>$F15-$K15</calculatedColumnFormula>
    </tableColumn>
    <tableColumn id="2" xr3:uid="{B62C1F25-C4C3-454A-BBD2-185FE796A167}" name="REDUZIDO"/>
    <tableColumn id="1" xr3:uid="{C6554AB7-1B60-4946-A75A-9E079205A1F9}" name="CONTA" dataDxfId="55"/>
    <tableColumn id="3" xr3:uid="{DD1C17D6-D59A-4FC2-8179-E5D29F4FFD77}" name="DESCRIÇÃO" dataDxfId="54"/>
    <tableColumn id="4" xr3:uid="{DA827D61-41F1-43B0-B30A-77FB07671326}" name="SALDO_x000a_ANTERIOR" dataDxfId="53"/>
    <tableColumn id="5" xr3:uid="{8D7662E4-0984-4192-B69B-77943F4B8793}" name="DÉBITO" dataDxfId="52"/>
    <tableColumn id="6" xr3:uid="{756086A7-D6AE-4AC0-9E70-DF995271183B}" name="CRÉDITO" dataDxfId="51"/>
    <tableColumn id="8" xr3:uid="{05EAD936-4E68-4712-B211-0B48A9642460}" name="SALDO_x000a_ATUAL" dataDxfId="50"/>
    <tableColumn id="7" xr3:uid="{DB04AB6D-5263-478C-9FD8-E61AE420E68F}" name="MOVIMENTO" dataDxfId="49">
      <calculatedColumnFormula>$L15-$M15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6A625D9-7BFF-4468-9686-EE20D778D0B9}" name="Tab_10.Out" displayName="Tab_10.Out" ref="B14:O298" totalsRowShown="0" headerRowDxfId="48" dataDxfId="47">
  <autoFilter ref="B14:O298" xr:uid="{8138E661-209A-4055-9483-F6E64ADE52E3}"/>
  <tableColumns count="14">
    <tableColumn id="11" xr3:uid="{C7A55173-BD3B-4C35-9200-FA40B4E9C98D}" name="TP" dataDxfId="46">
      <calculatedColumnFormula>_xlfn.XLOOKUP($I15,Tab_00.Trial[CONTA],Tab_00.Trial[TP],"",0,1)</calculatedColumnFormula>
    </tableColumn>
    <tableColumn id="9" xr3:uid="{F768BE8B-2CF4-488E-848E-1AC75C6FF587}" name="NV" dataDxfId="45">
      <calculatedColumnFormula>_xlfn.XLOOKUP($I15,Tab_00.Trial[CONTA],Tab_00.Trial[NV],"",0,1)</calculatedColumnFormula>
    </tableColumn>
    <tableColumn id="10" xr3:uid="{32FDA1B3-6570-49DF-A222-4A43B400D72C}" name="S/A" dataDxfId="44">
      <calculatedColumnFormula>_xlfn.XLOOKUP($I15,Tab_00.Trial[CONTA],Tab_00.Trial[S/A],"",0,1)</calculatedColumnFormula>
    </tableColumn>
    <tableColumn id="12" xr3:uid="{BA3CF99A-E43A-4626-8C27-D87B6D312A18}" name="CHK" dataDxfId="43">
      <calculatedColumnFormula>IF($I15="","",COUNTIFS(Tab_00.Trial[CONTA],$I15))</calculatedColumnFormula>
    </tableColumn>
    <tableColumn id="13" xr3:uid="{8088741C-9604-473F-AF1A-5EC843E6DB2C}" name="SALDO FINAL_x000a_ANTERIOR" dataDxfId="42">
      <calculatedColumnFormula>SUMIFS(Tab_09.Set[SALDO
ATUAL],Tab_09.Set[CONTA],$I15)</calculatedColumnFormula>
    </tableColumn>
    <tableColumn id="14" xr3:uid="{80C82A30-9134-4122-BB86-5DE9DC0CEDAA}" name="DIFERENÇA" dataDxfId="41">
      <calculatedColumnFormula>$F15-$K15</calculatedColumnFormula>
    </tableColumn>
    <tableColumn id="2" xr3:uid="{97CD3672-A24B-4268-9A85-B61C28475F96}" name="REDUZIDO"/>
    <tableColumn id="1" xr3:uid="{8EB59ADB-4912-4724-B64D-F98A8876E6D3}" name="CONTA" dataDxfId="40"/>
    <tableColumn id="3" xr3:uid="{CC371D34-5808-4AE1-92CD-0A5C97CD77CE}" name="DESCRIÇÃO" dataDxfId="39"/>
    <tableColumn id="4" xr3:uid="{922CCA60-6410-44DE-BAA3-45166875FA20}" name="SALDO_x000a_ANTERIOR" dataDxfId="38"/>
    <tableColumn id="5" xr3:uid="{B4171E1B-9E3F-4DA8-9AD5-BC109452F33E}" name="DÉBITO" dataDxfId="37"/>
    <tableColumn id="6" xr3:uid="{7894405B-A33F-4327-955C-F3165D919461}" name="CRÉDITO" dataDxfId="36"/>
    <tableColumn id="8" xr3:uid="{825EA38A-0EF7-430F-8BE8-03654E96910D}" name="SALDO_x000a_ATUAL" dataDxfId="35"/>
    <tableColumn id="7" xr3:uid="{BAD79AFB-E55B-460B-AE82-B0E065BD2F62}" name="MOVIMENTO" dataDxfId="34">
      <calculatedColumnFormula>$L15-$M15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5A627A8-E99B-4ECD-B662-D2C42ACD8DA8}" name="Tab_11.Nov" displayName="Tab_11.Nov" ref="B14:O302" totalsRowShown="0" headerRowDxfId="33" dataDxfId="32">
  <autoFilter ref="B14:O302" xr:uid="{8138E661-209A-4055-9483-F6E64ADE52E3}"/>
  <tableColumns count="14">
    <tableColumn id="11" xr3:uid="{07FE41DE-2D49-4A54-9B0A-9E604B215542}" name="TP" dataDxfId="31">
      <calculatedColumnFormula>_xlfn.XLOOKUP($I15,Tab_00.Trial[CONTA],Tab_00.Trial[TP],"",0,1)</calculatedColumnFormula>
    </tableColumn>
    <tableColumn id="9" xr3:uid="{2AD848D1-0123-4913-B0DB-04798B49FDCC}" name="NV" dataDxfId="30">
      <calculatedColumnFormula>_xlfn.XLOOKUP($I15,Tab_00.Trial[CONTA],Tab_00.Trial[NV],"",0,1)</calculatedColumnFormula>
    </tableColumn>
    <tableColumn id="10" xr3:uid="{09AA2265-25A0-4A80-8854-C2F7FDD2679A}" name="S/A" dataDxfId="29">
      <calculatedColumnFormula>_xlfn.XLOOKUP($I15,Tab_00.Trial[CONTA],Tab_00.Trial[S/A],"",0,1)</calculatedColumnFormula>
    </tableColumn>
    <tableColumn id="12" xr3:uid="{D0340E3A-602A-4452-8BF0-E919447955A2}" name="CHK" dataDxfId="28">
      <calculatedColumnFormula>IF($I15="","",COUNTIFS(Tab_00.Trial[CONTA],$I15))</calculatedColumnFormula>
    </tableColumn>
    <tableColumn id="13" xr3:uid="{66FD983B-FBC1-4241-BEB2-0C23725AE76B}" name="SALDO FINAL_x000a_ANTERIOR" dataDxfId="27">
      <calculatedColumnFormula>SUMIFS(Tab_10.Out[SALDO
ATUAL],Tab_10.Out[CONTA],$I15)</calculatedColumnFormula>
    </tableColumn>
    <tableColumn id="14" xr3:uid="{810AB283-7EC1-4292-8AD0-6482434ED886}" name="DIFERENÇA" dataDxfId="26">
      <calculatedColumnFormula>$F15-$K15</calculatedColumnFormula>
    </tableColumn>
    <tableColumn id="2" xr3:uid="{32867100-F683-409B-BF88-404FE0106048}" name="REDUZIDO"/>
    <tableColumn id="1" xr3:uid="{BF83A334-161F-4FE3-8E4D-3222C1C9CB8C}" name="CONTA" dataDxfId="25"/>
    <tableColumn id="3" xr3:uid="{78F9B63E-17DC-4E11-AF86-D99DDAD9A160}" name="DESCRIÇÃO" dataDxfId="24"/>
    <tableColumn id="4" xr3:uid="{DF131163-90B9-4E73-8AB0-E41B9E119B50}" name="SALDO_x000a_ANTERIOR" dataDxfId="23"/>
    <tableColumn id="5" xr3:uid="{4FD46328-F570-4B0B-9A77-715A411F28F4}" name="DÉBITO" dataDxfId="22"/>
    <tableColumn id="6" xr3:uid="{A63E0C78-2AAC-4542-9874-66E26AB137BD}" name="CRÉDITO" dataDxfId="21"/>
    <tableColumn id="8" xr3:uid="{A0DA3FB1-09ED-4608-906B-4F442D2B3E96}" name="SALDO_x000a_ATUAL" dataDxfId="20"/>
    <tableColumn id="7" xr3:uid="{9B72F041-FF8E-42AD-87F6-0469F15E6EB7}" name="MOVIMENTO" dataDxfId="19">
      <calculatedColumnFormula>$L15-$M15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31ED570-1261-40C4-9274-E81812F22A14}" name="Tab_12.Dez" displayName="Tab_12.Dez" ref="B14:O302" totalsRowShown="0" headerRowDxfId="18" dataDxfId="17">
  <autoFilter ref="B14:O302" xr:uid="{8138E661-209A-4055-9483-F6E64ADE52E3}"/>
  <tableColumns count="14">
    <tableColumn id="11" xr3:uid="{1346835A-E1EA-4D8C-A126-9CAE5ED76FE6}" name="TP" dataDxfId="16">
      <calculatedColumnFormula>_xlfn.XLOOKUP($I15,Tab_00.Trial[CONTA],Tab_00.Trial[TP],"",0,1)</calculatedColumnFormula>
    </tableColumn>
    <tableColumn id="9" xr3:uid="{FAAD0DEE-AF53-45A9-9257-1A5D9E525CC0}" name="NV" dataDxfId="15">
      <calculatedColumnFormula>_xlfn.XLOOKUP($I15,Tab_00.Trial[CONTA],Tab_00.Trial[NV],"",0,1)</calculatedColumnFormula>
    </tableColumn>
    <tableColumn id="10" xr3:uid="{77746E4F-7546-4A1A-94C3-00A3CACAAD05}" name="S/A" dataDxfId="14">
      <calculatedColumnFormula>_xlfn.XLOOKUP($I15,Tab_00.Trial[CONTA],Tab_00.Trial[S/A],"",0,1)</calculatedColumnFormula>
    </tableColumn>
    <tableColumn id="12" xr3:uid="{527AC49B-627F-4A28-A067-2A8D6DED8F6A}" name="CHK" dataDxfId="13">
      <calculatedColumnFormula>IF($I15="","",COUNTIFS(Tab_00.Trial[CONTA],$I15))</calculatedColumnFormula>
    </tableColumn>
    <tableColumn id="13" xr3:uid="{0A51F6ED-8E28-4A41-8865-378FD8FA4969}" name="SALDO FINAL_x000a_ANTERIOR" dataDxfId="12">
      <calculatedColumnFormula>SUMIFS(Tab_11.Nov[SALDO
ATUAL],Tab_11.Nov[CONTA],$I15)</calculatedColumnFormula>
    </tableColumn>
    <tableColumn id="14" xr3:uid="{55A01EC5-4C49-4839-A48F-22526A803941}" name="DIFERENÇA" dataDxfId="11">
      <calculatedColumnFormula>$F15-$K15</calculatedColumnFormula>
    </tableColumn>
    <tableColumn id="2" xr3:uid="{192B207D-B768-4431-9B00-B0BDE86A7E68}" name="REDUZIDO" dataDxfId="10"/>
    <tableColumn id="1" xr3:uid="{0FB99694-9CC8-4121-BEFA-9E1DB501CD99}" name="CONTA" dataDxfId="9"/>
    <tableColumn id="3" xr3:uid="{7D488711-2946-4E02-BEC1-783BCD86B219}" name="DESCRIÇÃO" dataDxfId="8"/>
    <tableColumn id="4" xr3:uid="{8AF88AA7-D2B0-44B7-9C12-96DA77442F6D}" name="SALDO_x000a_ANTERIOR" dataDxfId="7"/>
    <tableColumn id="5" xr3:uid="{C2A1DA1B-2932-4C3C-B71E-7C626794D593}" name="DÉBITO" dataDxfId="6"/>
    <tableColumn id="6" xr3:uid="{E209B234-0582-44B3-90DD-6DDAEA345046}" name="CRÉDITO" dataDxfId="5"/>
    <tableColumn id="8" xr3:uid="{13CD7413-E7A0-4535-89AA-19234740E0E0}" name="SALDO_x000a_ATUAL" dataDxfId="4"/>
    <tableColumn id="7" xr3:uid="{7FCCD942-783B-4C1D-8D90-52FB3ED8534C}" name="MOVIMENTO" dataDxfId="3">
      <calculatedColumnFormula>$L15-$M15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A248045-0558-4770-ADCF-021C96F8EB23}" name="Tab_99.Trial" displayName="Tab_99.Trial" ref="B14:S572" totalsRowShown="0" headerRowDxfId="254" dataDxfId="253">
  <autoFilter ref="B14:S572" xr:uid="{87DB4697-5BBE-42AF-83A4-6F806B324E26}"/>
  <tableColumns count="18">
    <tableColumn id="19" xr3:uid="{D30DA1B6-EA01-44EF-BE5A-F92D74E7DE4E}" name="DC" dataDxfId="252"/>
    <tableColumn id="3" xr3:uid="{7051EECF-4AFA-4B7E-807A-CA59F8E720B0}" name="TP" dataDxfId="251">
      <calculatedColumnFormula>IF($F15="","",IF(LEFT($F15,1)*1=1,"A",IF(LEFT($F15,1)*1=2,"P",IF(LEFT($F15,1)*1=3,"C",IF(LEFT($F15,1)*1=4,"C",IF(LEFT($F15,1)*1=5,"R",""))))))</calculatedColumnFormula>
    </tableColumn>
    <tableColumn id="4" xr3:uid="{AC4C02CA-D02B-447D-9EF2-DF27E2623A14}" name="S/A" dataDxfId="250"/>
    <tableColumn id="5" xr3:uid="{C8BE8F44-9525-4A4A-A838-9F0B5BE403DB}" name="NV" dataDxfId="249">
      <calculatedColumnFormula>IF($F15="","",IF(LEN($F15)=1,1,IF(LEN($F15)=3,2,IF(LEN($F15)=6,3,IF(LEN($F15)=9,4,IF(LEN($F15)=12,5,6))))))</calculatedColumnFormula>
    </tableColumn>
    <tableColumn id="1" xr3:uid="{5143721F-8C5C-40A0-9610-66F0DCD4D20B}" name="CONTA" dataDxfId="248"/>
    <tableColumn id="2" xr3:uid="{32F7DDFF-376D-4330-A213-172DACDFA19A}" name="DESCRIÇÃO" dataDxfId="247"/>
    <tableColumn id="6" xr3:uid="{89E951C2-FA69-4F0A-86E7-C39BD9E61EC6}" name="JANEIRO" dataDxfId="246"/>
    <tableColumn id="7" xr3:uid="{0C90AC01-FE4E-44B7-90DF-9B353508C679}" name="FEVEREIRO" dataDxfId="245"/>
    <tableColumn id="8" xr3:uid="{E6699718-F62E-4923-A761-46F1C1881F6C}" name="MARÇO" dataDxfId="244"/>
    <tableColumn id="9" xr3:uid="{CBBA02F5-E663-4E82-AD30-0930784957BB}" name="ABRIL" dataDxfId="243"/>
    <tableColumn id="10" xr3:uid="{EF0491D8-96CA-4FEF-B43D-FB85B7CA8478}" name="MAIO" dataDxfId="242"/>
    <tableColumn id="11" xr3:uid="{A2264E1D-3D3B-4C84-842F-2C3CAE86F05C}" name="JUNHO" dataDxfId="241"/>
    <tableColumn id="12" xr3:uid="{44B7D6BB-5E81-40D7-BB87-4BB72A558854}" name="JULHO" dataDxfId="240"/>
    <tableColumn id="13" xr3:uid="{78B9A121-9960-4DE8-80D2-43080C5DB20D}" name="AGOSTO" dataDxfId="239"/>
    <tableColumn id="14" xr3:uid="{07271456-ADFB-4253-B409-440734B575AC}" name="SETEMBRO" dataDxfId="238"/>
    <tableColumn id="15" xr3:uid="{DAAABE6E-B9BA-4FE5-996B-5ED99BCC1418}" name="OUTUBRO" dataDxfId="237"/>
    <tableColumn id="16" xr3:uid="{50E1D48B-5007-4882-8A87-CDC79E640309}" name="NOVEMBRO" dataDxfId="236"/>
    <tableColumn id="17" xr3:uid="{202C8315-AA51-4667-AF9E-6AB14CBA2709}" name="DEZEMBRO" dataDxfId="23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9640237-4293-4D5A-A6D4-FC08C32D7CCC}" name="Tab_00.Trial" displayName="Tab_00.Trial" ref="B14:S353" totalsRowShown="0" headerRowDxfId="234" dataDxfId="233">
  <autoFilter ref="B14:S353" xr:uid="{87DB4697-5BBE-42AF-83A4-6F806B324E26}"/>
  <tableColumns count="18">
    <tableColumn id="19" xr3:uid="{FD2A6108-AB9C-4E38-BDD8-CE11F1B71AC4}" name="DC" dataDxfId="232"/>
    <tableColumn id="3" xr3:uid="{E5563FA4-367C-4366-92DB-F9F493BD8C69}" name="TP" dataDxfId="231">
      <calculatedColumnFormula>IF($F15="","",IF(LEFT($F15,1)*1=1,"A",IF(LEFT($F15,1)*1=2,"P",IF(LEFT($F15,1)*1=3,"R",IF(LEFT($F15,1)*1=4,"C",IF(LEFT($F15,1)*1=5,"C",""))))))</calculatedColumnFormula>
    </tableColumn>
    <tableColumn id="4" xr3:uid="{F9FC4F9E-96C0-47DB-8DCA-0DDDF5330AE0}" name="S/A" dataDxfId="230">
      <calculatedColumnFormula>IF($F15="","",IF(LEN($F15)=13,"A","S"))</calculatedColumnFormula>
    </tableColumn>
    <tableColumn id="5" xr3:uid="{AC42329E-7104-498A-95B8-A3BA4731B3CE}" name="NV" dataDxfId="229">
      <calculatedColumnFormula>IF($F15="","",IF(LEN($F15)=1,1,IF(LEN($F15)=3,2,IF(LEN($F15)=5,3,IF(LEN($F15)=8,4,5)))))</calculatedColumnFormula>
    </tableColumn>
    <tableColumn id="1" xr3:uid="{1264E270-E351-4F15-85BD-9787F94FA9C8}" name="CONTA" dataDxfId="228"/>
    <tableColumn id="2" xr3:uid="{DF6B5A87-8D53-4F4D-A804-A794669E7CFA}" name="DESCRIÇÃO" dataDxfId="227"/>
    <tableColumn id="6" xr3:uid="{803202E6-173C-4132-9D10-7FF0C960E3CE}" name="JANEIRO" dataDxfId="226">
      <calculatedColumnFormula>SUMIFS(Tab_01.Jan[SALDO
ATUAL],Tab_01.Jan[CONTA],$F15)</calculatedColumnFormula>
    </tableColumn>
    <tableColumn id="7" xr3:uid="{7631660E-2912-4007-8216-47895853B5AF}" name="FEVEREIRO" dataDxfId="225">
      <calculatedColumnFormula>SUMIFS(Tab_02.Fev[SALDO
ATUAL],Tab_02.Fev[CONTA],$F15)</calculatedColumnFormula>
    </tableColumn>
    <tableColumn id="8" xr3:uid="{D5CC0C9F-BE88-45F3-A948-2A70E94ADFF0}" name="MARÇO" dataDxfId="224">
      <calculatedColumnFormula>SUMIFS(Tab_03.Mar[SALDO
ATUAL],Tab_03.Mar[CONTA],$F15)</calculatedColumnFormula>
    </tableColumn>
    <tableColumn id="9" xr3:uid="{AC8A25CB-AF45-46E6-B2E1-1ED583A6E95C}" name="ABRIL" dataDxfId="223">
      <calculatedColumnFormula>SUMIFS(Tab_04.Abr[SALDO
ATUAL],Tab_04.Abr[CONTA],$F15)</calculatedColumnFormula>
    </tableColumn>
    <tableColumn id="10" xr3:uid="{CAC0A3E0-CA82-465E-8FB2-21A604225032}" name="MAIO" dataDxfId="222">
      <calculatedColumnFormula>SUMIFS(Tab_05.Mai[SALDO
ATUAL],Tab_05.Mai[CONTA],$F15)</calculatedColumnFormula>
    </tableColumn>
    <tableColumn id="11" xr3:uid="{EAC87FEE-F831-4DE3-8483-0346208ACF03}" name="JUNHO" dataDxfId="221">
      <calculatedColumnFormula>SUMIFS(Tab_06.Jun[SALDO
ATUAL],Tab_06.Jun[CONTA],$F15)</calculatedColumnFormula>
    </tableColumn>
    <tableColumn id="12" xr3:uid="{131AA2CE-C21D-48A6-A04E-F53F86F300CB}" name="JULHO" dataDxfId="220">
      <calculatedColumnFormula>SUMIFS(Tab_07.Jul[SALDO
ATUAL],Tab_07.Jul[CONTA],$F15)</calculatedColumnFormula>
    </tableColumn>
    <tableColumn id="13" xr3:uid="{C7B64915-33FE-4345-BC28-401C4D7CC01C}" name="AGOSTO" dataDxfId="219">
      <calculatedColumnFormula>SUMIFS(Tab_08.Ago[SALDO
ATUAL],Tab_08.Ago[CONTA],$F15)</calculatedColumnFormula>
    </tableColumn>
    <tableColumn id="14" xr3:uid="{6961D97B-C4A3-4924-98C7-B2D570A252B3}" name="SETEMBRO" dataDxfId="218">
      <calculatedColumnFormula>SUMIFS(Tab_09.Set[SALDO
ATUAL],Tab_09.Set[CONTA],$F15)</calculatedColumnFormula>
    </tableColumn>
    <tableColumn id="15" xr3:uid="{57FD009A-0C72-47C3-8D11-C0A9EB7F7F9C}" name="OUTUBRO" dataDxfId="217">
      <calculatedColumnFormula>SUMIFS(Tab_10.Out[SALDO
ATUAL],Tab_10.Out[CONTA],$F15)</calculatedColumnFormula>
    </tableColumn>
    <tableColumn id="16" xr3:uid="{DBB729FA-5C57-4965-9E81-6F93777D4A9F}" name="NOVEMBRO" dataDxfId="216">
      <calculatedColumnFormula>SUMIFS(Tab_11.Nov[SALDO
ATUAL],Tab_11.Nov[CONTA],$F15)</calculatedColumnFormula>
    </tableColumn>
    <tableColumn id="17" xr3:uid="{AB71C8A8-2AF9-4E9D-8961-A6C2ABC61DCB}" name="DEZEMBRO" dataDxfId="215">
      <calculatedColumnFormula>SUMIFS(Tab_12.Dez[SALDO
ATUAL],Tab_12.Dez[CONTA],$F15)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A592DCC-3F8A-4068-87C8-B750F38521D7}" name="Tab_000.Trial" displayName="Tab_000.Trial" ref="B14:S352" totalsRowShown="0" headerRowDxfId="214" dataDxfId="213">
  <autoFilter ref="B14:S352" xr:uid="{87DB4697-5BBE-42AF-83A4-6F806B324E26}"/>
  <tableColumns count="18">
    <tableColumn id="19" xr3:uid="{049C0FFD-E07A-4B2D-AFD0-22F512CB85DD}" name="DC" dataDxfId="212"/>
    <tableColumn id="3" xr3:uid="{782A62FA-C47B-4B16-A339-8A435F8357D5}" name="TP" dataDxfId="211">
      <calculatedColumnFormula>IF($F15="","",IF(LEFT($F15,1)*1=1,"A",IF(LEFT($F15,1)*1=2,"P",IF(LEFT($F15,1)*1=3,"R",IF(LEFT($F15,1)*1=4,"C",IF(LEFT($F15,1)*1=5,"C",IF(LEFT($F15,1)*1=6,"C","")))))))</calculatedColumnFormula>
    </tableColumn>
    <tableColumn id="4" xr3:uid="{2706141C-FA28-4D5F-83E1-17D32118647B}" name="S/A" dataDxfId="210">
      <calculatedColumnFormula>IF($F15="","",IF(LEN($F15)=13,"A","S"))</calculatedColumnFormula>
    </tableColumn>
    <tableColumn id="5" xr3:uid="{96D03FB2-B9A1-4C29-905E-7B360919EF27}" name="NV" dataDxfId="209">
      <calculatedColumnFormula>IF($F15="","",IF(LEN($F15)=1,1,IF(LEN($F15)=3,2,IF(LEN($F15)=5,3,IF(LEN($F15)=8,4,5)))))</calculatedColumnFormula>
    </tableColumn>
    <tableColumn id="1" xr3:uid="{0E22760E-3D67-49BF-98C0-00A306338E5A}" name="CONTA" dataDxfId="208"/>
    <tableColumn id="2" xr3:uid="{4AFF931C-8701-462D-BAAC-0E6662B0705A}" name="DESCRIÇÃO" dataDxfId="207"/>
    <tableColumn id="6" xr3:uid="{FBAC07FE-6E17-4D05-B2F6-028BE4B29457}" name="JANEIRO" dataDxfId="206">
      <calculatedColumnFormula>SUMIFS(Tab_01.Jan[MOVIMENTO],Tab_01.Jan[CONTA],$F15)</calculatedColumnFormula>
    </tableColumn>
    <tableColumn id="7" xr3:uid="{E24DDFC0-83D8-489D-8943-E212DD770FA8}" name="FEVEREIRO" dataDxfId="205">
      <calculatedColumnFormula>SUMIFS(Tab_02.Fev[MOVIMENTO],Tab_02.Fev[CONTA],$F15)</calculatedColumnFormula>
    </tableColumn>
    <tableColumn id="8" xr3:uid="{33366E88-C954-4CD3-BA58-E0EA4CB6FF71}" name="MARÇO" dataDxfId="204">
      <calculatedColumnFormula>SUMIFS(Tab_03.Mar[MOVIMENTO],Tab_03.Mar[CONTA],$F15)</calculatedColumnFormula>
    </tableColumn>
    <tableColumn id="9" xr3:uid="{EC4B4CA1-7073-44FA-B939-75C7E95EF255}" name="ABRIL" dataDxfId="203">
      <calculatedColumnFormula>SUMIFS(Tab_04.Abr[MOVIMENTO],Tab_04.Abr[CONTA],$F15)</calculatedColumnFormula>
    </tableColumn>
    <tableColumn id="10" xr3:uid="{D289C84A-AA86-4EDA-86E7-CEC9D333401D}" name="MAIO" dataDxfId="202">
      <calculatedColumnFormula>SUMIFS(Tab_05.Mai[MOVIMENTO],Tab_05.Mai[CONTA],$F15)</calculatedColumnFormula>
    </tableColumn>
    <tableColumn id="11" xr3:uid="{B72CD1C8-4BCF-4DEF-A1B4-94DE2731AE18}" name="JUNHO" dataDxfId="201">
      <calculatedColumnFormula>SUMIFS(Tab_06.Jun[MOVIMENTO],Tab_06.Jun[CONTA],$F15)</calculatedColumnFormula>
    </tableColumn>
    <tableColumn id="12" xr3:uid="{D5B8D9F4-760C-4311-BDC5-1BF3562B23F5}" name="JULHO" dataDxfId="200">
      <calculatedColumnFormula>SUMIFS(Tab_07.Jul[MOVIMENTO],Tab_07.Jul[CONTA],$F15)</calculatedColumnFormula>
    </tableColumn>
    <tableColumn id="13" xr3:uid="{44E4AE27-4EA5-4B98-8AE9-B17F4FDE6FA1}" name="AGOSTO" dataDxfId="199">
      <calculatedColumnFormula>SUMIFS(Tab_08.Ago[MOVIMENTO],Tab_08.Ago[CONTA],$F15)</calculatedColumnFormula>
    </tableColumn>
    <tableColumn id="14" xr3:uid="{394B9B29-3346-4EBA-9508-2D4D4EFAE6D0}" name="SETEMBRO" dataDxfId="198">
      <calculatedColumnFormula>SUMIFS(Tab_09.Set[MOVIMENTO],Tab_09.Set[CONTA],$F15)</calculatedColumnFormula>
    </tableColumn>
    <tableColumn id="15" xr3:uid="{25DCD7CB-7F7B-4C69-BA1E-5993B807232A}" name="OUTUBRO" dataDxfId="197">
      <calculatedColumnFormula>SUMIFS(Tab_10.Out[MOVIMENTO],Tab_10.Out[CONTA],$F15)</calculatedColumnFormula>
    </tableColumn>
    <tableColumn id="16" xr3:uid="{1E1A79B3-33FC-46FF-AA79-097068651E42}" name="NOVEMBRO" dataDxfId="196">
      <calculatedColumnFormula>SUMIFS(Tab_11.Nov[MOVIMENTO],Tab_11.Nov[CONTA],$F15)</calculatedColumnFormula>
    </tableColumn>
    <tableColumn id="17" xr3:uid="{94A310A3-66B6-4035-B2E4-E2D1953D2FE9}" name="DEZEMBRO" dataDxfId="195">
      <calculatedColumnFormula>SUMIFS(Tab_12.Dez[MOVIMENTO],Tab_12.Dez[CONTA],$F15)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92E5F97-BD02-486D-BBD3-2F1D50503822}" name="Tabela18" displayName="Tabela18" ref="F4:Q21" totalsRowShown="0" headerRowDxfId="194">
  <autoFilter ref="F4:Q21" xr:uid="{C92E5F97-BD02-486D-BBD3-2F1D50503822}"/>
  <tableColumns count="12">
    <tableColumn id="1" xr3:uid="{BEF479B1-0675-41A6-91C7-6E9BE407CB94}" name="Janeiro"/>
    <tableColumn id="2" xr3:uid="{A31AE286-BDC8-4656-BD26-C0C7E2FFAF28}" name="Fevereiro"/>
    <tableColumn id="3" xr3:uid="{6146E5E2-2D69-4A29-84A2-32BF390E197B}" name="Março"/>
    <tableColumn id="4" xr3:uid="{6E9F6A67-FEEF-4B09-B26C-92445A5A1D77}" name="Abril"/>
    <tableColumn id="5" xr3:uid="{DACA2C94-A8CD-4EFA-8017-B01DEBC72A42}" name="Maio"/>
    <tableColumn id="6" xr3:uid="{A9EF7E18-5F59-4405-B602-E0C4680C557D}" name="Junho"/>
    <tableColumn id="7" xr3:uid="{AA5A73B6-D5C1-46F9-8D77-63694D0CF235}" name="julho" dataDxfId="193">
      <calculatedColumnFormula>VLOOKUP(A5,'2024'!F14:S353,9)/-(VLOOKUP(Indices!A6,'2024'!F14:S353,9,0))</calculatedColumnFormula>
    </tableColumn>
    <tableColumn id="8" xr3:uid="{86EC45FC-971E-4026-820A-1920B47FE010}" name="agosto" dataDxfId="192">
      <calculatedColumnFormula>VLOOKUP(A5,'2024'!F14:S353,9)/-(VLOOKUP(Indices!A6,'2024'!F14:S353,10,0))</calculatedColumnFormula>
    </tableColumn>
    <tableColumn id="9" xr3:uid="{285499E6-F628-4995-AF3C-31A468CCD550}" name="setembro" dataDxfId="191">
      <calculatedColumnFormula>VLOOKUP(A5,'2024'!F14:S353,11)/-(VLOOKUP(Indices!A6,'2024'!F14:S353,11,0))</calculatedColumnFormula>
    </tableColumn>
    <tableColumn id="10" xr3:uid="{55073021-4E8F-4A78-9D8C-28F21EA028BE}" name="outubro" dataDxfId="190">
      <calculatedColumnFormula>VLOOKUP(A5,'2024'!F14:S353,12)/-(VLOOKUP(Indices!A6,'2024'!F14:S353,12,0))</calculatedColumnFormula>
    </tableColumn>
    <tableColumn id="11" xr3:uid="{042D8A3C-DB55-4EBD-B908-A34C3461C452}" name="novembro" dataDxfId="189">
      <calculatedColumnFormula>VLOOKUP(A5,'2024'!F14:S353,13)/-(VLOOKUP(Indices!A6,'2024'!F14:S353,13,0))</calculatedColumnFormula>
    </tableColumn>
    <tableColumn id="12" xr3:uid="{D6B43581-514C-4787-8B1A-094A3BDE1496}" name="dezembro" dataDxfId="188">
      <calculatedColumnFormula>VLOOKUP(A5,'2024'!F14:S353,14)/-(VLOOKUP(Indices!A6,'2024'!F14:S353,14,0))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B3ECC94-359B-4CD1-9225-FE85A3304E3F}" name="Tab_01.Jan" displayName="Tab_01.Jan" ref="B14:O291" totalsRowShown="0" headerRowDxfId="187" dataDxfId="186">
  <autoFilter ref="B14:O291" xr:uid="{8138E661-209A-4055-9483-F6E64ADE52E3}"/>
  <tableColumns count="14">
    <tableColumn id="11" xr3:uid="{330CCB30-9232-4055-9C61-C6637497AA9D}" name="TP" dataDxfId="185">
      <calculatedColumnFormula>_xlfn.XLOOKUP($I15,Tab_00.Trial[CONTA],Tab_00.Trial[TP],"",0,1)</calculatedColumnFormula>
    </tableColumn>
    <tableColumn id="9" xr3:uid="{1E744799-6F08-4927-AC90-973C614E8BFF}" name="NV" dataDxfId="184">
      <calculatedColumnFormula>_xlfn.XLOOKUP($I15,Tab_00.Trial[CONTA],Tab_00.Trial[NV],"",0,1)</calculatedColumnFormula>
    </tableColumn>
    <tableColumn id="10" xr3:uid="{5078761C-A015-4D66-AD29-9ED71557DEF8}" name="S/A" dataDxfId="183">
      <calculatedColumnFormula>_xlfn.XLOOKUP($I15,Tab_00.Trial[CONTA],Tab_00.Trial[S/A],"",0,1)</calculatedColumnFormula>
    </tableColumn>
    <tableColumn id="12" xr3:uid="{948EA2AC-435A-4C71-9585-0251DBF210DF}" name="CHK" dataDxfId="182">
      <calculatedColumnFormula>IF($I15="","",COUNTIFS(Tab_00.Trial[CONTA],$I15))</calculatedColumnFormula>
    </tableColumn>
    <tableColumn id="13" xr3:uid="{6AF3257E-BBAB-4D28-B232-3303C6D765A8}" name="SALDO FINAL_x000a_ANTERIOR" dataDxfId="181">
      <calculatedColumnFormula>SUMIFS(Tab_99.Trial[DEZEMBRO],Tab_99.Trial[CONTA],$I15)</calculatedColumnFormula>
    </tableColumn>
    <tableColumn id="14" xr3:uid="{F9F74360-8B6A-45BF-92CD-67B4EE83417C}" name="DIFERENÇA" dataDxfId="180">
      <calculatedColumnFormula>IFERROR(IF(LEFT($I15)*1&gt;2,0,$F15-$K15),0)</calculatedColumnFormula>
    </tableColumn>
    <tableColumn id="2" xr3:uid="{0C22FE42-8317-466F-BC59-0492FFB092D7}" name="REDUZIDO" dataDxfId="179"/>
    <tableColumn id="1" xr3:uid="{CACDDF84-1ACE-4943-88F7-24E4F1BDB39D}" name="CONTA" dataDxfId="178"/>
    <tableColumn id="3" xr3:uid="{564A6810-9995-4CA2-89A0-A186EC21F1FB}" name="DESCRIÇÃO" dataDxfId="177"/>
    <tableColumn id="4" xr3:uid="{E3A9D725-4FA8-46AB-B33B-CDEE33E2C893}" name="SALDO_x000a_ANTERIOR" dataDxfId="176"/>
    <tableColumn id="5" xr3:uid="{78AB122F-79EA-432B-941D-944E35EE1675}" name="DÉBITO" dataDxfId="175"/>
    <tableColumn id="6" xr3:uid="{0160C9EB-5F98-43E9-B961-E51D587D0CDF}" name="CRÉDITO" dataDxfId="174"/>
    <tableColumn id="8" xr3:uid="{9F8E351D-C25D-4E15-8557-960D4F824F8E}" name="SALDO_x000a_ATUAL" dataDxfId="173"/>
    <tableColumn id="7" xr3:uid="{46CABD54-D0CC-4F10-9BED-27A27B66A299}" name="MOVIMENTO" dataDxfId="172">
      <calculatedColumnFormula>Tab_01.Jan[[#This Row],[DÉBITO]]-Tab_01.Jan[[#This Row],[CRÉDITO]]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3561937-9792-438D-80A6-34442BED198E}" name="Tab_02.Fev" displayName="Tab_02.Fev" ref="B14:O271" totalsRowShown="0" headerRowDxfId="171" dataDxfId="170">
  <autoFilter ref="B14:O271" xr:uid="{8138E661-209A-4055-9483-F6E64ADE52E3}"/>
  <tableColumns count="14">
    <tableColumn id="11" xr3:uid="{0A35A505-D4D9-4397-936B-9017EF44CBD3}" name="TP" dataDxfId="169">
      <calculatedColumnFormula>_xlfn.XLOOKUP($I15,Tab_00.Trial[CONTA],Tab_00.Trial[TP],"",0,1)</calculatedColumnFormula>
    </tableColumn>
    <tableColumn id="9" xr3:uid="{8E21EF9A-0675-4AEB-A8CA-F50D7F3602B0}" name="NV" dataDxfId="168">
      <calculatedColumnFormula>_xlfn.XLOOKUP($I15,Tab_00.Trial[CONTA],Tab_00.Trial[NV],"",0,1)</calculatedColumnFormula>
    </tableColumn>
    <tableColumn id="10" xr3:uid="{D6FDA966-4736-4DB2-8B73-D33EC4A23A55}" name="S/A" dataDxfId="167">
      <calculatedColumnFormula>_xlfn.XLOOKUP($I15,Tab_00.Trial[CONTA],Tab_00.Trial[S/A],"",0,1)</calculatedColumnFormula>
    </tableColumn>
    <tableColumn id="12" xr3:uid="{B4828139-58D7-4663-9438-F8CEB39B057E}" name="CHK" dataDxfId="166">
      <calculatedColumnFormula>IF($I15="","",COUNTIFS(Tab_00.Trial[CONTA],$I15))</calculatedColumnFormula>
    </tableColumn>
    <tableColumn id="13" xr3:uid="{AFA0DCD8-3EDF-4668-9EA2-B9C7E678A3CF}" name="SALDO FINAL_x000a_ANTERIOR" dataDxfId="165">
      <calculatedColumnFormula>SUMIFS(Tab_01.Jan[SALDO
ATUAL],Tab_01.Jan[CONTA],$I15)</calculatedColumnFormula>
    </tableColumn>
    <tableColumn id="14" xr3:uid="{E5B3A2D8-5FA0-49C4-BB10-1D5375BEF7E3}" name="DIFERENÇA" dataDxfId="164">
      <calculatedColumnFormula>$F15-$K15</calculatedColumnFormula>
    </tableColumn>
    <tableColumn id="2" xr3:uid="{F5623A41-7AE9-4D48-9BC5-B9D82A5AD248}" name="REDUZIDO" dataDxfId="163"/>
    <tableColumn id="1" xr3:uid="{7C0E5431-00AA-4B74-863A-E4CA3406DF90}" name="CONTA" dataDxfId="162"/>
    <tableColumn id="3" xr3:uid="{707105BE-9E77-43B2-A101-1969EFBC748D}" name="DESCRIÇÃO" dataDxfId="161"/>
    <tableColumn id="4" xr3:uid="{F9E28F67-DC48-40A5-9ED1-11E62CEE03C3}" name="SALDO_x000a_ANTERIOR" dataDxfId="160"/>
    <tableColumn id="5" xr3:uid="{66A22622-2DD3-46DC-9E02-36DC82FD4A46}" name="DÉBITO" dataDxfId="159"/>
    <tableColumn id="6" xr3:uid="{68B22BD2-BCD0-41E5-A6A2-5D34CD307A32}" name="CRÉDITO" dataDxfId="158"/>
    <tableColumn id="8" xr3:uid="{7825AABF-05A1-4ED7-900A-1D3346CF8EC0}" name="SALDO_x000a_ATUAL" dataDxfId="157"/>
    <tableColumn id="7" xr3:uid="{C0C96BBF-FBB1-493A-91B6-96228DD21113}" name="MOVIMENTO" dataDxfId="156">
      <calculatedColumnFormula>Tab_02.Fev[[#This Row],[DÉBITO]]-Tab_02.Fev[[#This Row],[CRÉDITO]]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7EB31C6-1819-4E0B-8E14-411CA61EA2D5}" name="Tab_03.Mar" displayName="Tab_03.Mar" ref="B14:O274" totalsRowShown="0" headerRowDxfId="155" dataDxfId="154">
  <autoFilter ref="B14:O274" xr:uid="{8138E661-209A-4055-9483-F6E64ADE52E3}"/>
  <tableColumns count="14">
    <tableColumn id="11" xr3:uid="{808A618D-C270-4762-B2DA-70E872FF8F6D}" name="TP" dataDxfId="153">
      <calculatedColumnFormula>_xlfn.XLOOKUP($I15,Tab_00.Trial[CONTA],Tab_00.Trial[TP],"",0,1)</calculatedColumnFormula>
    </tableColumn>
    <tableColumn id="9" xr3:uid="{7A54D1E7-3EEE-4CC8-BA50-66872458445C}" name="NV" dataDxfId="152">
      <calculatedColumnFormula>_xlfn.XLOOKUP($I15,Tab_00.Trial[CONTA],Tab_00.Trial[NV],"",0,1)</calculatedColumnFormula>
    </tableColumn>
    <tableColumn id="10" xr3:uid="{A2C39BD0-65C4-4579-A480-EA4AD3D2D7A5}" name="S/A" dataDxfId="151">
      <calculatedColumnFormula>_xlfn.XLOOKUP($I15,Tab_00.Trial[CONTA],Tab_00.Trial[S/A],"",0,1)</calculatedColumnFormula>
    </tableColumn>
    <tableColumn id="12" xr3:uid="{374CAC42-8B50-41B1-BACD-E0A0BD0F7341}" name="CHK" dataDxfId="150">
      <calculatedColumnFormula>IF($I15="","",COUNTIFS(Tab_00.Trial[CONTA],$I15))</calculatedColumnFormula>
    </tableColumn>
    <tableColumn id="13" xr3:uid="{1AF57643-CF51-479E-B2ED-A164FCB0D819}" name="SALDO FINAL_x000a_ANTERIOR" dataDxfId="149">
      <calculatedColumnFormula>SUMIFS(Tab_02.Fev[SALDO
ATUAL],Tab_02.Fev[CONTA],$I15)</calculatedColumnFormula>
    </tableColumn>
    <tableColumn id="14" xr3:uid="{18913ACA-665D-4460-BE05-DD9020554C95}" name="DIFERENÇA" dataDxfId="148">
      <calculatedColumnFormula>$F15-$K15</calculatedColumnFormula>
    </tableColumn>
    <tableColumn id="2" xr3:uid="{A7982A58-FF08-4099-B7A9-3BD28DF93668}" name="REDUZIDO" dataDxfId="147"/>
    <tableColumn id="1" xr3:uid="{E2980AFE-75F3-4115-A805-F9BEF0C4F6FC}" name="CONTA" dataDxfId="146"/>
    <tableColumn id="3" xr3:uid="{6C794A47-36FB-4A7D-BF15-4BAD598F116B}" name="DESCRIÇÃO" dataDxfId="145"/>
    <tableColumn id="4" xr3:uid="{02339ADD-A5AF-498D-BE6C-DAC7BEC9726B}" name="SALDO_x000a_ANTERIOR" dataDxfId="144"/>
    <tableColumn id="5" xr3:uid="{54964B28-7D35-4A7F-90BF-FEA27136BEB2}" name="DÉBITO" dataDxfId="143"/>
    <tableColumn id="6" xr3:uid="{4BDAF072-BB05-44CA-BE32-F1610BA71A76}" name="CRÉDITO" dataDxfId="142"/>
    <tableColumn id="8" xr3:uid="{9E5F1563-02F4-4655-A496-43BD11F89B43}" name="SALDO_x000a_ATUAL" dataDxfId="141"/>
    <tableColumn id="7" xr3:uid="{687FBDB1-1A87-4CAC-BDA7-A5822B75E4EF}" name="MOVIMENTO" dataDxfId="140">
      <calculatedColumnFormula>Tab_03.Mar[[#This Row],[DÉBITO]]-Tab_03.Mar[[#This Row],[CRÉDITO]]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2B9ECBE-184B-4FF9-90E9-7A5AB264112F}" name="Tab_04.Abr" displayName="Tab_04.Abr" ref="B14:O282" totalsRowShown="0" headerRowDxfId="139" dataDxfId="138">
  <autoFilter ref="B14:O282" xr:uid="{8138E661-209A-4055-9483-F6E64ADE52E3}"/>
  <tableColumns count="14">
    <tableColumn id="11" xr3:uid="{0C81C5E6-2410-42DE-9893-DAE14F8A8F2C}" name="TP" dataDxfId="137">
      <calculatedColumnFormula>_xlfn.XLOOKUP($I15,Tab_00.Trial[CONTA],Tab_00.Trial[TP],"",0,1)</calculatedColumnFormula>
    </tableColumn>
    <tableColumn id="9" xr3:uid="{9030B176-64A6-4513-A792-F055C9C992CB}" name="NV" dataDxfId="136">
      <calculatedColumnFormula>_xlfn.XLOOKUP($I15,Tab_00.Trial[CONTA],Tab_00.Trial[NV],"",0,1)</calculatedColumnFormula>
    </tableColumn>
    <tableColumn id="10" xr3:uid="{4008B073-9672-46E2-B95D-91C5EC84C761}" name="S/A" dataDxfId="135">
      <calculatedColumnFormula>_xlfn.XLOOKUP($I15,Tab_00.Trial[CONTA],Tab_00.Trial[S/A],"",0,1)</calculatedColumnFormula>
    </tableColumn>
    <tableColumn id="12" xr3:uid="{3F9DF086-B3E7-4884-92DE-25CBC68D2F2D}" name="CHK" dataDxfId="134">
      <calculatedColumnFormula>IF($I15="","",COUNTIFS(Tab_00.Trial[CONTA],$I15))</calculatedColumnFormula>
    </tableColumn>
    <tableColumn id="13" xr3:uid="{B580BBB4-189D-4B06-9D88-882549E19E61}" name="SALDO FINAL_x000a_ANTERIOR" dataDxfId="133">
      <calculatedColumnFormula>SUMIFS(Tab_03.Mar[SALDO
ATUAL],Tab_03.Mar[CONTA],$I15)</calculatedColumnFormula>
    </tableColumn>
    <tableColumn id="14" xr3:uid="{DE783B4C-7E51-4F2D-BB95-42C8E1D63599}" name="DIFERENÇA" dataDxfId="132">
      <calculatedColumnFormula>$F15-$K15</calculatedColumnFormula>
    </tableColumn>
    <tableColumn id="2" xr3:uid="{65577343-2458-44B3-B974-689CC986D425}" name="REDUZIDO" dataDxfId="131"/>
    <tableColumn id="1" xr3:uid="{02F8FA46-B724-446E-93BB-BC697279A07B}" name="CONTA" dataDxfId="130"/>
    <tableColumn id="3" xr3:uid="{56D3D9F9-6039-46DE-8B75-A7D5442210A4}" name="DESCRIÇÃO" dataDxfId="129"/>
    <tableColumn id="4" xr3:uid="{A65C7F17-39C0-4D92-A0D0-427A3BF72394}" name="SALDO_x000a_ANTERIOR" dataDxfId="128"/>
    <tableColumn id="5" xr3:uid="{D354A1C0-345D-4769-ADF4-5C08CF76C232}" name="DÉBITO" dataDxfId="127"/>
    <tableColumn id="6" xr3:uid="{AE4BA7E3-9BA4-4856-8C27-809B27338292}" name="CRÉDITO" dataDxfId="126"/>
    <tableColumn id="8" xr3:uid="{FCE22661-09E4-4B71-90CE-EEBBAD8DC3E7}" name="SALDO_x000a_ATUAL" dataDxfId="125"/>
    <tableColumn id="7" xr3:uid="{B996B068-AD2B-4975-A49E-AA84377B5BA7}" name="MOVIMENTO" dataDxfId="124">
      <calculatedColumnFormula>Tab_04.Abr[[#This Row],[DÉBITO]]-Tab_04.Abr[[#This Row],[CRÉDITO]]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6" dT="2024-01-16T11:35:20.11" personId="{FC5CB3C4-C029-45E5-914E-8989B6DA1CDE}" id="{6B9D0EDC-9F1D-4565-8069-C1A0925A3B12}">
    <text>A cada 1 real de dividas a curto prazo, a empresa possui 1,40 para honrar com tais obrigações</text>
  </threadedComment>
  <threadedComment ref="Q11" dT="2024-01-16T11:35:29.26" personId="{FC5CB3C4-C029-45E5-914E-8989B6DA1CDE}" id="{495325F3-2032-401E-BB22-0D6BBBE326C0}">
    <text xml:space="preserve">A cada 1 real de dividas a curto prazo, a empresa possui 1,06 para honrar suas obrigações sem o estoque
</text>
  </threadedComment>
  <threadedComment ref="Q15" dT="2024-01-16T11:35:41.68" personId="{FC5CB3C4-C029-45E5-914E-8989B6DA1CDE}" id="{E3AB28A8-0D5A-4363-8002-FE72F5962705}">
    <text>A cada 1 real de dividas a curto prazo, a empresa possui 0,47 para honrar suas obrigações sem o estoque</text>
  </threadedComment>
  <threadedComment ref="Q20" dT="2024-01-16T11:35:50.06" personId="{FC5CB3C4-C029-45E5-914E-8989B6DA1CDE}" id="{42EF2908-6761-4170-BE37-8575FB39BB2F}">
    <text>A cada 1 real de dividas a curto prazo e longo prazo, a empresa possui 1,56 para honrar suas obrigações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997AB-0B01-42E4-AEEA-5DAFE8E45800}">
  <sheetPr codeName="Planilha1"/>
  <dimension ref="B2:E14"/>
  <sheetViews>
    <sheetView showGridLines="0" showRowColHeaders="0" workbookViewId="0">
      <selection activeCell="K12" sqref="K12"/>
    </sheetView>
  </sheetViews>
  <sheetFormatPr defaultColWidth="9.109375" defaultRowHeight="13.8" x14ac:dyDescent="0.3"/>
  <cols>
    <col min="1" max="1" width="2.6640625" style="1" customWidth="1"/>
    <col min="2" max="2" width="25.6640625" style="1" customWidth="1"/>
    <col min="3" max="3" width="13.6640625" style="1" customWidth="1"/>
    <col min="4" max="4" width="2.6640625" style="1" customWidth="1"/>
    <col min="5" max="5" width="13.6640625" style="1" customWidth="1"/>
    <col min="6" max="16384" width="9.109375" style="1"/>
  </cols>
  <sheetData>
    <row r="2" spans="2:5" ht="20.100000000000001" customHeight="1" x14ac:dyDescent="0.3">
      <c r="C2" s="125">
        <f>BALANÇO!$F$2</f>
        <v>45657</v>
      </c>
      <c r="E2" s="125">
        <f>EOMONTH($C$2,-12)</f>
        <v>45291</v>
      </c>
    </row>
    <row r="3" spans="2:5" ht="15" customHeight="1" x14ac:dyDescent="0.3">
      <c r="B3" s="3" t="s">
        <v>125</v>
      </c>
      <c r="C3" s="4">
        <f ca="1">IFERROR(BALANÇO!$D$22/BALANÇO!$K$20,0)</f>
        <v>17.29</v>
      </c>
      <c r="E3" s="4">
        <f ca="1">IFERROR(BALANÇO!$F$22/BALANÇO!$M$20,0)</f>
        <v>0</v>
      </c>
    </row>
    <row r="4" spans="2:5" ht="15" customHeight="1" x14ac:dyDescent="0.3">
      <c r="B4" s="3" t="s">
        <v>126</v>
      </c>
      <c r="C4" s="4">
        <f ca="1">IFERROR((BALANÇO!$D$22-BALANÇO!$D$17)/BALANÇO!$K$20,0)</f>
        <v>17.18</v>
      </c>
      <c r="E4" s="4">
        <f ca="1">IFERROR((BALANÇO!$F$22-BALANÇO!$F$17)/BALANÇO!$M$20,0)</f>
        <v>0</v>
      </c>
    </row>
    <row r="5" spans="2:5" ht="15" customHeight="1" x14ac:dyDescent="0.3">
      <c r="B5" s="3" t="s">
        <v>127</v>
      </c>
      <c r="C5" s="22">
        <f ca="1">IFERROR(BALANÇO!$S$21/BALANÇO!$S$13,0)</f>
        <v>0.30580000000000002</v>
      </c>
      <c r="E5" s="22">
        <f ca="1">IFERROR(BALANÇO!$U$21/BALANÇO!$U$13,0)</f>
        <v>0</v>
      </c>
    </row>
    <row r="6" spans="2:5" ht="15" customHeight="1" x14ac:dyDescent="0.3">
      <c r="B6" s="3" t="s">
        <v>128</v>
      </c>
      <c r="C6" s="22">
        <f ca="1">IFERROR(BALANÇO!$S$44/BALANÇO!$S$13,0)</f>
        <v>0.1429</v>
      </c>
      <c r="E6" s="22">
        <f ca="1">IFERROR(BALANÇO!$U$44/BALANÇO!$U$13,0)</f>
        <v>0</v>
      </c>
    </row>
    <row r="7" spans="2:5" ht="15" customHeight="1" x14ac:dyDescent="0.3">
      <c r="B7" s="3" t="s">
        <v>129</v>
      </c>
      <c r="C7" s="22">
        <f ca="1">IFERROR((BALANÇO!$S$32-BALANÇO!$S$29)/BALANÇO!$S$13,0)</f>
        <v>-5.8099999999999999E-2</v>
      </c>
      <c r="E7" s="22">
        <f ca="1">IFERROR((BALANÇO!$U$32-BALANÇO!$U$29)/BALANÇO!$U$13,0)</f>
        <v>0</v>
      </c>
    </row>
    <row r="8" spans="2:5" ht="15" customHeight="1" x14ac:dyDescent="0.3">
      <c r="B8" s="3" t="s">
        <v>130</v>
      </c>
      <c r="C8" s="22">
        <f ca="1">IFERROR(BALANÇO!$S$44/BALANÇO!$K$34,0)</f>
        <v>1.7600000000000001E-2</v>
      </c>
      <c r="E8" s="22">
        <f ca="1">IFERROR(BALANÇO!$U$44/BALANÇO!$M$34,0)</f>
        <v>0</v>
      </c>
    </row>
    <row r="9" spans="2:5" ht="15" customHeight="1" x14ac:dyDescent="0.3">
      <c r="B9" s="3" t="s">
        <v>131</v>
      </c>
      <c r="C9" s="22">
        <f ca="1">IFERROR(BALANÇO!$S$32/BALANÇO!$S$13,0)</f>
        <v>-6.1800000000000001E-2</v>
      </c>
      <c r="E9" s="22">
        <f ca="1">IFERROR(BALANÇO!$U$32/BALANÇO!$U$13,0)</f>
        <v>0</v>
      </c>
    </row>
    <row r="10" spans="2:5" ht="15" customHeight="1" x14ac:dyDescent="0.3">
      <c r="B10" s="3" t="s">
        <v>132</v>
      </c>
      <c r="C10" s="22">
        <f ca="1">IFERROR(BALANÇO!$S$44/BALANÇO!$K$38,0)</f>
        <v>2.1700000000000001E-2</v>
      </c>
      <c r="E10" s="22">
        <f ca="1">IFERROR(BALANÇO!$U$44/BALANÇO!$M$38,0)</f>
        <v>0</v>
      </c>
    </row>
    <row r="11" spans="2:5" ht="15" customHeight="1" x14ac:dyDescent="0.3">
      <c r="B11" s="3" t="s">
        <v>133</v>
      </c>
      <c r="C11" s="4">
        <f ca="1">IFERROR((BALANÇO!$D$17/-BALANÇO!$S$19)*270,0)</f>
        <v>2.23</v>
      </c>
      <c r="E11" s="4">
        <f ca="1">IFERROR((BALANÇO!$F$17/-BALANÇO!$U$19)*270,0)</f>
        <v>0</v>
      </c>
    </row>
    <row r="12" spans="2:5" ht="15" customHeight="1" x14ac:dyDescent="0.3">
      <c r="B12" s="3" t="s">
        <v>134</v>
      </c>
      <c r="C12" s="4">
        <f ca="1">IFERROR((BALANÇO!$D$16/BALANÇO!$S$13)*270,0)</f>
        <v>0.1</v>
      </c>
      <c r="E12" s="4">
        <f ca="1">IFERROR((BALANÇO!$F$16/BALANÇO!$U$13)*270,0)</f>
        <v>0</v>
      </c>
    </row>
    <row r="13" spans="2:5" ht="15" customHeight="1" x14ac:dyDescent="0.3">
      <c r="B13" s="3" t="s">
        <v>135</v>
      </c>
      <c r="C13" s="4">
        <f ca="1">IFERROR((BALANÇO!$K$14/-BALANÇO!$S$18)*270,0)</f>
        <v>10.59</v>
      </c>
      <c r="E13" s="4">
        <f ca="1">IFERROR((BALANÇO!$M$14/-BALANÇO!$U$18)*270,0)</f>
        <v>0</v>
      </c>
    </row>
    <row r="14" spans="2:5" ht="15" customHeight="1" x14ac:dyDescent="0.3">
      <c r="B14" s="3" t="s">
        <v>136</v>
      </c>
      <c r="C14" s="4">
        <f ca="1">SUM(C$11,C$12,-C$13)</f>
        <v>-8.26</v>
      </c>
      <c r="E14" s="4">
        <f ca="1">SUM(E$11,E$12,-E$13)</f>
        <v>0</v>
      </c>
    </row>
  </sheetData>
  <sheetProtection sheet="1" objects="1" scenarios="1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DEAC7-EECC-4110-824D-A6A45F80B7B2}">
  <sheetPr codeName="Planilha9">
    <outlinePr summaryRight="0"/>
  </sheetPr>
  <dimension ref="A1:S352"/>
  <sheetViews>
    <sheetView showGridLines="0" showRowColHeaders="0" zoomScale="90" zoomScaleNormal="90" workbookViewId="0">
      <pane xSplit="7" ySplit="14" topLeftCell="R333" activePane="bottomRight" state="frozen"/>
      <selection activeCell="L574" sqref="L574"/>
      <selection pane="topRight" activeCell="L574" sqref="L574"/>
      <selection pane="bottomLeft" activeCell="L574" sqref="L574"/>
      <selection pane="bottomRight" activeCell="S15" sqref="S15:S352"/>
    </sheetView>
  </sheetViews>
  <sheetFormatPr defaultColWidth="8.88671875" defaultRowHeight="13.8" outlineLevelRow="1" x14ac:dyDescent="0.3"/>
  <cols>
    <col min="1" max="1" width="2.6640625" style="1" customWidth="1"/>
    <col min="2" max="2" width="8.6640625" customWidth="1"/>
    <col min="3" max="4" width="4.6640625" customWidth="1"/>
    <col min="5" max="5" width="4.6640625" style="2" customWidth="1"/>
    <col min="6" max="6" width="19.6640625" customWidth="1"/>
    <col min="7" max="7" width="80.6640625" style="2" customWidth="1"/>
    <col min="8" max="9" width="16.6640625" style="3" customWidth="1"/>
    <col min="10" max="10" width="16.6640625" style="3" customWidth="1" collapsed="1"/>
    <col min="11" max="15" width="16.6640625" customWidth="1"/>
    <col min="16" max="17" width="16.6640625" style="2" customWidth="1"/>
    <col min="18" max="19" width="16.6640625" style="4" customWidth="1"/>
    <col min="20" max="16384" width="8.88671875" style="1"/>
  </cols>
  <sheetData>
    <row r="1" spans="1:19" x14ac:dyDescent="0.3">
      <c r="B1" s="3"/>
      <c r="C1" s="2"/>
      <c r="D1" s="2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9" outlineLevel="1" x14ac:dyDescent="0.3">
      <c r="B2" s="3"/>
      <c r="C2" s="2" t="s">
        <v>16</v>
      </c>
      <c r="D2" s="2"/>
      <c r="F2" s="3"/>
      <c r="G2" s="88" t="s">
        <v>15</v>
      </c>
      <c r="H2" s="7">
        <f ca="1">SUMIFS(INDIRECT("Tab_000.Trial["&amp;H$14&amp;"]"),Tab_000.Trial[TP],$C2,Tab_000.Trial[S/A],"A")</f>
        <v>362567.69</v>
      </c>
      <c r="I2" s="7">
        <f ca="1">SUMIFS(INDIRECT("Tab_000.Trial["&amp;I$14&amp;"]"),Tab_000.Trial[TP],$C2,Tab_000.Trial[S/A],"A")</f>
        <v>-760892.02</v>
      </c>
      <c r="J2" s="7">
        <f ca="1">SUMIFS(INDIRECT("Tab_000.Trial["&amp;J$14&amp;"]"),Tab_000.Trial[TP],$C2,Tab_000.Trial[S/A],"A")</f>
        <v>83119.240000000005</v>
      </c>
      <c r="K2" s="7">
        <f ca="1">SUMIFS(INDIRECT("Tab_000.Trial["&amp;K$14&amp;"]"),Tab_000.Trial[TP],$C2,Tab_000.Trial[S/A],"A")</f>
        <v>349475.34</v>
      </c>
      <c r="L2" s="7">
        <f ca="1">SUMIFS(INDIRECT("Tab_000.Trial["&amp;L$14&amp;"]"),Tab_000.Trial[TP],$C2,Tab_000.Trial[S/A],"A")</f>
        <v>334826.89</v>
      </c>
      <c r="M2" s="7">
        <f ca="1">SUMIFS(INDIRECT("Tab_000.Trial["&amp;M$14&amp;"]"),Tab_000.Trial[TP],$C2,Tab_000.Trial[S/A],"A")</f>
        <v>543471.96</v>
      </c>
      <c r="N2" s="7">
        <f ca="1">SUMIFS(INDIRECT("Tab_000.Trial["&amp;N$14&amp;"]"),Tab_000.Trial[TP],$C2,Tab_000.Trial[S/A],"A")</f>
        <v>543471.96</v>
      </c>
      <c r="O2" s="7">
        <f ca="1">SUMIFS(INDIRECT("Tab_000.Trial["&amp;O$14&amp;"]"),Tab_000.Trial[TP],$C2,Tab_000.Trial[S/A],"A")</f>
        <v>543471.96</v>
      </c>
      <c r="P2" s="7">
        <f ca="1">SUMIFS(INDIRECT("Tab_000.Trial["&amp;P$14&amp;"]"),Tab_000.Trial[TP],$C2,Tab_000.Trial[S/A],"A")</f>
        <v>50632.94</v>
      </c>
      <c r="Q2" s="7">
        <f ca="1">SUMIFS(INDIRECT("Tab_000.Trial["&amp;Q$14&amp;"]"),Tab_000.Trial[TP],$C2,Tab_000.Trial[S/A],"A")</f>
        <v>225773.53</v>
      </c>
      <c r="R2" s="7">
        <f ca="1">SUMIFS(INDIRECT("Tab_000.Trial["&amp;R$14&amp;"]"),Tab_000.Trial[TP],$C2,Tab_000.Trial[S/A],"A")</f>
        <v>316225.7</v>
      </c>
      <c r="S2" s="7">
        <f ca="1">SUMIFS(INDIRECT("Tab_000.Trial["&amp;S$14&amp;"]"),Tab_000.Trial[TP],$C2,Tab_000.Trial[S/A],"A")</f>
        <v>-105888.25</v>
      </c>
    </row>
    <row r="3" spans="1:19" outlineLevel="1" x14ac:dyDescent="0.3">
      <c r="B3" s="3"/>
      <c r="C3" s="2" t="s">
        <v>116</v>
      </c>
      <c r="D3" s="2"/>
      <c r="F3" s="3"/>
      <c r="G3" s="88" t="s">
        <v>110</v>
      </c>
      <c r="H3" s="7">
        <f ca="1">SUMIFS(INDIRECT("Tab_000.Trial["&amp;H$14&amp;"]"),Tab_000.Trial[TP],$C3,Tab_000.Trial[S/A],"A")</f>
        <v>-473832.45</v>
      </c>
      <c r="I3" s="7">
        <f ca="1">SUMIFS(INDIRECT("Tab_000.Trial["&amp;I$14&amp;"]"),Tab_000.Trial[TP],$C3,Tab_000.Trial[S/A],"A")</f>
        <v>810608.17</v>
      </c>
      <c r="J3" s="7">
        <f ca="1">SUMIFS(INDIRECT("Tab_000.Trial["&amp;J$14&amp;"]"),Tab_000.Trial[TP],$C3,Tab_000.Trial[S/A],"A")</f>
        <v>452196.63</v>
      </c>
      <c r="K3" s="7">
        <f ca="1">SUMIFS(INDIRECT("Tab_000.Trial["&amp;K$14&amp;"]"),Tab_000.Trial[TP],$C3,Tab_000.Trial[S/A],"A")</f>
        <v>-347197.14</v>
      </c>
      <c r="L3" s="7">
        <f ca="1">SUMIFS(INDIRECT("Tab_000.Trial["&amp;L$14&amp;"]"),Tab_000.Trial[TP],$C3,Tab_000.Trial[S/A],"A")</f>
        <v>127679</v>
      </c>
      <c r="M3" s="7">
        <f ca="1">SUMIFS(INDIRECT("Tab_000.Trial["&amp;M$14&amp;"]"),Tab_000.Trial[TP],$C3,Tab_000.Trial[S/A],"A")</f>
        <v>-134375.84</v>
      </c>
      <c r="N3" s="7">
        <f ca="1">SUMIFS(INDIRECT("Tab_000.Trial["&amp;N$14&amp;"]"),Tab_000.Trial[TP],$C3,Tab_000.Trial[S/A],"A")</f>
        <v>-134375.84</v>
      </c>
      <c r="O3" s="7">
        <f ca="1">SUMIFS(INDIRECT("Tab_000.Trial["&amp;O$14&amp;"]"),Tab_000.Trial[TP],$C3,Tab_000.Trial[S/A],"A")</f>
        <v>-134375.84</v>
      </c>
      <c r="P3" s="7">
        <f ca="1">SUMIFS(INDIRECT("Tab_000.Trial["&amp;P$14&amp;"]"),Tab_000.Trial[TP],$C3,Tab_000.Trial[S/A],"A")</f>
        <v>62705.120000000003</v>
      </c>
      <c r="Q3" s="7">
        <f ca="1">SUMIFS(INDIRECT("Tab_000.Trial["&amp;Q$14&amp;"]"),Tab_000.Trial[TP],$C3,Tab_000.Trial[S/A],"A")</f>
        <v>1173.82</v>
      </c>
      <c r="R3" s="7">
        <f ca="1">SUMIFS(INDIRECT("Tab_000.Trial["&amp;R$14&amp;"]"),Tab_000.Trial[TP],$C3,Tab_000.Trial[S/A],"A")</f>
        <v>185563.39</v>
      </c>
      <c r="S3" s="7">
        <f ca="1">SUMIFS(INDIRECT("Tab_000.Trial["&amp;S$14&amp;"]"),Tab_000.Trial[TP],$C3,Tab_000.Trial[S/A],"A")</f>
        <v>-385153.55</v>
      </c>
    </row>
    <row r="4" spans="1:19" outlineLevel="1" x14ac:dyDescent="0.3">
      <c r="B4" s="3"/>
      <c r="C4" s="2"/>
      <c r="D4" s="2"/>
      <c r="F4" s="3"/>
      <c r="G4" s="88"/>
      <c r="H4" s="8">
        <f t="shared" ref="H4:S4" ca="1" si="0">SUM(H$2:H$3)</f>
        <v>-111264.76</v>
      </c>
      <c r="I4" s="8">
        <f t="shared" ca="1" si="0"/>
        <v>49716.15</v>
      </c>
      <c r="J4" s="8">
        <f t="shared" ca="1" si="0"/>
        <v>535315.87</v>
      </c>
      <c r="K4" s="8">
        <f t="shared" ca="1" si="0"/>
        <v>2278.1999999999998</v>
      </c>
      <c r="L4" s="8">
        <f t="shared" ca="1" si="0"/>
        <v>462505.89</v>
      </c>
      <c r="M4" s="8">
        <f t="shared" ca="1" si="0"/>
        <v>409096.12</v>
      </c>
      <c r="N4" s="8">
        <f t="shared" ca="1" si="0"/>
        <v>409096.12</v>
      </c>
      <c r="O4" s="8">
        <f t="shared" ca="1" si="0"/>
        <v>409096.12</v>
      </c>
      <c r="P4" s="8">
        <f t="shared" ca="1" si="0"/>
        <v>113338.06</v>
      </c>
      <c r="Q4" s="8">
        <f t="shared" ca="1" si="0"/>
        <v>226947.35</v>
      </c>
      <c r="R4" s="8">
        <f t="shared" ca="1" si="0"/>
        <v>501789.09</v>
      </c>
      <c r="S4" s="8">
        <f t="shared" ca="1" si="0"/>
        <v>-491041.8</v>
      </c>
    </row>
    <row r="5" spans="1:19" ht="5.0999999999999996" customHeight="1" outlineLevel="1" x14ac:dyDescent="0.3">
      <c r="B5" s="3"/>
      <c r="C5" s="2"/>
      <c r="D5" s="2"/>
      <c r="F5" s="3"/>
      <c r="G5" s="89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9" outlineLevel="1" x14ac:dyDescent="0.3">
      <c r="B6" s="3"/>
      <c r="C6" s="2" t="s">
        <v>19</v>
      </c>
      <c r="D6" s="2"/>
      <c r="F6" s="3"/>
      <c r="G6" s="88" t="s">
        <v>18</v>
      </c>
      <c r="H6" s="7">
        <f ca="1">SUMIFS(INDIRECT("Tab_000.Trial["&amp;H$14&amp;"]"),Tab_000.Trial[TP],$C6,Tab_000.Trial[S/A],"A")</f>
        <v>-1136279.73</v>
      </c>
      <c r="I6" s="7">
        <f ca="1">SUMIFS(INDIRECT("Tab_000.Trial["&amp;I$14&amp;"]"),Tab_000.Trial[TP],$C6,Tab_000.Trial[S/A],"A")</f>
        <v>-524610.86</v>
      </c>
      <c r="J6" s="7">
        <f ca="1">SUMIFS(INDIRECT("Tab_000.Trial["&amp;J$14&amp;"]"),Tab_000.Trial[TP],$C6,Tab_000.Trial[S/A],"A")</f>
        <v>-1344827.05</v>
      </c>
      <c r="K6" s="7">
        <f ca="1">SUMIFS(INDIRECT("Tab_000.Trial["&amp;K$14&amp;"]"),Tab_000.Trial[TP],$C6,Tab_000.Trial[S/A],"A")</f>
        <v>-1065966.78</v>
      </c>
      <c r="L6" s="7">
        <f ca="1">SUMIFS(INDIRECT("Tab_000.Trial["&amp;L$14&amp;"]"),Tab_000.Trial[TP],$C6,Tab_000.Trial[S/A],"A")</f>
        <v>-1527340.71</v>
      </c>
      <c r="M6" s="7">
        <f ca="1">SUMIFS(INDIRECT("Tab_000.Trial["&amp;M$14&amp;"]"),Tab_000.Trial[TP],$C6,Tab_000.Trial[S/A],"A")</f>
        <v>-1494884.3</v>
      </c>
      <c r="N6" s="7">
        <f ca="1">SUMIFS(INDIRECT("Tab_000.Trial["&amp;N$14&amp;"]"),Tab_000.Trial[TP],$C6,Tab_000.Trial[S/A],"A")</f>
        <v>-1494884.3</v>
      </c>
      <c r="O6" s="7">
        <f ca="1">SUMIFS(INDIRECT("Tab_000.Trial["&amp;O$14&amp;"]"),Tab_000.Trial[TP],$C6,Tab_000.Trial[S/A],"A")</f>
        <v>-1494884.3</v>
      </c>
      <c r="P6" s="7">
        <f ca="1">SUMIFS(INDIRECT("Tab_000.Trial["&amp;P$14&amp;"]"),Tab_000.Trial[TP],$C6,Tab_000.Trial[S/A],"A")</f>
        <v>-1110673.19</v>
      </c>
      <c r="Q6" s="7">
        <f ca="1">SUMIFS(INDIRECT("Tab_000.Trial["&amp;Q$14&amp;"]"),Tab_000.Trial[TP],$C6,Tab_000.Trial[S/A],"A")</f>
        <v>-1438439.63</v>
      </c>
      <c r="R6" s="7">
        <f ca="1">SUMIFS(INDIRECT("Tab_000.Trial["&amp;R$14&amp;"]"),Tab_000.Trial[TP],$C6,Tab_000.Trial[S/A],"A")</f>
        <v>-1235067.96</v>
      </c>
      <c r="S6" s="7">
        <f ca="1">SUMIFS(INDIRECT("Tab_000.Trial["&amp;S$14&amp;"]"),Tab_000.Trial[TP],$C6,Tab_000.Trial[S/A],"A")</f>
        <v>-1380444.28</v>
      </c>
    </row>
    <row r="7" spans="1:19" outlineLevel="1" x14ac:dyDescent="0.3">
      <c r="B7" s="3"/>
      <c r="C7" s="2" t="s">
        <v>20</v>
      </c>
      <c r="D7" s="2"/>
      <c r="F7" s="3"/>
      <c r="G7" s="88" t="s">
        <v>111</v>
      </c>
      <c r="H7" s="7">
        <f ca="1">SUMIFS(INDIRECT("Tab_000.Trial["&amp;H$14&amp;"]"),Tab_000.Trial[TP],$C7,Tab_000.Trial[S/A],"A")</f>
        <v>1247544.49</v>
      </c>
      <c r="I7" s="7">
        <f ca="1">SUMIFS(INDIRECT("Tab_000.Trial["&amp;I$14&amp;"]"),Tab_000.Trial[TP],$C7,Tab_000.Trial[S/A],"A")</f>
        <v>474894.71</v>
      </c>
      <c r="J7" s="7">
        <f ca="1">SUMIFS(INDIRECT("Tab_000.Trial["&amp;J$14&amp;"]"),Tab_000.Trial[TP],$C7,Tab_000.Trial[S/A],"A")</f>
        <v>809511.18</v>
      </c>
      <c r="K7" s="7">
        <f ca="1">SUMIFS(INDIRECT("Tab_000.Trial["&amp;K$14&amp;"]"),Tab_000.Trial[TP],$C7,Tab_000.Trial[S/A],"A")</f>
        <v>1063688.58</v>
      </c>
      <c r="L7" s="7">
        <f ca="1">SUMIFS(INDIRECT("Tab_000.Trial["&amp;L$14&amp;"]"),Tab_000.Trial[TP],$C7,Tab_000.Trial[S/A],"A")</f>
        <v>1064834.82</v>
      </c>
      <c r="M7" s="7">
        <f ca="1">SUMIFS(INDIRECT("Tab_000.Trial["&amp;M$14&amp;"]"),Tab_000.Trial[TP],$C7,Tab_000.Trial[S/A],"A")</f>
        <v>1085788.18</v>
      </c>
      <c r="N7" s="7">
        <f ca="1">SUMIFS(INDIRECT("Tab_000.Trial["&amp;N$14&amp;"]"),Tab_000.Trial[TP],$C7,Tab_000.Trial[S/A],"A")</f>
        <v>1085788.18</v>
      </c>
      <c r="O7" s="7">
        <f ca="1">SUMIFS(INDIRECT("Tab_000.Trial["&amp;O$14&amp;"]"),Tab_000.Trial[TP],$C7,Tab_000.Trial[S/A],"A")</f>
        <v>1085788.18</v>
      </c>
      <c r="P7" s="7">
        <f ca="1">SUMIFS(INDIRECT("Tab_000.Trial["&amp;P$14&amp;"]"),Tab_000.Trial[TP],$C7,Tab_000.Trial[S/A],"A")</f>
        <v>997335.13</v>
      </c>
      <c r="Q7" s="7">
        <f ca="1">SUMIFS(INDIRECT("Tab_000.Trial["&amp;Q$14&amp;"]"),Tab_000.Trial[TP],$C7,Tab_000.Trial[S/A],"A")</f>
        <v>1211492.28</v>
      </c>
      <c r="R7" s="7">
        <f ca="1">SUMIFS(INDIRECT("Tab_000.Trial["&amp;R$14&amp;"]"),Tab_000.Trial[TP],$C7,Tab_000.Trial[S/A],"A")</f>
        <v>733278.87</v>
      </c>
      <c r="S7" s="7">
        <f ca="1">SUMIFS(INDIRECT("Tab_000.Trial["&amp;S$14&amp;"]"),Tab_000.Trial[TP],$C7,Tab_000.Trial[S/A],"A")</f>
        <v>1871486.08</v>
      </c>
    </row>
    <row r="8" spans="1:19" outlineLevel="1" x14ac:dyDescent="0.3">
      <c r="A8" s="1" t="s">
        <v>21</v>
      </c>
      <c r="B8" s="3"/>
      <c r="C8" s="2"/>
      <c r="D8" s="2"/>
      <c r="F8" s="3"/>
      <c r="G8" s="88"/>
      <c r="H8" s="8">
        <f ca="1">SUM(H$6:H$7)</f>
        <v>111264.76</v>
      </c>
      <c r="I8" s="8">
        <f t="shared" ref="I8:S8" ca="1" si="1">SUM(I$6:I$7)</f>
        <v>-49716.15</v>
      </c>
      <c r="J8" s="8">
        <f t="shared" ca="1" si="1"/>
        <v>-535315.87</v>
      </c>
      <c r="K8" s="8">
        <f t="shared" ca="1" si="1"/>
        <v>-2278.1999999999998</v>
      </c>
      <c r="L8" s="8">
        <f t="shared" ca="1" si="1"/>
        <v>-462505.89</v>
      </c>
      <c r="M8" s="8">
        <f t="shared" ca="1" si="1"/>
        <v>-409096.12</v>
      </c>
      <c r="N8" s="8">
        <f t="shared" ca="1" si="1"/>
        <v>-409096.12</v>
      </c>
      <c r="O8" s="8">
        <f t="shared" ca="1" si="1"/>
        <v>-409096.12</v>
      </c>
      <c r="P8" s="8">
        <f t="shared" ca="1" si="1"/>
        <v>-113338.06</v>
      </c>
      <c r="Q8" s="8">
        <f t="shared" ca="1" si="1"/>
        <v>-226947.35</v>
      </c>
      <c r="R8" s="8">
        <f t="shared" ca="1" si="1"/>
        <v>-501789.09</v>
      </c>
      <c r="S8" s="8">
        <f t="shared" ca="1" si="1"/>
        <v>491041.8</v>
      </c>
    </row>
    <row r="9" spans="1:19" ht="5.0999999999999996" customHeight="1" outlineLevel="1" x14ac:dyDescent="0.3">
      <c r="B9" s="3"/>
      <c r="C9" s="2"/>
      <c r="D9" s="2"/>
      <c r="F9" s="3"/>
      <c r="G9" s="89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9" x14ac:dyDescent="0.3">
      <c r="B10" s="3"/>
      <c r="C10" s="2"/>
      <c r="D10" s="2"/>
      <c r="F10" s="3"/>
      <c r="G10" s="88" t="s">
        <v>22</v>
      </c>
      <c r="H10" s="11">
        <f t="shared" ref="H10:Q10" ca="1" si="2">SUM(H$4,H$8)</f>
        <v>0</v>
      </c>
      <c r="I10" s="11">
        <f t="shared" ca="1" si="2"/>
        <v>0</v>
      </c>
      <c r="J10" s="11">
        <f t="shared" ca="1" si="2"/>
        <v>0</v>
      </c>
      <c r="K10" s="11">
        <f t="shared" ca="1" si="2"/>
        <v>0</v>
      </c>
      <c r="L10" s="11">
        <f t="shared" ca="1" si="2"/>
        <v>0</v>
      </c>
      <c r="M10" s="11">
        <f t="shared" ca="1" si="2"/>
        <v>0</v>
      </c>
      <c r="N10" s="11">
        <f t="shared" ca="1" si="2"/>
        <v>0</v>
      </c>
      <c r="O10" s="11">
        <f t="shared" ca="1" si="2"/>
        <v>0</v>
      </c>
      <c r="P10" s="11">
        <f t="shared" ca="1" si="2"/>
        <v>0</v>
      </c>
      <c r="Q10" s="11">
        <f t="shared" ca="1" si="2"/>
        <v>0</v>
      </c>
      <c r="R10" s="11">
        <f ca="1">SUM(R$4,R$8)</f>
        <v>0</v>
      </c>
      <c r="S10" s="11">
        <f ca="1">SUM(S$4,S$8)</f>
        <v>0</v>
      </c>
    </row>
    <row r="11" spans="1:19" ht="5.0999999999999996" customHeight="1" x14ac:dyDescent="0.3">
      <c r="B11" s="3"/>
      <c r="C11" s="2"/>
      <c r="D11" s="2"/>
      <c r="F11" s="3"/>
      <c r="G11" s="3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9" x14ac:dyDescent="0.3">
      <c r="C12" s="2"/>
      <c r="D12" s="2"/>
      <c r="F12" s="95">
        <f>COUNTA(Tab_000.Trial[CONTA])</f>
        <v>338</v>
      </c>
      <c r="G12" s="3"/>
      <c r="H12" s="7">
        <f>SUBTOTAL(9,Tab_000.Trial[JANEIRO])</f>
        <v>0</v>
      </c>
      <c r="I12" s="7">
        <f>SUBTOTAL(9,Tab_000.Trial[FEVEREIRO])</f>
        <v>0</v>
      </c>
      <c r="J12" s="7">
        <f>SUBTOTAL(9,Tab_000.Trial[MARÇO])</f>
        <v>0</v>
      </c>
      <c r="K12" s="7">
        <f>SUBTOTAL(9,Tab_000.Trial[ABRIL])</f>
        <v>0</v>
      </c>
      <c r="L12" s="7">
        <f>SUBTOTAL(9,Tab_000.Trial[MAIO])</f>
        <v>0</v>
      </c>
      <c r="M12" s="7">
        <f>SUBTOTAL(9,Tab_000.Trial[JUNHO])</f>
        <v>0</v>
      </c>
      <c r="N12" s="7">
        <f>SUBTOTAL(9,Tab_000.Trial[JULHO])</f>
        <v>0</v>
      </c>
      <c r="O12" s="7">
        <f>SUBTOTAL(9,Tab_000.Trial[AGOSTO])</f>
        <v>0</v>
      </c>
      <c r="P12" s="7">
        <f>SUBTOTAL(9,Tab_000.Trial[SETEMBRO])</f>
        <v>0</v>
      </c>
      <c r="Q12" s="7">
        <f>SUBTOTAL(9,Tab_000.Trial[OUTUBRO])</f>
        <v>0</v>
      </c>
      <c r="R12" s="7">
        <f>SUBTOTAL(9,Tab_000.Trial[NOVEMBRO])</f>
        <v>0</v>
      </c>
      <c r="S12" s="7">
        <f>SUBTOTAL(9,Tab_000.Trial[DEZEMBRO])</f>
        <v>0</v>
      </c>
    </row>
    <row r="13" spans="1:19" ht="5.0999999999999996" customHeight="1" x14ac:dyDescent="0.3">
      <c r="B13" s="3"/>
      <c r="C13" s="2"/>
      <c r="D13" s="2"/>
      <c r="F13" s="3"/>
      <c r="G13" s="3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9" ht="24.9" customHeight="1" x14ac:dyDescent="0.3">
      <c r="B14" s="19" t="s">
        <v>44</v>
      </c>
      <c r="C14" s="5" t="s">
        <v>1</v>
      </c>
      <c r="D14" s="5" t="s">
        <v>81</v>
      </c>
      <c r="E14" s="5" t="s">
        <v>2</v>
      </c>
      <c r="F14" s="5" t="s">
        <v>23</v>
      </c>
      <c r="G14" s="5" t="s">
        <v>0</v>
      </c>
      <c r="H14" s="6" t="s">
        <v>3</v>
      </c>
      <c r="I14" s="6" t="s">
        <v>4</v>
      </c>
      <c r="J14" s="6" t="s">
        <v>5</v>
      </c>
      <c r="K14" s="6" t="s">
        <v>6</v>
      </c>
      <c r="L14" s="6" t="s">
        <v>7</v>
      </c>
      <c r="M14" s="6" t="s">
        <v>8</v>
      </c>
      <c r="N14" s="6" t="s">
        <v>9</v>
      </c>
      <c r="O14" s="6" t="s">
        <v>10</v>
      </c>
      <c r="P14" s="6" t="s">
        <v>11</v>
      </c>
      <c r="Q14" s="6" t="s">
        <v>12</v>
      </c>
      <c r="R14" s="6" t="s">
        <v>13</v>
      </c>
      <c r="S14" s="6" t="s">
        <v>14</v>
      </c>
    </row>
    <row r="15" spans="1:19" x14ac:dyDescent="0.3">
      <c r="B15" s="3"/>
      <c r="C15" s="2" t="str">
        <f t="shared" ref="C15:C17" si="3">IF($F15="","",IF(LEFT($F15,1)*1=1,"A",IF(LEFT($F15,1)*1=2,"P",IF(LEFT($F15,1)*1=3,"R",IF(LEFT($F15,1)*1=4,"C",IF(LEFT($F15,1)*1=5,"C",IF(LEFT($F15,1)*1=6,"C","")))))))</f>
        <v>A</v>
      </c>
      <c r="D15" s="2" t="str">
        <f t="shared" ref="D15:D17" si="4">IF($F15="","",IF(LEN($F15)=13,"A","S"))</f>
        <v>S</v>
      </c>
      <c r="E15" s="2">
        <f t="shared" ref="E15:E17" si="5">IF($F15="","",IF(LEN($F15)=1,1,IF(LEN($F15)=3,2,IF(LEN($F15)=5,3,IF(LEN($F15)=8,4,5)))))</f>
        <v>1</v>
      </c>
      <c r="F15" s="3">
        <v>1</v>
      </c>
      <c r="G15" s="3" t="s">
        <v>637</v>
      </c>
      <c r="H15" s="4">
        <f>SUMIFS(Tab_01.Jan[MOVIMENTO],Tab_01.Jan[CONTA],$F15)</f>
        <v>362567.69</v>
      </c>
      <c r="I15" s="4">
        <f>SUMIFS(Tab_02.Fev[MOVIMENTO],Tab_02.Fev[CONTA],$F15)</f>
        <v>-760892.02</v>
      </c>
      <c r="J15" s="4">
        <f>SUMIFS(Tab_03.Mar[MOVIMENTO],Tab_03.Mar[CONTA],$F15)</f>
        <v>83119.240000000005</v>
      </c>
      <c r="K15" s="4">
        <f>SUMIFS(Tab_04.Abr[MOVIMENTO],Tab_04.Abr[CONTA],$F15)</f>
        <v>349475.34</v>
      </c>
      <c r="L15" s="4">
        <f>SUMIFS(Tab_05.Mai[MOVIMENTO],Tab_05.Mai[CONTA],$F15)</f>
        <v>334826.89</v>
      </c>
      <c r="M15" s="4">
        <f>SUMIFS(Tab_06.Jun[MOVIMENTO],Tab_06.Jun[CONTA],$F15)</f>
        <v>543471.96</v>
      </c>
      <c r="N15" s="4">
        <f>SUMIFS(Tab_07.Jul[MOVIMENTO],Tab_07.Jul[CONTA],$F15)</f>
        <v>543471.96</v>
      </c>
      <c r="O15" s="4">
        <f>SUMIFS(Tab_08.Ago[MOVIMENTO],Tab_08.Ago[CONTA],$F15)</f>
        <v>543471.96</v>
      </c>
      <c r="P15" s="4">
        <f>SUMIFS(Tab_09.Set[MOVIMENTO],Tab_09.Set[CONTA],$F15)</f>
        <v>50632.94</v>
      </c>
      <c r="Q15" s="4">
        <f>SUMIFS(Tab_10.Out[MOVIMENTO],Tab_10.Out[CONTA],$F15)</f>
        <v>225773.53</v>
      </c>
      <c r="R15" s="4">
        <f>SUMIFS(Tab_11.Nov[MOVIMENTO],Tab_11.Nov[CONTA],$F15)</f>
        <v>316225.7</v>
      </c>
      <c r="S15" s="4">
        <f>SUMIFS(Tab_12.Dez[MOVIMENTO],Tab_12.Dez[CONTA],$F15)</f>
        <v>-105888.25</v>
      </c>
    </row>
    <row r="16" spans="1:19" x14ac:dyDescent="0.3">
      <c r="B16" s="3"/>
      <c r="C16" s="2" t="str">
        <f t="shared" si="3"/>
        <v>A</v>
      </c>
      <c r="D16" s="2" t="str">
        <f t="shared" si="4"/>
        <v>S</v>
      </c>
      <c r="E16" s="2">
        <f t="shared" si="5"/>
        <v>2</v>
      </c>
      <c r="F16" s="3" t="s">
        <v>197</v>
      </c>
      <c r="G16" s="3" t="s">
        <v>247</v>
      </c>
      <c r="H16" s="4">
        <f>SUMIFS(Tab_01.Jan[MOVIMENTO],Tab_01.Jan[CONTA],$F16)</f>
        <v>252743.07</v>
      </c>
      <c r="I16" s="4">
        <f>SUMIFS(Tab_02.Fev[MOVIMENTO],Tab_02.Fev[CONTA],$F16)</f>
        <v>-761377.74</v>
      </c>
      <c r="J16" s="4">
        <f>SUMIFS(Tab_03.Mar[MOVIMENTO],Tab_03.Mar[CONTA],$F16)</f>
        <v>-150616.72</v>
      </c>
      <c r="K16" s="4">
        <f>SUMIFS(Tab_04.Abr[MOVIMENTO],Tab_04.Abr[CONTA],$F16)</f>
        <v>447233.17</v>
      </c>
      <c r="L16" s="4">
        <f>SUMIFS(Tab_05.Mai[MOVIMENTO],Tab_05.Mai[CONTA],$F16)</f>
        <v>78979.59</v>
      </c>
      <c r="M16" s="4">
        <f>SUMIFS(Tab_06.Jun[MOVIMENTO],Tab_06.Jun[CONTA],$F16)</f>
        <v>209976.12</v>
      </c>
      <c r="N16" s="4">
        <f>SUMIFS(Tab_07.Jul[MOVIMENTO],Tab_07.Jul[CONTA],$F16)</f>
        <v>209976.12</v>
      </c>
      <c r="O16" s="4">
        <f>SUMIFS(Tab_08.Ago[MOVIMENTO],Tab_08.Ago[CONTA],$F16)</f>
        <v>209976.12</v>
      </c>
      <c r="P16" s="4">
        <f>SUMIFS(Tab_09.Set[MOVIMENTO],Tab_09.Set[CONTA],$F16)</f>
        <v>-5380.83</v>
      </c>
      <c r="Q16" s="4">
        <f>SUMIFS(Tab_10.Out[MOVIMENTO],Tab_10.Out[CONTA],$F16)</f>
        <v>118723.87</v>
      </c>
      <c r="R16" s="4">
        <f>SUMIFS(Tab_11.Nov[MOVIMENTO],Tab_11.Nov[CONTA],$F16)</f>
        <v>73501.03</v>
      </c>
      <c r="S16" s="4">
        <f>SUMIFS(Tab_12.Dez[MOVIMENTO],Tab_12.Dez[CONTA],$F16)</f>
        <v>32221.22</v>
      </c>
    </row>
    <row r="17" spans="2:19" x14ac:dyDescent="0.3">
      <c r="B17" s="3"/>
      <c r="C17" s="2" t="str">
        <f t="shared" si="3"/>
        <v>A</v>
      </c>
      <c r="D17" s="2" t="str">
        <f t="shared" si="4"/>
        <v>S</v>
      </c>
      <c r="E17" s="2">
        <f t="shared" si="5"/>
        <v>5</v>
      </c>
      <c r="F17" s="3" t="s">
        <v>199</v>
      </c>
      <c r="G17" s="3" t="s">
        <v>638</v>
      </c>
      <c r="H17" s="4">
        <f>SUMIFS(Tab_01.Jan[MOVIMENTO],Tab_01.Jan[CONTA],$F17)</f>
        <v>254995.16</v>
      </c>
      <c r="I17" s="4">
        <f>SUMIFS(Tab_02.Fev[MOVIMENTO],Tab_02.Fev[CONTA],$F17)</f>
        <v>-766379.68</v>
      </c>
      <c r="J17" s="4">
        <f>SUMIFS(Tab_03.Mar[MOVIMENTO],Tab_03.Mar[CONTA],$F17)</f>
        <v>-150100.98000000001</v>
      </c>
      <c r="K17" s="4">
        <f>SUMIFS(Tab_04.Abr[MOVIMENTO],Tab_04.Abr[CONTA],$F17)</f>
        <v>358174.36</v>
      </c>
      <c r="L17" s="4">
        <f>SUMIFS(Tab_05.Mai[MOVIMENTO],Tab_05.Mai[CONTA],$F17)</f>
        <v>79311.91</v>
      </c>
      <c r="M17" s="4">
        <f>SUMIFS(Tab_06.Jun[MOVIMENTO],Tab_06.Jun[CONTA],$F17)</f>
        <v>229205.22</v>
      </c>
      <c r="N17" s="4">
        <f>SUMIFS(Tab_07.Jul[MOVIMENTO],Tab_07.Jul[CONTA],$F17)</f>
        <v>229205.22</v>
      </c>
      <c r="O17" s="4">
        <f>SUMIFS(Tab_08.Ago[MOVIMENTO],Tab_08.Ago[CONTA],$F17)</f>
        <v>229205.22</v>
      </c>
      <c r="P17" s="4">
        <f>SUMIFS(Tab_09.Set[MOVIMENTO],Tab_09.Set[CONTA],$F17)</f>
        <v>32793.269999999997</v>
      </c>
      <c r="Q17" s="4">
        <f>SUMIFS(Tab_10.Out[MOVIMENTO],Tab_10.Out[CONTA],$F17)</f>
        <v>108824.31</v>
      </c>
      <c r="R17" s="4">
        <f>SUMIFS(Tab_11.Nov[MOVIMENTO],Tab_11.Nov[CONTA],$F17)</f>
        <v>-1617.1</v>
      </c>
      <c r="S17" s="4">
        <f>SUMIFS(Tab_12.Dez[MOVIMENTO],Tab_12.Dez[CONTA],$F17)</f>
        <v>209667.86</v>
      </c>
    </row>
    <row r="18" spans="2:19" x14ac:dyDescent="0.3">
      <c r="B18" s="3"/>
      <c r="C18" s="2" t="str">
        <f t="shared" ref="C18:C60" si="6">IF($F18="","",IF(LEFT($F18,1)*1=1,"A",IF(LEFT($F18,1)*1=2,"P",IF(LEFT($F18,1)*1=3,"R",IF(LEFT($F18,1)*1=4,"C",IF(LEFT($F18,1)*1=5,"C",IF(LEFT($F18,1)*1=6,"C","")))))))</f>
        <v>A</v>
      </c>
      <c r="D18" s="2" t="str">
        <f t="shared" ref="D18:D60" si="7">IF($F18="","",IF(LEN($F18)=13,"A","S"))</f>
        <v>S</v>
      </c>
      <c r="E18" s="2">
        <f t="shared" ref="E18:E60" si="8">IF($F18="","",IF(LEN($F18)=1,1,IF(LEN($F18)=3,2,IF(LEN($F18)=5,3,IF(LEN($F18)=8,4,5)))))</f>
        <v>5</v>
      </c>
      <c r="F18" s="3" t="s">
        <v>201</v>
      </c>
      <c r="G18" s="3" t="s">
        <v>639</v>
      </c>
      <c r="H18" s="4">
        <f>SUMIFS(Tab_01.Jan[MOVIMENTO],Tab_01.Jan[CONTA],$F18)</f>
        <v>-229.59</v>
      </c>
      <c r="I18" s="4">
        <f>SUMIFS(Tab_02.Fev[MOVIMENTO],Tab_02.Fev[CONTA],$F18)</f>
        <v>-62.97</v>
      </c>
      <c r="J18" s="4">
        <f>SUMIFS(Tab_03.Mar[MOVIMENTO],Tab_03.Mar[CONTA],$F18)</f>
        <v>-394.22</v>
      </c>
      <c r="K18" s="4">
        <f>SUMIFS(Tab_04.Abr[MOVIMENTO],Tab_04.Abr[CONTA],$F18)</f>
        <v>-418.26</v>
      </c>
      <c r="L18" s="4">
        <f>SUMIFS(Tab_05.Mai[MOVIMENTO],Tab_05.Mai[CONTA],$F18)</f>
        <v>-451.58</v>
      </c>
      <c r="M18" s="4">
        <f>SUMIFS(Tab_06.Jun[MOVIMENTO],Tab_06.Jun[CONTA],$F18)</f>
        <v>-906.62</v>
      </c>
      <c r="N18" s="4">
        <f>SUMIFS(Tab_07.Jul[MOVIMENTO],Tab_07.Jul[CONTA],$F18)</f>
        <v>-906.62</v>
      </c>
      <c r="O18" s="4">
        <f>SUMIFS(Tab_08.Ago[MOVIMENTO],Tab_08.Ago[CONTA],$F18)</f>
        <v>-906.62</v>
      </c>
      <c r="P18" s="4">
        <f>SUMIFS(Tab_09.Set[MOVIMENTO],Tab_09.Set[CONTA],$F18)</f>
        <v>-600.34</v>
      </c>
      <c r="Q18" s="4">
        <f>SUMIFS(Tab_10.Out[MOVIMENTO],Tab_10.Out[CONTA],$F18)</f>
        <v>-780.9</v>
      </c>
      <c r="R18" s="4">
        <f>SUMIFS(Tab_11.Nov[MOVIMENTO],Tab_11.Nov[CONTA],$F18)</f>
        <v>-73.28</v>
      </c>
      <c r="S18" s="4">
        <f>SUMIFS(Tab_12.Dez[MOVIMENTO],Tab_12.Dez[CONTA],$F18)</f>
        <v>954.17</v>
      </c>
    </row>
    <row r="19" spans="2:19" x14ac:dyDescent="0.3">
      <c r="B19" s="3" t="s">
        <v>38</v>
      </c>
      <c r="C19" s="2" t="str">
        <f t="shared" si="6"/>
        <v>A</v>
      </c>
      <c r="D19" s="2" t="str">
        <f t="shared" si="7"/>
        <v>A</v>
      </c>
      <c r="E19" s="2">
        <f t="shared" si="8"/>
        <v>5</v>
      </c>
      <c r="F19" s="3" t="s">
        <v>175</v>
      </c>
      <c r="G19" s="3" t="s">
        <v>273</v>
      </c>
      <c r="H19" s="4">
        <f>SUMIFS(Tab_01.Jan[MOVIMENTO],Tab_01.Jan[CONTA],$F19)</f>
        <v>0</v>
      </c>
      <c r="I19" s="4">
        <f>SUMIFS(Tab_02.Fev[MOVIMENTO],Tab_02.Fev[CONTA],$F19)</f>
        <v>0</v>
      </c>
      <c r="J19" s="4">
        <f>SUMIFS(Tab_03.Mar[MOVIMENTO],Tab_03.Mar[CONTA],$F19)</f>
        <v>0</v>
      </c>
      <c r="K19" s="4">
        <f>SUMIFS(Tab_04.Abr[MOVIMENTO],Tab_04.Abr[CONTA],$F19)</f>
        <v>0</v>
      </c>
      <c r="L19" s="4">
        <f>SUMIFS(Tab_05.Mai[MOVIMENTO],Tab_05.Mai[CONTA],$F19)</f>
        <v>0</v>
      </c>
      <c r="M19" s="4">
        <f>SUMIFS(Tab_06.Jun[MOVIMENTO],Tab_06.Jun[CONTA],$F19)</f>
        <v>0</v>
      </c>
      <c r="N19" s="4">
        <f>SUMIFS(Tab_07.Jul[MOVIMENTO],Tab_07.Jul[CONTA],$F19)</f>
        <v>0</v>
      </c>
      <c r="O19" s="4">
        <f>SUMIFS(Tab_08.Ago[MOVIMENTO],Tab_08.Ago[CONTA],$F19)</f>
        <v>0</v>
      </c>
      <c r="P19" s="4">
        <f>SUMIFS(Tab_09.Set[MOVIMENTO],Tab_09.Set[CONTA],$F19)</f>
        <v>0</v>
      </c>
      <c r="Q19" s="4">
        <f>SUMIFS(Tab_10.Out[MOVIMENTO],Tab_10.Out[CONTA],$F19)</f>
        <v>0</v>
      </c>
      <c r="R19" s="4">
        <f>SUMIFS(Tab_11.Nov[MOVIMENTO],Tab_11.Nov[CONTA],$F19)</f>
        <v>0</v>
      </c>
      <c r="S19" s="4">
        <f>SUMIFS(Tab_12.Dez[MOVIMENTO],Tab_12.Dez[CONTA],$F19)</f>
        <v>0</v>
      </c>
    </row>
    <row r="20" spans="2:19" x14ac:dyDescent="0.3">
      <c r="B20" s="3" t="s">
        <v>38</v>
      </c>
      <c r="C20" s="2" t="str">
        <f t="shared" si="6"/>
        <v>A</v>
      </c>
      <c r="D20" s="2" t="str">
        <f t="shared" si="7"/>
        <v>A</v>
      </c>
      <c r="E20" s="2">
        <f t="shared" si="8"/>
        <v>5</v>
      </c>
      <c r="F20" s="3" t="s">
        <v>176</v>
      </c>
      <c r="G20" s="3" t="s">
        <v>274</v>
      </c>
      <c r="H20" s="4">
        <f>SUMIFS(Tab_01.Jan[MOVIMENTO],Tab_01.Jan[CONTA],$F20)</f>
        <v>-229.59</v>
      </c>
      <c r="I20" s="4">
        <f>SUMIFS(Tab_02.Fev[MOVIMENTO],Tab_02.Fev[CONTA],$F20)</f>
        <v>-62.97</v>
      </c>
      <c r="J20" s="4">
        <f>SUMIFS(Tab_03.Mar[MOVIMENTO],Tab_03.Mar[CONTA],$F20)</f>
        <v>-394.22</v>
      </c>
      <c r="K20" s="4">
        <f>SUMIFS(Tab_04.Abr[MOVIMENTO],Tab_04.Abr[CONTA],$F20)</f>
        <v>-418.26</v>
      </c>
      <c r="L20" s="4">
        <f>SUMIFS(Tab_05.Mai[MOVIMENTO],Tab_05.Mai[CONTA],$F20)</f>
        <v>-451.58</v>
      </c>
      <c r="M20" s="4">
        <f>SUMIFS(Tab_06.Jun[MOVIMENTO],Tab_06.Jun[CONTA],$F20)</f>
        <v>-906.62</v>
      </c>
      <c r="N20" s="4">
        <f>SUMIFS(Tab_07.Jul[MOVIMENTO],Tab_07.Jul[CONTA],$F20)</f>
        <v>-906.62</v>
      </c>
      <c r="O20" s="4">
        <f>SUMIFS(Tab_08.Ago[MOVIMENTO],Tab_08.Ago[CONTA],$F20)</f>
        <v>-906.62</v>
      </c>
      <c r="P20" s="4">
        <f>SUMIFS(Tab_09.Set[MOVIMENTO],Tab_09.Set[CONTA],$F20)</f>
        <v>-600.34</v>
      </c>
      <c r="Q20" s="4">
        <f>SUMIFS(Tab_10.Out[MOVIMENTO],Tab_10.Out[CONTA],$F20)</f>
        <v>-780.9</v>
      </c>
      <c r="R20" s="4">
        <f>SUMIFS(Tab_11.Nov[MOVIMENTO],Tab_11.Nov[CONTA],$F20)</f>
        <v>-73.28</v>
      </c>
      <c r="S20" s="4">
        <f>SUMIFS(Tab_12.Dez[MOVIMENTO],Tab_12.Dez[CONTA],$F20)</f>
        <v>954.17</v>
      </c>
    </row>
    <row r="21" spans="2:19" x14ac:dyDescent="0.3">
      <c r="B21" s="3" t="s">
        <v>38</v>
      </c>
      <c r="C21" s="2" t="str">
        <f t="shared" si="6"/>
        <v>A</v>
      </c>
      <c r="D21" s="2" t="str">
        <f t="shared" si="7"/>
        <v>A</v>
      </c>
      <c r="E21" s="2">
        <f t="shared" si="8"/>
        <v>5</v>
      </c>
      <c r="F21" s="3" t="s">
        <v>275</v>
      </c>
      <c r="G21" s="3" t="s">
        <v>276</v>
      </c>
      <c r="H21" s="4">
        <f>SUMIFS(Tab_01.Jan[MOVIMENTO],Tab_01.Jan[CONTA],$F21)</f>
        <v>0</v>
      </c>
      <c r="I21" s="4">
        <f>SUMIFS(Tab_02.Fev[MOVIMENTO],Tab_02.Fev[CONTA],$F21)</f>
        <v>0</v>
      </c>
      <c r="J21" s="4">
        <f>SUMIFS(Tab_03.Mar[MOVIMENTO],Tab_03.Mar[CONTA],$F21)</f>
        <v>0</v>
      </c>
      <c r="K21" s="4">
        <f>SUMIFS(Tab_04.Abr[MOVIMENTO],Tab_04.Abr[CONTA],$F21)</f>
        <v>0</v>
      </c>
      <c r="L21" s="4">
        <f>SUMIFS(Tab_05.Mai[MOVIMENTO],Tab_05.Mai[CONTA],$F21)</f>
        <v>0</v>
      </c>
      <c r="M21" s="4">
        <f>SUMIFS(Tab_06.Jun[MOVIMENTO],Tab_06.Jun[CONTA],$F21)</f>
        <v>0</v>
      </c>
      <c r="N21" s="4">
        <f>SUMIFS(Tab_07.Jul[MOVIMENTO],Tab_07.Jul[CONTA],$F21)</f>
        <v>0</v>
      </c>
      <c r="O21" s="4">
        <f>SUMIFS(Tab_08.Ago[MOVIMENTO],Tab_08.Ago[CONTA],$F21)</f>
        <v>0</v>
      </c>
      <c r="P21" s="4">
        <f>SUMIFS(Tab_09.Set[MOVIMENTO],Tab_09.Set[CONTA],$F21)</f>
        <v>0</v>
      </c>
      <c r="Q21" s="4">
        <f>SUMIFS(Tab_10.Out[MOVIMENTO],Tab_10.Out[CONTA],$F21)</f>
        <v>0</v>
      </c>
      <c r="R21" s="4">
        <f>SUMIFS(Tab_11.Nov[MOVIMENTO],Tab_11.Nov[CONTA],$F21)</f>
        <v>0</v>
      </c>
      <c r="S21" s="4">
        <f>SUMIFS(Tab_12.Dez[MOVIMENTO],Tab_12.Dez[CONTA],$F21)</f>
        <v>0</v>
      </c>
    </row>
    <row r="22" spans="2:19" x14ac:dyDescent="0.3">
      <c r="B22" s="3"/>
      <c r="C22" s="2" t="str">
        <f t="shared" si="6"/>
        <v>A</v>
      </c>
      <c r="D22" s="2" t="str">
        <f t="shared" si="7"/>
        <v>S</v>
      </c>
      <c r="E22" s="2">
        <f t="shared" si="8"/>
        <v>5</v>
      </c>
      <c r="F22" s="3" t="s">
        <v>202</v>
      </c>
      <c r="G22" s="3" t="s">
        <v>640</v>
      </c>
      <c r="H22" s="4">
        <f>SUMIFS(Tab_01.Jan[MOVIMENTO],Tab_01.Jan[CONTA],$F22)</f>
        <v>-23104.55</v>
      </c>
      <c r="I22" s="4">
        <f>SUMIFS(Tab_02.Fev[MOVIMENTO],Tab_02.Fev[CONTA],$F22)</f>
        <v>25345.07</v>
      </c>
      <c r="J22" s="4">
        <f>SUMIFS(Tab_03.Mar[MOVIMENTO],Tab_03.Mar[CONTA],$F22)</f>
        <v>-2562.58</v>
      </c>
      <c r="K22" s="4">
        <f>SUMIFS(Tab_04.Abr[MOVIMENTO],Tab_04.Abr[CONTA],$F22)</f>
        <v>-13027.92</v>
      </c>
      <c r="L22" s="4">
        <f>SUMIFS(Tab_05.Mai[MOVIMENTO],Tab_05.Mai[CONTA],$F22)</f>
        <v>-8175.5</v>
      </c>
      <c r="M22" s="4">
        <f>SUMIFS(Tab_06.Jun[MOVIMENTO],Tab_06.Jun[CONTA],$F22)</f>
        <v>-3203.77</v>
      </c>
      <c r="N22" s="4">
        <f>SUMIFS(Tab_07.Jul[MOVIMENTO],Tab_07.Jul[CONTA],$F22)</f>
        <v>-3203.77</v>
      </c>
      <c r="O22" s="4">
        <f>SUMIFS(Tab_08.Ago[MOVIMENTO],Tab_08.Ago[CONTA],$F22)</f>
        <v>-3203.77</v>
      </c>
      <c r="P22" s="4">
        <f>SUMIFS(Tab_09.Set[MOVIMENTO],Tab_09.Set[CONTA],$F22)</f>
        <v>8184.16</v>
      </c>
      <c r="Q22" s="4">
        <f>SUMIFS(Tab_10.Out[MOVIMENTO],Tab_10.Out[CONTA],$F22)</f>
        <v>-18345.28</v>
      </c>
      <c r="R22" s="4">
        <f>SUMIFS(Tab_11.Nov[MOVIMENTO],Tab_11.Nov[CONTA],$F22)</f>
        <v>25948.73</v>
      </c>
      <c r="S22" s="4">
        <f>SUMIFS(Tab_12.Dez[MOVIMENTO],Tab_12.Dez[CONTA],$F22)</f>
        <v>124149.96</v>
      </c>
    </row>
    <row r="23" spans="2:19" x14ac:dyDescent="0.3">
      <c r="B23" s="3" t="s">
        <v>38</v>
      </c>
      <c r="C23" s="2" t="str">
        <f t="shared" si="6"/>
        <v>A</v>
      </c>
      <c r="D23" s="2" t="str">
        <f t="shared" si="7"/>
        <v>A</v>
      </c>
      <c r="E23" s="2">
        <f t="shared" si="8"/>
        <v>5</v>
      </c>
      <c r="F23" s="3" t="s">
        <v>277</v>
      </c>
      <c r="G23" s="3" t="s">
        <v>278</v>
      </c>
      <c r="H23" s="4">
        <f>SUMIFS(Tab_01.Jan[MOVIMENTO],Tab_01.Jan[CONTA],$F23)</f>
        <v>-800</v>
      </c>
      <c r="I23" s="4">
        <f>SUMIFS(Tab_02.Fev[MOVIMENTO],Tab_02.Fev[CONTA],$F23)</f>
        <v>17522.11</v>
      </c>
      <c r="J23" s="4">
        <f>SUMIFS(Tab_03.Mar[MOVIMENTO],Tab_03.Mar[CONTA],$F23)</f>
        <v>-0.01</v>
      </c>
      <c r="K23" s="4">
        <f>SUMIFS(Tab_04.Abr[MOVIMENTO],Tab_04.Abr[CONTA],$F23)</f>
        <v>0.01</v>
      </c>
      <c r="L23" s="4">
        <f>SUMIFS(Tab_05.Mai[MOVIMENTO],Tab_05.Mai[CONTA],$F23)</f>
        <v>0</v>
      </c>
      <c r="M23" s="4">
        <f>SUMIFS(Tab_06.Jun[MOVIMENTO],Tab_06.Jun[CONTA],$F23)</f>
        <v>0</v>
      </c>
      <c r="N23" s="4">
        <f>SUMIFS(Tab_07.Jul[MOVIMENTO],Tab_07.Jul[CONTA],$F23)</f>
        <v>0</v>
      </c>
      <c r="O23" s="4">
        <f>SUMIFS(Tab_08.Ago[MOVIMENTO],Tab_08.Ago[CONTA],$F23)</f>
        <v>0</v>
      </c>
      <c r="P23" s="4">
        <f>SUMIFS(Tab_09.Set[MOVIMENTO],Tab_09.Set[CONTA],$F23)</f>
        <v>0</v>
      </c>
      <c r="Q23" s="4">
        <f>SUMIFS(Tab_10.Out[MOVIMENTO],Tab_10.Out[CONTA],$F23)</f>
        <v>0</v>
      </c>
      <c r="R23" s="4">
        <f>SUMIFS(Tab_11.Nov[MOVIMENTO],Tab_11.Nov[CONTA],$F23)</f>
        <v>0</v>
      </c>
      <c r="S23" s="4">
        <f>SUMIFS(Tab_12.Dez[MOVIMENTO],Tab_12.Dez[CONTA],$F23)</f>
        <v>163717.85999999999</v>
      </c>
    </row>
    <row r="24" spans="2:19" x14ac:dyDescent="0.3">
      <c r="B24" s="3" t="s">
        <v>38</v>
      </c>
      <c r="C24" s="2" t="str">
        <f t="shared" si="6"/>
        <v>A</v>
      </c>
      <c r="D24" s="2" t="str">
        <f t="shared" si="7"/>
        <v>A</v>
      </c>
      <c r="E24" s="2">
        <f t="shared" si="8"/>
        <v>5</v>
      </c>
      <c r="F24" s="3" t="s">
        <v>177</v>
      </c>
      <c r="G24" s="3" t="s">
        <v>279</v>
      </c>
      <c r="H24" s="4">
        <f>SUMIFS(Tab_01.Jan[MOVIMENTO],Tab_01.Jan[CONTA],$F24)</f>
        <v>-16418.21</v>
      </c>
      <c r="I24" s="4">
        <f>SUMIFS(Tab_02.Fev[MOVIMENTO],Tab_02.Fev[CONTA],$F24)</f>
        <v>8230.86</v>
      </c>
      <c r="J24" s="4">
        <f>SUMIFS(Tab_03.Mar[MOVIMENTO],Tab_03.Mar[CONTA],$F24)</f>
        <v>-2154.67</v>
      </c>
      <c r="K24" s="4">
        <f>SUMIFS(Tab_04.Abr[MOVIMENTO],Tab_04.Abr[CONTA],$F24)</f>
        <v>-12127.85</v>
      </c>
      <c r="L24" s="4">
        <f>SUMIFS(Tab_05.Mai[MOVIMENTO],Tab_05.Mai[CONTA],$F24)</f>
        <v>-7909.5</v>
      </c>
      <c r="M24" s="4">
        <f>SUMIFS(Tab_06.Jun[MOVIMENTO],Tab_06.Jun[CONTA],$F24)</f>
        <v>-147.27000000000001</v>
      </c>
      <c r="N24" s="4">
        <f>SUMIFS(Tab_07.Jul[MOVIMENTO],Tab_07.Jul[CONTA],$F24)</f>
        <v>-147.27000000000001</v>
      </c>
      <c r="O24" s="4">
        <f>SUMIFS(Tab_08.Ago[MOVIMENTO],Tab_08.Ago[CONTA],$F24)</f>
        <v>-147.27000000000001</v>
      </c>
      <c r="P24" s="4">
        <f>SUMIFS(Tab_09.Set[MOVIMENTO],Tab_09.Set[CONTA],$F24)</f>
        <v>3305.16</v>
      </c>
      <c r="Q24" s="4">
        <f>SUMIFS(Tab_10.Out[MOVIMENTO],Tab_10.Out[CONTA],$F24)</f>
        <v>-20351.21</v>
      </c>
      <c r="R24" s="4">
        <f>SUMIFS(Tab_11.Nov[MOVIMENTO],Tab_11.Nov[CONTA],$F24)</f>
        <v>24511.91</v>
      </c>
      <c r="S24" s="4">
        <f>SUMIFS(Tab_12.Dez[MOVIMENTO],Tab_12.Dez[CONTA],$F24)</f>
        <v>-38866.75</v>
      </c>
    </row>
    <row r="25" spans="2:19" x14ac:dyDescent="0.3">
      <c r="B25" s="3" t="s">
        <v>38</v>
      </c>
      <c r="C25" s="2" t="str">
        <f t="shared" si="6"/>
        <v>A</v>
      </c>
      <c r="D25" s="2" t="str">
        <f t="shared" si="7"/>
        <v>A</v>
      </c>
      <c r="E25" s="2">
        <f t="shared" si="8"/>
        <v>5</v>
      </c>
      <c r="F25" s="3" t="s">
        <v>280</v>
      </c>
      <c r="G25" s="3" t="s">
        <v>281</v>
      </c>
      <c r="H25" s="4">
        <f>SUMIFS(Tab_01.Jan[MOVIMENTO],Tab_01.Jan[CONTA],$F25)</f>
        <v>-228.44</v>
      </c>
      <c r="I25" s="4">
        <f>SUMIFS(Tab_02.Fev[MOVIMENTO],Tab_02.Fev[CONTA],$F25)</f>
        <v>0</v>
      </c>
      <c r="J25" s="4">
        <f>SUMIFS(Tab_03.Mar[MOVIMENTO],Tab_03.Mar[CONTA],$F25)</f>
        <v>0</v>
      </c>
      <c r="K25" s="4">
        <f>SUMIFS(Tab_04.Abr[MOVIMENTO],Tab_04.Abr[CONTA],$F25)</f>
        <v>3762.87</v>
      </c>
      <c r="L25" s="4">
        <f>SUMIFS(Tab_05.Mai[MOVIMENTO],Tab_05.Mai[CONTA],$F25)</f>
        <v>-266</v>
      </c>
      <c r="M25" s="4">
        <f>SUMIFS(Tab_06.Jun[MOVIMENTO],Tab_06.Jun[CONTA],$F25)</f>
        <v>-3056.5</v>
      </c>
      <c r="N25" s="4">
        <f>SUMIFS(Tab_07.Jul[MOVIMENTO],Tab_07.Jul[CONTA],$F25)</f>
        <v>-3056.5</v>
      </c>
      <c r="O25" s="4">
        <f>SUMIFS(Tab_08.Ago[MOVIMENTO],Tab_08.Ago[CONTA],$F25)</f>
        <v>-3056.5</v>
      </c>
      <c r="P25" s="4">
        <f>SUMIFS(Tab_09.Set[MOVIMENTO],Tab_09.Set[CONTA],$F25)</f>
        <v>4879</v>
      </c>
      <c r="Q25" s="4">
        <f>SUMIFS(Tab_10.Out[MOVIMENTO],Tab_10.Out[CONTA],$F25)</f>
        <v>2005.93</v>
      </c>
      <c r="R25" s="4">
        <f>SUMIFS(Tab_11.Nov[MOVIMENTO],Tab_11.Nov[CONTA],$F25)</f>
        <v>1436.82</v>
      </c>
      <c r="S25" s="4">
        <f>SUMIFS(Tab_12.Dez[MOVIMENTO],Tab_12.Dez[CONTA],$F25)</f>
        <v>-701.15</v>
      </c>
    </row>
    <row r="26" spans="2:19" x14ac:dyDescent="0.3">
      <c r="B26" s="3" t="s">
        <v>38</v>
      </c>
      <c r="C26" s="2" t="str">
        <f t="shared" si="6"/>
        <v>A</v>
      </c>
      <c r="D26" s="2" t="str">
        <f t="shared" si="7"/>
        <v>A</v>
      </c>
      <c r="E26" s="2">
        <f t="shared" si="8"/>
        <v>5</v>
      </c>
      <c r="F26" s="3" t="s">
        <v>282</v>
      </c>
      <c r="G26" s="3" t="s">
        <v>283</v>
      </c>
      <c r="H26" s="4">
        <f>SUMIFS(Tab_01.Jan[MOVIMENTO],Tab_01.Jan[CONTA],$F26)</f>
        <v>-5657.9</v>
      </c>
      <c r="I26" s="4">
        <f>SUMIFS(Tab_02.Fev[MOVIMENTO],Tab_02.Fev[CONTA],$F26)</f>
        <v>-407.9</v>
      </c>
      <c r="J26" s="4">
        <f>SUMIFS(Tab_03.Mar[MOVIMENTO],Tab_03.Mar[CONTA],$F26)</f>
        <v>-407.9</v>
      </c>
      <c r="K26" s="4">
        <f>SUMIFS(Tab_04.Abr[MOVIMENTO],Tab_04.Abr[CONTA],$F26)</f>
        <v>-4662.95</v>
      </c>
      <c r="L26" s="4">
        <f>SUMIFS(Tab_05.Mai[MOVIMENTO],Tab_05.Mai[CONTA],$F26)</f>
        <v>0</v>
      </c>
      <c r="M26" s="4">
        <f>SUMIFS(Tab_06.Jun[MOVIMENTO],Tab_06.Jun[CONTA],$F26)</f>
        <v>0</v>
      </c>
      <c r="N26" s="4">
        <f>SUMIFS(Tab_07.Jul[MOVIMENTO],Tab_07.Jul[CONTA],$F26)</f>
        <v>0</v>
      </c>
      <c r="O26" s="4">
        <f>SUMIFS(Tab_08.Ago[MOVIMENTO],Tab_08.Ago[CONTA],$F26)</f>
        <v>0</v>
      </c>
      <c r="P26" s="4">
        <f>SUMIFS(Tab_09.Set[MOVIMENTO],Tab_09.Set[CONTA],$F26)</f>
        <v>0</v>
      </c>
      <c r="Q26" s="4">
        <f>SUMIFS(Tab_10.Out[MOVIMENTO],Tab_10.Out[CONTA],$F26)</f>
        <v>0</v>
      </c>
      <c r="R26" s="4">
        <f>SUMIFS(Tab_11.Nov[MOVIMENTO],Tab_11.Nov[CONTA],$F26)</f>
        <v>0</v>
      </c>
      <c r="S26" s="4">
        <f>SUMIFS(Tab_12.Dez[MOVIMENTO],Tab_12.Dez[CONTA],$F26)</f>
        <v>0</v>
      </c>
    </row>
    <row r="27" spans="2:19" x14ac:dyDescent="0.3">
      <c r="B27" s="3"/>
      <c r="C27" s="2" t="str">
        <f t="shared" si="6"/>
        <v>A</v>
      </c>
      <c r="D27" s="2" t="str">
        <f t="shared" si="7"/>
        <v>S</v>
      </c>
      <c r="E27" s="2">
        <f t="shared" si="8"/>
        <v>5</v>
      </c>
      <c r="F27" s="3" t="s">
        <v>203</v>
      </c>
      <c r="G27" s="3" t="s">
        <v>641</v>
      </c>
      <c r="H27" s="4">
        <f>SUMIFS(Tab_01.Jan[MOVIMENTO],Tab_01.Jan[CONTA],$F27)</f>
        <v>278329.3</v>
      </c>
      <c r="I27" s="4">
        <f>SUMIFS(Tab_02.Fev[MOVIMENTO],Tab_02.Fev[CONTA],$F27)</f>
        <v>-791661.78</v>
      </c>
      <c r="J27" s="4">
        <f>SUMIFS(Tab_03.Mar[MOVIMENTO],Tab_03.Mar[CONTA],$F27)</f>
        <v>-147144.18</v>
      </c>
      <c r="K27" s="4">
        <f>SUMIFS(Tab_04.Abr[MOVIMENTO],Tab_04.Abr[CONTA],$F27)</f>
        <v>371620.54</v>
      </c>
      <c r="L27" s="4">
        <f>SUMIFS(Tab_05.Mai[MOVIMENTO],Tab_05.Mai[CONTA],$F27)</f>
        <v>87938.99</v>
      </c>
      <c r="M27" s="4">
        <f>SUMIFS(Tab_06.Jun[MOVIMENTO],Tab_06.Jun[CONTA],$F27)</f>
        <v>233315.61</v>
      </c>
      <c r="N27" s="4">
        <f>SUMIFS(Tab_07.Jul[MOVIMENTO],Tab_07.Jul[CONTA],$F27)</f>
        <v>233315.61</v>
      </c>
      <c r="O27" s="4">
        <f>SUMIFS(Tab_08.Ago[MOVIMENTO],Tab_08.Ago[CONTA],$F27)</f>
        <v>233315.61</v>
      </c>
      <c r="P27" s="4">
        <f>SUMIFS(Tab_09.Set[MOVIMENTO],Tab_09.Set[CONTA],$F27)</f>
        <v>25209.45</v>
      </c>
      <c r="Q27" s="4">
        <f>SUMIFS(Tab_10.Out[MOVIMENTO],Tab_10.Out[CONTA],$F27)</f>
        <v>127950.49</v>
      </c>
      <c r="R27" s="4">
        <f>SUMIFS(Tab_11.Nov[MOVIMENTO],Tab_11.Nov[CONTA],$F27)</f>
        <v>-27492.55</v>
      </c>
      <c r="S27" s="4">
        <f>SUMIFS(Tab_12.Dez[MOVIMENTO],Tab_12.Dez[CONTA],$F27)</f>
        <v>84563.73</v>
      </c>
    </row>
    <row r="28" spans="2:19" x14ac:dyDescent="0.3">
      <c r="B28" s="3" t="s">
        <v>39</v>
      </c>
      <c r="C28" s="2" t="str">
        <f t="shared" si="6"/>
        <v>A</v>
      </c>
      <c r="D28" s="2" t="str">
        <f t="shared" si="7"/>
        <v>A</v>
      </c>
      <c r="E28" s="2">
        <f t="shared" si="8"/>
        <v>5</v>
      </c>
      <c r="F28" s="3" t="s">
        <v>178</v>
      </c>
      <c r="G28" s="3" t="s">
        <v>284</v>
      </c>
      <c r="H28" s="4">
        <f>SUMIFS(Tab_01.Jan[MOVIMENTO],Tab_01.Jan[CONTA],$F28)</f>
        <v>198905.73</v>
      </c>
      <c r="I28" s="4">
        <f>SUMIFS(Tab_02.Fev[MOVIMENTO],Tab_02.Fev[CONTA],$F28)</f>
        <v>-791661.78</v>
      </c>
      <c r="J28" s="4">
        <f>SUMIFS(Tab_03.Mar[MOVIMENTO],Tab_03.Mar[CONTA],$F28)</f>
        <v>-192330.23999999999</v>
      </c>
      <c r="K28" s="4">
        <f>SUMIFS(Tab_04.Abr[MOVIMENTO],Tab_04.Abr[CONTA],$F28)</f>
        <v>323490.99</v>
      </c>
      <c r="L28" s="4">
        <f>SUMIFS(Tab_05.Mai[MOVIMENTO],Tab_05.Mai[CONTA],$F28)</f>
        <v>42572.57</v>
      </c>
      <c r="M28" s="4">
        <f>SUMIFS(Tab_06.Jun[MOVIMENTO],Tab_06.Jun[CONTA],$F28)</f>
        <v>182444.01</v>
      </c>
      <c r="N28" s="4">
        <f>SUMIFS(Tab_07.Jul[MOVIMENTO],Tab_07.Jul[CONTA],$F28)</f>
        <v>182444.01</v>
      </c>
      <c r="O28" s="4">
        <f>SUMIFS(Tab_08.Ago[MOVIMENTO],Tab_08.Ago[CONTA],$F28)</f>
        <v>182444.01</v>
      </c>
      <c r="P28" s="4">
        <f>SUMIFS(Tab_09.Set[MOVIMENTO],Tab_09.Set[CONTA],$F28)</f>
        <v>-22473.47</v>
      </c>
      <c r="Q28" s="4">
        <f>SUMIFS(Tab_10.Out[MOVIMENTO],Tab_10.Out[CONTA],$F28)</f>
        <v>74441.58</v>
      </c>
      <c r="R28" s="4">
        <f>SUMIFS(Tab_11.Nov[MOVIMENTO],Tab_11.Nov[CONTA],$F28)</f>
        <v>-8950.67</v>
      </c>
      <c r="S28" s="4">
        <f>SUMIFS(Tab_12.Dez[MOVIMENTO],Tab_12.Dez[CONTA],$F28)</f>
        <v>40977.06</v>
      </c>
    </row>
    <row r="29" spans="2:19" x14ac:dyDescent="0.3">
      <c r="B29" s="3" t="s">
        <v>39</v>
      </c>
      <c r="C29" s="2" t="str">
        <f t="shared" si="6"/>
        <v>A</v>
      </c>
      <c r="D29" s="2" t="str">
        <f t="shared" si="7"/>
        <v>A</v>
      </c>
      <c r="E29" s="2">
        <f t="shared" si="8"/>
        <v>5</v>
      </c>
      <c r="F29" s="3" t="s">
        <v>285</v>
      </c>
      <c r="G29" s="3" t="s">
        <v>286</v>
      </c>
      <c r="H29" s="4">
        <f>SUMIFS(Tab_01.Jan[MOVIMENTO],Tab_01.Jan[CONTA],$F29)</f>
        <v>0</v>
      </c>
      <c r="I29" s="4">
        <f>SUMIFS(Tab_02.Fev[MOVIMENTO],Tab_02.Fev[CONTA],$F29)</f>
        <v>0</v>
      </c>
      <c r="J29" s="4">
        <f>SUMIFS(Tab_03.Mar[MOVIMENTO],Tab_03.Mar[CONTA],$F29)</f>
        <v>0</v>
      </c>
      <c r="K29" s="4">
        <f>SUMIFS(Tab_04.Abr[MOVIMENTO],Tab_04.Abr[CONTA],$F29)</f>
        <v>0</v>
      </c>
      <c r="L29" s="4">
        <f>SUMIFS(Tab_05.Mai[MOVIMENTO],Tab_05.Mai[CONTA],$F29)</f>
        <v>0</v>
      </c>
      <c r="M29" s="4">
        <f>SUMIFS(Tab_06.Jun[MOVIMENTO],Tab_06.Jun[CONTA],$F29)</f>
        <v>0</v>
      </c>
      <c r="N29" s="4">
        <f>SUMIFS(Tab_07.Jul[MOVIMENTO],Tab_07.Jul[CONTA],$F29)</f>
        <v>0</v>
      </c>
      <c r="O29" s="4">
        <f>SUMIFS(Tab_08.Ago[MOVIMENTO],Tab_08.Ago[CONTA],$F29)</f>
        <v>0</v>
      </c>
      <c r="P29" s="4">
        <f>SUMIFS(Tab_09.Set[MOVIMENTO],Tab_09.Set[CONTA],$F29)</f>
        <v>0</v>
      </c>
      <c r="Q29" s="4">
        <f>SUMIFS(Tab_10.Out[MOVIMENTO],Tab_10.Out[CONTA],$F29)</f>
        <v>0</v>
      </c>
      <c r="R29" s="4">
        <f>SUMIFS(Tab_11.Nov[MOVIMENTO],Tab_11.Nov[CONTA],$F29)</f>
        <v>0</v>
      </c>
      <c r="S29" s="4">
        <f>SUMIFS(Tab_12.Dez[MOVIMENTO],Tab_12.Dez[CONTA],$F29)</f>
        <v>0</v>
      </c>
    </row>
    <row r="30" spans="2:19" x14ac:dyDescent="0.3">
      <c r="B30" s="3" t="s">
        <v>39</v>
      </c>
      <c r="C30" s="2" t="str">
        <f t="shared" si="6"/>
        <v>A</v>
      </c>
      <c r="D30" s="2" t="str">
        <f t="shared" si="7"/>
        <v>A</v>
      </c>
      <c r="E30" s="2">
        <f t="shared" si="8"/>
        <v>5</v>
      </c>
      <c r="F30" s="3" t="s">
        <v>287</v>
      </c>
      <c r="G30" s="3" t="s">
        <v>288</v>
      </c>
      <c r="H30" s="4">
        <f>SUMIFS(Tab_01.Jan[MOVIMENTO],Tab_01.Jan[CONTA],$F30)</f>
        <v>79423.570000000007</v>
      </c>
      <c r="I30" s="4">
        <f>SUMIFS(Tab_02.Fev[MOVIMENTO],Tab_02.Fev[CONTA],$F30)</f>
        <v>0</v>
      </c>
      <c r="J30" s="4">
        <f>SUMIFS(Tab_03.Mar[MOVIMENTO],Tab_03.Mar[CONTA],$F30)</f>
        <v>45186.06</v>
      </c>
      <c r="K30" s="4">
        <f>SUMIFS(Tab_04.Abr[MOVIMENTO],Tab_04.Abr[CONTA],$F30)</f>
        <v>48129.55</v>
      </c>
      <c r="L30" s="4">
        <f>SUMIFS(Tab_05.Mai[MOVIMENTO],Tab_05.Mai[CONTA],$F30)</f>
        <v>45366.42</v>
      </c>
      <c r="M30" s="4">
        <f>SUMIFS(Tab_06.Jun[MOVIMENTO],Tab_06.Jun[CONTA],$F30)</f>
        <v>50871.6</v>
      </c>
      <c r="N30" s="4">
        <f>SUMIFS(Tab_07.Jul[MOVIMENTO],Tab_07.Jul[CONTA],$F30)</f>
        <v>50871.6</v>
      </c>
      <c r="O30" s="4">
        <f>SUMIFS(Tab_08.Ago[MOVIMENTO],Tab_08.Ago[CONTA],$F30)</f>
        <v>50871.6</v>
      </c>
      <c r="P30" s="4">
        <f>SUMIFS(Tab_09.Set[MOVIMENTO],Tab_09.Set[CONTA],$F30)</f>
        <v>47682.92</v>
      </c>
      <c r="Q30" s="4">
        <f>SUMIFS(Tab_10.Out[MOVIMENTO],Tab_10.Out[CONTA],$F30)</f>
        <v>53508.91</v>
      </c>
      <c r="R30" s="4">
        <f>SUMIFS(Tab_11.Nov[MOVIMENTO],Tab_11.Nov[CONTA],$F30)</f>
        <v>-18541.88</v>
      </c>
      <c r="S30" s="4">
        <f>SUMIFS(Tab_12.Dez[MOVIMENTO],Tab_12.Dez[CONTA],$F30)</f>
        <v>-294415.78000000003</v>
      </c>
    </row>
    <row r="31" spans="2:19" x14ac:dyDescent="0.3">
      <c r="B31" s="3" t="s">
        <v>39</v>
      </c>
      <c r="C31" s="2" t="str">
        <f t="shared" si="6"/>
        <v>A</v>
      </c>
      <c r="D31" s="2" t="str">
        <f t="shared" si="7"/>
        <v>A</v>
      </c>
      <c r="E31" s="2">
        <f t="shared" si="8"/>
        <v>5</v>
      </c>
      <c r="F31" s="3" t="s">
        <v>289</v>
      </c>
      <c r="G31" s="3" t="s">
        <v>290</v>
      </c>
      <c r="H31" s="4">
        <f>SUMIFS(Tab_01.Jan[MOVIMENTO],Tab_01.Jan[CONTA],$F31)</f>
        <v>0</v>
      </c>
      <c r="I31" s="4">
        <f>SUMIFS(Tab_02.Fev[MOVIMENTO],Tab_02.Fev[CONTA],$F31)</f>
        <v>0</v>
      </c>
      <c r="J31" s="4">
        <f>SUMIFS(Tab_03.Mar[MOVIMENTO],Tab_03.Mar[CONTA],$F31)</f>
        <v>0</v>
      </c>
      <c r="K31" s="4">
        <f>SUMIFS(Tab_04.Abr[MOVIMENTO],Tab_04.Abr[CONTA],$F31)</f>
        <v>0</v>
      </c>
      <c r="L31" s="4">
        <f>SUMIFS(Tab_05.Mai[MOVIMENTO],Tab_05.Mai[CONTA],$F31)</f>
        <v>0</v>
      </c>
      <c r="M31" s="4">
        <f>SUMIFS(Tab_06.Jun[MOVIMENTO],Tab_06.Jun[CONTA],$F31)</f>
        <v>0</v>
      </c>
      <c r="N31" s="4">
        <f>SUMIFS(Tab_07.Jul[MOVIMENTO],Tab_07.Jul[CONTA],$F31)</f>
        <v>0</v>
      </c>
      <c r="O31" s="4">
        <f>SUMIFS(Tab_08.Ago[MOVIMENTO],Tab_08.Ago[CONTA],$F31)</f>
        <v>0</v>
      </c>
      <c r="P31" s="4">
        <f>SUMIFS(Tab_09.Set[MOVIMENTO],Tab_09.Set[CONTA],$F31)</f>
        <v>0</v>
      </c>
      <c r="Q31" s="4">
        <f>SUMIFS(Tab_10.Out[MOVIMENTO],Tab_10.Out[CONTA],$F31)</f>
        <v>0</v>
      </c>
      <c r="R31" s="4">
        <f>SUMIFS(Tab_11.Nov[MOVIMENTO],Tab_11.Nov[CONTA],$F31)</f>
        <v>0</v>
      </c>
      <c r="S31" s="4">
        <f>SUMIFS(Tab_12.Dez[MOVIMENTO],Tab_12.Dez[CONTA],$F31)</f>
        <v>0</v>
      </c>
    </row>
    <row r="32" spans="2:19" x14ac:dyDescent="0.3">
      <c r="B32" s="3" t="s">
        <v>39</v>
      </c>
      <c r="C32" s="2" t="str">
        <f>IF($F32="","",IF(LEFT($F32,1)*1=1,"A",IF(LEFT($F32,1)*1=2,"P",IF(LEFT($F32,1)*1=3,"R",IF(LEFT($F32,1)*1=4,"C",IF(LEFT($F32,1)*1=5,"C",IF(LEFT($F32,1)*1=6,"C","")))))))</f>
        <v>A</v>
      </c>
      <c r="D32" s="2" t="str">
        <f>IF($F32="","",IF(LEN($F32)=13,"A","S"))</f>
        <v>A</v>
      </c>
      <c r="E32" s="2">
        <f>IF($F32="","",IF(LEN($F32)=1,1,IF(LEN($F32)=3,2,IF(LEN($F32)=5,3,IF(LEN($F32)=8,4,5)))))</f>
        <v>5</v>
      </c>
      <c r="F32" s="3" t="s">
        <v>814</v>
      </c>
      <c r="G32" s="3" t="s">
        <v>815</v>
      </c>
      <c r="H32" s="4">
        <f>SUMIFS(Tab_01.Jan[MOVIMENTO],Tab_01.Jan[CONTA],$F32)</f>
        <v>0</v>
      </c>
      <c r="I32" s="4">
        <f>SUMIFS(Tab_02.Fev[MOVIMENTO],Tab_02.Fev[CONTA],$F32)</f>
        <v>0</v>
      </c>
      <c r="J32" s="4">
        <f>SUMIFS(Tab_03.Mar[MOVIMENTO],Tab_03.Mar[CONTA],$F32)</f>
        <v>0</v>
      </c>
      <c r="K32" s="4">
        <f>SUMIFS(Tab_04.Abr[MOVIMENTO],Tab_04.Abr[CONTA],$F32)</f>
        <v>0</v>
      </c>
      <c r="L32" s="4">
        <f>SUMIFS(Tab_05.Mai[MOVIMENTO],Tab_05.Mai[CONTA],$F32)</f>
        <v>0</v>
      </c>
      <c r="M32" s="4">
        <f>SUMIFS(Tab_06.Jun[MOVIMENTO],Tab_06.Jun[CONTA],$F32)</f>
        <v>0</v>
      </c>
      <c r="N32" s="4">
        <f>SUMIFS(Tab_07.Jul[MOVIMENTO],Tab_07.Jul[CONTA],$F32)</f>
        <v>0</v>
      </c>
      <c r="O32" s="4">
        <f>SUMIFS(Tab_08.Ago[MOVIMENTO],Tab_08.Ago[CONTA],$F32)</f>
        <v>0</v>
      </c>
      <c r="P32" s="4">
        <f>SUMIFS(Tab_09.Set[MOVIMENTO],Tab_09.Set[CONTA],$F32)</f>
        <v>0</v>
      </c>
      <c r="Q32" s="4">
        <f>SUMIFS(Tab_10.Out[MOVIMENTO],Tab_10.Out[CONTA],$F32)</f>
        <v>0</v>
      </c>
      <c r="R32" s="4">
        <f>SUMIFS(Tab_11.Nov[MOVIMENTO],Tab_11.Nov[CONTA],$F32)</f>
        <v>0</v>
      </c>
      <c r="S32" s="4">
        <f>SUMIFS(Tab_12.Dez[MOVIMENTO],Tab_12.Dez[CONTA],$F32)</f>
        <v>338002.45</v>
      </c>
    </row>
    <row r="33" spans="2:19" x14ac:dyDescent="0.3">
      <c r="B33" s="3"/>
      <c r="C33" s="2" t="str">
        <f t="shared" si="6"/>
        <v>A</v>
      </c>
      <c r="D33" s="2" t="str">
        <f t="shared" si="7"/>
        <v>S</v>
      </c>
      <c r="E33" s="2">
        <f t="shared" si="8"/>
        <v>5</v>
      </c>
      <c r="F33" s="3" t="s">
        <v>204</v>
      </c>
      <c r="G33" s="3" t="s">
        <v>642</v>
      </c>
      <c r="H33" s="4">
        <f>SUMIFS(Tab_01.Jan[MOVIMENTO],Tab_01.Jan[CONTA],$F33)</f>
        <v>0</v>
      </c>
      <c r="I33" s="4">
        <f>SUMIFS(Tab_02.Fev[MOVIMENTO],Tab_02.Fev[CONTA],$F33)</f>
        <v>0</v>
      </c>
      <c r="J33" s="4">
        <f>SUMIFS(Tab_03.Mar[MOVIMENTO],Tab_03.Mar[CONTA],$F33)</f>
        <v>0</v>
      </c>
      <c r="K33" s="4">
        <f>SUMIFS(Tab_04.Abr[MOVIMENTO],Tab_04.Abr[CONTA],$F33)</f>
        <v>0</v>
      </c>
      <c r="L33" s="4">
        <f>SUMIFS(Tab_05.Mai[MOVIMENTO],Tab_05.Mai[CONTA],$F33)</f>
        <v>0</v>
      </c>
      <c r="M33" s="4">
        <f>SUMIFS(Tab_06.Jun[MOVIMENTO],Tab_06.Jun[CONTA],$F33)</f>
        <v>0</v>
      </c>
      <c r="N33" s="4">
        <f>SUMIFS(Tab_07.Jul[MOVIMENTO],Tab_07.Jul[CONTA],$F33)</f>
        <v>0</v>
      </c>
      <c r="O33" s="4">
        <f>SUMIFS(Tab_08.Ago[MOVIMENTO],Tab_08.Ago[CONTA],$F33)</f>
        <v>0</v>
      </c>
      <c r="P33" s="4">
        <f>SUMIFS(Tab_09.Set[MOVIMENTO],Tab_09.Set[CONTA],$F33)</f>
        <v>0</v>
      </c>
      <c r="Q33" s="4">
        <f>SUMIFS(Tab_10.Out[MOVIMENTO],Tab_10.Out[CONTA],$F33)</f>
        <v>50</v>
      </c>
      <c r="R33" s="4">
        <f>SUMIFS(Tab_11.Nov[MOVIMENTO],Tab_11.Nov[CONTA],$F33)</f>
        <v>4705.95</v>
      </c>
      <c r="S33" s="4">
        <f>SUMIFS(Tab_12.Dez[MOVIMENTO],Tab_12.Dez[CONTA],$F33)</f>
        <v>-99324.97</v>
      </c>
    </row>
    <row r="34" spans="2:19" x14ac:dyDescent="0.3">
      <c r="B34" s="3"/>
      <c r="C34" s="2" t="str">
        <f t="shared" si="6"/>
        <v>A</v>
      </c>
      <c r="D34" s="2" t="str">
        <f t="shared" si="7"/>
        <v>S</v>
      </c>
      <c r="E34" s="2">
        <f t="shared" si="8"/>
        <v>5</v>
      </c>
      <c r="F34" s="3" t="s">
        <v>205</v>
      </c>
      <c r="G34" s="3" t="s">
        <v>643</v>
      </c>
      <c r="H34" s="4">
        <f>SUMIFS(Tab_01.Jan[MOVIMENTO],Tab_01.Jan[CONTA],$F34)</f>
        <v>0</v>
      </c>
      <c r="I34" s="4">
        <f>SUMIFS(Tab_02.Fev[MOVIMENTO],Tab_02.Fev[CONTA],$F34)</f>
        <v>0</v>
      </c>
      <c r="J34" s="4">
        <f>SUMIFS(Tab_03.Mar[MOVIMENTO],Tab_03.Mar[CONTA],$F34)</f>
        <v>0</v>
      </c>
      <c r="K34" s="4">
        <f>SUMIFS(Tab_04.Abr[MOVIMENTO],Tab_04.Abr[CONTA],$F34)</f>
        <v>0</v>
      </c>
      <c r="L34" s="4">
        <f>SUMIFS(Tab_05.Mai[MOVIMENTO],Tab_05.Mai[CONTA],$F34)</f>
        <v>0</v>
      </c>
      <c r="M34" s="4">
        <f>SUMIFS(Tab_06.Jun[MOVIMENTO],Tab_06.Jun[CONTA],$F34)</f>
        <v>0</v>
      </c>
      <c r="N34" s="4">
        <f>SUMIFS(Tab_07.Jul[MOVIMENTO],Tab_07.Jul[CONTA],$F34)</f>
        <v>0</v>
      </c>
      <c r="O34" s="4">
        <f>SUMIFS(Tab_08.Ago[MOVIMENTO],Tab_08.Ago[CONTA],$F34)</f>
        <v>0</v>
      </c>
      <c r="P34" s="4">
        <f>SUMIFS(Tab_09.Set[MOVIMENTO],Tab_09.Set[CONTA],$F34)</f>
        <v>0</v>
      </c>
      <c r="Q34" s="4">
        <f>SUMIFS(Tab_10.Out[MOVIMENTO],Tab_10.Out[CONTA],$F34)</f>
        <v>50</v>
      </c>
      <c r="R34" s="4">
        <f>SUMIFS(Tab_11.Nov[MOVIMENTO],Tab_11.Nov[CONTA],$F34)</f>
        <v>0</v>
      </c>
      <c r="S34" s="4">
        <f>SUMIFS(Tab_12.Dez[MOVIMENTO],Tab_12.Dez[CONTA],$F34)</f>
        <v>-99324.97</v>
      </c>
    </row>
    <row r="35" spans="2:19" x14ac:dyDescent="0.3">
      <c r="B35" s="3" t="s">
        <v>40</v>
      </c>
      <c r="C35" s="2" t="str">
        <f t="shared" si="6"/>
        <v>A</v>
      </c>
      <c r="D35" s="2" t="str">
        <f t="shared" si="7"/>
        <v>A</v>
      </c>
      <c r="E35" s="2">
        <f t="shared" si="8"/>
        <v>5</v>
      </c>
      <c r="F35" s="3" t="s">
        <v>291</v>
      </c>
      <c r="G35" s="3" t="s">
        <v>292</v>
      </c>
      <c r="H35" s="4">
        <f>SUMIFS(Tab_01.Jan[MOVIMENTO],Tab_01.Jan[CONTA],$F35)</f>
        <v>0</v>
      </c>
      <c r="I35" s="4">
        <f>SUMIFS(Tab_02.Fev[MOVIMENTO],Tab_02.Fev[CONTA],$F35)</f>
        <v>0</v>
      </c>
      <c r="J35" s="4">
        <f>SUMIFS(Tab_03.Mar[MOVIMENTO],Tab_03.Mar[CONTA],$F35)</f>
        <v>0</v>
      </c>
      <c r="K35" s="4">
        <f>SUMIFS(Tab_04.Abr[MOVIMENTO],Tab_04.Abr[CONTA],$F35)</f>
        <v>0</v>
      </c>
      <c r="L35" s="4">
        <f>SUMIFS(Tab_05.Mai[MOVIMENTO],Tab_05.Mai[CONTA],$F35)</f>
        <v>0</v>
      </c>
      <c r="M35" s="4">
        <f>SUMIFS(Tab_06.Jun[MOVIMENTO],Tab_06.Jun[CONTA],$F35)</f>
        <v>0</v>
      </c>
      <c r="N35" s="4">
        <f>SUMIFS(Tab_07.Jul[MOVIMENTO],Tab_07.Jul[CONTA],$F35)</f>
        <v>0</v>
      </c>
      <c r="O35" s="4">
        <f>SUMIFS(Tab_08.Ago[MOVIMENTO],Tab_08.Ago[CONTA],$F35)</f>
        <v>0</v>
      </c>
      <c r="P35" s="4">
        <f>SUMIFS(Tab_09.Set[MOVIMENTO],Tab_09.Set[CONTA],$F35)</f>
        <v>0</v>
      </c>
      <c r="Q35" s="4">
        <f>SUMIFS(Tab_10.Out[MOVIMENTO],Tab_10.Out[CONTA],$F35)</f>
        <v>50</v>
      </c>
      <c r="R35" s="4">
        <f>SUMIFS(Tab_11.Nov[MOVIMENTO],Tab_11.Nov[CONTA],$F35)</f>
        <v>0</v>
      </c>
      <c r="S35" s="4">
        <f>SUMIFS(Tab_12.Dez[MOVIMENTO],Tab_12.Dez[CONTA],$F35)</f>
        <v>-99324.97</v>
      </c>
    </row>
    <row r="36" spans="2:19" x14ac:dyDescent="0.3">
      <c r="B36" s="3"/>
      <c r="C36" s="2" t="str">
        <f>IF($F36="","",IF(LEFT($F36,1)*1=1,"A",IF(LEFT($F36,1)*1=2,"P",IF(LEFT($F36,1)*1=3,"R",IF(LEFT($F36,1)*1=4,"C",IF(LEFT($F36,1)*1=5,"C",IF(LEFT($F36,1)*1=6,"C","")))))))</f>
        <v>A</v>
      </c>
      <c r="D36" s="2" t="str">
        <f>IF($F36="","",IF(LEN($F36)=13,"A","S"))</f>
        <v>S</v>
      </c>
      <c r="E36" s="2">
        <f>IF($F36="","",IF(LEN($F36)=1,1,IF(LEN($F36)=3,2,IF(LEN($F36)=5,3,IF(LEN($F36)=8,4,5)))))</f>
        <v>5</v>
      </c>
      <c r="F36" s="3" t="s">
        <v>841</v>
      </c>
      <c r="G36" s="3" t="s">
        <v>842</v>
      </c>
      <c r="H36" s="4">
        <f>SUMIFS(Tab_01.Jan[MOVIMENTO],Tab_01.Jan[CONTA],$F36)</f>
        <v>0</v>
      </c>
      <c r="I36" s="4">
        <f>SUMIFS(Tab_02.Fev[MOVIMENTO],Tab_02.Fev[CONTA],$F36)</f>
        <v>0</v>
      </c>
      <c r="J36" s="4">
        <f>SUMIFS(Tab_03.Mar[MOVIMENTO],Tab_03.Mar[CONTA],$F36)</f>
        <v>0</v>
      </c>
      <c r="K36" s="4">
        <f>SUMIFS(Tab_04.Abr[MOVIMENTO],Tab_04.Abr[CONTA],$F36)</f>
        <v>0</v>
      </c>
      <c r="L36" s="4">
        <f>SUMIFS(Tab_05.Mai[MOVIMENTO],Tab_05.Mai[CONTA],$F36)</f>
        <v>0</v>
      </c>
      <c r="M36" s="4">
        <f>SUMIFS(Tab_06.Jun[MOVIMENTO],Tab_06.Jun[CONTA],$F36)</f>
        <v>0</v>
      </c>
      <c r="N36" s="4">
        <f>SUMIFS(Tab_07.Jul[MOVIMENTO],Tab_07.Jul[CONTA],$F36)</f>
        <v>0</v>
      </c>
      <c r="O36" s="4">
        <f>SUMIFS(Tab_08.Ago[MOVIMENTO],Tab_08.Ago[CONTA],$F36)</f>
        <v>0</v>
      </c>
      <c r="P36" s="4">
        <f>SUMIFS(Tab_09.Set[MOVIMENTO],Tab_09.Set[CONTA],$F36)</f>
        <v>0</v>
      </c>
      <c r="Q36" s="4">
        <f>SUMIFS(Tab_10.Out[MOVIMENTO],Tab_10.Out[CONTA],$F36)</f>
        <v>0</v>
      </c>
      <c r="R36" s="4">
        <f>SUMIFS(Tab_11.Nov[MOVIMENTO],Tab_11.Nov[CONTA],$F36)</f>
        <v>4705.95</v>
      </c>
      <c r="S36" s="4">
        <f>SUMIFS(Tab_12.Dez[MOVIMENTO],Tab_12.Dez[CONTA],$F36)</f>
        <v>0</v>
      </c>
    </row>
    <row r="37" spans="2:19" x14ac:dyDescent="0.3">
      <c r="B37" s="3" t="s">
        <v>40</v>
      </c>
      <c r="C37" s="2" t="str">
        <f>IF($F37="","",IF(LEFT($F37,1)*1=1,"A",IF(LEFT($F37,1)*1=2,"P",IF(LEFT($F37,1)*1=3,"R",IF(LEFT($F37,1)*1=4,"C",IF(LEFT($F37,1)*1=5,"C",IF(LEFT($F37,1)*1=6,"C","")))))))</f>
        <v>A</v>
      </c>
      <c r="D37" s="2" t="str">
        <f>IF($F37="","",IF(LEN($F37)=13,"A","S"))</f>
        <v>A</v>
      </c>
      <c r="E37" s="2">
        <f>IF($F37="","",IF(LEN($F37)=1,1,IF(LEN($F37)=3,2,IF(LEN($F37)=5,3,IF(LEN($F37)=8,4,5)))))</f>
        <v>5</v>
      </c>
      <c r="F37" s="3" t="s">
        <v>843</v>
      </c>
      <c r="G37" s="3" t="s">
        <v>842</v>
      </c>
      <c r="H37" s="4">
        <f>SUMIFS(Tab_01.Jan[MOVIMENTO],Tab_01.Jan[CONTA],$F37)</f>
        <v>0</v>
      </c>
      <c r="I37" s="4">
        <f>SUMIFS(Tab_02.Fev[MOVIMENTO],Tab_02.Fev[CONTA],$F37)</f>
        <v>0</v>
      </c>
      <c r="J37" s="4">
        <f>SUMIFS(Tab_03.Mar[MOVIMENTO],Tab_03.Mar[CONTA],$F37)</f>
        <v>0</v>
      </c>
      <c r="K37" s="4">
        <f>SUMIFS(Tab_04.Abr[MOVIMENTO],Tab_04.Abr[CONTA],$F37)</f>
        <v>0</v>
      </c>
      <c r="L37" s="4">
        <f>SUMIFS(Tab_05.Mai[MOVIMENTO],Tab_05.Mai[CONTA],$F37)</f>
        <v>0</v>
      </c>
      <c r="M37" s="4">
        <f>SUMIFS(Tab_06.Jun[MOVIMENTO],Tab_06.Jun[CONTA],$F37)</f>
        <v>0</v>
      </c>
      <c r="N37" s="4">
        <f>SUMIFS(Tab_07.Jul[MOVIMENTO],Tab_07.Jul[CONTA],$F37)</f>
        <v>0</v>
      </c>
      <c r="O37" s="4">
        <f>SUMIFS(Tab_08.Ago[MOVIMENTO],Tab_08.Ago[CONTA],$F37)</f>
        <v>0</v>
      </c>
      <c r="P37" s="4">
        <f>SUMIFS(Tab_09.Set[MOVIMENTO],Tab_09.Set[CONTA],$F37)</f>
        <v>0</v>
      </c>
      <c r="Q37" s="4">
        <f>SUMIFS(Tab_10.Out[MOVIMENTO],Tab_10.Out[CONTA],$F37)</f>
        <v>0</v>
      </c>
      <c r="R37" s="4">
        <f>SUMIFS(Tab_11.Nov[MOVIMENTO],Tab_11.Nov[CONTA],$F37)</f>
        <v>4705.95</v>
      </c>
      <c r="S37" s="4">
        <f>SUMIFS(Tab_12.Dez[MOVIMENTO],Tab_12.Dez[CONTA],$F37)</f>
        <v>0</v>
      </c>
    </row>
    <row r="38" spans="2:19" x14ac:dyDescent="0.3">
      <c r="B38" s="3"/>
      <c r="C38" s="2" t="str">
        <f t="shared" si="6"/>
        <v>A</v>
      </c>
      <c r="D38" s="2" t="str">
        <f t="shared" si="7"/>
        <v>S</v>
      </c>
      <c r="E38" s="2">
        <f t="shared" si="8"/>
        <v>5</v>
      </c>
      <c r="F38" s="3" t="s">
        <v>206</v>
      </c>
      <c r="G38" s="3" t="s">
        <v>644</v>
      </c>
      <c r="H38" s="4">
        <f>SUMIFS(Tab_01.Jan[MOVIMENTO],Tab_01.Jan[CONTA],$F38)</f>
        <v>-1964.35</v>
      </c>
      <c r="I38" s="4">
        <f>SUMIFS(Tab_02.Fev[MOVIMENTO],Tab_02.Fev[CONTA],$F38)</f>
        <v>5001.9399999999996</v>
      </c>
      <c r="J38" s="4">
        <f>SUMIFS(Tab_03.Mar[MOVIMENTO],Tab_03.Mar[CONTA],$F38)</f>
        <v>-228</v>
      </c>
      <c r="K38" s="4">
        <f>SUMIFS(Tab_04.Abr[MOVIMENTO],Tab_04.Abr[CONTA],$F38)</f>
        <v>10565.01</v>
      </c>
      <c r="L38" s="4">
        <f>SUMIFS(Tab_05.Mai[MOVIMENTO],Tab_05.Mai[CONTA],$F38)</f>
        <v>-44.58</v>
      </c>
      <c r="M38" s="4">
        <f>SUMIFS(Tab_06.Jun[MOVIMENTO],Tab_06.Jun[CONTA],$F38)</f>
        <v>-18941.36</v>
      </c>
      <c r="N38" s="4">
        <f>SUMIFS(Tab_07.Jul[MOVIMENTO],Tab_07.Jul[CONTA],$F38)</f>
        <v>-18941.36</v>
      </c>
      <c r="O38" s="4">
        <f>SUMIFS(Tab_08.Ago[MOVIMENTO],Tab_08.Ago[CONTA],$F38)</f>
        <v>-18941.36</v>
      </c>
      <c r="P38" s="4">
        <f>SUMIFS(Tab_09.Set[MOVIMENTO],Tab_09.Set[CONTA],$F38)</f>
        <v>-32908.800000000003</v>
      </c>
      <c r="Q38" s="4">
        <f>SUMIFS(Tab_10.Out[MOVIMENTO],Tab_10.Out[CONTA],$F38)</f>
        <v>6640.18</v>
      </c>
      <c r="R38" s="4">
        <f>SUMIFS(Tab_11.Nov[MOVIMENTO],Tab_11.Nov[CONTA],$F38)</f>
        <v>70703.94</v>
      </c>
      <c r="S38" s="4">
        <f>SUMIFS(Tab_12.Dez[MOVIMENTO],Tab_12.Dez[CONTA],$F38)</f>
        <v>-77829.91</v>
      </c>
    </row>
    <row r="39" spans="2:19" x14ac:dyDescent="0.3">
      <c r="B39" s="3"/>
      <c r="C39" s="2" t="str">
        <f t="shared" si="6"/>
        <v>A</v>
      </c>
      <c r="D39" s="2" t="str">
        <f t="shared" si="7"/>
        <v>S</v>
      </c>
      <c r="E39" s="2">
        <f t="shared" si="8"/>
        <v>5</v>
      </c>
      <c r="F39" s="3" t="s">
        <v>208</v>
      </c>
      <c r="G39" s="3" t="s">
        <v>139</v>
      </c>
      <c r="H39" s="4">
        <f>SUMIFS(Tab_01.Jan[MOVIMENTO],Tab_01.Jan[CONTA],$F39)</f>
        <v>-6446.09</v>
      </c>
      <c r="I39" s="4">
        <f>SUMIFS(Tab_02.Fev[MOVIMENTO],Tab_02.Fev[CONTA],$F39)</f>
        <v>5001.9399999999996</v>
      </c>
      <c r="J39" s="4">
        <f>SUMIFS(Tab_03.Mar[MOVIMENTO],Tab_03.Mar[CONTA],$F39)</f>
        <v>-228</v>
      </c>
      <c r="K39" s="4">
        <f>SUMIFS(Tab_04.Abr[MOVIMENTO],Tab_04.Abr[CONTA],$F39)</f>
        <v>-178.02</v>
      </c>
      <c r="L39" s="4">
        <f>SUMIFS(Tab_05.Mai[MOVIMENTO],Tab_05.Mai[CONTA],$F39)</f>
        <v>-44.58</v>
      </c>
      <c r="M39" s="4">
        <f>SUMIFS(Tab_06.Jun[MOVIMENTO],Tab_06.Jun[CONTA],$F39)</f>
        <v>-18930.36</v>
      </c>
      <c r="N39" s="4">
        <f>SUMIFS(Tab_07.Jul[MOVIMENTO],Tab_07.Jul[CONTA],$F39)</f>
        <v>-18930.36</v>
      </c>
      <c r="O39" s="4">
        <f>SUMIFS(Tab_08.Ago[MOVIMENTO],Tab_08.Ago[CONTA],$F39)</f>
        <v>-18930.36</v>
      </c>
      <c r="P39" s="4">
        <f>SUMIFS(Tab_09.Set[MOVIMENTO],Tab_09.Set[CONTA],$F39)</f>
        <v>-25820.62</v>
      </c>
      <c r="Q39" s="4">
        <f>SUMIFS(Tab_10.Out[MOVIMENTO],Tab_10.Out[CONTA],$F39)</f>
        <v>6565.75</v>
      </c>
      <c r="R39" s="4">
        <f>SUMIFS(Tab_11.Nov[MOVIMENTO],Tab_11.Nov[CONTA],$F39)</f>
        <v>72590.84</v>
      </c>
      <c r="S39" s="4">
        <f>SUMIFS(Tab_12.Dez[MOVIMENTO],Tab_12.Dez[CONTA],$F39)</f>
        <v>-79463.289999999994</v>
      </c>
    </row>
    <row r="40" spans="2:19" x14ac:dyDescent="0.3">
      <c r="B40" s="3" t="s">
        <v>43</v>
      </c>
      <c r="C40" s="2" t="str">
        <f t="shared" si="6"/>
        <v>A</v>
      </c>
      <c r="D40" s="2" t="str">
        <f t="shared" si="7"/>
        <v>A</v>
      </c>
      <c r="E40" s="2">
        <f t="shared" si="8"/>
        <v>5</v>
      </c>
      <c r="F40" s="3" t="s">
        <v>179</v>
      </c>
      <c r="G40" s="3" t="s">
        <v>293</v>
      </c>
      <c r="H40" s="4">
        <f>SUMIFS(Tab_01.Jan[MOVIMENTO],Tab_01.Jan[CONTA],$F40)</f>
        <v>0</v>
      </c>
      <c r="I40" s="4">
        <f>SUMIFS(Tab_02.Fev[MOVIMENTO],Tab_02.Fev[CONTA],$F40)</f>
        <v>0</v>
      </c>
      <c r="J40" s="4">
        <f>SUMIFS(Tab_03.Mar[MOVIMENTO],Tab_03.Mar[CONTA],$F40)</f>
        <v>0</v>
      </c>
      <c r="K40" s="4">
        <f>SUMIFS(Tab_04.Abr[MOVIMENTO],Tab_04.Abr[CONTA],$F40)</f>
        <v>0</v>
      </c>
      <c r="L40" s="4">
        <f>SUMIFS(Tab_05.Mai[MOVIMENTO],Tab_05.Mai[CONTA],$F40)</f>
        <v>-44.58</v>
      </c>
      <c r="M40" s="4">
        <f>SUMIFS(Tab_06.Jun[MOVIMENTO],Tab_06.Jun[CONTA],$F40)</f>
        <v>0</v>
      </c>
      <c r="N40" s="4">
        <f>SUMIFS(Tab_07.Jul[MOVIMENTO],Tab_07.Jul[CONTA],$F40)</f>
        <v>0</v>
      </c>
      <c r="O40" s="4">
        <f>SUMIFS(Tab_08.Ago[MOVIMENTO],Tab_08.Ago[CONTA],$F40)</f>
        <v>0</v>
      </c>
      <c r="P40" s="4">
        <f>SUMIFS(Tab_09.Set[MOVIMENTO],Tab_09.Set[CONTA],$F40)</f>
        <v>0</v>
      </c>
      <c r="Q40" s="4">
        <f>SUMIFS(Tab_10.Out[MOVIMENTO],Tab_10.Out[CONTA],$F40)</f>
        <v>0</v>
      </c>
      <c r="R40" s="4">
        <f>SUMIFS(Tab_11.Nov[MOVIMENTO],Tab_11.Nov[CONTA],$F40)</f>
        <v>0</v>
      </c>
      <c r="S40" s="4">
        <f>SUMIFS(Tab_12.Dez[MOVIMENTO],Tab_12.Dez[CONTA],$F40)</f>
        <v>0</v>
      </c>
    </row>
    <row r="41" spans="2:19" x14ac:dyDescent="0.3">
      <c r="B41" s="3" t="s">
        <v>43</v>
      </c>
      <c r="C41" s="2" t="str">
        <f>IF($F41="","",IF(LEFT($F41,1)*1=1,"A",IF(LEFT($F41,1)*1=2,"P",IF(LEFT($F41,1)*1=3,"R",IF(LEFT($F41,1)*1=4,"C",IF(LEFT($F41,1)*1=5,"C",IF(LEFT($F41,1)*1=6,"C","")))))))</f>
        <v>A</v>
      </c>
      <c r="D41" s="2" t="str">
        <f>IF($F41="","",IF(LEN($F41)=13,"A","S"))</f>
        <v>A</v>
      </c>
      <c r="E41" s="2">
        <f>IF($F41="","",IF(LEN($F41)=1,1,IF(LEN($F41)=3,2,IF(LEN($F41)=5,3,IF(LEN($F41)=8,4,5)))))</f>
        <v>5</v>
      </c>
      <c r="F41" s="3" t="s">
        <v>816</v>
      </c>
      <c r="G41" s="3" t="s">
        <v>817</v>
      </c>
      <c r="H41" s="4">
        <f>SUMIFS(Tab_01.Jan[MOVIMENTO],Tab_01.Jan[CONTA],$F41)</f>
        <v>0</v>
      </c>
      <c r="I41" s="4">
        <f>SUMIFS(Tab_02.Fev[MOVIMENTO],Tab_02.Fev[CONTA],$F41)</f>
        <v>0</v>
      </c>
      <c r="J41" s="4">
        <f>SUMIFS(Tab_03.Mar[MOVIMENTO],Tab_03.Mar[CONTA],$F41)</f>
        <v>0</v>
      </c>
      <c r="K41" s="4">
        <f>SUMIFS(Tab_04.Abr[MOVIMENTO],Tab_04.Abr[CONTA],$F41)</f>
        <v>0</v>
      </c>
      <c r="L41" s="4">
        <f>SUMIFS(Tab_05.Mai[MOVIMENTO],Tab_05.Mai[CONTA],$F41)</f>
        <v>0</v>
      </c>
      <c r="M41" s="4">
        <f>SUMIFS(Tab_06.Jun[MOVIMENTO],Tab_06.Jun[CONTA],$F41)</f>
        <v>0</v>
      </c>
      <c r="N41" s="4">
        <f>SUMIFS(Tab_07.Jul[MOVIMENTO],Tab_07.Jul[CONTA],$F41)</f>
        <v>0</v>
      </c>
      <c r="O41" s="4">
        <f>SUMIFS(Tab_08.Ago[MOVIMENTO],Tab_08.Ago[CONTA],$F41)</f>
        <v>0</v>
      </c>
      <c r="P41" s="4">
        <f>SUMIFS(Tab_09.Set[MOVIMENTO],Tab_09.Set[CONTA],$F41)</f>
        <v>0</v>
      </c>
      <c r="Q41" s="4">
        <f>SUMIFS(Tab_10.Out[MOVIMENTO],Tab_10.Out[CONTA],$F41)</f>
        <v>0</v>
      </c>
      <c r="R41" s="4">
        <f>SUMIFS(Tab_11.Nov[MOVIMENTO],Tab_11.Nov[CONTA],$F41)</f>
        <v>0</v>
      </c>
      <c r="S41" s="4">
        <f>SUMIFS(Tab_12.Dez[MOVIMENTO],Tab_12.Dez[CONTA],$F41)</f>
        <v>0</v>
      </c>
    </row>
    <row r="42" spans="2:19" x14ac:dyDescent="0.3">
      <c r="B42" s="3" t="s">
        <v>43</v>
      </c>
      <c r="C42" s="2" t="str">
        <f>IF($F42="","",IF(LEFT($F42,1)*1=1,"A",IF(LEFT($F42,1)*1=2,"P",IF(LEFT($F42,1)*1=3,"R",IF(LEFT($F42,1)*1=4,"C",IF(LEFT($F42,1)*1=5,"C",IF(LEFT($F42,1)*1=6,"C","")))))))</f>
        <v>A</v>
      </c>
      <c r="D42" s="2" t="str">
        <f>IF($F42="","",IF(LEN($F42)=13,"A","S"))</f>
        <v>A</v>
      </c>
      <c r="E42" s="2">
        <f>IF($F42="","",IF(LEN($F42)=1,1,IF(LEN($F42)=3,2,IF(LEN($F42)=5,3,IF(LEN($F42)=8,4,5)))))</f>
        <v>5</v>
      </c>
      <c r="F42" s="3" t="s">
        <v>818</v>
      </c>
      <c r="G42" s="3" t="s">
        <v>819</v>
      </c>
      <c r="H42" s="4">
        <f>SUMIFS(Tab_01.Jan[MOVIMENTO],Tab_01.Jan[CONTA],$F42)</f>
        <v>0</v>
      </c>
      <c r="I42" s="4">
        <f>SUMIFS(Tab_02.Fev[MOVIMENTO],Tab_02.Fev[CONTA],$F42)</f>
        <v>0</v>
      </c>
      <c r="J42" s="4">
        <f>SUMIFS(Tab_03.Mar[MOVIMENTO],Tab_03.Mar[CONTA],$F42)</f>
        <v>0</v>
      </c>
      <c r="K42" s="4">
        <f>SUMIFS(Tab_04.Abr[MOVIMENTO],Tab_04.Abr[CONTA],$F42)</f>
        <v>0</v>
      </c>
      <c r="L42" s="4">
        <f>SUMIFS(Tab_05.Mai[MOVIMENTO],Tab_05.Mai[CONTA],$F42)</f>
        <v>0</v>
      </c>
      <c r="M42" s="4">
        <f>SUMIFS(Tab_06.Jun[MOVIMENTO],Tab_06.Jun[CONTA],$F42)</f>
        <v>0</v>
      </c>
      <c r="N42" s="4">
        <f>SUMIFS(Tab_07.Jul[MOVIMENTO],Tab_07.Jul[CONTA],$F42)</f>
        <v>0</v>
      </c>
      <c r="O42" s="4">
        <f>SUMIFS(Tab_08.Ago[MOVIMENTO],Tab_08.Ago[CONTA],$F42)</f>
        <v>0</v>
      </c>
      <c r="P42" s="4">
        <f>SUMIFS(Tab_09.Set[MOVIMENTO],Tab_09.Set[CONTA],$F42)</f>
        <v>0</v>
      </c>
      <c r="Q42" s="4">
        <f>SUMIFS(Tab_10.Out[MOVIMENTO],Tab_10.Out[CONTA],$F42)</f>
        <v>2779.68</v>
      </c>
      <c r="R42" s="4">
        <f>SUMIFS(Tab_11.Nov[MOVIMENTO],Tab_11.Nov[CONTA],$F42)</f>
        <v>75697.63</v>
      </c>
      <c r="S42" s="4">
        <f>SUMIFS(Tab_12.Dez[MOVIMENTO],Tab_12.Dez[CONTA],$F42)</f>
        <v>-78477.31</v>
      </c>
    </row>
    <row r="43" spans="2:19" x14ac:dyDescent="0.3">
      <c r="B43" s="3" t="s">
        <v>43</v>
      </c>
      <c r="C43" s="2" t="str">
        <f t="shared" si="6"/>
        <v>A</v>
      </c>
      <c r="D43" s="2" t="str">
        <f t="shared" si="7"/>
        <v>A</v>
      </c>
      <c r="E43" s="2">
        <f t="shared" si="8"/>
        <v>5</v>
      </c>
      <c r="F43" s="3" t="s">
        <v>294</v>
      </c>
      <c r="G43" s="3" t="s">
        <v>295</v>
      </c>
      <c r="H43" s="4">
        <f>SUMIFS(Tab_01.Jan[MOVIMENTO],Tab_01.Jan[CONTA],$F43)</f>
        <v>-6446.09</v>
      </c>
      <c r="I43" s="4">
        <f>SUMIFS(Tab_02.Fev[MOVIMENTO],Tab_02.Fev[CONTA],$F43)</f>
        <v>5001.9399999999996</v>
      </c>
      <c r="J43" s="4">
        <f>SUMIFS(Tab_03.Mar[MOVIMENTO],Tab_03.Mar[CONTA],$F43)</f>
        <v>-228</v>
      </c>
      <c r="K43" s="4">
        <f>SUMIFS(Tab_04.Abr[MOVIMENTO],Tab_04.Abr[CONTA],$F43)</f>
        <v>-178.02</v>
      </c>
      <c r="L43" s="4">
        <f>SUMIFS(Tab_05.Mai[MOVIMENTO],Tab_05.Mai[CONTA],$F43)</f>
        <v>0</v>
      </c>
      <c r="M43" s="4">
        <f>SUMIFS(Tab_06.Jun[MOVIMENTO],Tab_06.Jun[CONTA],$F43)</f>
        <v>-18930.36</v>
      </c>
      <c r="N43" s="4">
        <f>SUMIFS(Tab_07.Jul[MOVIMENTO],Tab_07.Jul[CONTA],$F43)</f>
        <v>-18930.36</v>
      </c>
      <c r="O43" s="4">
        <f>SUMIFS(Tab_08.Ago[MOVIMENTO],Tab_08.Ago[CONTA],$F43)</f>
        <v>-18930.36</v>
      </c>
      <c r="P43" s="4">
        <f>SUMIFS(Tab_09.Set[MOVIMENTO],Tab_09.Set[CONTA],$F43)</f>
        <v>-25820.62</v>
      </c>
      <c r="Q43" s="4">
        <f>SUMIFS(Tab_10.Out[MOVIMENTO],Tab_10.Out[CONTA],$F43)</f>
        <v>3786.07</v>
      </c>
      <c r="R43" s="4">
        <f>SUMIFS(Tab_11.Nov[MOVIMENTO],Tab_11.Nov[CONTA],$F43)</f>
        <v>-3106.79</v>
      </c>
      <c r="S43" s="4">
        <f>SUMIFS(Tab_12.Dez[MOVIMENTO],Tab_12.Dez[CONTA],$F43)</f>
        <v>-985.98</v>
      </c>
    </row>
    <row r="44" spans="2:19" x14ac:dyDescent="0.3">
      <c r="B44" s="3"/>
      <c r="C44" s="2" t="str">
        <f>IF($F44="","",IF(LEFT($F44,1)*1=1,"A",IF(LEFT($F44,1)*1=2,"P",IF(LEFT($F44,1)*1=3,"R",IF(LEFT($F44,1)*1=4,"C",IF(LEFT($F44,1)*1=5,"C",IF(LEFT($F44,1)*1=6,"C","")))))))</f>
        <v>A</v>
      </c>
      <c r="D44" s="2" t="str">
        <f>IF($F44="","",IF(LEN($F44)=13,"A","S"))</f>
        <v>S</v>
      </c>
      <c r="E44" s="2">
        <f>IF($F44="","",IF(LEN($F44)=1,1,IF(LEN($F44)=3,2,IF(LEN($F44)=5,3,IF(LEN($F44)=8,4,5)))))</f>
        <v>5</v>
      </c>
      <c r="F44" s="3" t="s">
        <v>551</v>
      </c>
      <c r="G44" s="3" t="s">
        <v>645</v>
      </c>
      <c r="H44" s="4">
        <f>SUMIFS(Tab_01.Jan[MOVIMENTO],Tab_01.Jan[CONTA],$F44)</f>
        <v>4481.74</v>
      </c>
      <c r="I44" s="4">
        <f>SUMIFS(Tab_02.Fev[MOVIMENTO],Tab_02.Fev[CONTA],$F44)</f>
        <v>0</v>
      </c>
      <c r="J44" s="4">
        <f>SUMIFS(Tab_03.Mar[MOVIMENTO],Tab_03.Mar[CONTA],$F44)</f>
        <v>0</v>
      </c>
      <c r="K44" s="4">
        <f>SUMIFS(Tab_04.Abr[MOVIMENTO],Tab_04.Abr[CONTA],$F44)</f>
        <v>10743.03</v>
      </c>
      <c r="L44" s="4">
        <f>SUMIFS(Tab_05.Mai[MOVIMENTO],Tab_05.Mai[CONTA],$F44)</f>
        <v>0</v>
      </c>
      <c r="M44" s="4">
        <f>SUMIFS(Tab_06.Jun[MOVIMENTO],Tab_06.Jun[CONTA],$F44)</f>
        <v>-11</v>
      </c>
      <c r="N44" s="4">
        <f>SUMIFS(Tab_07.Jul[MOVIMENTO],Tab_07.Jul[CONTA],$F44)</f>
        <v>-11</v>
      </c>
      <c r="O44" s="4">
        <f>SUMIFS(Tab_08.Ago[MOVIMENTO],Tab_08.Ago[CONTA],$F44)</f>
        <v>-11</v>
      </c>
      <c r="P44" s="4">
        <f>SUMIFS(Tab_09.Set[MOVIMENTO],Tab_09.Set[CONTA],$F44)</f>
        <v>-7088.18</v>
      </c>
      <c r="Q44" s="4">
        <f>SUMIFS(Tab_10.Out[MOVIMENTO],Tab_10.Out[CONTA],$F44)</f>
        <v>74.430000000000007</v>
      </c>
      <c r="R44" s="4">
        <f>SUMIFS(Tab_11.Nov[MOVIMENTO],Tab_11.Nov[CONTA],$F44)</f>
        <v>-1886.9</v>
      </c>
      <c r="S44" s="4">
        <f>SUMIFS(Tab_12.Dez[MOVIMENTO],Tab_12.Dez[CONTA],$F44)</f>
        <v>1633.38</v>
      </c>
    </row>
    <row r="45" spans="2:19" x14ac:dyDescent="0.3">
      <c r="B45" s="3" t="s">
        <v>42</v>
      </c>
      <c r="C45" s="2" t="str">
        <f>IF($F45="","",IF(LEFT($F45,1)*1=1,"A",IF(LEFT($F45,1)*1=2,"P",IF(LEFT($F45,1)*1=3,"R",IF(LEFT($F45,1)*1=4,"C",IF(LEFT($F45,1)*1=5,"C",IF(LEFT($F45,1)*1=6,"C","")))))))</f>
        <v>A</v>
      </c>
      <c r="D45" s="2" t="str">
        <f>IF($F45="","",IF(LEN($F45)=13,"A","S"))</f>
        <v>A</v>
      </c>
      <c r="E45" s="2">
        <f>IF($F45="","",IF(LEN($F45)=1,1,IF(LEN($F45)=3,2,IF(LEN($F45)=5,3,IF(LEN($F45)=8,4,5)))))</f>
        <v>5</v>
      </c>
      <c r="F45" s="3" t="s">
        <v>844</v>
      </c>
      <c r="G45" s="3" t="s">
        <v>845</v>
      </c>
      <c r="H45" s="4">
        <f>SUMIFS(Tab_01.Jan[MOVIMENTO],Tab_01.Jan[CONTA],$F45)</f>
        <v>0</v>
      </c>
      <c r="I45" s="4">
        <f>SUMIFS(Tab_02.Fev[MOVIMENTO],Tab_02.Fev[CONTA],$F45)</f>
        <v>0</v>
      </c>
      <c r="J45" s="4">
        <f>SUMIFS(Tab_03.Mar[MOVIMENTO],Tab_03.Mar[CONTA],$F45)</f>
        <v>0</v>
      </c>
      <c r="K45" s="4">
        <f>SUMIFS(Tab_04.Abr[MOVIMENTO],Tab_04.Abr[CONTA],$F45)</f>
        <v>0</v>
      </c>
      <c r="L45" s="4">
        <f>SUMIFS(Tab_05.Mai[MOVIMENTO],Tab_05.Mai[CONTA],$F45)</f>
        <v>0</v>
      </c>
      <c r="M45" s="4">
        <f>SUMIFS(Tab_06.Jun[MOVIMENTO],Tab_06.Jun[CONTA],$F45)</f>
        <v>0</v>
      </c>
      <c r="N45" s="4">
        <f>SUMIFS(Tab_07.Jul[MOVIMENTO],Tab_07.Jul[CONTA],$F45)</f>
        <v>0</v>
      </c>
      <c r="O45" s="4">
        <f>SUMIFS(Tab_08.Ago[MOVIMENTO],Tab_08.Ago[CONTA],$F45)</f>
        <v>0</v>
      </c>
      <c r="P45" s="4">
        <f>SUMIFS(Tab_09.Set[MOVIMENTO],Tab_09.Set[CONTA],$F45)</f>
        <v>0</v>
      </c>
      <c r="Q45" s="4">
        <f>SUMIFS(Tab_10.Out[MOVIMENTO],Tab_10.Out[CONTA],$F45)</f>
        <v>86.53</v>
      </c>
      <c r="R45" s="4">
        <f>SUMIFS(Tab_11.Nov[MOVIMENTO],Tab_11.Nov[CONTA],$F45)</f>
        <v>12.1</v>
      </c>
      <c r="S45" s="4">
        <f>SUMIFS(Tab_12.Dez[MOVIMENTO],Tab_12.Dez[CONTA],$F45)</f>
        <v>1899</v>
      </c>
    </row>
    <row r="46" spans="2:19" x14ac:dyDescent="0.3">
      <c r="B46" s="3" t="s">
        <v>42</v>
      </c>
      <c r="C46" s="2" t="str">
        <f t="shared" si="6"/>
        <v>A</v>
      </c>
      <c r="D46" s="2" t="str">
        <f t="shared" si="7"/>
        <v>A</v>
      </c>
      <c r="E46" s="2">
        <f t="shared" si="8"/>
        <v>5</v>
      </c>
      <c r="F46" s="3" t="s">
        <v>296</v>
      </c>
      <c r="G46" s="3" t="s">
        <v>297</v>
      </c>
      <c r="H46" s="4">
        <f>SUMIFS(Tab_01.Jan[MOVIMENTO],Tab_01.Jan[CONTA],$F46)</f>
        <v>0</v>
      </c>
      <c r="I46" s="4">
        <f>SUMIFS(Tab_02.Fev[MOVIMENTO],Tab_02.Fev[CONTA],$F46)</f>
        <v>0</v>
      </c>
      <c r="J46" s="4">
        <f>SUMIFS(Tab_03.Mar[MOVIMENTO],Tab_03.Mar[CONTA],$F46)</f>
        <v>0</v>
      </c>
      <c r="K46" s="4">
        <f>SUMIFS(Tab_04.Abr[MOVIMENTO],Tab_04.Abr[CONTA],$F46)</f>
        <v>0</v>
      </c>
      <c r="L46" s="4">
        <f>SUMIFS(Tab_05.Mai[MOVIMENTO],Tab_05.Mai[CONTA],$F46)</f>
        <v>0</v>
      </c>
      <c r="M46" s="4">
        <f>SUMIFS(Tab_06.Jun[MOVIMENTO],Tab_06.Jun[CONTA],$F46)</f>
        <v>0</v>
      </c>
      <c r="N46" s="4">
        <f>SUMIFS(Tab_07.Jul[MOVIMENTO],Tab_07.Jul[CONTA],$F46)</f>
        <v>0</v>
      </c>
      <c r="O46" s="4">
        <f>SUMIFS(Tab_08.Ago[MOVIMENTO],Tab_08.Ago[CONTA],$F46)</f>
        <v>0</v>
      </c>
      <c r="P46" s="4">
        <f>SUMIFS(Tab_09.Set[MOVIMENTO],Tab_09.Set[CONTA],$F46)</f>
        <v>0</v>
      </c>
      <c r="Q46" s="4">
        <f>SUMIFS(Tab_10.Out[MOVIMENTO],Tab_10.Out[CONTA],$F46)</f>
        <v>0</v>
      </c>
      <c r="R46" s="4">
        <f>SUMIFS(Tab_11.Nov[MOVIMENTO],Tab_11.Nov[CONTA],$F46)</f>
        <v>0</v>
      </c>
      <c r="S46" s="4">
        <f>SUMIFS(Tab_12.Dez[MOVIMENTO],Tab_12.Dez[CONTA],$F46)</f>
        <v>0</v>
      </c>
    </row>
    <row r="47" spans="2:19" x14ac:dyDescent="0.3">
      <c r="B47" s="3"/>
      <c r="C47" s="2" t="str">
        <f>IF($F47="","",IF(LEFT($F47,1)*1=1,"A",IF(LEFT($F47,1)*1=2,"P",IF(LEFT($F47,1)*1=3,"R",IF(LEFT($F47,1)*1=4,"C",IF(LEFT($F47,1)*1=5,"C",IF(LEFT($F47,1)*1=6,"C","")))))))</f>
        <v>A</v>
      </c>
      <c r="D47" s="2" t="str">
        <f>IF($F47="","",IF(LEN($F47)=13,"A","S"))</f>
        <v>A</v>
      </c>
      <c r="E47" s="2">
        <f>IF($F47="","",IF(LEN($F47)=1,1,IF(LEN($F47)=3,2,IF(LEN($F47)=5,3,IF(LEN($F47)=8,4,5)))))</f>
        <v>5</v>
      </c>
      <c r="F47" s="3" t="s">
        <v>837</v>
      </c>
      <c r="G47" s="3" t="s">
        <v>838</v>
      </c>
      <c r="H47" s="4">
        <f>SUMIFS(Tab_01.Jan[MOVIMENTO],Tab_01.Jan[CONTA],$F47)</f>
        <v>4481.74</v>
      </c>
      <c r="I47" s="4">
        <f>SUMIFS(Tab_02.Fev[MOVIMENTO],Tab_02.Fev[CONTA],$F47)</f>
        <v>0</v>
      </c>
      <c r="J47" s="4">
        <f>SUMIFS(Tab_03.Mar[MOVIMENTO],Tab_03.Mar[CONTA],$F47)</f>
        <v>0</v>
      </c>
      <c r="K47" s="4">
        <f>SUMIFS(Tab_04.Abr[MOVIMENTO],Tab_04.Abr[CONTA],$F47)</f>
        <v>10743.03</v>
      </c>
      <c r="L47" s="4">
        <f>SUMIFS(Tab_05.Mai[MOVIMENTO],Tab_05.Mai[CONTA],$F47)</f>
        <v>0</v>
      </c>
      <c r="M47" s="4">
        <f>SUMIFS(Tab_06.Jun[MOVIMENTO],Tab_06.Jun[CONTA],$F47)</f>
        <v>-11</v>
      </c>
      <c r="N47" s="4">
        <f>SUMIFS(Tab_07.Jul[MOVIMENTO],Tab_07.Jul[CONTA],$F47)</f>
        <v>-11</v>
      </c>
      <c r="O47" s="4">
        <f>SUMIFS(Tab_08.Ago[MOVIMENTO],Tab_08.Ago[CONTA],$F47)</f>
        <v>-11</v>
      </c>
      <c r="P47" s="4">
        <f>SUMIFS(Tab_09.Set[MOVIMENTO],Tab_09.Set[CONTA],$F47)</f>
        <v>-7088.18</v>
      </c>
      <c r="Q47" s="4">
        <f>SUMIFS(Tab_10.Out[MOVIMENTO],Tab_10.Out[CONTA],$F47)</f>
        <v>-12.1</v>
      </c>
      <c r="R47" s="4">
        <f>SUMIFS(Tab_11.Nov[MOVIMENTO],Tab_11.Nov[CONTA],$F47)</f>
        <v>-1899</v>
      </c>
      <c r="S47" s="4">
        <f>SUMIFS(Tab_12.Dez[MOVIMENTO],Tab_12.Dez[CONTA],$F47)</f>
        <v>-265.62</v>
      </c>
    </row>
    <row r="48" spans="2:19" x14ac:dyDescent="0.3">
      <c r="B48" s="3"/>
      <c r="C48" s="2" t="str">
        <f>IF($F48="","",IF(LEFT($F48,1)*1=1,"A",IF(LEFT($F48,1)*1=2,"P",IF(LEFT($F48,1)*1=3,"R",IF(LEFT($F48,1)*1=4,"C",IF(LEFT($F48,1)*1=5,"C",IF(LEFT($F48,1)*1=6,"C","")))))))</f>
        <v>A</v>
      </c>
      <c r="D48" s="2" t="str">
        <f>IF($F48="","",IF(LEN($F48)=13,"A","S"))</f>
        <v>S</v>
      </c>
      <c r="E48" s="2">
        <f>IF($F48="","",IF(LEN($F48)=1,1,IF(LEN($F48)=3,2,IF(LEN($F48)=5,3,IF(LEN($F48)=8,4,5)))))</f>
        <v>5</v>
      </c>
      <c r="F48" s="3" t="s">
        <v>846</v>
      </c>
      <c r="G48" s="3" t="s">
        <v>847</v>
      </c>
      <c r="H48" s="4">
        <f>SUMIFS(Tab_01.Jan[MOVIMENTO],Tab_01.Jan[CONTA],$F48)</f>
        <v>0</v>
      </c>
      <c r="I48" s="4">
        <f>SUMIFS(Tab_02.Fev[MOVIMENTO],Tab_02.Fev[CONTA],$F48)</f>
        <v>0</v>
      </c>
      <c r="J48" s="4">
        <f>SUMIFS(Tab_03.Mar[MOVIMENTO],Tab_03.Mar[CONTA],$F48)</f>
        <v>0</v>
      </c>
      <c r="K48" s="4">
        <f>SUMIFS(Tab_04.Abr[MOVIMENTO],Tab_04.Abr[CONTA],$F48)</f>
        <v>78781.539999999994</v>
      </c>
      <c r="L48" s="4">
        <f>SUMIFS(Tab_05.Mai[MOVIMENTO],Tab_05.Mai[CONTA],$F48)</f>
        <v>0</v>
      </c>
      <c r="M48" s="4">
        <f>SUMIFS(Tab_06.Jun[MOVIMENTO],Tab_06.Jun[CONTA],$F48)</f>
        <v>0</v>
      </c>
      <c r="N48" s="4">
        <f>SUMIFS(Tab_07.Jul[MOVIMENTO],Tab_07.Jul[CONTA],$F48)</f>
        <v>0</v>
      </c>
      <c r="O48" s="4">
        <f>SUMIFS(Tab_08.Ago[MOVIMENTO],Tab_08.Ago[CONTA],$F48)</f>
        <v>0</v>
      </c>
      <c r="P48" s="4">
        <f>SUMIFS(Tab_09.Set[MOVIMENTO],Tab_09.Set[CONTA],$F48)</f>
        <v>-4990.1499999999996</v>
      </c>
      <c r="Q48" s="4">
        <f>SUMIFS(Tab_10.Out[MOVIMENTO],Tab_10.Out[CONTA],$F48)</f>
        <v>0</v>
      </c>
      <c r="R48" s="4">
        <f>SUMIFS(Tab_11.Nov[MOVIMENTO],Tab_11.Nov[CONTA],$F48)</f>
        <v>0</v>
      </c>
      <c r="S48" s="4">
        <f>SUMIFS(Tab_12.Dez[MOVIMENTO],Tab_12.Dez[CONTA],$F48)</f>
        <v>0</v>
      </c>
    </row>
    <row r="49" spans="2:19" x14ac:dyDescent="0.3">
      <c r="B49" s="3"/>
      <c r="C49" s="2" t="str">
        <f>IF($F49="","",IF(LEFT($F49,1)*1=1,"A",IF(LEFT($F49,1)*1=2,"P",IF(LEFT($F49,1)*1=3,"R",IF(LEFT($F49,1)*1=4,"C",IF(LEFT($F49,1)*1=5,"C",IF(LEFT($F49,1)*1=6,"C","")))))))</f>
        <v>A</v>
      </c>
      <c r="D49" s="2" t="str">
        <f>IF($F49="","",IF(LEN($F49)=13,"A","S"))</f>
        <v>S</v>
      </c>
      <c r="E49" s="2">
        <f>IF($F49="","",IF(LEN($F49)=1,1,IF(LEN($F49)=3,2,IF(LEN($F49)=5,3,IF(LEN($F49)=8,4,5)))))</f>
        <v>5</v>
      </c>
      <c r="F49" s="3" t="s">
        <v>848</v>
      </c>
      <c r="G49" s="3" t="s">
        <v>849</v>
      </c>
      <c r="H49" s="4">
        <f>SUMIFS(Tab_01.Jan[MOVIMENTO],Tab_01.Jan[CONTA],$F49)</f>
        <v>0</v>
      </c>
      <c r="I49" s="4">
        <f>SUMIFS(Tab_02.Fev[MOVIMENTO],Tab_02.Fev[CONTA],$F49)</f>
        <v>0</v>
      </c>
      <c r="J49" s="4">
        <f>SUMIFS(Tab_03.Mar[MOVIMENTO],Tab_03.Mar[CONTA],$F49)</f>
        <v>0</v>
      </c>
      <c r="K49" s="4">
        <f>SUMIFS(Tab_04.Abr[MOVIMENTO],Tab_04.Abr[CONTA],$F49)</f>
        <v>78781.539999999994</v>
      </c>
      <c r="L49" s="4">
        <f>SUMIFS(Tab_05.Mai[MOVIMENTO],Tab_05.Mai[CONTA],$F49)</f>
        <v>0</v>
      </c>
      <c r="M49" s="4">
        <f>SUMIFS(Tab_06.Jun[MOVIMENTO],Tab_06.Jun[CONTA],$F49)</f>
        <v>0</v>
      </c>
      <c r="N49" s="4">
        <f>SUMIFS(Tab_07.Jul[MOVIMENTO],Tab_07.Jul[CONTA],$F49)</f>
        <v>0</v>
      </c>
      <c r="O49" s="4">
        <f>SUMIFS(Tab_08.Ago[MOVIMENTO],Tab_08.Ago[CONTA],$F49)</f>
        <v>0</v>
      </c>
      <c r="P49" s="4">
        <f>SUMIFS(Tab_09.Set[MOVIMENTO],Tab_09.Set[CONTA],$F49)</f>
        <v>-4990.1499999999996</v>
      </c>
      <c r="Q49" s="4">
        <f>SUMIFS(Tab_10.Out[MOVIMENTO],Tab_10.Out[CONTA],$F49)</f>
        <v>0</v>
      </c>
      <c r="R49" s="4">
        <f>SUMIFS(Tab_11.Nov[MOVIMENTO],Tab_11.Nov[CONTA],$F49)</f>
        <v>0</v>
      </c>
      <c r="S49" s="4">
        <f>SUMIFS(Tab_12.Dez[MOVIMENTO],Tab_12.Dez[CONTA],$F49)</f>
        <v>0</v>
      </c>
    </row>
    <row r="50" spans="2:19" x14ac:dyDescent="0.3">
      <c r="B50" s="186" t="s">
        <v>41</v>
      </c>
      <c r="C50" s="2" t="str">
        <f>IF($F50="","",IF(LEFT($F50,1)*1=1,"A",IF(LEFT($F50,1)*1=2,"P",IF(LEFT($F50,1)*1=3,"R",IF(LEFT($F50,1)*1=4,"C",IF(LEFT($F50,1)*1=5,"C",IF(LEFT($F50,1)*1=6,"C","")))))))</f>
        <v>A</v>
      </c>
      <c r="D50" s="2" t="str">
        <f>IF($F50="","",IF(LEN($F50)=13,"A","S"))</f>
        <v>A</v>
      </c>
      <c r="E50" s="2">
        <f>IF($F50="","",IF(LEN($F50)=1,1,IF(LEN($F50)=3,2,IF(LEN($F50)=5,3,IF(LEN($F50)=8,4,5)))))</f>
        <v>5</v>
      </c>
      <c r="F50" s="3" t="s">
        <v>850</v>
      </c>
      <c r="G50" s="3" t="s">
        <v>849</v>
      </c>
      <c r="H50" s="4">
        <f>SUMIFS(Tab_01.Jan[MOVIMENTO],Tab_01.Jan[CONTA],$F50)</f>
        <v>0</v>
      </c>
      <c r="I50" s="4">
        <f>SUMIFS(Tab_02.Fev[MOVIMENTO],Tab_02.Fev[CONTA],$F50)</f>
        <v>0</v>
      </c>
      <c r="J50" s="4">
        <f>SUMIFS(Tab_03.Mar[MOVIMENTO],Tab_03.Mar[CONTA],$F50)</f>
        <v>0</v>
      </c>
      <c r="K50" s="4">
        <f>SUMIFS(Tab_04.Abr[MOVIMENTO],Tab_04.Abr[CONTA],$F50)</f>
        <v>78781.539999999994</v>
      </c>
      <c r="L50" s="4">
        <f>SUMIFS(Tab_05.Mai[MOVIMENTO],Tab_05.Mai[CONTA],$F50)</f>
        <v>0</v>
      </c>
      <c r="M50" s="4">
        <f>SUMIFS(Tab_06.Jun[MOVIMENTO],Tab_06.Jun[CONTA],$F50)</f>
        <v>0</v>
      </c>
      <c r="N50" s="4">
        <f>SUMIFS(Tab_07.Jul[MOVIMENTO],Tab_07.Jul[CONTA],$F50)</f>
        <v>0</v>
      </c>
      <c r="O50" s="4">
        <f>SUMIFS(Tab_08.Ago[MOVIMENTO],Tab_08.Ago[CONTA],$F50)</f>
        <v>0</v>
      </c>
      <c r="P50" s="4">
        <f>SUMIFS(Tab_09.Set[MOVIMENTO],Tab_09.Set[CONTA],$F50)</f>
        <v>-4990.1499999999996</v>
      </c>
      <c r="Q50" s="4">
        <f>SUMIFS(Tab_10.Out[MOVIMENTO],Tab_10.Out[CONTA],$F50)</f>
        <v>0</v>
      </c>
      <c r="R50" s="4">
        <f>SUMIFS(Tab_11.Nov[MOVIMENTO],Tab_11.Nov[CONTA],$F50)</f>
        <v>0</v>
      </c>
      <c r="S50" s="4">
        <f>SUMIFS(Tab_12.Dez[MOVIMENTO],Tab_12.Dez[CONTA],$F50)</f>
        <v>0</v>
      </c>
    </row>
    <row r="51" spans="2:19" x14ac:dyDescent="0.3">
      <c r="B51" s="3"/>
      <c r="C51" s="2" t="str">
        <f t="shared" si="6"/>
        <v>A</v>
      </c>
      <c r="D51" s="2" t="str">
        <f t="shared" si="7"/>
        <v>S</v>
      </c>
      <c r="E51" s="2">
        <f t="shared" si="8"/>
        <v>5</v>
      </c>
      <c r="F51" s="3" t="s">
        <v>209</v>
      </c>
      <c r="G51" s="3" t="s">
        <v>646</v>
      </c>
      <c r="H51" s="4">
        <f>SUMIFS(Tab_01.Jan[MOVIMENTO],Tab_01.Jan[CONTA],$F51)</f>
        <v>-287.74</v>
      </c>
      <c r="I51" s="4">
        <f>SUMIFS(Tab_02.Fev[MOVIMENTO],Tab_02.Fev[CONTA],$F51)</f>
        <v>0</v>
      </c>
      <c r="J51" s="4">
        <f>SUMIFS(Tab_03.Mar[MOVIMENTO],Tab_03.Mar[CONTA],$F51)</f>
        <v>-287.74</v>
      </c>
      <c r="K51" s="4">
        <f>SUMIFS(Tab_04.Abr[MOVIMENTO],Tab_04.Abr[CONTA],$F51)</f>
        <v>-287.74</v>
      </c>
      <c r="L51" s="4">
        <f>SUMIFS(Tab_05.Mai[MOVIMENTO],Tab_05.Mai[CONTA],$F51)</f>
        <v>-287.74</v>
      </c>
      <c r="M51" s="4">
        <f>SUMIFS(Tab_06.Jun[MOVIMENTO],Tab_06.Jun[CONTA],$F51)</f>
        <v>-287.74</v>
      </c>
      <c r="N51" s="4">
        <f>SUMIFS(Tab_07.Jul[MOVIMENTO],Tab_07.Jul[CONTA],$F51)</f>
        <v>-287.74</v>
      </c>
      <c r="O51" s="4">
        <f>SUMIFS(Tab_08.Ago[MOVIMENTO],Tab_08.Ago[CONTA],$F51)</f>
        <v>-287.74</v>
      </c>
      <c r="P51" s="4">
        <f>SUMIFS(Tab_09.Set[MOVIMENTO],Tab_09.Set[CONTA],$F51)</f>
        <v>-275.14999999999998</v>
      </c>
      <c r="Q51" s="4">
        <f>SUMIFS(Tab_10.Out[MOVIMENTO],Tab_10.Out[CONTA],$F51)</f>
        <v>3209.38</v>
      </c>
      <c r="R51" s="4">
        <f>SUMIFS(Tab_11.Nov[MOVIMENTO],Tab_11.Nov[CONTA],$F51)</f>
        <v>-291.76</v>
      </c>
      <c r="S51" s="4">
        <f>SUMIFS(Tab_12.Dez[MOVIMENTO],Tab_12.Dez[CONTA],$F51)</f>
        <v>-291.76</v>
      </c>
    </row>
    <row r="52" spans="2:19" x14ac:dyDescent="0.3">
      <c r="B52" s="3"/>
      <c r="C52" s="2" t="str">
        <f t="shared" si="6"/>
        <v>A</v>
      </c>
      <c r="D52" s="2" t="str">
        <f t="shared" si="7"/>
        <v>S</v>
      </c>
      <c r="E52" s="2">
        <f t="shared" si="8"/>
        <v>5</v>
      </c>
      <c r="F52" s="3" t="s">
        <v>210</v>
      </c>
      <c r="G52" s="3" t="s">
        <v>646</v>
      </c>
      <c r="H52" s="4">
        <f>SUMIFS(Tab_01.Jan[MOVIMENTO],Tab_01.Jan[CONTA],$F52)</f>
        <v>-287.74</v>
      </c>
      <c r="I52" s="4">
        <f>SUMIFS(Tab_02.Fev[MOVIMENTO],Tab_02.Fev[CONTA],$F52)</f>
        <v>0</v>
      </c>
      <c r="J52" s="4">
        <f>SUMIFS(Tab_03.Mar[MOVIMENTO],Tab_03.Mar[CONTA],$F52)</f>
        <v>-287.74</v>
      </c>
      <c r="K52" s="4">
        <f>SUMIFS(Tab_04.Abr[MOVIMENTO],Tab_04.Abr[CONTA],$F52)</f>
        <v>-287.74</v>
      </c>
      <c r="L52" s="4">
        <f>SUMIFS(Tab_05.Mai[MOVIMENTO],Tab_05.Mai[CONTA],$F52)</f>
        <v>-287.74</v>
      </c>
      <c r="M52" s="4">
        <f>SUMIFS(Tab_06.Jun[MOVIMENTO],Tab_06.Jun[CONTA],$F52)</f>
        <v>-287.74</v>
      </c>
      <c r="N52" s="4">
        <f>SUMIFS(Tab_07.Jul[MOVIMENTO],Tab_07.Jul[CONTA],$F52)</f>
        <v>-287.74</v>
      </c>
      <c r="O52" s="4">
        <f>SUMIFS(Tab_08.Ago[MOVIMENTO],Tab_08.Ago[CONTA],$F52)</f>
        <v>-287.74</v>
      </c>
      <c r="P52" s="4">
        <f>SUMIFS(Tab_09.Set[MOVIMENTO],Tab_09.Set[CONTA],$F52)</f>
        <v>-275.14999999999998</v>
      </c>
      <c r="Q52" s="4">
        <f>SUMIFS(Tab_10.Out[MOVIMENTO],Tab_10.Out[CONTA],$F52)</f>
        <v>3209.38</v>
      </c>
      <c r="R52" s="4">
        <f>SUMIFS(Tab_11.Nov[MOVIMENTO],Tab_11.Nov[CONTA],$F52)</f>
        <v>-291.76</v>
      </c>
      <c r="S52" s="4">
        <f>SUMIFS(Tab_12.Dez[MOVIMENTO],Tab_12.Dez[CONTA],$F52)</f>
        <v>-291.76</v>
      </c>
    </row>
    <row r="53" spans="2:19" x14ac:dyDescent="0.3">
      <c r="B53" s="3" t="s">
        <v>733</v>
      </c>
      <c r="C53" s="2" t="str">
        <f t="shared" si="6"/>
        <v>A</v>
      </c>
      <c r="D53" s="2" t="str">
        <f t="shared" si="7"/>
        <v>A</v>
      </c>
      <c r="E53" s="2">
        <f t="shared" si="8"/>
        <v>5</v>
      </c>
      <c r="F53" s="3" t="s">
        <v>298</v>
      </c>
      <c r="G53" s="3" t="s">
        <v>299</v>
      </c>
      <c r="H53" s="4">
        <f>SUMIFS(Tab_01.Jan[MOVIMENTO],Tab_01.Jan[CONTA],$F53)</f>
        <v>-287.74</v>
      </c>
      <c r="I53" s="4">
        <f>SUMIFS(Tab_02.Fev[MOVIMENTO],Tab_02.Fev[CONTA],$F53)</f>
        <v>0</v>
      </c>
      <c r="J53" s="4">
        <f>SUMIFS(Tab_03.Mar[MOVIMENTO],Tab_03.Mar[CONTA],$F53)</f>
        <v>-287.74</v>
      </c>
      <c r="K53" s="4">
        <f>SUMIFS(Tab_04.Abr[MOVIMENTO],Tab_04.Abr[CONTA],$F53)</f>
        <v>-287.74</v>
      </c>
      <c r="L53" s="4">
        <f>SUMIFS(Tab_05.Mai[MOVIMENTO],Tab_05.Mai[CONTA],$F53)</f>
        <v>-287.74</v>
      </c>
      <c r="M53" s="4">
        <f>SUMIFS(Tab_06.Jun[MOVIMENTO],Tab_06.Jun[CONTA],$F53)</f>
        <v>-287.74</v>
      </c>
      <c r="N53" s="4">
        <f>SUMIFS(Tab_07.Jul[MOVIMENTO],Tab_07.Jul[CONTA],$F53)</f>
        <v>-287.74</v>
      </c>
      <c r="O53" s="4">
        <f>SUMIFS(Tab_08.Ago[MOVIMENTO],Tab_08.Ago[CONTA],$F53)</f>
        <v>-287.74</v>
      </c>
      <c r="P53" s="4">
        <f>SUMIFS(Tab_09.Set[MOVIMENTO],Tab_09.Set[CONTA],$F53)</f>
        <v>-275.14999999999998</v>
      </c>
      <c r="Q53" s="4">
        <f>SUMIFS(Tab_10.Out[MOVIMENTO],Tab_10.Out[CONTA],$F53)</f>
        <v>3209.38</v>
      </c>
      <c r="R53" s="4">
        <f>SUMIFS(Tab_11.Nov[MOVIMENTO],Tab_11.Nov[CONTA],$F53)</f>
        <v>-291.76</v>
      </c>
      <c r="S53" s="4">
        <f>SUMIFS(Tab_12.Dez[MOVIMENTO],Tab_12.Dez[CONTA],$F53)</f>
        <v>-291.76</v>
      </c>
    </row>
    <row r="54" spans="2:19" x14ac:dyDescent="0.3">
      <c r="B54" s="3"/>
      <c r="C54" s="2" t="str">
        <f t="shared" si="6"/>
        <v>A</v>
      </c>
      <c r="D54" s="2" t="str">
        <f t="shared" si="7"/>
        <v>S</v>
      </c>
      <c r="E54" s="2">
        <f t="shared" si="8"/>
        <v>2</v>
      </c>
      <c r="F54" s="3" t="s">
        <v>211</v>
      </c>
      <c r="G54" s="3" t="s">
        <v>76</v>
      </c>
      <c r="H54" s="4">
        <f>SUMIFS(Tab_01.Jan[MOVIMENTO],Tab_01.Jan[CONTA],$F54)</f>
        <v>109824.62</v>
      </c>
      <c r="I54" s="4">
        <f>SUMIFS(Tab_02.Fev[MOVIMENTO],Tab_02.Fev[CONTA],$F54)</f>
        <v>485.72</v>
      </c>
      <c r="J54" s="4">
        <f>SUMIFS(Tab_03.Mar[MOVIMENTO],Tab_03.Mar[CONTA],$F54)</f>
        <v>233735.96</v>
      </c>
      <c r="K54" s="4">
        <f>SUMIFS(Tab_04.Abr[MOVIMENTO],Tab_04.Abr[CONTA],$F54)</f>
        <v>-97757.83</v>
      </c>
      <c r="L54" s="4">
        <f>SUMIFS(Tab_05.Mai[MOVIMENTO],Tab_05.Mai[CONTA],$F54)</f>
        <v>255847.3</v>
      </c>
      <c r="M54" s="4">
        <f>SUMIFS(Tab_06.Jun[MOVIMENTO],Tab_06.Jun[CONTA],$F54)</f>
        <v>333495.84000000003</v>
      </c>
      <c r="N54" s="4">
        <f>SUMIFS(Tab_07.Jul[MOVIMENTO],Tab_07.Jul[CONTA],$F54)</f>
        <v>333495.84000000003</v>
      </c>
      <c r="O54" s="4">
        <f>SUMIFS(Tab_08.Ago[MOVIMENTO],Tab_08.Ago[CONTA],$F54)</f>
        <v>333495.84000000003</v>
      </c>
      <c r="P54" s="4">
        <f>SUMIFS(Tab_09.Set[MOVIMENTO],Tab_09.Set[CONTA],$F54)</f>
        <v>56013.77</v>
      </c>
      <c r="Q54" s="4">
        <f>SUMIFS(Tab_10.Out[MOVIMENTO],Tab_10.Out[CONTA],$F54)</f>
        <v>107049.66</v>
      </c>
      <c r="R54" s="4">
        <f>SUMIFS(Tab_11.Nov[MOVIMENTO],Tab_11.Nov[CONTA],$F54)</f>
        <v>242724.67</v>
      </c>
      <c r="S54" s="4">
        <f>SUMIFS(Tab_12.Dez[MOVIMENTO],Tab_12.Dez[CONTA],$F54)</f>
        <v>-138109.47</v>
      </c>
    </row>
    <row r="55" spans="2:19" x14ac:dyDescent="0.3">
      <c r="B55" s="3"/>
      <c r="C55" s="2" t="str">
        <f t="shared" si="6"/>
        <v>A</v>
      </c>
      <c r="D55" s="2" t="str">
        <f t="shared" si="7"/>
        <v>S</v>
      </c>
      <c r="E55" s="2">
        <f t="shared" si="8"/>
        <v>5</v>
      </c>
      <c r="F55" s="3" t="s">
        <v>552</v>
      </c>
      <c r="G55" s="3" t="s">
        <v>647</v>
      </c>
      <c r="H55" s="4">
        <f>SUMIFS(Tab_01.Jan[MOVIMENTO],Tab_01.Jan[CONTA],$F55)</f>
        <v>417.93</v>
      </c>
      <c r="I55" s="4">
        <f>SUMIFS(Tab_02.Fev[MOVIMENTO],Tab_02.Fev[CONTA],$F55)</f>
        <v>485.72</v>
      </c>
      <c r="J55" s="4">
        <f>SUMIFS(Tab_03.Mar[MOVIMENTO],Tab_03.Mar[CONTA],$F55)</f>
        <v>444.51</v>
      </c>
      <c r="K55" s="4">
        <f>SUMIFS(Tab_04.Abr[MOVIMENTO],Tab_04.Abr[CONTA],$F55)</f>
        <v>557.45000000000005</v>
      </c>
      <c r="L55" s="4">
        <f>SUMIFS(Tab_05.Mai[MOVIMENTO],Tab_05.Mai[CONTA],$F55)</f>
        <v>411.92</v>
      </c>
      <c r="M55" s="4">
        <f>SUMIFS(Tab_06.Jun[MOVIMENTO],Tab_06.Jun[CONTA],$F55)</f>
        <v>322.2</v>
      </c>
      <c r="N55" s="4">
        <f>SUMIFS(Tab_07.Jul[MOVIMENTO],Tab_07.Jul[CONTA],$F55)</f>
        <v>322.2</v>
      </c>
      <c r="O55" s="4">
        <f>SUMIFS(Tab_08.Ago[MOVIMENTO],Tab_08.Ago[CONTA],$F55)</f>
        <v>322.2</v>
      </c>
      <c r="P55" s="4">
        <f>SUMIFS(Tab_09.Set[MOVIMENTO],Tab_09.Set[CONTA],$F55)</f>
        <v>286.52</v>
      </c>
      <c r="Q55" s="4">
        <f>SUMIFS(Tab_10.Out[MOVIMENTO],Tab_10.Out[CONTA],$F55)</f>
        <v>314.41000000000003</v>
      </c>
      <c r="R55" s="4">
        <f>SUMIFS(Tab_11.Nov[MOVIMENTO],Tab_11.Nov[CONTA],$F55)</f>
        <v>814.42</v>
      </c>
      <c r="S55" s="4">
        <f>SUMIFS(Tab_12.Dez[MOVIMENTO],Tab_12.Dez[CONTA],$F55)</f>
        <v>0</v>
      </c>
    </row>
    <row r="56" spans="2:19" x14ac:dyDescent="0.3">
      <c r="B56" s="3"/>
      <c r="C56" s="2" t="str">
        <f t="shared" si="6"/>
        <v>A</v>
      </c>
      <c r="D56" s="2" t="str">
        <f t="shared" si="7"/>
        <v>S</v>
      </c>
      <c r="E56" s="2">
        <f t="shared" si="8"/>
        <v>5</v>
      </c>
      <c r="F56" s="3" t="s">
        <v>553</v>
      </c>
      <c r="G56" s="3" t="s">
        <v>301</v>
      </c>
      <c r="H56" s="4">
        <f>SUMIFS(Tab_01.Jan[MOVIMENTO],Tab_01.Jan[CONTA],$F56)</f>
        <v>417.93</v>
      </c>
      <c r="I56" s="4">
        <f>SUMIFS(Tab_02.Fev[MOVIMENTO],Tab_02.Fev[CONTA],$F56)</f>
        <v>485.72</v>
      </c>
      <c r="J56" s="4">
        <f>SUMIFS(Tab_03.Mar[MOVIMENTO],Tab_03.Mar[CONTA],$F56)</f>
        <v>444.51</v>
      </c>
      <c r="K56" s="4">
        <f>SUMIFS(Tab_04.Abr[MOVIMENTO],Tab_04.Abr[CONTA],$F56)</f>
        <v>557.45000000000005</v>
      </c>
      <c r="L56" s="4">
        <f>SUMIFS(Tab_05.Mai[MOVIMENTO],Tab_05.Mai[CONTA],$F56)</f>
        <v>411.92</v>
      </c>
      <c r="M56" s="4">
        <f>SUMIFS(Tab_06.Jun[MOVIMENTO],Tab_06.Jun[CONTA],$F56)</f>
        <v>322.2</v>
      </c>
      <c r="N56" s="4">
        <f>SUMIFS(Tab_07.Jul[MOVIMENTO],Tab_07.Jul[CONTA],$F56)</f>
        <v>322.2</v>
      </c>
      <c r="O56" s="4">
        <f>SUMIFS(Tab_08.Ago[MOVIMENTO],Tab_08.Ago[CONTA],$F56)</f>
        <v>322.2</v>
      </c>
      <c r="P56" s="4">
        <f>SUMIFS(Tab_09.Set[MOVIMENTO],Tab_09.Set[CONTA],$F56)</f>
        <v>286.52</v>
      </c>
      <c r="Q56" s="4">
        <f>SUMIFS(Tab_10.Out[MOVIMENTO],Tab_10.Out[CONTA],$F56)</f>
        <v>314.41000000000003</v>
      </c>
      <c r="R56" s="4">
        <f>SUMIFS(Tab_11.Nov[MOVIMENTO],Tab_11.Nov[CONTA],$F56)</f>
        <v>814.42</v>
      </c>
      <c r="S56" s="4">
        <f>SUMIFS(Tab_12.Dez[MOVIMENTO],Tab_12.Dez[CONTA],$F56)</f>
        <v>0</v>
      </c>
    </row>
    <row r="57" spans="2:19" x14ac:dyDescent="0.3">
      <c r="B57" s="3" t="s">
        <v>93</v>
      </c>
      <c r="C57" s="2" t="str">
        <f t="shared" si="6"/>
        <v>A</v>
      </c>
      <c r="D57" s="2" t="str">
        <f t="shared" si="7"/>
        <v>A</v>
      </c>
      <c r="E57" s="2">
        <f t="shared" si="8"/>
        <v>5</v>
      </c>
      <c r="F57" s="3" t="s">
        <v>300</v>
      </c>
      <c r="G57" s="3" t="s">
        <v>301</v>
      </c>
      <c r="H57" s="4">
        <f>SUMIFS(Tab_01.Jan[MOVIMENTO],Tab_01.Jan[CONTA],$F57)</f>
        <v>417.93</v>
      </c>
      <c r="I57" s="4">
        <f>SUMIFS(Tab_02.Fev[MOVIMENTO],Tab_02.Fev[CONTA],$F57)</f>
        <v>485.72</v>
      </c>
      <c r="J57" s="4">
        <f>SUMIFS(Tab_03.Mar[MOVIMENTO],Tab_03.Mar[CONTA],$F57)</f>
        <v>444.51</v>
      </c>
      <c r="K57" s="4">
        <f>SUMIFS(Tab_04.Abr[MOVIMENTO],Tab_04.Abr[CONTA],$F57)</f>
        <v>557.45000000000005</v>
      </c>
      <c r="L57" s="4">
        <f>SUMIFS(Tab_05.Mai[MOVIMENTO],Tab_05.Mai[CONTA],$F57)</f>
        <v>411.92</v>
      </c>
      <c r="M57" s="4">
        <f>SUMIFS(Tab_06.Jun[MOVIMENTO],Tab_06.Jun[CONTA],$F57)</f>
        <v>322.2</v>
      </c>
      <c r="N57" s="4">
        <f>SUMIFS(Tab_07.Jul[MOVIMENTO],Tab_07.Jul[CONTA],$F57)</f>
        <v>322.2</v>
      </c>
      <c r="O57" s="4">
        <f>SUMIFS(Tab_08.Ago[MOVIMENTO],Tab_08.Ago[CONTA],$F57)</f>
        <v>322.2</v>
      </c>
      <c r="P57" s="4">
        <f>SUMIFS(Tab_09.Set[MOVIMENTO],Tab_09.Set[CONTA],$F57)</f>
        <v>286.52</v>
      </c>
      <c r="Q57" s="4">
        <f>SUMIFS(Tab_10.Out[MOVIMENTO],Tab_10.Out[CONTA],$F57)</f>
        <v>314.41000000000003</v>
      </c>
      <c r="R57" s="4">
        <f>SUMIFS(Tab_11.Nov[MOVIMENTO],Tab_11.Nov[CONTA],$F57)</f>
        <v>814.42</v>
      </c>
      <c r="S57" s="4">
        <f>SUMIFS(Tab_12.Dez[MOVIMENTO],Tab_12.Dez[CONTA],$F57)</f>
        <v>0</v>
      </c>
    </row>
    <row r="58" spans="2:19" x14ac:dyDescent="0.3">
      <c r="B58" s="3"/>
      <c r="C58" s="2" t="str">
        <f t="shared" si="6"/>
        <v>A</v>
      </c>
      <c r="D58" s="2" t="str">
        <f t="shared" si="7"/>
        <v>S</v>
      </c>
      <c r="E58" s="2">
        <f t="shared" si="8"/>
        <v>5</v>
      </c>
      <c r="F58" s="3" t="s">
        <v>554</v>
      </c>
      <c r="G58" s="3" t="s">
        <v>648</v>
      </c>
      <c r="H58" s="4">
        <f>SUMIFS(Tab_01.Jan[MOVIMENTO],Tab_01.Jan[CONTA],$F58)</f>
        <v>95912</v>
      </c>
      <c r="I58" s="4">
        <f>SUMIFS(Tab_02.Fev[MOVIMENTO],Tab_02.Fev[CONTA],$F58)</f>
        <v>0</v>
      </c>
      <c r="J58" s="4">
        <f>SUMIFS(Tab_03.Mar[MOVIMENTO],Tab_03.Mar[CONTA],$F58)</f>
        <v>218369.61</v>
      </c>
      <c r="K58" s="4">
        <f>SUMIFS(Tab_04.Abr[MOVIMENTO],Tab_04.Abr[CONTA],$F58)</f>
        <v>-114819.6</v>
      </c>
      <c r="L58" s="4">
        <f>SUMIFS(Tab_05.Mai[MOVIMENTO],Tab_05.Mai[CONTA],$F58)</f>
        <v>239696.34</v>
      </c>
      <c r="M58" s="4">
        <f>SUMIFS(Tab_06.Jun[MOVIMENTO],Tab_06.Jun[CONTA],$F58)</f>
        <v>336840.39</v>
      </c>
      <c r="N58" s="4">
        <f>SUMIFS(Tab_07.Jul[MOVIMENTO],Tab_07.Jul[CONTA],$F58)</f>
        <v>336840.39</v>
      </c>
      <c r="O58" s="4">
        <f>SUMIFS(Tab_08.Ago[MOVIMENTO],Tab_08.Ago[CONTA],$F58)</f>
        <v>336840.39</v>
      </c>
      <c r="P58" s="4">
        <f>SUMIFS(Tab_09.Set[MOVIMENTO],Tab_09.Set[CONTA],$F58)</f>
        <v>59394</v>
      </c>
      <c r="Q58" s="4">
        <f>SUMIFS(Tab_10.Out[MOVIMENTO],Tab_10.Out[CONTA],$F58)</f>
        <v>110402</v>
      </c>
      <c r="R58" s="4">
        <f>SUMIFS(Tab_11.Nov[MOVIMENTO],Tab_11.Nov[CONTA],$F58)</f>
        <v>244237</v>
      </c>
      <c r="S58" s="4">
        <f>SUMIFS(Tab_12.Dez[MOVIMENTO],Tab_12.Dez[CONTA],$F58)</f>
        <v>-139449</v>
      </c>
    </row>
    <row r="59" spans="2:19" x14ac:dyDescent="0.3">
      <c r="B59" s="3"/>
      <c r="C59" s="2" t="str">
        <f t="shared" si="6"/>
        <v>A</v>
      </c>
      <c r="D59" s="2" t="str">
        <f t="shared" si="7"/>
        <v>S</v>
      </c>
      <c r="E59" s="2">
        <f t="shared" si="8"/>
        <v>5</v>
      </c>
      <c r="F59" s="3" t="s">
        <v>555</v>
      </c>
      <c r="G59" s="3" t="s">
        <v>649</v>
      </c>
      <c r="H59" s="4">
        <f>SUMIFS(Tab_01.Jan[MOVIMENTO],Tab_01.Jan[CONTA],$F59)</f>
        <v>0</v>
      </c>
      <c r="I59" s="4">
        <f>SUMIFS(Tab_02.Fev[MOVIMENTO],Tab_02.Fev[CONTA],$F59)</f>
        <v>0</v>
      </c>
      <c r="J59" s="4">
        <f>SUMIFS(Tab_03.Mar[MOVIMENTO],Tab_03.Mar[CONTA],$F59)</f>
        <v>0</v>
      </c>
      <c r="K59" s="4">
        <f>SUMIFS(Tab_04.Abr[MOVIMENTO],Tab_04.Abr[CONTA],$F59)</f>
        <v>0</v>
      </c>
      <c r="L59" s="4">
        <f>SUMIFS(Tab_05.Mai[MOVIMENTO],Tab_05.Mai[CONTA],$F59)</f>
        <v>0</v>
      </c>
      <c r="M59" s="4">
        <f>SUMIFS(Tab_06.Jun[MOVIMENTO],Tab_06.Jun[CONTA],$F59)</f>
        <v>0</v>
      </c>
      <c r="N59" s="4">
        <f>SUMIFS(Tab_07.Jul[MOVIMENTO],Tab_07.Jul[CONTA],$F59)</f>
        <v>0</v>
      </c>
      <c r="O59" s="4">
        <f>SUMIFS(Tab_08.Ago[MOVIMENTO],Tab_08.Ago[CONTA],$F59)</f>
        <v>0</v>
      </c>
      <c r="P59" s="4">
        <f>SUMIFS(Tab_09.Set[MOVIMENTO],Tab_09.Set[CONTA],$F59)</f>
        <v>0</v>
      </c>
      <c r="Q59" s="4">
        <f>SUMIFS(Tab_10.Out[MOVIMENTO],Tab_10.Out[CONTA],$F59)</f>
        <v>0</v>
      </c>
      <c r="R59" s="4">
        <f>SUMIFS(Tab_11.Nov[MOVIMENTO],Tab_11.Nov[CONTA],$F59)</f>
        <v>0</v>
      </c>
      <c r="S59" s="4">
        <f>SUMIFS(Tab_12.Dez[MOVIMENTO],Tab_12.Dez[CONTA],$F59)</f>
        <v>0</v>
      </c>
    </row>
    <row r="60" spans="2:19" x14ac:dyDescent="0.3">
      <c r="B60" s="3" t="s">
        <v>117</v>
      </c>
      <c r="C60" s="2" t="str">
        <f t="shared" si="6"/>
        <v>A</v>
      </c>
      <c r="D60" s="2" t="str">
        <f t="shared" si="7"/>
        <v>A</v>
      </c>
      <c r="E60" s="2">
        <f t="shared" si="8"/>
        <v>5</v>
      </c>
      <c r="F60" s="3" t="s">
        <v>302</v>
      </c>
      <c r="G60" s="3" t="s">
        <v>303</v>
      </c>
      <c r="H60" s="4">
        <f>SUMIFS(Tab_01.Jan[MOVIMENTO],Tab_01.Jan[CONTA],$F60)</f>
        <v>0</v>
      </c>
      <c r="I60" s="4">
        <f>SUMIFS(Tab_02.Fev[MOVIMENTO],Tab_02.Fev[CONTA],$F60)</f>
        <v>0</v>
      </c>
      <c r="J60" s="4">
        <f>SUMIFS(Tab_03.Mar[MOVIMENTO],Tab_03.Mar[CONTA],$F60)</f>
        <v>0</v>
      </c>
      <c r="K60" s="4">
        <f>SUMIFS(Tab_04.Abr[MOVIMENTO],Tab_04.Abr[CONTA],$F60)</f>
        <v>0</v>
      </c>
      <c r="L60" s="4">
        <f>SUMIFS(Tab_05.Mai[MOVIMENTO],Tab_05.Mai[CONTA],$F60)</f>
        <v>0</v>
      </c>
      <c r="M60" s="4">
        <f>SUMIFS(Tab_06.Jun[MOVIMENTO],Tab_06.Jun[CONTA],$F60)</f>
        <v>0</v>
      </c>
      <c r="N60" s="4">
        <f>SUMIFS(Tab_07.Jul[MOVIMENTO],Tab_07.Jul[CONTA],$F60)</f>
        <v>0</v>
      </c>
      <c r="O60" s="4">
        <f>SUMIFS(Tab_08.Ago[MOVIMENTO],Tab_08.Ago[CONTA],$F60)</f>
        <v>0</v>
      </c>
      <c r="P60" s="4">
        <f>SUMIFS(Tab_09.Set[MOVIMENTO],Tab_09.Set[CONTA],$F60)</f>
        <v>0</v>
      </c>
      <c r="Q60" s="4">
        <f>SUMIFS(Tab_10.Out[MOVIMENTO],Tab_10.Out[CONTA],$F60)</f>
        <v>0</v>
      </c>
      <c r="R60" s="4">
        <f>SUMIFS(Tab_11.Nov[MOVIMENTO],Tab_11.Nov[CONTA],$F60)</f>
        <v>0</v>
      </c>
      <c r="S60" s="4">
        <f>SUMIFS(Tab_12.Dez[MOVIMENTO],Tab_12.Dez[CONTA],$F60)</f>
        <v>0</v>
      </c>
    </row>
    <row r="61" spans="2:19" x14ac:dyDescent="0.3">
      <c r="B61" s="3" t="s">
        <v>117</v>
      </c>
      <c r="C61" s="2" t="str">
        <f t="shared" ref="C61:C92" si="9">IF($F61="","",IF(LEFT($F61,1)*1=1,"A",IF(LEFT($F61,1)*1=2,"P",IF(LEFT($F61,1)*1=3,"R",IF(LEFT($F61,1)*1=4,"C",IF(LEFT($F61,1)*1=5,"C",IF(LEFT($F61,1)*1=6,"C","")))))))</f>
        <v>A</v>
      </c>
      <c r="D61" s="2" t="str">
        <f t="shared" ref="D61:D92" si="10">IF($F61="","",IF(LEN($F61)=13,"A","S"))</f>
        <v>A</v>
      </c>
      <c r="E61" s="2">
        <f t="shared" ref="E61:E92" si="11">IF($F61="","",IF(LEN($F61)=1,1,IF(LEN($F61)=3,2,IF(LEN($F61)=5,3,IF(LEN($F61)=8,4,5)))))</f>
        <v>5</v>
      </c>
      <c r="F61" s="3" t="s">
        <v>304</v>
      </c>
      <c r="G61" s="3" t="s">
        <v>305</v>
      </c>
      <c r="H61" s="4">
        <f>SUMIFS(Tab_01.Jan[MOVIMENTO],Tab_01.Jan[CONTA],$F61)</f>
        <v>0</v>
      </c>
      <c r="I61" s="4">
        <f>SUMIFS(Tab_02.Fev[MOVIMENTO],Tab_02.Fev[CONTA],$F61)</f>
        <v>0</v>
      </c>
      <c r="J61" s="4">
        <f>SUMIFS(Tab_03.Mar[MOVIMENTO],Tab_03.Mar[CONTA],$F61)</f>
        <v>0</v>
      </c>
      <c r="K61" s="4">
        <f>SUMIFS(Tab_04.Abr[MOVIMENTO],Tab_04.Abr[CONTA],$F61)</f>
        <v>0</v>
      </c>
      <c r="L61" s="4">
        <f>SUMIFS(Tab_05.Mai[MOVIMENTO],Tab_05.Mai[CONTA],$F61)</f>
        <v>0</v>
      </c>
      <c r="M61" s="4">
        <f>SUMIFS(Tab_06.Jun[MOVIMENTO],Tab_06.Jun[CONTA],$F61)</f>
        <v>0</v>
      </c>
      <c r="N61" s="4">
        <f>SUMIFS(Tab_07.Jul[MOVIMENTO],Tab_07.Jul[CONTA],$F61)</f>
        <v>0</v>
      </c>
      <c r="O61" s="4">
        <f>SUMIFS(Tab_08.Ago[MOVIMENTO],Tab_08.Ago[CONTA],$F61)</f>
        <v>0</v>
      </c>
      <c r="P61" s="4">
        <f>SUMIFS(Tab_09.Set[MOVIMENTO],Tab_09.Set[CONTA],$F61)</f>
        <v>0</v>
      </c>
      <c r="Q61" s="4">
        <f>SUMIFS(Tab_10.Out[MOVIMENTO],Tab_10.Out[CONTA],$F61)</f>
        <v>0</v>
      </c>
      <c r="R61" s="4">
        <f>SUMIFS(Tab_11.Nov[MOVIMENTO],Tab_11.Nov[CONTA],$F61)</f>
        <v>0</v>
      </c>
      <c r="S61" s="4">
        <f>SUMIFS(Tab_12.Dez[MOVIMENTO],Tab_12.Dez[CONTA],$F61)</f>
        <v>0</v>
      </c>
    </row>
    <row r="62" spans="2:19" x14ac:dyDescent="0.3">
      <c r="B62" s="3"/>
      <c r="C62" s="2" t="str">
        <f t="shared" si="9"/>
        <v>A</v>
      </c>
      <c r="D62" s="2" t="str">
        <f t="shared" si="10"/>
        <v>S</v>
      </c>
      <c r="E62" s="2">
        <f t="shared" si="11"/>
        <v>5</v>
      </c>
      <c r="F62" s="3" t="s">
        <v>556</v>
      </c>
      <c r="G62" s="3" t="s">
        <v>650</v>
      </c>
      <c r="H62" s="4">
        <f>SUMIFS(Tab_01.Jan[MOVIMENTO],Tab_01.Jan[CONTA],$F62)</f>
        <v>0</v>
      </c>
      <c r="I62" s="4">
        <f>SUMIFS(Tab_02.Fev[MOVIMENTO],Tab_02.Fev[CONTA],$F62)</f>
        <v>0</v>
      </c>
      <c r="J62" s="4">
        <f>SUMIFS(Tab_03.Mar[MOVIMENTO],Tab_03.Mar[CONTA],$F62)</f>
        <v>0</v>
      </c>
      <c r="K62" s="4">
        <f>SUMIFS(Tab_04.Abr[MOVIMENTO],Tab_04.Abr[CONTA],$F62)</f>
        <v>0</v>
      </c>
      <c r="L62" s="4">
        <f>SUMIFS(Tab_05.Mai[MOVIMENTO],Tab_05.Mai[CONTA],$F62)</f>
        <v>0</v>
      </c>
      <c r="M62" s="4">
        <f>SUMIFS(Tab_06.Jun[MOVIMENTO],Tab_06.Jun[CONTA],$F62)</f>
        <v>0</v>
      </c>
      <c r="N62" s="4">
        <f>SUMIFS(Tab_07.Jul[MOVIMENTO],Tab_07.Jul[CONTA],$F62)</f>
        <v>0</v>
      </c>
      <c r="O62" s="4">
        <f>SUMIFS(Tab_08.Ago[MOVIMENTO],Tab_08.Ago[CONTA],$F62)</f>
        <v>0</v>
      </c>
      <c r="P62" s="4">
        <f>SUMIFS(Tab_09.Set[MOVIMENTO],Tab_09.Set[CONTA],$F62)</f>
        <v>0</v>
      </c>
      <c r="Q62" s="4">
        <f>SUMIFS(Tab_10.Out[MOVIMENTO],Tab_10.Out[CONTA],$F62)</f>
        <v>0</v>
      </c>
      <c r="R62" s="4">
        <f>SUMIFS(Tab_11.Nov[MOVIMENTO],Tab_11.Nov[CONTA],$F62)</f>
        <v>0</v>
      </c>
      <c r="S62" s="4">
        <f>SUMIFS(Tab_12.Dez[MOVIMENTO],Tab_12.Dez[CONTA],$F62)</f>
        <v>0</v>
      </c>
    </row>
    <row r="63" spans="2:19" x14ac:dyDescent="0.3">
      <c r="B63" s="3" t="s">
        <v>117</v>
      </c>
      <c r="C63" s="2" t="str">
        <f t="shared" si="9"/>
        <v>A</v>
      </c>
      <c r="D63" s="2" t="str">
        <f t="shared" si="10"/>
        <v>A</v>
      </c>
      <c r="E63" s="2">
        <f t="shared" si="11"/>
        <v>5</v>
      </c>
      <c r="F63" s="3" t="s">
        <v>306</v>
      </c>
      <c r="G63" s="3" t="s">
        <v>307</v>
      </c>
      <c r="H63" s="4">
        <f>SUMIFS(Tab_01.Jan[MOVIMENTO],Tab_01.Jan[CONTA],$F63)</f>
        <v>0</v>
      </c>
      <c r="I63" s="4">
        <f>SUMIFS(Tab_02.Fev[MOVIMENTO],Tab_02.Fev[CONTA],$F63)</f>
        <v>0</v>
      </c>
      <c r="J63" s="4">
        <f>SUMIFS(Tab_03.Mar[MOVIMENTO],Tab_03.Mar[CONTA],$F63)</f>
        <v>0</v>
      </c>
      <c r="K63" s="4">
        <f>SUMIFS(Tab_04.Abr[MOVIMENTO],Tab_04.Abr[CONTA],$F63)</f>
        <v>0</v>
      </c>
      <c r="L63" s="4">
        <f>SUMIFS(Tab_05.Mai[MOVIMENTO],Tab_05.Mai[CONTA],$F63)</f>
        <v>0</v>
      </c>
      <c r="M63" s="4">
        <f>SUMIFS(Tab_06.Jun[MOVIMENTO],Tab_06.Jun[CONTA],$F63)</f>
        <v>0</v>
      </c>
      <c r="N63" s="4">
        <f>SUMIFS(Tab_07.Jul[MOVIMENTO],Tab_07.Jul[CONTA],$F63)</f>
        <v>0</v>
      </c>
      <c r="O63" s="4">
        <f>SUMIFS(Tab_08.Ago[MOVIMENTO],Tab_08.Ago[CONTA],$F63)</f>
        <v>0</v>
      </c>
      <c r="P63" s="4">
        <f>SUMIFS(Tab_09.Set[MOVIMENTO],Tab_09.Set[CONTA],$F63)</f>
        <v>0</v>
      </c>
      <c r="Q63" s="4">
        <f>SUMIFS(Tab_10.Out[MOVIMENTO],Tab_10.Out[CONTA],$F63)</f>
        <v>0</v>
      </c>
      <c r="R63" s="4">
        <f>SUMIFS(Tab_11.Nov[MOVIMENTO],Tab_11.Nov[CONTA],$F63)</f>
        <v>0</v>
      </c>
      <c r="S63" s="4">
        <f>SUMIFS(Tab_12.Dez[MOVIMENTO],Tab_12.Dez[CONTA],$F63)</f>
        <v>0</v>
      </c>
    </row>
    <row r="64" spans="2:19" x14ac:dyDescent="0.3">
      <c r="B64" s="3"/>
      <c r="C64" s="2" t="str">
        <f t="shared" si="9"/>
        <v>A</v>
      </c>
      <c r="D64" s="2" t="str">
        <f t="shared" si="10"/>
        <v>S</v>
      </c>
      <c r="E64" s="2">
        <f t="shared" si="11"/>
        <v>5</v>
      </c>
      <c r="F64" s="3" t="s">
        <v>557</v>
      </c>
      <c r="G64" s="3" t="s">
        <v>309</v>
      </c>
      <c r="H64" s="4">
        <f>SUMIFS(Tab_01.Jan[MOVIMENTO],Tab_01.Jan[CONTA],$F64)</f>
        <v>95912</v>
      </c>
      <c r="I64" s="4">
        <f>SUMIFS(Tab_02.Fev[MOVIMENTO],Tab_02.Fev[CONTA],$F64)</f>
        <v>0</v>
      </c>
      <c r="J64" s="4">
        <f>SUMIFS(Tab_03.Mar[MOVIMENTO],Tab_03.Mar[CONTA],$F64)</f>
        <v>218369.61</v>
      </c>
      <c r="K64" s="4">
        <f>SUMIFS(Tab_04.Abr[MOVIMENTO],Tab_04.Abr[CONTA],$F64)</f>
        <v>-114819.6</v>
      </c>
      <c r="L64" s="4">
        <f>SUMIFS(Tab_05.Mai[MOVIMENTO],Tab_05.Mai[CONTA],$F64)</f>
        <v>239696.34</v>
      </c>
      <c r="M64" s="4">
        <f>SUMIFS(Tab_06.Jun[MOVIMENTO],Tab_06.Jun[CONTA],$F64)</f>
        <v>336840.39</v>
      </c>
      <c r="N64" s="4">
        <f>SUMIFS(Tab_07.Jul[MOVIMENTO],Tab_07.Jul[CONTA],$F64)</f>
        <v>336840.39</v>
      </c>
      <c r="O64" s="4">
        <f>SUMIFS(Tab_08.Ago[MOVIMENTO],Tab_08.Ago[CONTA],$F64)</f>
        <v>336840.39</v>
      </c>
      <c r="P64" s="4">
        <f>SUMIFS(Tab_09.Set[MOVIMENTO],Tab_09.Set[CONTA],$F64)</f>
        <v>59394</v>
      </c>
      <c r="Q64" s="4">
        <f>SUMIFS(Tab_10.Out[MOVIMENTO],Tab_10.Out[CONTA],$F64)</f>
        <v>110402</v>
      </c>
      <c r="R64" s="4">
        <f>SUMIFS(Tab_11.Nov[MOVIMENTO],Tab_11.Nov[CONTA],$F64)</f>
        <v>244237</v>
      </c>
      <c r="S64" s="4">
        <f>SUMIFS(Tab_12.Dez[MOVIMENTO],Tab_12.Dez[CONTA],$F64)</f>
        <v>-139449</v>
      </c>
    </row>
    <row r="65" spans="2:19" x14ac:dyDescent="0.3">
      <c r="B65" s="3" t="s">
        <v>92</v>
      </c>
      <c r="C65" s="2" t="str">
        <f t="shared" si="9"/>
        <v>A</v>
      </c>
      <c r="D65" s="2" t="str">
        <f t="shared" si="10"/>
        <v>A</v>
      </c>
      <c r="E65" s="2">
        <f t="shared" si="11"/>
        <v>5</v>
      </c>
      <c r="F65" s="3" t="s">
        <v>308</v>
      </c>
      <c r="G65" s="3" t="s">
        <v>309</v>
      </c>
      <c r="H65" s="4">
        <f>SUMIFS(Tab_01.Jan[MOVIMENTO],Tab_01.Jan[CONTA],$F65)</f>
        <v>95912</v>
      </c>
      <c r="I65" s="4">
        <f>SUMIFS(Tab_02.Fev[MOVIMENTO],Tab_02.Fev[CONTA],$F65)</f>
        <v>0</v>
      </c>
      <c r="J65" s="4">
        <f>SUMIFS(Tab_03.Mar[MOVIMENTO],Tab_03.Mar[CONTA],$F65)</f>
        <v>218369.61</v>
      </c>
      <c r="K65" s="4">
        <f>SUMIFS(Tab_04.Abr[MOVIMENTO],Tab_04.Abr[CONTA],$F65)</f>
        <v>-114819.6</v>
      </c>
      <c r="L65" s="4">
        <f>SUMIFS(Tab_05.Mai[MOVIMENTO],Tab_05.Mai[CONTA],$F65)</f>
        <v>239696.34</v>
      </c>
      <c r="M65" s="4">
        <f>SUMIFS(Tab_06.Jun[MOVIMENTO],Tab_06.Jun[CONTA],$F65)</f>
        <v>336840.39</v>
      </c>
      <c r="N65" s="4">
        <f>SUMIFS(Tab_07.Jul[MOVIMENTO],Tab_07.Jul[CONTA],$F65)</f>
        <v>336840.39</v>
      </c>
      <c r="O65" s="4">
        <f>SUMIFS(Tab_08.Ago[MOVIMENTO],Tab_08.Ago[CONTA],$F65)</f>
        <v>336840.39</v>
      </c>
      <c r="P65" s="4">
        <f>SUMIFS(Tab_09.Set[MOVIMENTO],Tab_09.Set[CONTA],$F65)</f>
        <v>59394</v>
      </c>
      <c r="Q65" s="4">
        <f>SUMIFS(Tab_10.Out[MOVIMENTO],Tab_10.Out[CONTA],$F65)</f>
        <v>110402</v>
      </c>
      <c r="R65" s="4">
        <f>SUMIFS(Tab_11.Nov[MOVIMENTO],Tab_11.Nov[CONTA],$F65)</f>
        <v>244237</v>
      </c>
      <c r="S65" s="4">
        <f>SUMIFS(Tab_12.Dez[MOVIMENTO],Tab_12.Dez[CONTA],$F65)</f>
        <v>-139449</v>
      </c>
    </row>
    <row r="66" spans="2:19" x14ac:dyDescent="0.3">
      <c r="B66" s="3"/>
      <c r="C66" s="2" t="str">
        <f t="shared" si="9"/>
        <v>A</v>
      </c>
      <c r="D66" s="2" t="str">
        <f t="shared" si="10"/>
        <v>S</v>
      </c>
      <c r="E66" s="2">
        <f t="shared" si="11"/>
        <v>5</v>
      </c>
      <c r="F66" s="3" t="s">
        <v>213</v>
      </c>
      <c r="G66" s="3" t="s">
        <v>35</v>
      </c>
      <c r="H66" s="4">
        <f>SUMIFS(Tab_01.Jan[MOVIMENTO],Tab_01.Jan[CONTA],$F66)</f>
        <v>13494.69</v>
      </c>
      <c r="I66" s="4">
        <f>SUMIFS(Tab_02.Fev[MOVIMENTO],Tab_02.Fev[CONTA],$F66)</f>
        <v>0</v>
      </c>
      <c r="J66" s="4">
        <f>SUMIFS(Tab_03.Mar[MOVIMENTO],Tab_03.Mar[CONTA],$F66)</f>
        <v>14921.84</v>
      </c>
      <c r="K66" s="4">
        <f>SUMIFS(Tab_04.Abr[MOVIMENTO],Tab_04.Abr[CONTA],$F66)</f>
        <v>16504.32</v>
      </c>
      <c r="L66" s="4">
        <f>SUMIFS(Tab_05.Mai[MOVIMENTO],Tab_05.Mai[CONTA],$F66)</f>
        <v>15739.04</v>
      </c>
      <c r="M66" s="4">
        <f>SUMIFS(Tab_06.Jun[MOVIMENTO],Tab_06.Jun[CONTA],$F66)</f>
        <v>-3666.75</v>
      </c>
      <c r="N66" s="4">
        <f>SUMIFS(Tab_07.Jul[MOVIMENTO],Tab_07.Jul[CONTA],$F66)</f>
        <v>-3666.75</v>
      </c>
      <c r="O66" s="4">
        <f>SUMIFS(Tab_08.Ago[MOVIMENTO],Tab_08.Ago[CONTA],$F66)</f>
        <v>-3666.75</v>
      </c>
      <c r="P66" s="4">
        <f>SUMIFS(Tab_09.Set[MOVIMENTO],Tab_09.Set[CONTA],$F66)</f>
        <v>-3666.75</v>
      </c>
      <c r="Q66" s="4">
        <f>SUMIFS(Tab_10.Out[MOVIMENTO],Tab_10.Out[CONTA],$F66)</f>
        <v>-3666.75</v>
      </c>
      <c r="R66" s="4">
        <f>SUMIFS(Tab_11.Nov[MOVIMENTO],Tab_11.Nov[CONTA],$F66)</f>
        <v>-2326.75</v>
      </c>
      <c r="S66" s="4">
        <f>SUMIFS(Tab_12.Dez[MOVIMENTO],Tab_12.Dez[CONTA],$F66)</f>
        <v>1339.53</v>
      </c>
    </row>
    <row r="67" spans="2:19" x14ac:dyDescent="0.3">
      <c r="B67" s="3"/>
      <c r="C67" s="2" t="str">
        <f t="shared" si="9"/>
        <v>A</v>
      </c>
      <c r="D67" s="2" t="str">
        <f t="shared" si="10"/>
        <v>S</v>
      </c>
      <c r="E67" s="2">
        <f t="shared" si="11"/>
        <v>5</v>
      </c>
      <c r="F67" s="3" t="s">
        <v>214</v>
      </c>
      <c r="G67" s="3" t="s">
        <v>651</v>
      </c>
      <c r="H67" s="4">
        <f>SUMIFS(Tab_01.Jan[MOVIMENTO],Tab_01.Jan[CONTA],$F67)</f>
        <v>18858.79</v>
      </c>
      <c r="I67" s="4">
        <f>SUMIFS(Tab_02.Fev[MOVIMENTO],Tab_02.Fev[CONTA],$F67)</f>
        <v>0</v>
      </c>
      <c r="J67" s="4">
        <f>SUMIFS(Tab_03.Mar[MOVIMENTO],Tab_03.Mar[CONTA],$F67)</f>
        <v>18588.89</v>
      </c>
      <c r="K67" s="4">
        <f>SUMIFS(Tab_04.Abr[MOVIMENTO],Tab_04.Abr[CONTA],$F67)</f>
        <v>20171.37</v>
      </c>
      <c r="L67" s="4">
        <f>SUMIFS(Tab_05.Mai[MOVIMENTO],Tab_05.Mai[CONTA],$F67)</f>
        <v>19406.09</v>
      </c>
      <c r="M67" s="4">
        <f>SUMIFS(Tab_06.Jun[MOVIMENTO],Tab_06.Jun[CONTA],$F67)</f>
        <v>0</v>
      </c>
      <c r="N67" s="4">
        <f>SUMIFS(Tab_07.Jul[MOVIMENTO],Tab_07.Jul[CONTA],$F67)</f>
        <v>0</v>
      </c>
      <c r="O67" s="4">
        <f>SUMIFS(Tab_08.Ago[MOVIMENTO],Tab_08.Ago[CONTA],$F67)</f>
        <v>0</v>
      </c>
      <c r="P67" s="4">
        <f>SUMIFS(Tab_09.Set[MOVIMENTO],Tab_09.Set[CONTA],$F67)</f>
        <v>0</v>
      </c>
      <c r="Q67" s="4">
        <f>SUMIFS(Tab_10.Out[MOVIMENTO],Tab_10.Out[CONTA],$F67)</f>
        <v>0</v>
      </c>
      <c r="R67" s="4">
        <f>SUMIFS(Tab_11.Nov[MOVIMENTO],Tab_11.Nov[CONTA],$F67)</f>
        <v>1340</v>
      </c>
      <c r="S67" s="4">
        <f>SUMIFS(Tab_12.Dez[MOVIMENTO],Tab_12.Dez[CONTA],$F67)</f>
        <v>5006.28</v>
      </c>
    </row>
    <row r="68" spans="2:19" x14ac:dyDescent="0.3">
      <c r="B68" s="3" t="s">
        <v>118</v>
      </c>
      <c r="C68" s="2" t="str">
        <f t="shared" si="9"/>
        <v>A</v>
      </c>
      <c r="D68" s="2" t="str">
        <f t="shared" si="10"/>
        <v>A</v>
      </c>
      <c r="E68" s="2">
        <f t="shared" si="11"/>
        <v>5</v>
      </c>
      <c r="F68" s="3" t="s">
        <v>310</v>
      </c>
      <c r="G68" s="3" t="s">
        <v>311</v>
      </c>
      <c r="H68" s="4">
        <f>SUMIFS(Tab_01.Jan[MOVIMENTO],Tab_01.Jan[CONTA],$F68)</f>
        <v>0</v>
      </c>
      <c r="I68" s="4">
        <f>SUMIFS(Tab_02.Fev[MOVIMENTO],Tab_02.Fev[CONTA],$F68)</f>
        <v>0</v>
      </c>
      <c r="J68" s="4">
        <f>SUMIFS(Tab_03.Mar[MOVIMENTO],Tab_03.Mar[CONTA],$F68)</f>
        <v>0</v>
      </c>
      <c r="K68" s="4">
        <f>SUMIFS(Tab_04.Abr[MOVIMENTO],Tab_04.Abr[CONTA],$F68)</f>
        <v>0</v>
      </c>
      <c r="L68" s="4">
        <f>SUMIFS(Tab_05.Mai[MOVIMENTO],Tab_05.Mai[CONTA],$F68)</f>
        <v>0</v>
      </c>
      <c r="M68" s="4">
        <f>SUMIFS(Tab_06.Jun[MOVIMENTO],Tab_06.Jun[CONTA],$F68)</f>
        <v>0</v>
      </c>
      <c r="N68" s="4">
        <f>SUMIFS(Tab_07.Jul[MOVIMENTO],Tab_07.Jul[CONTA],$F68)</f>
        <v>0</v>
      </c>
      <c r="O68" s="4">
        <f>SUMIFS(Tab_08.Ago[MOVIMENTO],Tab_08.Ago[CONTA],$F68)</f>
        <v>0</v>
      </c>
      <c r="P68" s="4">
        <f>SUMIFS(Tab_09.Set[MOVIMENTO],Tab_09.Set[CONTA],$F68)</f>
        <v>0</v>
      </c>
      <c r="Q68" s="4">
        <f>SUMIFS(Tab_10.Out[MOVIMENTO],Tab_10.Out[CONTA],$F68)</f>
        <v>0</v>
      </c>
      <c r="R68" s="4">
        <f>SUMIFS(Tab_11.Nov[MOVIMENTO],Tab_11.Nov[CONTA],$F68)</f>
        <v>0</v>
      </c>
      <c r="S68" s="4">
        <f>SUMIFS(Tab_12.Dez[MOVIMENTO],Tab_12.Dez[CONTA],$F68)</f>
        <v>0</v>
      </c>
    </row>
    <row r="69" spans="2:19" x14ac:dyDescent="0.3">
      <c r="B69" s="3" t="s">
        <v>118</v>
      </c>
      <c r="C69" s="2" t="str">
        <f t="shared" si="9"/>
        <v>A</v>
      </c>
      <c r="D69" s="2" t="str">
        <f t="shared" si="10"/>
        <v>A</v>
      </c>
      <c r="E69" s="2">
        <f t="shared" si="11"/>
        <v>5</v>
      </c>
      <c r="F69" s="3" t="s">
        <v>312</v>
      </c>
      <c r="G69" s="3" t="s">
        <v>313</v>
      </c>
      <c r="H69" s="4">
        <f>SUMIFS(Tab_01.Jan[MOVIMENTO],Tab_01.Jan[CONTA],$F69)</f>
        <v>18858.79</v>
      </c>
      <c r="I69" s="4">
        <f>SUMIFS(Tab_02.Fev[MOVIMENTO],Tab_02.Fev[CONTA],$F69)</f>
        <v>0</v>
      </c>
      <c r="J69" s="4">
        <f>SUMIFS(Tab_03.Mar[MOVIMENTO],Tab_03.Mar[CONTA],$F69)</f>
        <v>18588.89</v>
      </c>
      <c r="K69" s="4">
        <f>SUMIFS(Tab_04.Abr[MOVIMENTO],Tab_04.Abr[CONTA],$F69)</f>
        <v>19219.09</v>
      </c>
      <c r="L69" s="4">
        <f>SUMIFS(Tab_05.Mai[MOVIMENTO],Tab_05.Mai[CONTA],$F69)</f>
        <v>18588.89</v>
      </c>
      <c r="M69" s="4">
        <f>SUMIFS(Tab_06.Jun[MOVIMENTO],Tab_06.Jun[CONTA],$F69)</f>
        <v>0</v>
      </c>
      <c r="N69" s="4">
        <f>SUMIFS(Tab_07.Jul[MOVIMENTO],Tab_07.Jul[CONTA],$F69)</f>
        <v>0</v>
      </c>
      <c r="O69" s="4">
        <f>SUMIFS(Tab_08.Ago[MOVIMENTO],Tab_08.Ago[CONTA],$F69)</f>
        <v>0</v>
      </c>
      <c r="P69" s="4">
        <f>SUMIFS(Tab_09.Set[MOVIMENTO],Tab_09.Set[CONTA],$F69)</f>
        <v>0</v>
      </c>
      <c r="Q69" s="4">
        <f>SUMIFS(Tab_10.Out[MOVIMENTO],Tab_10.Out[CONTA],$F69)</f>
        <v>0</v>
      </c>
      <c r="R69" s="4">
        <f>SUMIFS(Tab_11.Nov[MOVIMENTO],Tab_11.Nov[CONTA],$F69)</f>
        <v>0</v>
      </c>
      <c r="S69" s="4">
        <f>SUMIFS(Tab_12.Dez[MOVIMENTO],Tab_12.Dez[CONTA],$F69)</f>
        <v>3333.34</v>
      </c>
    </row>
    <row r="70" spans="2:19" x14ac:dyDescent="0.3">
      <c r="B70" s="3" t="s">
        <v>118</v>
      </c>
      <c r="C70" s="2" t="str">
        <f t="shared" si="9"/>
        <v>A</v>
      </c>
      <c r="D70" s="2" t="str">
        <f t="shared" si="10"/>
        <v>A</v>
      </c>
      <c r="E70" s="2">
        <f t="shared" si="11"/>
        <v>5</v>
      </c>
      <c r="F70" s="3" t="s">
        <v>181</v>
      </c>
      <c r="G70" s="3" t="s">
        <v>314</v>
      </c>
      <c r="H70" s="4">
        <f>SUMIFS(Tab_01.Jan[MOVIMENTO],Tab_01.Jan[CONTA],$F70)</f>
        <v>0</v>
      </c>
      <c r="I70" s="4">
        <f>SUMIFS(Tab_02.Fev[MOVIMENTO],Tab_02.Fev[CONTA],$F70)</f>
        <v>0</v>
      </c>
      <c r="J70" s="4">
        <f>SUMIFS(Tab_03.Mar[MOVIMENTO],Tab_03.Mar[CONTA],$F70)</f>
        <v>0</v>
      </c>
      <c r="K70" s="4">
        <f>SUMIFS(Tab_04.Abr[MOVIMENTO],Tab_04.Abr[CONTA],$F70)</f>
        <v>0</v>
      </c>
      <c r="L70" s="4">
        <f>SUMIFS(Tab_05.Mai[MOVIMENTO],Tab_05.Mai[CONTA],$F70)</f>
        <v>0</v>
      </c>
      <c r="M70" s="4">
        <f>SUMIFS(Tab_06.Jun[MOVIMENTO],Tab_06.Jun[CONTA],$F70)</f>
        <v>0</v>
      </c>
      <c r="N70" s="4">
        <f>SUMIFS(Tab_07.Jul[MOVIMENTO],Tab_07.Jul[CONTA],$F70)</f>
        <v>0</v>
      </c>
      <c r="O70" s="4">
        <f>SUMIFS(Tab_08.Ago[MOVIMENTO],Tab_08.Ago[CONTA],$F70)</f>
        <v>0</v>
      </c>
      <c r="P70" s="4">
        <f>SUMIFS(Tab_09.Set[MOVIMENTO],Tab_09.Set[CONTA],$F70)</f>
        <v>0</v>
      </c>
      <c r="Q70" s="4">
        <f>SUMIFS(Tab_10.Out[MOVIMENTO],Tab_10.Out[CONTA],$F70)</f>
        <v>0</v>
      </c>
      <c r="R70" s="4">
        <f>SUMIFS(Tab_11.Nov[MOVIMENTO],Tab_11.Nov[CONTA],$F70)</f>
        <v>0</v>
      </c>
      <c r="S70" s="4">
        <f>SUMIFS(Tab_12.Dez[MOVIMENTO],Tab_12.Dez[CONTA],$F70)</f>
        <v>0</v>
      </c>
    </row>
    <row r="71" spans="2:19" x14ac:dyDescent="0.3">
      <c r="B71" s="3" t="s">
        <v>118</v>
      </c>
      <c r="C71" s="2" t="str">
        <f t="shared" si="9"/>
        <v>A</v>
      </c>
      <c r="D71" s="2" t="str">
        <f t="shared" si="10"/>
        <v>A</v>
      </c>
      <c r="E71" s="2">
        <f t="shared" si="11"/>
        <v>5</v>
      </c>
      <c r="F71" s="3" t="s">
        <v>182</v>
      </c>
      <c r="G71" s="3" t="s">
        <v>315</v>
      </c>
      <c r="H71" s="4">
        <f>SUMIFS(Tab_01.Jan[MOVIMENTO],Tab_01.Jan[CONTA],$F71)</f>
        <v>0</v>
      </c>
      <c r="I71" s="4">
        <f>SUMIFS(Tab_02.Fev[MOVIMENTO],Tab_02.Fev[CONTA],$F71)</f>
        <v>0</v>
      </c>
      <c r="J71" s="4">
        <f>SUMIFS(Tab_03.Mar[MOVIMENTO],Tab_03.Mar[CONTA],$F71)</f>
        <v>0</v>
      </c>
      <c r="K71" s="4">
        <f>SUMIFS(Tab_04.Abr[MOVIMENTO],Tab_04.Abr[CONTA],$F71)</f>
        <v>0</v>
      </c>
      <c r="L71" s="4">
        <f>SUMIFS(Tab_05.Mai[MOVIMENTO],Tab_05.Mai[CONTA],$F71)</f>
        <v>0</v>
      </c>
      <c r="M71" s="4">
        <f>SUMIFS(Tab_06.Jun[MOVIMENTO],Tab_06.Jun[CONTA],$F71)</f>
        <v>0</v>
      </c>
      <c r="N71" s="4">
        <f>SUMIFS(Tab_07.Jul[MOVIMENTO],Tab_07.Jul[CONTA],$F71)</f>
        <v>0</v>
      </c>
      <c r="O71" s="4">
        <f>SUMIFS(Tab_08.Ago[MOVIMENTO],Tab_08.Ago[CONTA],$F71)</f>
        <v>0</v>
      </c>
      <c r="P71" s="4">
        <f>SUMIFS(Tab_09.Set[MOVIMENTO],Tab_09.Set[CONTA],$F71)</f>
        <v>0</v>
      </c>
      <c r="Q71" s="4">
        <f>SUMIFS(Tab_10.Out[MOVIMENTO],Tab_10.Out[CONTA],$F71)</f>
        <v>0</v>
      </c>
      <c r="R71" s="4">
        <f>SUMIFS(Tab_11.Nov[MOVIMENTO],Tab_11.Nov[CONTA],$F71)</f>
        <v>0</v>
      </c>
      <c r="S71" s="4">
        <f>SUMIFS(Tab_12.Dez[MOVIMENTO],Tab_12.Dez[CONTA],$F71)</f>
        <v>0</v>
      </c>
    </row>
    <row r="72" spans="2:19" x14ac:dyDescent="0.3">
      <c r="B72" s="3" t="s">
        <v>118</v>
      </c>
      <c r="C72" s="2" t="str">
        <f t="shared" si="9"/>
        <v>A</v>
      </c>
      <c r="D72" s="2" t="str">
        <f t="shared" si="10"/>
        <v>A</v>
      </c>
      <c r="E72" s="2">
        <f t="shared" si="11"/>
        <v>5</v>
      </c>
      <c r="F72" s="3" t="s">
        <v>183</v>
      </c>
      <c r="G72" s="3" t="s">
        <v>316</v>
      </c>
      <c r="H72" s="4">
        <f>SUMIFS(Tab_01.Jan[MOVIMENTO],Tab_01.Jan[CONTA],$F72)</f>
        <v>0</v>
      </c>
      <c r="I72" s="4">
        <f>SUMIFS(Tab_02.Fev[MOVIMENTO],Tab_02.Fev[CONTA],$F72)</f>
        <v>0</v>
      </c>
      <c r="J72" s="4">
        <f>SUMIFS(Tab_03.Mar[MOVIMENTO],Tab_03.Mar[CONTA],$F72)</f>
        <v>0</v>
      </c>
      <c r="K72" s="4">
        <f>SUMIFS(Tab_04.Abr[MOVIMENTO],Tab_04.Abr[CONTA],$F72)</f>
        <v>952.28</v>
      </c>
      <c r="L72" s="4">
        <f>SUMIFS(Tab_05.Mai[MOVIMENTO],Tab_05.Mai[CONTA],$F72)</f>
        <v>0</v>
      </c>
      <c r="M72" s="4">
        <f>SUMIFS(Tab_06.Jun[MOVIMENTO],Tab_06.Jun[CONTA],$F72)</f>
        <v>0</v>
      </c>
      <c r="N72" s="4">
        <f>SUMIFS(Tab_07.Jul[MOVIMENTO],Tab_07.Jul[CONTA],$F72)</f>
        <v>0</v>
      </c>
      <c r="O72" s="4">
        <f>SUMIFS(Tab_08.Ago[MOVIMENTO],Tab_08.Ago[CONTA],$F72)</f>
        <v>0</v>
      </c>
      <c r="P72" s="4">
        <f>SUMIFS(Tab_09.Set[MOVIMENTO],Tab_09.Set[CONTA],$F72)</f>
        <v>0</v>
      </c>
      <c r="Q72" s="4">
        <f>SUMIFS(Tab_10.Out[MOVIMENTO],Tab_10.Out[CONTA],$F72)</f>
        <v>0</v>
      </c>
      <c r="R72" s="4">
        <f>SUMIFS(Tab_11.Nov[MOVIMENTO],Tab_11.Nov[CONTA],$F72)</f>
        <v>0</v>
      </c>
      <c r="S72" s="4">
        <f>SUMIFS(Tab_12.Dez[MOVIMENTO],Tab_12.Dez[CONTA],$F72)</f>
        <v>1672.94</v>
      </c>
    </row>
    <row r="73" spans="2:19" x14ac:dyDescent="0.3">
      <c r="B73" s="3" t="s">
        <v>118</v>
      </c>
      <c r="C73" s="2" t="str">
        <f t="shared" si="9"/>
        <v>A</v>
      </c>
      <c r="D73" s="2" t="str">
        <f t="shared" si="10"/>
        <v>A</v>
      </c>
      <c r="E73" s="2">
        <f t="shared" si="11"/>
        <v>5</v>
      </c>
      <c r="F73" s="3" t="s">
        <v>317</v>
      </c>
      <c r="G73" s="3" t="s">
        <v>318</v>
      </c>
      <c r="H73" s="4">
        <f>SUMIFS(Tab_01.Jan[MOVIMENTO],Tab_01.Jan[CONTA],$F73)</f>
        <v>0</v>
      </c>
      <c r="I73" s="4">
        <f>SUMIFS(Tab_02.Fev[MOVIMENTO],Tab_02.Fev[CONTA],$F73)</f>
        <v>0</v>
      </c>
      <c r="J73" s="4">
        <f>SUMIFS(Tab_03.Mar[MOVIMENTO],Tab_03.Mar[CONTA],$F73)</f>
        <v>0</v>
      </c>
      <c r="K73" s="4">
        <f>SUMIFS(Tab_04.Abr[MOVIMENTO],Tab_04.Abr[CONTA],$F73)</f>
        <v>0</v>
      </c>
      <c r="L73" s="4">
        <f>SUMIFS(Tab_05.Mai[MOVIMENTO],Tab_05.Mai[CONTA],$F73)</f>
        <v>0</v>
      </c>
      <c r="M73" s="4">
        <f>SUMIFS(Tab_06.Jun[MOVIMENTO],Tab_06.Jun[CONTA],$F73)</f>
        <v>0</v>
      </c>
      <c r="N73" s="4">
        <f>SUMIFS(Tab_07.Jul[MOVIMENTO],Tab_07.Jul[CONTA],$F73)</f>
        <v>0</v>
      </c>
      <c r="O73" s="4">
        <f>SUMIFS(Tab_08.Ago[MOVIMENTO],Tab_08.Ago[CONTA],$F73)</f>
        <v>0</v>
      </c>
      <c r="P73" s="4">
        <f>SUMIFS(Tab_09.Set[MOVIMENTO],Tab_09.Set[CONTA],$F73)</f>
        <v>0</v>
      </c>
      <c r="Q73" s="4">
        <f>SUMIFS(Tab_10.Out[MOVIMENTO],Tab_10.Out[CONTA],$F73)</f>
        <v>0</v>
      </c>
      <c r="R73" s="4">
        <f>SUMIFS(Tab_11.Nov[MOVIMENTO],Tab_11.Nov[CONTA],$F73)</f>
        <v>1340</v>
      </c>
      <c r="S73" s="4">
        <f>SUMIFS(Tab_12.Dez[MOVIMENTO],Tab_12.Dez[CONTA],$F73)</f>
        <v>0</v>
      </c>
    </row>
    <row r="74" spans="2:19" x14ac:dyDescent="0.3">
      <c r="B74" s="3" t="s">
        <v>118</v>
      </c>
      <c r="C74" s="2" t="str">
        <f t="shared" si="9"/>
        <v>A</v>
      </c>
      <c r="D74" s="2" t="str">
        <f t="shared" si="10"/>
        <v>A</v>
      </c>
      <c r="E74" s="2">
        <f t="shared" si="11"/>
        <v>5</v>
      </c>
      <c r="F74" s="3" t="s">
        <v>184</v>
      </c>
      <c r="G74" s="3" t="s">
        <v>319</v>
      </c>
      <c r="H74" s="4">
        <f>SUMIFS(Tab_01.Jan[MOVIMENTO],Tab_01.Jan[CONTA],$F74)</f>
        <v>0</v>
      </c>
      <c r="I74" s="4">
        <f>SUMIFS(Tab_02.Fev[MOVIMENTO],Tab_02.Fev[CONTA],$F74)</f>
        <v>0</v>
      </c>
      <c r="J74" s="4">
        <f>SUMIFS(Tab_03.Mar[MOVIMENTO],Tab_03.Mar[CONTA],$F74)</f>
        <v>0</v>
      </c>
      <c r="K74" s="4">
        <f>SUMIFS(Tab_04.Abr[MOVIMENTO],Tab_04.Abr[CONTA],$F74)</f>
        <v>0</v>
      </c>
      <c r="L74" s="4">
        <f>SUMIFS(Tab_05.Mai[MOVIMENTO],Tab_05.Mai[CONTA],$F74)</f>
        <v>0</v>
      </c>
      <c r="M74" s="4">
        <f>SUMIFS(Tab_06.Jun[MOVIMENTO],Tab_06.Jun[CONTA],$F74)</f>
        <v>0</v>
      </c>
      <c r="N74" s="4">
        <f>SUMIFS(Tab_07.Jul[MOVIMENTO],Tab_07.Jul[CONTA],$F74)</f>
        <v>0</v>
      </c>
      <c r="O74" s="4">
        <f>SUMIFS(Tab_08.Ago[MOVIMENTO],Tab_08.Ago[CONTA],$F74)</f>
        <v>0</v>
      </c>
      <c r="P74" s="4">
        <f>SUMIFS(Tab_09.Set[MOVIMENTO],Tab_09.Set[CONTA],$F74)</f>
        <v>0</v>
      </c>
      <c r="Q74" s="4">
        <f>SUMIFS(Tab_10.Out[MOVIMENTO],Tab_10.Out[CONTA],$F74)</f>
        <v>0</v>
      </c>
      <c r="R74" s="4">
        <f>SUMIFS(Tab_11.Nov[MOVIMENTO],Tab_11.Nov[CONTA],$F74)</f>
        <v>0</v>
      </c>
      <c r="S74" s="4">
        <f>SUMIFS(Tab_12.Dez[MOVIMENTO],Tab_12.Dez[CONTA],$F74)</f>
        <v>0</v>
      </c>
    </row>
    <row r="75" spans="2:19" x14ac:dyDescent="0.3">
      <c r="B75" s="3" t="s">
        <v>118</v>
      </c>
      <c r="C75" s="2" t="str">
        <f t="shared" si="9"/>
        <v>A</v>
      </c>
      <c r="D75" s="2" t="str">
        <f t="shared" si="10"/>
        <v>A</v>
      </c>
      <c r="E75" s="2">
        <f t="shared" si="11"/>
        <v>5</v>
      </c>
      <c r="F75" s="3" t="s">
        <v>185</v>
      </c>
      <c r="G75" s="3" t="s">
        <v>320</v>
      </c>
      <c r="H75" s="4">
        <f>SUMIFS(Tab_01.Jan[MOVIMENTO],Tab_01.Jan[CONTA],$F75)</f>
        <v>0</v>
      </c>
      <c r="I75" s="4">
        <f>SUMIFS(Tab_02.Fev[MOVIMENTO],Tab_02.Fev[CONTA],$F75)</f>
        <v>0</v>
      </c>
      <c r="J75" s="4">
        <f>SUMIFS(Tab_03.Mar[MOVIMENTO],Tab_03.Mar[CONTA],$F75)</f>
        <v>0</v>
      </c>
      <c r="K75" s="4">
        <f>SUMIFS(Tab_04.Abr[MOVIMENTO],Tab_04.Abr[CONTA],$F75)</f>
        <v>0</v>
      </c>
      <c r="L75" s="4">
        <f>SUMIFS(Tab_05.Mai[MOVIMENTO],Tab_05.Mai[CONTA],$F75)</f>
        <v>0</v>
      </c>
      <c r="M75" s="4">
        <f>SUMIFS(Tab_06.Jun[MOVIMENTO],Tab_06.Jun[CONTA],$F75)</f>
        <v>0</v>
      </c>
      <c r="N75" s="4">
        <f>SUMIFS(Tab_07.Jul[MOVIMENTO],Tab_07.Jul[CONTA],$F75)</f>
        <v>0</v>
      </c>
      <c r="O75" s="4">
        <f>SUMIFS(Tab_08.Ago[MOVIMENTO],Tab_08.Ago[CONTA],$F75)</f>
        <v>0</v>
      </c>
      <c r="P75" s="4">
        <f>SUMIFS(Tab_09.Set[MOVIMENTO],Tab_09.Set[CONTA],$F75)</f>
        <v>0</v>
      </c>
      <c r="Q75" s="4">
        <f>SUMIFS(Tab_10.Out[MOVIMENTO],Tab_10.Out[CONTA],$F75)</f>
        <v>0</v>
      </c>
      <c r="R75" s="4">
        <f>SUMIFS(Tab_11.Nov[MOVIMENTO],Tab_11.Nov[CONTA],$F75)</f>
        <v>0</v>
      </c>
      <c r="S75" s="4">
        <f>SUMIFS(Tab_12.Dez[MOVIMENTO],Tab_12.Dez[CONTA],$F75)</f>
        <v>0</v>
      </c>
    </row>
    <row r="76" spans="2:19" x14ac:dyDescent="0.3">
      <c r="B76" s="3" t="s">
        <v>118</v>
      </c>
      <c r="C76" s="2" t="str">
        <f t="shared" si="9"/>
        <v>A</v>
      </c>
      <c r="D76" s="2" t="str">
        <f t="shared" si="10"/>
        <v>A</v>
      </c>
      <c r="E76" s="2">
        <f t="shared" si="11"/>
        <v>5</v>
      </c>
      <c r="F76" s="3" t="s">
        <v>321</v>
      </c>
      <c r="G76" s="3" t="s">
        <v>322</v>
      </c>
      <c r="H76" s="4">
        <f>SUMIFS(Tab_01.Jan[MOVIMENTO],Tab_01.Jan[CONTA],$F76)</f>
        <v>0</v>
      </c>
      <c r="I76" s="4">
        <f>SUMIFS(Tab_02.Fev[MOVIMENTO],Tab_02.Fev[CONTA],$F76)</f>
        <v>0</v>
      </c>
      <c r="J76" s="4">
        <f>SUMIFS(Tab_03.Mar[MOVIMENTO],Tab_03.Mar[CONTA],$F76)</f>
        <v>0</v>
      </c>
      <c r="K76" s="4">
        <f>SUMIFS(Tab_04.Abr[MOVIMENTO],Tab_04.Abr[CONTA],$F76)</f>
        <v>0</v>
      </c>
      <c r="L76" s="4">
        <f>SUMIFS(Tab_05.Mai[MOVIMENTO],Tab_05.Mai[CONTA],$F76)</f>
        <v>817.2</v>
      </c>
      <c r="M76" s="4">
        <f>SUMIFS(Tab_06.Jun[MOVIMENTO],Tab_06.Jun[CONTA],$F76)</f>
        <v>0</v>
      </c>
      <c r="N76" s="4">
        <f>SUMIFS(Tab_07.Jul[MOVIMENTO],Tab_07.Jul[CONTA],$F76)</f>
        <v>0</v>
      </c>
      <c r="O76" s="4">
        <f>SUMIFS(Tab_08.Ago[MOVIMENTO],Tab_08.Ago[CONTA],$F76)</f>
        <v>0</v>
      </c>
      <c r="P76" s="4">
        <f>SUMIFS(Tab_09.Set[MOVIMENTO],Tab_09.Set[CONTA],$F76)</f>
        <v>0</v>
      </c>
      <c r="Q76" s="4">
        <f>SUMIFS(Tab_10.Out[MOVIMENTO],Tab_10.Out[CONTA],$F76)</f>
        <v>0</v>
      </c>
      <c r="R76" s="4">
        <f>SUMIFS(Tab_11.Nov[MOVIMENTO],Tab_11.Nov[CONTA],$F76)</f>
        <v>0</v>
      </c>
      <c r="S76" s="4">
        <f>SUMIFS(Tab_12.Dez[MOVIMENTO],Tab_12.Dez[CONTA],$F76)</f>
        <v>0</v>
      </c>
    </row>
    <row r="77" spans="2:19" x14ac:dyDescent="0.3">
      <c r="B77" s="3"/>
      <c r="C77" s="2" t="str">
        <f t="shared" si="9"/>
        <v>A</v>
      </c>
      <c r="D77" s="2" t="str">
        <f t="shared" si="10"/>
        <v>S</v>
      </c>
      <c r="E77" s="2">
        <f t="shared" si="11"/>
        <v>5</v>
      </c>
      <c r="F77" s="3" t="s">
        <v>215</v>
      </c>
      <c r="G77" s="3" t="s">
        <v>652</v>
      </c>
      <c r="H77" s="4">
        <f>SUMIFS(Tab_01.Jan[MOVIMENTO],Tab_01.Jan[CONTA],$F77)</f>
        <v>-5364.1</v>
      </c>
      <c r="I77" s="4">
        <f>SUMIFS(Tab_02.Fev[MOVIMENTO],Tab_02.Fev[CONTA],$F77)</f>
        <v>0</v>
      </c>
      <c r="J77" s="4">
        <f>SUMIFS(Tab_03.Mar[MOVIMENTO],Tab_03.Mar[CONTA],$F77)</f>
        <v>-3667.05</v>
      </c>
      <c r="K77" s="4">
        <f>SUMIFS(Tab_04.Abr[MOVIMENTO],Tab_04.Abr[CONTA],$F77)</f>
        <v>-3667.05</v>
      </c>
      <c r="L77" s="4">
        <f>SUMIFS(Tab_05.Mai[MOVIMENTO],Tab_05.Mai[CONTA],$F77)</f>
        <v>-3667.05</v>
      </c>
      <c r="M77" s="4">
        <f>SUMIFS(Tab_06.Jun[MOVIMENTO],Tab_06.Jun[CONTA],$F77)</f>
        <v>-3666.75</v>
      </c>
      <c r="N77" s="4">
        <f>SUMIFS(Tab_07.Jul[MOVIMENTO],Tab_07.Jul[CONTA],$F77)</f>
        <v>-3666.75</v>
      </c>
      <c r="O77" s="4">
        <f>SUMIFS(Tab_08.Ago[MOVIMENTO],Tab_08.Ago[CONTA],$F77)</f>
        <v>-3666.75</v>
      </c>
      <c r="P77" s="4">
        <f>SUMIFS(Tab_09.Set[MOVIMENTO],Tab_09.Set[CONTA],$F77)</f>
        <v>-3666.75</v>
      </c>
      <c r="Q77" s="4">
        <f>SUMIFS(Tab_10.Out[MOVIMENTO],Tab_10.Out[CONTA],$F77)</f>
        <v>-3666.75</v>
      </c>
      <c r="R77" s="4">
        <f>SUMIFS(Tab_11.Nov[MOVIMENTO],Tab_11.Nov[CONTA],$F77)</f>
        <v>-3666.75</v>
      </c>
      <c r="S77" s="4">
        <f>SUMIFS(Tab_12.Dez[MOVIMENTO],Tab_12.Dez[CONTA],$F77)</f>
        <v>-3666.75</v>
      </c>
    </row>
    <row r="78" spans="2:19" x14ac:dyDescent="0.3">
      <c r="B78" s="3" t="s">
        <v>118</v>
      </c>
      <c r="C78" s="2" t="str">
        <f t="shared" si="9"/>
        <v>A</v>
      </c>
      <c r="D78" s="2" t="str">
        <f t="shared" si="10"/>
        <v>A</v>
      </c>
      <c r="E78" s="2">
        <f t="shared" si="11"/>
        <v>5</v>
      </c>
      <c r="F78" s="3" t="s">
        <v>186</v>
      </c>
      <c r="G78" s="3" t="s">
        <v>313</v>
      </c>
      <c r="H78" s="4">
        <f>SUMIFS(Tab_01.Jan[MOVIMENTO],Tab_01.Jan[CONTA],$F78)</f>
        <v>-2997.93</v>
      </c>
      <c r="I78" s="4">
        <f>SUMIFS(Tab_02.Fev[MOVIMENTO],Tab_02.Fev[CONTA],$F78)</f>
        <v>0</v>
      </c>
      <c r="J78" s="4">
        <f>SUMIFS(Tab_03.Mar[MOVIMENTO],Tab_03.Mar[CONTA],$F78)</f>
        <v>-2997.93</v>
      </c>
      <c r="K78" s="4">
        <f>SUMIFS(Tab_04.Abr[MOVIMENTO],Tab_04.Abr[CONTA],$F78)</f>
        <v>-2997.93</v>
      </c>
      <c r="L78" s="4">
        <f>SUMIFS(Tab_05.Mai[MOVIMENTO],Tab_05.Mai[CONTA],$F78)</f>
        <v>-2997.93</v>
      </c>
      <c r="M78" s="4">
        <f>SUMIFS(Tab_06.Jun[MOVIMENTO],Tab_06.Jun[CONTA],$F78)</f>
        <v>-2997.93</v>
      </c>
      <c r="N78" s="4">
        <f>SUMIFS(Tab_07.Jul[MOVIMENTO],Tab_07.Jul[CONTA],$F78)</f>
        <v>-2997.93</v>
      </c>
      <c r="O78" s="4">
        <f>SUMIFS(Tab_08.Ago[MOVIMENTO],Tab_08.Ago[CONTA],$F78)</f>
        <v>-2997.93</v>
      </c>
      <c r="P78" s="4">
        <f>SUMIFS(Tab_09.Set[MOVIMENTO],Tab_09.Set[CONTA],$F78)</f>
        <v>-2997.93</v>
      </c>
      <c r="Q78" s="4">
        <f>SUMIFS(Tab_10.Out[MOVIMENTO],Tab_10.Out[CONTA],$F78)</f>
        <v>-2997.93</v>
      </c>
      <c r="R78" s="4">
        <f>SUMIFS(Tab_11.Nov[MOVIMENTO],Tab_11.Nov[CONTA],$F78)</f>
        <v>-2997.93</v>
      </c>
      <c r="S78" s="4">
        <f>SUMIFS(Tab_12.Dez[MOVIMENTO],Tab_12.Dez[CONTA],$F78)</f>
        <v>-2997.93</v>
      </c>
    </row>
    <row r="79" spans="2:19" x14ac:dyDescent="0.3">
      <c r="B79" s="3" t="s">
        <v>118</v>
      </c>
      <c r="C79" s="2" t="str">
        <f t="shared" si="9"/>
        <v>A</v>
      </c>
      <c r="D79" s="2" t="str">
        <f t="shared" si="10"/>
        <v>A</v>
      </c>
      <c r="E79" s="2">
        <f t="shared" si="11"/>
        <v>5</v>
      </c>
      <c r="F79" s="3" t="s">
        <v>187</v>
      </c>
      <c r="G79" s="3" t="s">
        <v>314</v>
      </c>
      <c r="H79" s="4">
        <f>SUMIFS(Tab_01.Jan[MOVIMENTO],Tab_01.Jan[CONTA],$F79)</f>
        <v>-191.67</v>
      </c>
      <c r="I79" s="4">
        <f>SUMIFS(Tab_02.Fev[MOVIMENTO],Tab_02.Fev[CONTA],$F79)</f>
        <v>0</v>
      </c>
      <c r="J79" s="4">
        <f>SUMIFS(Tab_03.Mar[MOVIMENTO],Tab_03.Mar[CONTA],$F79)</f>
        <v>-191.67</v>
      </c>
      <c r="K79" s="4">
        <f>SUMIFS(Tab_04.Abr[MOVIMENTO],Tab_04.Abr[CONTA],$F79)</f>
        <v>-191.67</v>
      </c>
      <c r="L79" s="4">
        <f>SUMIFS(Tab_05.Mai[MOVIMENTO],Tab_05.Mai[CONTA],$F79)</f>
        <v>-191.67</v>
      </c>
      <c r="M79" s="4">
        <f>SUMIFS(Tab_06.Jun[MOVIMENTO],Tab_06.Jun[CONTA],$F79)</f>
        <v>-191.67</v>
      </c>
      <c r="N79" s="4">
        <f>SUMIFS(Tab_07.Jul[MOVIMENTO],Tab_07.Jul[CONTA],$F79)</f>
        <v>-191.67</v>
      </c>
      <c r="O79" s="4">
        <f>SUMIFS(Tab_08.Ago[MOVIMENTO],Tab_08.Ago[CONTA],$F79)</f>
        <v>-191.67</v>
      </c>
      <c r="P79" s="4">
        <f>SUMIFS(Tab_09.Set[MOVIMENTO],Tab_09.Set[CONTA],$F79)</f>
        <v>-191.67</v>
      </c>
      <c r="Q79" s="4">
        <f>SUMIFS(Tab_10.Out[MOVIMENTO],Tab_10.Out[CONTA],$F79)</f>
        <v>-191.67</v>
      </c>
      <c r="R79" s="4">
        <f>SUMIFS(Tab_11.Nov[MOVIMENTO],Tab_11.Nov[CONTA],$F79)</f>
        <v>-191.67</v>
      </c>
      <c r="S79" s="4">
        <f>SUMIFS(Tab_12.Dez[MOVIMENTO],Tab_12.Dez[CONTA],$F79)</f>
        <v>-191.67</v>
      </c>
    </row>
    <row r="80" spans="2:19" x14ac:dyDescent="0.3">
      <c r="B80" s="3" t="s">
        <v>118</v>
      </c>
      <c r="C80" s="2" t="str">
        <f t="shared" si="9"/>
        <v>A</v>
      </c>
      <c r="D80" s="2" t="str">
        <f t="shared" si="10"/>
        <v>A</v>
      </c>
      <c r="E80" s="2">
        <f t="shared" si="11"/>
        <v>5</v>
      </c>
      <c r="F80" s="3" t="s">
        <v>188</v>
      </c>
      <c r="G80" s="3" t="s">
        <v>315</v>
      </c>
      <c r="H80" s="4">
        <f>SUMIFS(Tab_01.Jan[MOVIMENTO],Tab_01.Jan[CONTA],$F80)</f>
        <v>-104.95</v>
      </c>
      <c r="I80" s="4">
        <f>SUMIFS(Tab_02.Fev[MOVIMENTO],Tab_02.Fev[CONTA],$F80)</f>
        <v>0</v>
      </c>
      <c r="J80" s="4">
        <f>SUMIFS(Tab_03.Mar[MOVIMENTO],Tab_03.Mar[CONTA],$F80)</f>
        <v>-104.95</v>
      </c>
      <c r="K80" s="4">
        <f>SUMIFS(Tab_04.Abr[MOVIMENTO],Tab_04.Abr[CONTA],$F80)</f>
        <v>-104.95</v>
      </c>
      <c r="L80" s="4">
        <f>SUMIFS(Tab_05.Mai[MOVIMENTO],Tab_05.Mai[CONTA],$F80)</f>
        <v>-104.95</v>
      </c>
      <c r="M80" s="4">
        <f>SUMIFS(Tab_06.Jun[MOVIMENTO],Tab_06.Jun[CONTA],$F80)</f>
        <v>-104.95</v>
      </c>
      <c r="N80" s="4">
        <f>SUMIFS(Tab_07.Jul[MOVIMENTO],Tab_07.Jul[CONTA],$F80)</f>
        <v>-104.95</v>
      </c>
      <c r="O80" s="4">
        <f>SUMIFS(Tab_08.Ago[MOVIMENTO],Tab_08.Ago[CONTA],$F80)</f>
        <v>-104.95</v>
      </c>
      <c r="P80" s="4">
        <f>SUMIFS(Tab_09.Set[MOVIMENTO],Tab_09.Set[CONTA],$F80)</f>
        <v>-104.95</v>
      </c>
      <c r="Q80" s="4">
        <f>SUMIFS(Tab_10.Out[MOVIMENTO],Tab_10.Out[CONTA],$F80)</f>
        <v>-104.95</v>
      </c>
      <c r="R80" s="4">
        <f>SUMIFS(Tab_11.Nov[MOVIMENTO],Tab_11.Nov[CONTA],$F80)</f>
        <v>-104.95</v>
      </c>
      <c r="S80" s="4">
        <f>SUMIFS(Tab_12.Dez[MOVIMENTO],Tab_12.Dez[CONTA],$F80)</f>
        <v>-104.95</v>
      </c>
    </row>
    <row r="81" spans="2:19" x14ac:dyDescent="0.3">
      <c r="B81" s="3" t="s">
        <v>118</v>
      </c>
      <c r="C81" s="2" t="str">
        <f t="shared" si="9"/>
        <v>A</v>
      </c>
      <c r="D81" s="2" t="str">
        <f t="shared" si="10"/>
        <v>A</v>
      </c>
      <c r="E81" s="2">
        <f t="shared" si="11"/>
        <v>5</v>
      </c>
      <c r="F81" s="3" t="s">
        <v>189</v>
      </c>
      <c r="G81" s="3" t="s">
        <v>316</v>
      </c>
      <c r="H81" s="4">
        <f>SUMIFS(Tab_01.Jan[MOVIMENTO],Tab_01.Jan[CONTA],$F81)</f>
        <v>-3366.2</v>
      </c>
      <c r="I81" s="4">
        <f>SUMIFS(Tab_02.Fev[MOVIMENTO],Tab_02.Fev[CONTA],$F81)</f>
        <v>0</v>
      </c>
      <c r="J81" s="4">
        <f>SUMIFS(Tab_03.Mar[MOVIMENTO],Tab_03.Mar[CONTA],$F81)</f>
        <v>0</v>
      </c>
      <c r="K81" s="4">
        <f>SUMIFS(Tab_04.Abr[MOVIMENTO],Tab_04.Abr[CONTA],$F81)</f>
        <v>0</v>
      </c>
      <c r="L81" s="4">
        <f>SUMIFS(Tab_05.Mai[MOVIMENTO],Tab_05.Mai[CONTA],$F81)</f>
        <v>0</v>
      </c>
      <c r="M81" s="4">
        <f>SUMIFS(Tab_06.Jun[MOVIMENTO],Tab_06.Jun[CONTA],$F81)</f>
        <v>0</v>
      </c>
      <c r="N81" s="4">
        <f>SUMIFS(Tab_07.Jul[MOVIMENTO],Tab_07.Jul[CONTA],$F81)</f>
        <v>0</v>
      </c>
      <c r="O81" s="4">
        <f>SUMIFS(Tab_08.Ago[MOVIMENTO],Tab_08.Ago[CONTA],$F81)</f>
        <v>0</v>
      </c>
      <c r="P81" s="4">
        <f>SUMIFS(Tab_09.Set[MOVIMENTO],Tab_09.Set[CONTA],$F81)</f>
        <v>0</v>
      </c>
      <c r="Q81" s="4">
        <f>SUMIFS(Tab_10.Out[MOVIMENTO],Tab_10.Out[CONTA],$F81)</f>
        <v>0</v>
      </c>
      <c r="R81" s="4">
        <f>SUMIFS(Tab_11.Nov[MOVIMENTO],Tab_11.Nov[CONTA],$F81)</f>
        <v>0</v>
      </c>
      <c r="S81" s="4">
        <f>SUMIFS(Tab_12.Dez[MOVIMENTO],Tab_12.Dez[CONTA],$F81)</f>
        <v>0</v>
      </c>
    </row>
    <row r="82" spans="2:19" x14ac:dyDescent="0.3">
      <c r="B82" s="3" t="s">
        <v>118</v>
      </c>
      <c r="C82" s="2" t="str">
        <f t="shared" si="9"/>
        <v>A</v>
      </c>
      <c r="D82" s="2" t="str">
        <f t="shared" si="10"/>
        <v>A</v>
      </c>
      <c r="E82" s="2">
        <f t="shared" si="11"/>
        <v>5</v>
      </c>
      <c r="F82" s="3" t="s">
        <v>190</v>
      </c>
      <c r="G82" s="3" t="s">
        <v>318</v>
      </c>
      <c r="H82" s="4">
        <f>SUMIFS(Tab_01.Jan[MOVIMENTO],Tab_01.Jan[CONTA],$F82)</f>
        <v>-122.5</v>
      </c>
      <c r="I82" s="4">
        <f>SUMIFS(Tab_02.Fev[MOVIMENTO],Tab_02.Fev[CONTA],$F82)</f>
        <v>0</v>
      </c>
      <c r="J82" s="4">
        <f>SUMIFS(Tab_03.Mar[MOVIMENTO],Tab_03.Mar[CONTA],$F82)</f>
        <v>-122.5</v>
      </c>
      <c r="K82" s="4">
        <f>SUMIFS(Tab_04.Abr[MOVIMENTO],Tab_04.Abr[CONTA],$F82)</f>
        <v>-122.5</v>
      </c>
      <c r="L82" s="4">
        <f>SUMIFS(Tab_05.Mai[MOVIMENTO],Tab_05.Mai[CONTA],$F82)</f>
        <v>-122.5</v>
      </c>
      <c r="M82" s="4">
        <f>SUMIFS(Tab_06.Jun[MOVIMENTO],Tab_06.Jun[CONTA],$F82)</f>
        <v>-122.2</v>
      </c>
      <c r="N82" s="4">
        <f>SUMIFS(Tab_07.Jul[MOVIMENTO],Tab_07.Jul[CONTA],$F82)</f>
        <v>-122.2</v>
      </c>
      <c r="O82" s="4">
        <f>SUMIFS(Tab_08.Ago[MOVIMENTO],Tab_08.Ago[CONTA],$F82)</f>
        <v>-122.2</v>
      </c>
      <c r="P82" s="4">
        <f>SUMIFS(Tab_09.Set[MOVIMENTO],Tab_09.Set[CONTA],$F82)</f>
        <v>-122.2</v>
      </c>
      <c r="Q82" s="4">
        <f>SUMIFS(Tab_10.Out[MOVIMENTO],Tab_10.Out[CONTA],$F82)</f>
        <v>-122.2</v>
      </c>
      <c r="R82" s="4">
        <f>SUMIFS(Tab_11.Nov[MOVIMENTO],Tab_11.Nov[CONTA],$F82)</f>
        <v>0</v>
      </c>
      <c r="S82" s="4">
        <f>SUMIFS(Tab_12.Dez[MOVIMENTO],Tab_12.Dez[CONTA],$F82)</f>
        <v>0</v>
      </c>
    </row>
    <row r="83" spans="2:19" x14ac:dyDescent="0.3">
      <c r="B83" s="3" t="s">
        <v>118</v>
      </c>
      <c r="C83" s="2" t="str">
        <f t="shared" si="9"/>
        <v>A</v>
      </c>
      <c r="D83" s="2" t="str">
        <f t="shared" si="10"/>
        <v>A</v>
      </c>
      <c r="E83" s="2">
        <f t="shared" si="11"/>
        <v>5</v>
      </c>
      <c r="F83" s="3" t="s">
        <v>323</v>
      </c>
      <c r="G83" s="3" t="s">
        <v>319</v>
      </c>
      <c r="H83" s="4">
        <f>SUMIFS(Tab_01.Jan[MOVIMENTO],Tab_01.Jan[CONTA],$F83)</f>
        <v>1669.15</v>
      </c>
      <c r="I83" s="4">
        <f>SUMIFS(Tab_02.Fev[MOVIMENTO],Tab_02.Fev[CONTA],$F83)</f>
        <v>0</v>
      </c>
      <c r="J83" s="4">
        <f>SUMIFS(Tab_03.Mar[MOVIMENTO],Tab_03.Mar[CONTA],$F83)</f>
        <v>0</v>
      </c>
      <c r="K83" s="4">
        <f>SUMIFS(Tab_04.Abr[MOVIMENTO],Tab_04.Abr[CONTA],$F83)</f>
        <v>0</v>
      </c>
      <c r="L83" s="4">
        <f>SUMIFS(Tab_05.Mai[MOVIMENTO],Tab_05.Mai[CONTA],$F83)</f>
        <v>0</v>
      </c>
      <c r="M83" s="4">
        <f>SUMIFS(Tab_06.Jun[MOVIMENTO],Tab_06.Jun[CONTA],$F83)</f>
        <v>0</v>
      </c>
      <c r="N83" s="4">
        <f>SUMIFS(Tab_07.Jul[MOVIMENTO],Tab_07.Jul[CONTA],$F83)</f>
        <v>0</v>
      </c>
      <c r="O83" s="4">
        <f>SUMIFS(Tab_08.Ago[MOVIMENTO],Tab_08.Ago[CONTA],$F83)</f>
        <v>0</v>
      </c>
      <c r="P83" s="4">
        <f>SUMIFS(Tab_09.Set[MOVIMENTO],Tab_09.Set[CONTA],$F83)</f>
        <v>0</v>
      </c>
      <c r="Q83" s="4">
        <f>SUMIFS(Tab_10.Out[MOVIMENTO],Tab_10.Out[CONTA],$F83)</f>
        <v>0</v>
      </c>
      <c r="R83" s="4">
        <f>SUMIFS(Tab_11.Nov[MOVIMENTO],Tab_11.Nov[CONTA],$F83)</f>
        <v>-122.2</v>
      </c>
      <c r="S83" s="4">
        <f>SUMIFS(Tab_12.Dez[MOVIMENTO],Tab_12.Dez[CONTA],$F83)</f>
        <v>-122.2</v>
      </c>
    </row>
    <row r="84" spans="2:19" x14ac:dyDescent="0.3">
      <c r="B84" s="3" t="s">
        <v>118</v>
      </c>
      <c r="C84" s="2" t="str">
        <f t="shared" si="9"/>
        <v>A</v>
      </c>
      <c r="D84" s="2" t="str">
        <f t="shared" si="10"/>
        <v>A</v>
      </c>
      <c r="E84" s="2">
        <f t="shared" si="11"/>
        <v>5</v>
      </c>
      <c r="F84" s="3" t="s">
        <v>324</v>
      </c>
      <c r="G84" s="3" t="s">
        <v>320</v>
      </c>
      <c r="H84" s="4">
        <f>SUMIFS(Tab_01.Jan[MOVIMENTO],Tab_01.Jan[CONTA],$F84)</f>
        <v>0</v>
      </c>
      <c r="I84" s="4">
        <f>SUMIFS(Tab_02.Fev[MOVIMENTO],Tab_02.Fev[CONTA],$F84)</f>
        <v>0</v>
      </c>
      <c r="J84" s="4">
        <f>SUMIFS(Tab_03.Mar[MOVIMENTO],Tab_03.Mar[CONTA],$F84)</f>
        <v>0</v>
      </c>
      <c r="K84" s="4">
        <f>SUMIFS(Tab_04.Abr[MOVIMENTO],Tab_04.Abr[CONTA],$F84)</f>
        <v>0</v>
      </c>
      <c r="L84" s="4">
        <f>SUMIFS(Tab_05.Mai[MOVIMENTO],Tab_05.Mai[CONTA],$F84)</f>
        <v>0</v>
      </c>
      <c r="M84" s="4">
        <f>SUMIFS(Tab_06.Jun[MOVIMENTO],Tab_06.Jun[CONTA],$F84)</f>
        <v>0</v>
      </c>
      <c r="N84" s="4">
        <f>SUMIFS(Tab_07.Jul[MOVIMENTO],Tab_07.Jul[CONTA],$F84)</f>
        <v>0</v>
      </c>
      <c r="O84" s="4">
        <f>SUMIFS(Tab_08.Ago[MOVIMENTO],Tab_08.Ago[CONTA],$F84)</f>
        <v>0</v>
      </c>
      <c r="P84" s="4">
        <f>SUMIFS(Tab_09.Set[MOVIMENTO],Tab_09.Set[CONTA],$F84)</f>
        <v>0</v>
      </c>
      <c r="Q84" s="4">
        <f>SUMIFS(Tab_10.Out[MOVIMENTO],Tab_10.Out[CONTA],$F84)</f>
        <v>0</v>
      </c>
      <c r="R84" s="4">
        <f>SUMIFS(Tab_11.Nov[MOVIMENTO],Tab_11.Nov[CONTA],$F84)</f>
        <v>0</v>
      </c>
      <c r="S84" s="4">
        <f>SUMIFS(Tab_12.Dez[MOVIMENTO],Tab_12.Dez[CONTA],$F84)</f>
        <v>0</v>
      </c>
    </row>
    <row r="85" spans="2:19" x14ac:dyDescent="0.3">
      <c r="B85" s="3" t="s">
        <v>118</v>
      </c>
      <c r="C85" s="2" t="str">
        <f t="shared" si="9"/>
        <v>A</v>
      </c>
      <c r="D85" s="2" t="str">
        <f t="shared" si="10"/>
        <v>A</v>
      </c>
      <c r="E85" s="2">
        <f t="shared" si="11"/>
        <v>5</v>
      </c>
      <c r="F85" s="3" t="s">
        <v>325</v>
      </c>
      <c r="G85" s="3" t="s">
        <v>322</v>
      </c>
      <c r="H85" s="4">
        <f>SUMIFS(Tab_01.Jan[MOVIMENTO],Tab_01.Jan[CONTA],$F85)</f>
        <v>-250</v>
      </c>
      <c r="I85" s="4">
        <f>SUMIFS(Tab_02.Fev[MOVIMENTO],Tab_02.Fev[CONTA],$F85)</f>
        <v>0</v>
      </c>
      <c r="J85" s="4">
        <f>SUMIFS(Tab_03.Mar[MOVIMENTO],Tab_03.Mar[CONTA],$F85)</f>
        <v>-250</v>
      </c>
      <c r="K85" s="4">
        <f>SUMIFS(Tab_04.Abr[MOVIMENTO],Tab_04.Abr[CONTA],$F85)</f>
        <v>-250</v>
      </c>
      <c r="L85" s="4">
        <f>SUMIFS(Tab_05.Mai[MOVIMENTO],Tab_05.Mai[CONTA],$F85)</f>
        <v>-250</v>
      </c>
      <c r="M85" s="4">
        <f>SUMIFS(Tab_06.Jun[MOVIMENTO],Tab_06.Jun[CONTA],$F85)</f>
        <v>-250</v>
      </c>
      <c r="N85" s="4">
        <f>SUMIFS(Tab_07.Jul[MOVIMENTO],Tab_07.Jul[CONTA],$F85)</f>
        <v>-250</v>
      </c>
      <c r="O85" s="4">
        <f>SUMIFS(Tab_08.Ago[MOVIMENTO],Tab_08.Ago[CONTA],$F85)</f>
        <v>-250</v>
      </c>
      <c r="P85" s="4">
        <f>SUMIFS(Tab_09.Set[MOVIMENTO],Tab_09.Set[CONTA],$F85)</f>
        <v>-250</v>
      </c>
      <c r="Q85" s="4">
        <f>SUMIFS(Tab_10.Out[MOVIMENTO],Tab_10.Out[CONTA],$F85)</f>
        <v>-250</v>
      </c>
      <c r="R85" s="4">
        <f>SUMIFS(Tab_11.Nov[MOVIMENTO],Tab_11.Nov[CONTA],$F85)</f>
        <v>-250</v>
      </c>
      <c r="S85" s="4">
        <f>SUMIFS(Tab_12.Dez[MOVIMENTO],Tab_12.Dez[CONTA],$F85)</f>
        <v>-250</v>
      </c>
    </row>
    <row r="86" spans="2:19" x14ac:dyDescent="0.3">
      <c r="B86" s="3"/>
      <c r="C86" s="2" t="str">
        <f t="shared" si="9"/>
        <v>P</v>
      </c>
      <c r="D86" s="2" t="str">
        <f t="shared" si="10"/>
        <v>S</v>
      </c>
      <c r="E86" s="2">
        <f t="shared" si="11"/>
        <v>1</v>
      </c>
      <c r="F86" s="3">
        <v>2</v>
      </c>
      <c r="G86" s="3" t="s">
        <v>653</v>
      </c>
      <c r="H86" s="4">
        <f>SUMIFS(Tab_01.Jan[MOVIMENTO],Tab_01.Jan[CONTA],$F86)</f>
        <v>-473832.45</v>
      </c>
      <c r="I86" s="4">
        <f>SUMIFS(Tab_02.Fev[MOVIMENTO],Tab_02.Fev[CONTA],$F86)</f>
        <v>810608.17</v>
      </c>
      <c r="J86" s="4">
        <f>SUMIFS(Tab_03.Mar[MOVIMENTO],Tab_03.Mar[CONTA],$F86)</f>
        <v>452196.63</v>
      </c>
      <c r="K86" s="4">
        <f>SUMIFS(Tab_04.Abr[MOVIMENTO],Tab_04.Abr[CONTA],$F86)</f>
        <v>-347197.14</v>
      </c>
      <c r="L86" s="4">
        <f>SUMIFS(Tab_05.Mai[MOVIMENTO],Tab_05.Mai[CONTA],$F86)</f>
        <v>127679</v>
      </c>
      <c r="M86" s="4">
        <f>SUMIFS(Tab_06.Jun[MOVIMENTO],Tab_06.Jun[CONTA],$F86)</f>
        <v>-134375.84</v>
      </c>
      <c r="N86" s="4">
        <f>SUMIFS(Tab_07.Jul[MOVIMENTO],Tab_07.Jul[CONTA],$F86)</f>
        <v>-134375.84</v>
      </c>
      <c r="O86" s="4">
        <f>SUMIFS(Tab_08.Ago[MOVIMENTO],Tab_08.Ago[CONTA],$F86)</f>
        <v>-134375.84</v>
      </c>
      <c r="P86" s="4">
        <f>SUMIFS(Tab_09.Set[MOVIMENTO],Tab_09.Set[CONTA],$F86)</f>
        <v>62705.120000000003</v>
      </c>
      <c r="Q86" s="4">
        <f>SUMIFS(Tab_10.Out[MOVIMENTO],Tab_10.Out[CONTA],$F86)</f>
        <v>1173.82</v>
      </c>
      <c r="R86" s="4">
        <f>SUMIFS(Tab_11.Nov[MOVIMENTO],Tab_11.Nov[CONTA],$F86)</f>
        <v>185563.39</v>
      </c>
      <c r="S86" s="4">
        <f>SUMIFS(Tab_12.Dez[MOVIMENTO],Tab_12.Dez[CONTA],$F86)</f>
        <v>-385153.55</v>
      </c>
    </row>
    <row r="87" spans="2:19" x14ac:dyDescent="0.3">
      <c r="B87" s="3"/>
      <c r="C87" s="2" t="str">
        <f t="shared" si="9"/>
        <v>P</v>
      </c>
      <c r="D87" s="2" t="str">
        <f t="shared" si="10"/>
        <v>S</v>
      </c>
      <c r="E87" s="2">
        <f t="shared" si="11"/>
        <v>2</v>
      </c>
      <c r="F87" s="3" t="s">
        <v>216</v>
      </c>
      <c r="G87" s="3" t="s">
        <v>31</v>
      </c>
      <c r="H87" s="4">
        <f>SUMIFS(Tab_01.Jan[MOVIMENTO],Tab_01.Jan[CONTA],$F87)</f>
        <v>-469350.71</v>
      </c>
      <c r="I87" s="4">
        <f>SUMIFS(Tab_02.Fev[MOVIMENTO],Tab_02.Fev[CONTA],$F87)</f>
        <v>810608.17</v>
      </c>
      <c r="J87" s="4">
        <f>SUMIFS(Tab_03.Mar[MOVIMENTO],Tab_03.Mar[CONTA],$F87)</f>
        <v>452196.63</v>
      </c>
      <c r="K87" s="4">
        <f>SUMIFS(Tab_04.Abr[MOVIMENTO],Tab_04.Abr[CONTA],$F87)</f>
        <v>-347197.14</v>
      </c>
      <c r="L87" s="4">
        <f>SUMIFS(Tab_05.Mai[MOVIMENTO],Tab_05.Mai[CONTA],$F87)</f>
        <v>127679</v>
      </c>
      <c r="M87" s="4">
        <f>SUMIFS(Tab_06.Jun[MOVIMENTO],Tab_06.Jun[CONTA],$F87)</f>
        <v>-134375.84</v>
      </c>
      <c r="N87" s="4">
        <f>SUMIFS(Tab_07.Jul[MOVIMENTO],Tab_07.Jul[CONTA],$F87)</f>
        <v>-134375.84</v>
      </c>
      <c r="O87" s="4">
        <f>SUMIFS(Tab_08.Ago[MOVIMENTO],Tab_08.Ago[CONTA],$F87)</f>
        <v>-134375.84</v>
      </c>
      <c r="P87" s="4">
        <f>SUMIFS(Tab_09.Set[MOVIMENTO],Tab_09.Set[CONTA],$F87)</f>
        <v>62705.120000000003</v>
      </c>
      <c r="Q87" s="4">
        <f>SUMIFS(Tab_10.Out[MOVIMENTO],Tab_10.Out[CONTA],$F87)</f>
        <v>1173.82</v>
      </c>
      <c r="R87" s="4">
        <f>SUMIFS(Tab_11.Nov[MOVIMENTO],Tab_11.Nov[CONTA],$F87)</f>
        <v>185563.39</v>
      </c>
      <c r="S87" s="4">
        <f>SUMIFS(Tab_12.Dez[MOVIMENTO],Tab_12.Dez[CONTA],$F87)</f>
        <v>605743.65</v>
      </c>
    </row>
    <row r="88" spans="2:19" x14ac:dyDescent="0.3">
      <c r="B88" s="3"/>
      <c r="C88" s="2" t="str">
        <f t="shared" si="9"/>
        <v>P</v>
      </c>
      <c r="D88" s="2" t="str">
        <f t="shared" si="10"/>
        <v>S</v>
      </c>
      <c r="E88" s="2">
        <f t="shared" si="11"/>
        <v>5</v>
      </c>
      <c r="F88" s="3" t="s">
        <v>558</v>
      </c>
      <c r="G88" s="3" t="s">
        <v>654</v>
      </c>
      <c r="H88" s="4">
        <f>SUMIFS(Tab_01.Jan[MOVIMENTO],Tab_01.Jan[CONTA],$F88)</f>
        <v>27292.639999999999</v>
      </c>
      <c r="I88" s="4">
        <f>SUMIFS(Tab_02.Fev[MOVIMENTO],Tab_02.Fev[CONTA],$F88)</f>
        <v>244093.97</v>
      </c>
      <c r="J88" s="4">
        <f>SUMIFS(Tab_03.Mar[MOVIMENTO],Tab_03.Mar[CONTA],$F88)</f>
        <v>-11331.53</v>
      </c>
      <c r="K88" s="4">
        <f>SUMIFS(Tab_04.Abr[MOVIMENTO],Tab_04.Abr[CONTA],$F88)</f>
        <v>-19393.759999999998</v>
      </c>
      <c r="L88" s="4">
        <f>SUMIFS(Tab_05.Mai[MOVIMENTO],Tab_05.Mai[CONTA],$F88)</f>
        <v>-25878.07</v>
      </c>
      <c r="M88" s="4">
        <f>SUMIFS(Tab_06.Jun[MOVIMENTO],Tab_06.Jun[CONTA],$F88)</f>
        <v>13382.8</v>
      </c>
      <c r="N88" s="4">
        <f>SUMIFS(Tab_07.Jul[MOVIMENTO],Tab_07.Jul[CONTA],$F88)</f>
        <v>13382.8</v>
      </c>
      <c r="O88" s="4">
        <f>SUMIFS(Tab_08.Ago[MOVIMENTO],Tab_08.Ago[CONTA],$F88)</f>
        <v>13382.8</v>
      </c>
      <c r="P88" s="4">
        <f>SUMIFS(Tab_09.Set[MOVIMENTO],Tab_09.Set[CONTA],$F88)</f>
        <v>12372.28</v>
      </c>
      <c r="Q88" s="4">
        <f>SUMIFS(Tab_10.Out[MOVIMENTO],Tab_10.Out[CONTA],$F88)</f>
        <v>-1650.46</v>
      </c>
      <c r="R88" s="4">
        <f>SUMIFS(Tab_11.Nov[MOVIMENTO],Tab_11.Nov[CONTA],$F88)</f>
        <v>-18751.77</v>
      </c>
      <c r="S88" s="4">
        <f>SUMIFS(Tab_12.Dez[MOVIMENTO],Tab_12.Dez[CONTA],$F88)</f>
        <v>103225.08</v>
      </c>
    </row>
    <row r="89" spans="2:19" x14ac:dyDescent="0.3">
      <c r="B89" s="3"/>
      <c r="C89" s="2" t="str">
        <f t="shared" si="9"/>
        <v>P</v>
      </c>
      <c r="D89" s="2" t="str">
        <f t="shared" si="10"/>
        <v>S</v>
      </c>
      <c r="E89" s="2">
        <f t="shared" si="11"/>
        <v>5</v>
      </c>
      <c r="F89" s="3" t="s">
        <v>559</v>
      </c>
      <c r="G89" s="3" t="s">
        <v>655</v>
      </c>
      <c r="H89" s="4">
        <f>SUMIFS(Tab_01.Jan[MOVIMENTO],Tab_01.Jan[CONTA],$F89)</f>
        <v>0</v>
      </c>
      <c r="I89" s="4">
        <f>SUMIFS(Tab_02.Fev[MOVIMENTO],Tab_02.Fev[CONTA],$F89)</f>
        <v>183790.11</v>
      </c>
      <c r="J89" s="4">
        <f>SUMIFS(Tab_03.Mar[MOVIMENTO],Tab_03.Mar[CONTA],$F89)</f>
        <v>0</v>
      </c>
      <c r="K89" s="4">
        <f>SUMIFS(Tab_04.Abr[MOVIMENTO],Tab_04.Abr[CONTA],$F89)</f>
        <v>0</v>
      </c>
      <c r="L89" s="4">
        <f>SUMIFS(Tab_05.Mai[MOVIMENTO],Tab_05.Mai[CONTA],$F89)</f>
        <v>0</v>
      </c>
      <c r="M89" s="4">
        <f>SUMIFS(Tab_06.Jun[MOVIMENTO],Tab_06.Jun[CONTA],$F89)</f>
        <v>0</v>
      </c>
      <c r="N89" s="4">
        <f>SUMIFS(Tab_07.Jul[MOVIMENTO],Tab_07.Jul[CONTA],$F89)</f>
        <v>0</v>
      </c>
      <c r="O89" s="4">
        <f>SUMIFS(Tab_08.Ago[MOVIMENTO],Tab_08.Ago[CONTA],$F89)</f>
        <v>0</v>
      </c>
      <c r="P89" s="4">
        <f>SUMIFS(Tab_09.Set[MOVIMENTO],Tab_09.Set[CONTA],$F89)</f>
        <v>0</v>
      </c>
      <c r="Q89" s="4">
        <f>SUMIFS(Tab_10.Out[MOVIMENTO],Tab_10.Out[CONTA],$F89)</f>
        <v>0</v>
      </c>
      <c r="R89" s="4">
        <f>SUMIFS(Tab_11.Nov[MOVIMENTO],Tab_11.Nov[CONTA],$F89)</f>
        <v>0</v>
      </c>
      <c r="S89" s="4">
        <f>SUMIFS(Tab_12.Dez[MOVIMENTO],Tab_12.Dez[CONTA],$F89)</f>
        <v>0</v>
      </c>
    </row>
    <row r="90" spans="2:19" x14ac:dyDescent="0.3">
      <c r="B90" s="3" t="s">
        <v>52</v>
      </c>
      <c r="C90" s="2" t="str">
        <f t="shared" si="9"/>
        <v>P</v>
      </c>
      <c r="D90" s="2" t="str">
        <f t="shared" si="10"/>
        <v>A</v>
      </c>
      <c r="E90" s="2">
        <f t="shared" si="11"/>
        <v>5</v>
      </c>
      <c r="F90" s="3" t="s">
        <v>326</v>
      </c>
      <c r="G90" s="3" t="s">
        <v>327</v>
      </c>
      <c r="H90" s="4">
        <f>SUMIFS(Tab_01.Jan[MOVIMENTO],Tab_01.Jan[CONTA],$F90)</f>
        <v>0</v>
      </c>
      <c r="I90" s="4">
        <f>SUMIFS(Tab_02.Fev[MOVIMENTO],Tab_02.Fev[CONTA],$F90)</f>
        <v>0</v>
      </c>
      <c r="J90" s="4">
        <f>SUMIFS(Tab_03.Mar[MOVIMENTO],Tab_03.Mar[CONTA],$F90)</f>
        <v>0</v>
      </c>
      <c r="K90" s="4">
        <f>SUMIFS(Tab_04.Abr[MOVIMENTO],Tab_04.Abr[CONTA],$F90)</f>
        <v>0</v>
      </c>
      <c r="L90" s="4">
        <f>SUMIFS(Tab_05.Mai[MOVIMENTO],Tab_05.Mai[CONTA],$F90)</f>
        <v>0</v>
      </c>
      <c r="M90" s="4">
        <f>SUMIFS(Tab_06.Jun[MOVIMENTO],Tab_06.Jun[CONTA],$F90)</f>
        <v>0</v>
      </c>
      <c r="N90" s="4">
        <f>SUMIFS(Tab_07.Jul[MOVIMENTO],Tab_07.Jul[CONTA],$F90)</f>
        <v>0</v>
      </c>
      <c r="O90" s="4">
        <f>SUMIFS(Tab_08.Ago[MOVIMENTO],Tab_08.Ago[CONTA],$F90)</f>
        <v>0</v>
      </c>
      <c r="P90" s="4">
        <f>SUMIFS(Tab_09.Set[MOVIMENTO],Tab_09.Set[CONTA],$F90)</f>
        <v>0</v>
      </c>
      <c r="Q90" s="4">
        <f>SUMIFS(Tab_10.Out[MOVIMENTO],Tab_10.Out[CONTA],$F90)</f>
        <v>0</v>
      </c>
      <c r="R90" s="4">
        <f>SUMIFS(Tab_11.Nov[MOVIMENTO],Tab_11.Nov[CONTA],$F90)</f>
        <v>0</v>
      </c>
      <c r="S90" s="4">
        <f>SUMIFS(Tab_12.Dez[MOVIMENTO],Tab_12.Dez[CONTA],$F90)</f>
        <v>0</v>
      </c>
    </row>
    <row r="91" spans="2:19" x14ac:dyDescent="0.3">
      <c r="B91" s="3" t="s">
        <v>52</v>
      </c>
      <c r="C91" s="2" t="str">
        <f t="shared" si="9"/>
        <v>P</v>
      </c>
      <c r="D91" s="2" t="str">
        <f t="shared" si="10"/>
        <v>A</v>
      </c>
      <c r="E91" s="2">
        <f t="shared" si="11"/>
        <v>5</v>
      </c>
      <c r="F91" s="3" t="s">
        <v>328</v>
      </c>
      <c r="G91" s="3" t="s">
        <v>329</v>
      </c>
      <c r="H91" s="4">
        <f>SUMIFS(Tab_01.Jan[MOVIMENTO],Tab_01.Jan[CONTA],$F91)</f>
        <v>0</v>
      </c>
      <c r="I91" s="4">
        <f>SUMIFS(Tab_02.Fev[MOVIMENTO],Tab_02.Fev[CONTA],$F91)</f>
        <v>183790.11</v>
      </c>
      <c r="J91" s="4">
        <f>SUMIFS(Tab_03.Mar[MOVIMENTO],Tab_03.Mar[CONTA],$F91)</f>
        <v>0</v>
      </c>
      <c r="K91" s="4">
        <f>SUMIFS(Tab_04.Abr[MOVIMENTO],Tab_04.Abr[CONTA],$F91)</f>
        <v>0</v>
      </c>
      <c r="L91" s="4">
        <f>SUMIFS(Tab_05.Mai[MOVIMENTO],Tab_05.Mai[CONTA],$F91)</f>
        <v>0</v>
      </c>
      <c r="M91" s="4">
        <f>SUMIFS(Tab_06.Jun[MOVIMENTO],Tab_06.Jun[CONTA],$F91)</f>
        <v>0</v>
      </c>
      <c r="N91" s="4">
        <f>SUMIFS(Tab_07.Jul[MOVIMENTO],Tab_07.Jul[CONTA],$F91)</f>
        <v>0</v>
      </c>
      <c r="O91" s="4">
        <f>SUMIFS(Tab_08.Ago[MOVIMENTO],Tab_08.Ago[CONTA],$F91)</f>
        <v>0</v>
      </c>
      <c r="P91" s="4">
        <f>SUMIFS(Tab_09.Set[MOVIMENTO],Tab_09.Set[CONTA],$F91)</f>
        <v>0</v>
      </c>
      <c r="Q91" s="4">
        <f>SUMIFS(Tab_10.Out[MOVIMENTO],Tab_10.Out[CONTA],$F91)</f>
        <v>0</v>
      </c>
      <c r="R91" s="4">
        <f>SUMIFS(Tab_11.Nov[MOVIMENTO],Tab_11.Nov[CONTA],$F91)</f>
        <v>0</v>
      </c>
      <c r="S91" s="4">
        <f>SUMIFS(Tab_12.Dez[MOVIMENTO],Tab_12.Dez[CONTA],$F91)</f>
        <v>0</v>
      </c>
    </row>
    <row r="92" spans="2:19" x14ac:dyDescent="0.3">
      <c r="B92" s="3" t="s">
        <v>52</v>
      </c>
      <c r="C92" s="2" t="str">
        <f t="shared" si="9"/>
        <v>P</v>
      </c>
      <c r="D92" s="2" t="str">
        <f t="shared" si="10"/>
        <v>A</v>
      </c>
      <c r="E92" s="2">
        <f t="shared" si="11"/>
        <v>5</v>
      </c>
      <c r="F92" s="3" t="s">
        <v>330</v>
      </c>
      <c r="G92" s="3" t="s">
        <v>331</v>
      </c>
      <c r="H92" s="4">
        <f>SUMIFS(Tab_01.Jan[MOVIMENTO],Tab_01.Jan[CONTA],$F92)</f>
        <v>0</v>
      </c>
      <c r="I92" s="4">
        <f>SUMIFS(Tab_02.Fev[MOVIMENTO],Tab_02.Fev[CONTA],$F92)</f>
        <v>0</v>
      </c>
      <c r="J92" s="4">
        <f>SUMIFS(Tab_03.Mar[MOVIMENTO],Tab_03.Mar[CONTA],$F92)</f>
        <v>0</v>
      </c>
      <c r="K92" s="4">
        <f>SUMIFS(Tab_04.Abr[MOVIMENTO],Tab_04.Abr[CONTA],$F92)</f>
        <v>0</v>
      </c>
      <c r="L92" s="4">
        <f>SUMIFS(Tab_05.Mai[MOVIMENTO],Tab_05.Mai[CONTA],$F92)</f>
        <v>0</v>
      </c>
      <c r="M92" s="4">
        <f>SUMIFS(Tab_06.Jun[MOVIMENTO],Tab_06.Jun[CONTA],$F92)</f>
        <v>0</v>
      </c>
      <c r="N92" s="4">
        <f>SUMIFS(Tab_07.Jul[MOVIMENTO],Tab_07.Jul[CONTA],$F92)</f>
        <v>0</v>
      </c>
      <c r="O92" s="4">
        <f>SUMIFS(Tab_08.Ago[MOVIMENTO],Tab_08.Ago[CONTA],$F92)</f>
        <v>0</v>
      </c>
      <c r="P92" s="4">
        <f>SUMIFS(Tab_09.Set[MOVIMENTO],Tab_09.Set[CONTA],$F92)</f>
        <v>0</v>
      </c>
      <c r="Q92" s="4">
        <f>SUMIFS(Tab_10.Out[MOVIMENTO],Tab_10.Out[CONTA],$F92)</f>
        <v>0</v>
      </c>
      <c r="R92" s="4">
        <f>SUMIFS(Tab_11.Nov[MOVIMENTO],Tab_11.Nov[CONTA],$F92)</f>
        <v>0</v>
      </c>
      <c r="S92" s="4">
        <f>SUMIFS(Tab_12.Dez[MOVIMENTO],Tab_12.Dez[CONTA],$F92)</f>
        <v>0</v>
      </c>
    </row>
    <row r="93" spans="2:19" x14ac:dyDescent="0.3">
      <c r="B93" s="3"/>
      <c r="C93" s="2" t="str">
        <f t="shared" ref="C93:C125" si="12">IF($F93="","",IF(LEFT($F93,1)*1=1,"A",IF(LEFT($F93,1)*1=2,"P",IF(LEFT($F93,1)*1=3,"R",IF(LEFT($F93,1)*1=4,"C",IF(LEFT($F93,1)*1=5,"C",IF(LEFT($F93,1)*1=6,"C","")))))))</f>
        <v>P</v>
      </c>
      <c r="D93" s="2" t="str">
        <f t="shared" ref="D93:D125" si="13">IF($F93="","",IF(LEN($F93)=13,"A","S"))</f>
        <v>S</v>
      </c>
      <c r="E93" s="2">
        <f t="shared" ref="E93:E125" si="14">IF($F93="","",IF(LEN($F93)=1,1,IF(LEN($F93)=3,2,IF(LEN($F93)=5,3,IF(LEN($F93)=8,4,5)))))</f>
        <v>5</v>
      </c>
      <c r="F93" s="3" t="s">
        <v>560</v>
      </c>
      <c r="G93" s="3" t="s">
        <v>656</v>
      </c>
      <c r="H93" s="4">
        <f>SUMIFS(Tab_01.Jan[MOVIMENTO],Tab_01.Jan[CONTA],$F93)</f>
        <v>-15301.97</v>
      </c>
      <c r="I93" s="4">
        <f>SUMIFS(Tab_02.Fev[MOVIMENTO],Tab_02.Fev[CONTA],$F93)</f>
        <v>0</v>
      </c>
      <c r="J93" s="4">
        <f>SUMIFS(Tab_03.Mar[MOVIMENTO],Tab_03.Mar[CONTA],$F93)</f>
        <v>-11248.83</v>
      </c>
      <c r="K93" s="4">
        <f>SUMIFS(Tab_04.Abr[MOVIMENTO],Tab_04.Abr[CONTA],$F93)</f>
        <v>-11248.74</v>
      </c>
      <c r="L93" s="4">
        <f>SUMIFS(Tab_05.Mai[MOVIMENTO],Tab_05.Mai[CONTA],$F93)</f>
        <v>-11610.98</v>
      </c>
      <c r="M93" s="4">
        <f>SUMIFS(Tab_06.Jun[MOVIMENTO],Tab_06.Jun[CONTA],$F93)</f>
        <v>-11609.94</v>
      </c>
      <c r="N93" s="4">
        <f>SUMIFS(Tab_07.Jul[MOVIMENTO],Tab_07.Jul[CONTA],$F93)</f>
        <v>-11609.94</v>
      </c>
      <c r="O93" s="4">
        <f>SUMIFS(Tab_08.Ago[MOVIMENTO],Tab_08.Ago[CONTA],$F93)</f>
        <v>-11609.94</v>
      </c>
      <c r="P93" s="4">
        <f>SUMIFS(Tab_09.Set[MOVIMENTO],Tab_09.Set[CONTA],$F93)</f>
        <v>-13335.69</v>
      </c>
      <c r="Q93" s="4">
        <f>SUMIFS(Tab_10.Out[MOVIMENTO],Tab_10.Out[CONTA],$F93)</f>
        <v>-11746.73</v>
      </c>
      <c r="R93" s="4">
        <f>SUMIFS(Tab_11.Nov[MOVIMENTO],Tab_11.Nov[CONTA],$F93)</f>
        <v>-11746.96</v>
      </c>
      <c r="S93" s="4">
        <f>SUMIFS(Tab_12.Dez[MOVIMENTO],Tab_12.Dez[CONTA],$F93)</f>
        <v>127113.01</v>
      </c>
    </row>
    <row r="94" spans="2:19" x14ac:dyDescent="0.3">
      <c r="B94" s="3" t="s">
        <v>52</v>
      </c>
      <c r="C94" s="2" t="str">
        <f t="shared" si="12"/>
        <v>P</v>
      </c>
      <c r="D94" s="2" t="str">
        <f t="shared" si="13"/>
        <v>A</v>
      </c>
      <c r="E94" s="2">
        <f t="shared" si="14"/>
        <v>5</v>
      </c>
      <c r="F94" s="3" t="s">
        <v>332</v>
      </c>
      <c r="G94" s="3" t="s">
        <v>333</v>
      </c>
      <c r="H94" s="4">
        <f>SUMIFS(Tab_01.Jan[MOVIMENTO],Tab_01.Jan[CONTA],$F94)</f>
        <v>-11268.08</v>
      </c>
      <c r="I94" s="4">
        <f>SUMIFS(Tab_02.Fev[MOVIMENTO],Tab_02.Fev[CONTA],$F94)</f>
        <v>0</v>
      </c>
      <c r="J94" s="4">
        <f>SUMIFS(Tab_03.Mar[MOVIMENTO],Tab_03.Mar[CONTA],$F94)</f>
        <v>-8283.3700000000008</v>
      </c>
      <c r="K94" s="4">
        <f>SUMIFS(Tab_04.Abr[MOVIMENTO],Tab_04.Abr[CONTA],$F94)</f>
        <v>-8283.33</v>
      </c>
      <c r="L94" s="4">
        <f>SUMIFS(Tab_05.Mai[MOVIMENTO],Tab_05.Mai[CONTA],$F94)</f>
        <v>-8550.06</v>
      </c>
      <c r="M94" s="4">
        <f>SUMIFS(Tab_06.Jun[MOVIMENTO],Tab_06.Jun[CONTA],$F94)</f>
        <v>-8550.02</v>
      </c>
      <c r="N94" s="4">
        <f>SUMIFS(Tab_07.Jul[MOVIMENTO],Tab_07.Jul[CONTA],$F94)</f>
        <v>-8550.02</v>
      </c>
      <c r="O94" s="4">
        <f>SUMIFS(Tab_08.Ago[MOVIMENTO],Tab_08.Ago[CONTA],$F94)</f>
        <v>-8550.02</v>
      </c>
      <c r="P94" s="4">
        <f>SUMIFS(Tab_09.Set[MOVIMENTO],Tab_09.Set[CONTA],$F94)</f>
        <v>-10096.67</v>
      </c>
      <c r="Q94" s="4">
        <f>SUMIFS(Tab_10.Out[MOVIMENTO],Tab_10.Out[CONTA],$F94)</f>
        <v>-8651.6</v>
      </c>
      <c r="R94" s="4">
        <f>SUMIFS(Tab_11.Nov[MOVIMENTO],Tab_11.Nov[CONTA],$F94)</f>
        <v>-8651.6200000000008</v>
      </c>
      <c r="S94" s="4">
        <f>SUMIFS(Tab_12.Dez[MOVIMENTO],Tab_12.Dez[CONTA],$F94)</f>
        <v>93473.41</v>
      </c>
    </row>
    <row r="95" spans="2:19" x14ac:dyDescent="0.3">
      <c r="B95" s="3" t="s">
        <v>52</v>
      </c>
      <c r="C95" s="2" t="str">
        <f t="shared" si="12"/>
        <v>P</v>
      </c>
      <c r="D95" s="2" t="str">
        <f t="shared" si="13"/>
        <v>A</v>
      </c>
      <c r="E95" s="2">
        <f t="shared" si="14"/>
        <v>5</v>
      </c>
      <c r="F95" s="3" t="s">
        <v>784</v>
      </c>
      <c r="G95" s="3" t="s">
        <v>785</v>
      </c>
      <c r="H95" s="4">
        <f>SUMIFS(Tab_01.Jan[MOVIMENTO],Tab_01.Jan[CONTA],$F95)</f>
        <v>-901.38</v>
      </c>
      <c r="I95" s="4">
        <f>SUMIFS(Tab_02.Fev[MOVIMENTO],Tab_02.Fev[CONTA],$F95)</f>
        <v>0</v>
      </c>
      <c r="J95" s="4">
        <f>SUMIFS(Tab_03.Mar[MOVIMENTO],Tab_03.Mar[CONTA],$F95)</f>
        <v>-662.68</v>
      </c>
      <c r="K95" s="4">
        <f>SUMIFS(Tab_04.Abr[MOVIMENTO],Tab_04.Abr[CONTA],$F95)</f>
        <v>-662.65</v>
      </c>
      <c r="L95" s="4">
        <f>SUMIFS(Tab_05.Mai[MOVIMENTO],Tab_05.Mai[CONTA],$F95)</f>
        <v>-684.02</v>
      </c>
      <c r="M95" s="4">
        <f>SUMIFS(Tab_06.Jun[MOVIMENTO],Tab_06.Jun[CONTA],$F95)</f>
        <v>-684</v>
      </c>
      <c r="N95" s="4">
        <f>SUMIFS(Tab_07.Jul[MOVIMENTO],Tab_07.Jul[CONTA],$F95)</f>
        <v>-684</v>
      </c>
      <c r="O95" s="4">
        <f>SUMIFS(Tab_08.Ago[MOVIMENTO],Tab_08.Ago[CONTA],$F95)</f>
        <v>-684</v>
      </c>
      <c r="P95" s="4">
        <f>SUMIFS(Tab_09.Set[MOVIMENTO],Tab_09.Set[CONTA],$F95)</f>
        <v>-807.74</v>
      </c>
      <c r="Q95" s="4">
        <f>SUMIFS(Tab_10.Out[MOVIMENTO],Tab_10.Out[CONTA],$F95)</f>
        <v>-692.14</v>
      </c>
      <c r="R95" s="4">
        <f>SUMIFS(Tab_11.Nov[MOVIMENTO],Tab_11.Nov[CONTA],$F95)</f>
        <v>-692.11</v>
      </c>
      <c r="S95" s="4">
        <f>SUMIFS(Tab_12.Dez[MOVIMENTO],Tab_12.Dez[CONTA],$F95)</f>
        <v>7477.8</v>
      </c>
    </row>
    <row r="96" spans="2:19" x14ac:dyDescent="0.3">
      <c r="B96" s="3" t="s">
        <v>52</v>
      </c>
      <c r="C96" s="2" t="str">
        <f t="shared" si="12"/>
        <v>P</v>
      </c>
      <c r="D96" s="2" t="str">
        <f t="shared" si="13"/>
        <v>A</v>
      </c>
      <c r="E96" s="2">
        <f t="shared" si="14"/>
        <v>5</v>
      </c>
      <c r="F96" s="3" t="s">
        <v>786</v>
      </c>
      <c r="G96" s="3" t="s">
        <v>787</v>
      </c>
      <c r="H96" s="4">
        <f>SUMIFS(Tab_01.Jan[MOVIMENTO],Tab_01.Jan[CONTA],$F96)</f>
        <v>-112.67</v>
      </c>
      <c r="I96" s="4">
        <f>SUMIFS(Tab_02.Fev[MOVIMENTO],Tab_02.Fev[CONTA],$F96)</f>
        <v>0</v>
      </c>
      <c r="J96" s="4">
        <f>SUMIFS(Tab_03.Mar[MOVIMENTO],Tab_03.Mar[CONTA],$F96)</f>
        <v>-82.82</v>
      </c>
      <c r="K96" s="4">
        <f>SUMIFS(Tab_04.Abr[MOVIMENTO],Tab_04.Abr[CONTA],$F96)</f>
        <v>-82.84</v>
      </c>
      <c r="L96" s="4">
        <f>SUMIFS(Tab_05.Mai[MOVIMENTO],Tab_05.Mai[CONTA],$F96)</f>
        <v>-85.49</v>
      </c>
      <c r="M96" s="4">
        <f>SUMIFS(Tab_06.Jun[MOVIMENTO],Tab_06.Jun[CONTA],$F96)</f>
        <v>-85.49</v>
      </c>
      <c r="N96" s="4">
        <f>SUMIFS(Tab_07.Jul[MOVIMENTO],Tab_07.Jul[CONTA],$F96)</f>
        <v>-85.49</v>
      </c>
      <c r="O96" s="4">
        <f>SUMIFS(Tab_08.Ago[MOVIMENTO],Tab_08.Ago[CONTA],$F96)</f>
        <v>-85.49</v>
      </c>
      <c r="P96" s="4">
        <f>SUMIFS(Tab_09.Set[MOVIMENTO],Tab_09.Set[CONTA],$F96)</f>
        <v>-87.39</v>
      </c>
      <c r="Q96" s="4">
        <f>SUMIFS(Tab_10.Out[MOVIMENTO],Tab_10.Out[CONTA],$F96)</f>
        <v>-86.45</v>
      </c>
      <c r="R96" s="4">
        <f>SUMIFS(Tab_11.Nov[MOVIMENTO],Tab_11.Nov[CONTA],$F96)</f>
        <v>-86.45</v>
      </c>
      <c r="S96" s="4">
        <f>SUMIFS(Tab_12.Dez[MOVIMENTO],Tab_12.Dez[CONTA],$F96)</f>
        <v>941.08</v>
      </c>
    </row>
    <row r="97" spans="2:19" x14ac:dyDescent="0.3">
      <c r="B97" s="3" t="s">
        <v>52</v>
      </c>
      <c r="C97" s="2" t="str">
        <f t="shared" si="12"/>
        <v>P</v>
      </c>
      <c r="D97" s="2" t="str">
        <f t="shared" si="13"/>
        <v>A</v>
      </c>
      <c r="E97" s="2">
        <f t="shared" si="14"/>
        <v>5</v>
      </c>
      <c r="F97" s="3" t="s">
        <v>788</v>
      </c>
      <c r="G97" s="3" t="s">
        <v>789</v>
      </c>
      <c r="H97" s="4">
        <f>SUMIFS(Tab_01.Jan[MOVIMENTO],Tab_01.Jan[CONTA],$F97)</f>
        <v>-3019.84</v>
      </c>
      <c r="I97" s="4">
        <f>SUMIFS(Tab_02.Fev[MOVIMENTO],Tab_02.Fev[CONTA],$F97)</f>
        <v>0</v>
      </c>
      <c r="J97" s="4">
        <f>SUMIFS(Tab_03.Mar[MOVIMENTO],Tab_03.Mar[CONTA],$F97)</f>
        <v>-2219.96</v>
      </c>
      <c r="K97" s="4">
        <f>SUMIFS(Tab_04.Abr[MOVIMENTO],Tab_04.Abr[CONTA],$F97)</f>
        <v>-2219.92</v>
      </c>
      <c r="L97" s="4">
        <f>SUMIFS(Tab_05.Mai[MOVIMENTO],Tab_05.Mai[CONTA],$F97)</f>
        <v>-2291.41</v>
      </c>
      <c r="M97" s="4">
        <f>SUMIFS(Tab_06.Jun[MOVIMENTO],Tab_06.Jun[CONTA],$F97)</f>
        <v>-2290.4299999999998</v>
      </c>
      <c r="N97" s="4">
        <f>SUMIFS(Tab_07.Jul[MOVIMENTO],Tab_07.Jul[CONTA],$F97)</f>
        <v>-2290.4299999999998</v>
      </c>
      <c r="O97" s="4">
        <f>SUMIFS(Tab_08.Ago[MOVIMENTO],Tab_08.Ago[CONTA],$F97)</f>
        <v>-2290.4299999999998</v>
      </c>
      <c r="P97" s="4">
        <f>SUMIFS(Tab_09.Set[MOVIMENTO],Tab_09.Set[CONTA],$F97)</f>
        <v>-2343.89</v>
      </c>
      <c r="Q97" s="4">
        <f>SUMIFS(Tab_10.Out[MOVIMENTO],Tab_10.Out[CONTA],$F97)</f>
        <v>-2316.54</v>
      </c>
      <c r="R97" s="4">
        <f>SUMIFS(Tab_11.Nov[MOVIMENTO],Tab_11.Nov[CONTA],$F97)</f>
        <v>-2316.7800000000002</v>
      </c>
      <c r="S97" s="4">
        <f>SUMIFS(Tab_12.Dez[MOVIMENTO],Tab_12.Dez[CONTA],$F97)</f>
        <v>25220.720000000001</v>
      </c>
    </row>
    <row r="98" spans="2:19" x14ac:dyDescent="0.3">
      <c r="B98" s="3"/>
      <c r="C98" s="2" t="str">
        <f t="shared" si="12"/>
        <v>P</v>
      </c>
      <c r="D98" s="2" t="str">
        <f t="shared" si="13"/>
        <v>S</v>
      </c>
      <c r="E98" s="2">
        <f t="shared" si="14"/>
        <v>5</v>
      </c>
      <c r="F98" s="3" t="s">
        <v>561</v>
      </c>
      <c r="G98" s="3" t="s">
        <v>657</v>
      </c>
      <c r="H98" s="4">
        <f>SUMIFS(Tab_01.Jan[MOVIMENTO],Tab_01.Jan[CONTA],$F98)</f>
        <v>29924.5</v>
      </c>
      <c r="I98" s="4">
        <f>SUMIFS(Tab_02.Fev[MOVIMENTO],Tab_02.Fev[CONTA],$F98)</f>
        <v>0</v>
      </c>
      <c r="J98" s="4">
        <f>SUMIFS(Tab_03.Mar[MOVIMENTO],Tab_03.Mar[CONTA],$F98)</f>
        <v>-11405.67</v>
      </c>
      <c r="K98" s="4">
        <f>SUMIFS(Tab_04.Abr[MOVIMENTO],Tab_04.Abr[CONTA],$F98)</f>
        <v>-14842.42</v>
      </c>
      <c r="L98" s="4">
        <f>SUMIFS(Tab_05.Mai[MOVIMENTO],Tab_05.Mai[CONTA],$F98)</f>
        <v>-14739.02</v>
      </c>
      <c r="M98" s="4">
        <f>SUMIFS(Tab_06.Jun[MOVIMENTO],Tab_06.Jun[CONTA],$F98)</f>
        <v>25832</v>
      </c>
      <c r="N98" s="4">
        <f>SUMIFS(Tab_07.Jul[MOVIMENTO],Tab_07.Jul[CONTA],$F98)</f>
        <v>25832</v>
      </c>
      <c r="O98" s="4">
        <f>SUMIFS(Tab_08.Ago[MOVIMENTO],Tab_08.Ago[CONTA],$F98)</f>
        <v>25832</v>
      </c>
      <c r="P98" s="4">
        <f>SUMIFS(Tab_09.Set[MOVIMENTO],Tab_09.Set[CONTA],$F98)</f>
        <v>23785.05</v>
      </c>
      <c r="Q98" s="4">
        <f>SUMIFS(Tab_10.Out[MOVIMENTO],Tab_10.Out[CONTA],$F98)</f>
        <v>10783.62</v>
      </c>
      <c r="R98" s="4">
        <f>SUMIFS(Tab_11.Nov[MOVIMENTO],Tab_11.Nov[CONTA],$F98)</f>
        <v>-8337.33</v>
      </c>
      <c r="S98" s="4">
        <f>SUMIFS(Tab_12.Dez[MOVIMENTO],Tab_12.Dez[CONTA],$F98)</f>
        <v>-16430.349999999999</v>
      </c>
    </row>
    <row r="99" spans="2:19" x14ac:dyDescent="0.3">
      <c r="B99" s="3" t="s">
        <v>52</v>
      </c>
      <c r="C99" s="2" t="str">
        <f t="shared" si="12"/>
        <v>P</v>
      </c>
      <c r="D99" s="2" t="str">
        <f t="shared" si="13"/>
        <v>A</v>
      </c>
      <c r="E99" s="2">
        <f t="shared" si="14"/>
        <v>5</v>
      </c>
      <c r="F99" s="3" t="s">
        <v>334</v>
      </c>
      <c r="G99" s="3" t="s">
        <v>335</v>
      </c>
      <c r="H99" s="4">
        <f>SUMIFS(Tab_01.Jan[MOVIMENTO],Tab_01.Jan[CONTA],$F99)</f>
        <v>104371.62</v>
      </c>
      <c r="I99" s="4">
        <f>SUMIFS(Tab_02.Fev[MOVIMENTO],Tab_02.Fev[CONTA],$F99)</f>
        <v>0</v>
      </c>
      <c r="J99" s="4">
        <f>SUMIFS(Tab_03.Mar[MOVIMENTO],Tab_03.Mar[CONTA],$F99)</f>
        <v>-8454.94</v>
      </c>
      <c r="K99" s="4">
        <f>SUMIFS(Tab_04.Abr[MOVIMENTO],Tab_04.Abr[CONTA],$F99)</f>
        <v>-10958.1</v>
      </c>
      <c r="L99" s="4">
        <f>SUMIFS(Tab_05.Mai[MOVIMENTO],Tab_05.Mai[CONTA],$F99)</f>
        <v>-10666.71</v>
      </c>
      <c r="M99" s="4">
        <f>SUMIFS(Tab_06.Jun[MOVIMENTO],Tab_06.Jun[CONTA],$F99)</f>
        <v>19022.099999999999</v>
      </c>
      <c r="N99" s="4">
        <f>SUMIFS(Tab_07.Jul[MOVIMENTO],Tab_07.Jul[CONTA],$F99)</f>
        <v>19022.099999999999</v>
      </c>
      <c r="O99" s="4">
        <f>SUMIFS(Tab_08.Ago[MOVIMENTO],Tab_08.Ago[CONTA],$F99)</f>
        <v>19022.099999999999</v>
      </c>
      <c r="P99" s="4">
        <f>SUMIFS(Tab_09.Set[MOVIMENTO],Tab_09.Set[CONTA],$F99)</f>
        <v>17582.93</v>
      </c>
      <c r="Q99" s="4">
        <f>SUMIFS(Tab_10.Out[MOVIMENTO],Tab_10.Out[CONTA],$F99)</f>
        <v>7823.75</v>
      </c>
      <c r="R99" s="4">
        <f>SUMIFS(Tab_11.Nov[MOVIMENTO],Tab_11.Nov[CONTA],$F99)</f>
        <v>-6158.56</v>
      </c>
      <c r="S99" s="4">
        <f>SUMIFS(Tab_12.Dez[MOVIMENTO],Tab_12.Dez[CONTA],$F99)</f>
        <v>-11951.46</v>
      </c>
    </row>
    <row r="100" spans="2:19" x14ac:dyDescent="0.3">
      <c r="B100" s="3" t="s">
        <v>52</v>
      </c>
      <c r="C100" s="2" t="str">
        <f t="shared" si="12"/>
        <v>P</v>
      </c>
      <c r="D100" s="2" t="str">
        <f t="shared" si="13"/>
        <v>A</v>
      </c>
      <c r="E100" s="2">
        <f t="shared" si="14"/>
        <v>5</v>
      </c>
      <c r="F100" s="3" t="s">
        <v>790</v>
      </c>
      <c r="G100" s="3" t="s">
        <v>791</v>
      </c>
      <c r="H100" s="4">
        <f>SUMIFS(Tab_01.Jan[MOVIMENTO],Tab_01.Jan[CONTA],$F100)</f>
        <v>-16551.36</v>
      </c>
      <c r="I100" s="4">
        <f>SUMIFS(Tab_02.Fev[MOVIMENTO],Tab_02.Fev[CONTA],$F100)</f>
        <v>0</v>
      </c>
      <c r="J100" s="4">
        <f>SUMIFS(Tab_03.Mar[MOVIMENTO],Tab_03.Mar[CONTA],$F100)</f>
        <v>-669.09</v>
      </c>
      <c r="K100" s="4">
        <f>SUMIFS(Tab_04.Abr[MOVIMENTO],Tab_04.Abr[CONTA],$F100)</f>
        <v>-869.31</v>
      </c>
      <c r="L100" s="4">
        <f>SUMIFS(Tab_05.Mai[MOVIMENTO],Tab_05.Mai[CONTA],$F100)</f>
        <v>-911.99</v>
      </c>
      <c r="M100" s="4">
        <f>SUMIFS(Tab_06.Jun[MOVIMENTO],Tab_06.Jun[CONTA],$F100)</f>
        <v>1521.75</v>
      </c>
      <c r="N100" s="4">
        <f>SUMIFS(Tab_07.Jul[MOVIMENTO],Tab_07.Jul[CONTA],$F100)</f>
        <v>1521.75</v>
      </c>
      <c r="O100" s="4">
        <f>SUMIFS(Tab_08.Ago[MOVIMENTO],Tab_08.Ago[CONTA],$F100)</f>
        <v>1521.75</v>
      </c>
      <c r="P100" s="4">
        <f>SUMIFS(Tab_09.Set[MOVIMENTO],Tab_09.Set[CONTA],$F100)</f>
        <v>1413.98</v>
      </c>
      <c r="Q100" s="4">
        <f>SUMIFS(Tab_10.Out[MOVIMENTO],Tab_10.Out[CONTA],$F100)</f>
        <v>633.23</v>
      </c>
      <c r="R100" s="4">
        <f>SUMIFS(Tab_11.Nov[MOVIMENTO],Tab_11.Nov[CONTA],$F100)</f>
        <v>-485.35</v>
      </c>
      <c r="S100" s="4">
        <f>SUMIFS(Tab_12.Dez[MOVIMENTO],Tab_12.Dez[CONTA],$F100)</f>
        <v>-1003.1</v>
      </c>
    </row>
    <row r="101" spans="2:19" x14ac:dyDescent="0.3">
      <c r="B101" s="3" t="s">
        <v>52</v>
      </c>
      <c r="C101" s="2" t="str">
        <f t="shared" si="12"/>
        <v>P</v>
      </c>
      <c r="D101" s="2" t="str">
        <f t="shared" si="13"/>
        <v>A</v>
      </c>
      <c r="E101" s="2">
        <f t="shared" si="14"/>
        <v>5</v>
      </c>
      <c r="F101" s="3" t="s">
        <v>792</v>
      </c>
      <c r="G101" s="3" t="s">
        <v>793</v>
      </c>
      <c r="H101" s="4">
        <f>SUMIFS(Tab_01.Jan[MOVIMENTO],Tab_01.Jan[CONTA],$F101)</f>
        <v>-2448.34</v>
      </c>
      <c r="I101" s="4">
        <f>SUMIFS(Tab_02.Fev[MOVIMENTO],Tab_02.Fev[CONTA],$F101)</f>
        <v>0</v>
      </c>
      <c r="J101" s="4">
        <f>SUMIFS(Tab_03.Mar[MOVIMENTO],Tab_03.Mar[CONTA],$F101)</f>
        <v>-40.22</v>
      </c>
      <c r="K101" s="4">
        <f>SUMIFS(Tab_04.Abr[MOVIMENTO],Tab_04.Abr[CONTA],$F101)</f>
        <v>-102.89</v>
      </c>
      <c r="L101" s="4">
        <f>SUMIFS(Tab_05.Mai[MOVIMENTO],Tab_05.Mai[CONTA],$F101)</f>
        <v>-105.1</v>
      </c>
      <c r="M101" s="4">
        <f>SUMIFS(Tab_06.Jun[MOVIMENTO],Tab_06.Jun[CONTA],$F101)</f>
        <v>190.2</v>
      </c>
      <c r="N101" s="4">
        <f>SUMIFS(Tab_07.Jul[MOVIMENTO],Tab_07.Jul[CONTA],$F101)</f>
        <v>190.2</v>
      </c>
      <c r="O101" s="4">
        <f>SUMIFS(Tab_08.Ago[MOVIMENTO],Tab_08.Ago[CONTA],$F101)</f>
        <v>190.2</v>
      </c>
      <c r="P101" s="4">
        <f>SUMIFS(Tab_09.Set[MOVIMENTO],Tab_09.Set[CONTA],$F101)</f>
        <v>51.33</v>
      </c>
      <c r="Q101" s="4">
        <f>SUMIFS(Tab_10.Out[MOVIMENTO],Tab_10.Out[CONTA],$F101)</f>
        <v>205.34</v>
      </c>
      <c r="R101" s="4">
        <f>SUMIFS(Tab_11.Nov[MOVIMENTO],Tab_11.Nov[CONTA],$F101)</f>
        <v>-67.48</v>
      </c>
      <c r="S101" s="4">
        <f>SUMIFS(Tab_12.Dez[MOVIMENTO],Tab_12.Dez[CONTA],$F101)</f>
        <v>-115.37</v>
      </c>
    </row>
    <row r="102" spans="2:19" x14ac:dyDescent="0.3">
      <c r="B102" s="3" t="s">
        <v>52</v>
      </c>
      <c r="C102" s="2" t="str">
        <f t="shared" si="12"/>
        <v>P</v>
      </c>
      <c r="D102" s="2" t="str">
        <f t="shared" si="13"/>
        <v>A</v>
      </c>
      <c r="E102" s="2">
        <f t="shared" si="14"/>
        <v>5</v>
      </c>
      <c r="F102" s="3" t="s">
        <v>794</v>
      </c>
      <c r="G102" s="3" t="s">
        <v>795</v>
      </c>
      <c r="H102" s="4">
        <f>SUMIFS(Tab_01.Jan[MOVIMENTO],Tab_01.Jan[CONTA],$F102)</f>
        <v>-55447.42</v>
      </c>
      <c r="I102" s="4">
        <f>SUMIFS(Tab_02.Fev[MOVIMENTO],Tab_02.Fev[CONTA],$F102)</f>
        <v>0</v>
      </c>
      <c r="J102" s="4">
        <f>SUMIFS(Tab_03.Mar[MOVIMENTO],Tab_03.Mar[CONTA],$F102)</f>
        <v>-2241.42</v>
      </c>
      <c r="K102" s="4">
        <f>SUMIFS(Tab_04.Abr[MOVIMENTO],Tab_04.Abr[CONTA],$F102)</f>
        <v>-2912.12</v>
      </c>
      <c r="L102" s="4">
        <f>SUMIFS(Tab_05.Mai[MOVIMENTO],Tab_05.Mai[CONTA],$F102)</f>
        <v>-3055.22</v>
      </c>
      <c r="M102" s="4">
        <f>SUMIFS(Tab_06.Jun[MOVIMENTO],Tab_06.Jun[CONTA],$F102)</f>
        <v>5097.95</v>
      </c>
      <c r="N102" s="4">
        <f>SUMIFS(Tab_07.Jul[MOVIMENTO],Tab_07.Jul[CONTA],$F102)</f>
        <v>5097.95</v>
      </c>
      <c r="O102" s="4">
        <f>SUMIFS(Tab_08.Ago[MOVIMENTO],Tab_08.Ago[CONTA],$F102)</f>
        <v>5097.95</v>
      </c>
      <c r="P102" s="4">
        <f>SUMIFS(Tab_09.Set[MOVIMENTO],Tab_09.Set[CONTA],$F102)</f>
        <v>4736.8100000000004</v>
      </c>
      <c r="Q102" s="4">
        <f>SUMIFS(Tab_10.Out[MOVIMENTO],Tab_10.Out[CONTA],$F102)</f>
        <v>2121.3000000000002</v>
      </c>
      <c r="R102" s="4">
        <f>SUMIFS(Tab_11.Nov[MOVIMENTO],Tab_11.Nov[CONTA],$F102)</f>
        <v>-1625.94</v>
      </c>
      <c r="S102" s="4">
        <f>SUMIFS(Tab_12.Dez[MOVIMENTO],Tab_12.Dez[CONTA],$F102)</f>
        <v>-3360.42</v>
      </c>
    </row>
    <row r="103" spans="2:19" x14ac:dyDescent="0.3">
      <c r="B103" s="3"/>
      <c r="C103" s="2" t="str">
        <f t="shared" si="12"/>
        <v>P</v>
      </c>
      <c r="D103" s="2" t="str">
        <f t="shared" si="13"/>
        <v>S</v>
      </c>
      <c r="E103" s="2">
        <f t="shared" si="14"/>
        <v>5</v>
      </c>
      <c r="F103" s="3" t="s">
        <v>562</v>
      </c>
      <c r="G103" s="3" t="s">
        <v>658</v>
      </c>
      <c r="H103" s="4">
        <f>SUMIFS(Tab_01.Jan[MOVIMENTO],Tab_01.Jan[CONTA],$F103)</f>
        <v>-620.92999999999995</v>
      </c>
      <c r="I103" s="4">
        <f>SUMIFS(Tab_02.Fev[MOVIMENTO],Tab_02.Fev[CONTA],$F103)</f>
        <v>47261.64</v>
      </c>
      <c r="J103" s="4">
        <f>SUMIFS(Tab_03.Mar[MOVIMENTO],Tab_03.Mar[CONTA],$F103)</f>
        <v>9447.24</v>
      </c>
      <c r="K103" s="4">
        <f>SUMIFS(Tab_04.Abr[MOVIMENTO],Tab_04.Abr[CONTA],$F103)</f>
        <v>5093.74</v>
      </c>
      <c r="L103" s="4">
        <f>SUMIFS(Tab_05.Mai[MOVIMENTO],Tab_05.Mai[CONTA],$F103)</f>
        <v>-828.81</v>
      </c>
      <c r="M103" s="4">
        <f>SUMIFS(Tab_06.Jun[MOVIMENTO],Tab_06.Jun[CONTA],$F103)</f>
        <v>-619.46</v>
      </c>
      <c r="N103" s="4">
        <f>SUMIFS(Tab_07.Jul[MOVIMENTO],Tab_07.Jul[CONTA],$F103)</f>
        <v>-619.46</v>
      </c>
      <c r="O103" s="4">
        <f>SUMIFS(Tab_08.Ago[MOVIMENTO],Tab_08.Ago[CONTA],$F103)</f>
        <v>-619.46</v>
      </c>
      <c r="P103" s="4">
        <f>SUMIFS(Tab_09.Set[MOVIMENTO],Tab_09.Set[CONTA],$F103)</f>
        <v>1592</v>
      </c>
      <c r="Q103" s="4">
        <f>SUMIFS(Tab_10.Out[MOVIMENTO],Tab_10.Out[CONTA],$F103)</f>
        <v>-638.53</v>
      </c>
      <c r="R103" s="4">
        <f>SUMIFS(Tab_11.Nov[MOVIMENTO],Tab_11.Nov[CONTA],$F103)</f>
        <v>1002.64</v>
      </c>
      <c r="S103" s="4">
        <f>SUMIFS(Tab_12.Dez[MOVIMENTO],Tab_12.Dez[CONTA],$F103)</f>
        <v>408.42</v>
      </c>
    </row>
    <row r="104" spans="2:19" x14ac:dyDescent="0.3">
      <c r="B104" s="3" t="s">
        <v>52</v>
      </c>
      <c r="C104" s="2" t="str">
        <f t="shared" si="12"/>
        <v>P</v>
      </c>
      <c r="D104" s="2" t="str">
        <f t="shared" si="13"/>
        <v>A</v>
      </c>
      <c r="E104" s="2">
        <f t="shared" si="14"/>
        <v>5</v>
      </c>
      <c r="F104" s="3" t="s">
        <v>336</v>
      </c>
      <c r="G104" s="3" t="s">
        <v>337</v>
      </c>
      <c r="H104" s="4">
        <f>SUMIFS(Tab_01.Jan[MOVIMENTO],Tab_01.Jan[CONTA],$F104)</f>
        <v>3005</v>
      </c>
      <c r="I104" s="4">
        <f>SUMIFS(Tab_02.Fev[MOVIMENTO],Tab_02.Fev[CONTA],$F104)</f>
        <v>47261.64</v>
      </c>
      <c r="J104" s="4">
        <f>SUMIFS(Tab_03.Mar[MOVIMENTO],Tab_03.Mar[CONTA],$F104)</f>
        <v>8934.2800000000007</v>
      </c>
      <c r="K104" s="4">
        <f>SUMIFS(Tab_04.Abr[MOVIMENTO],Tab_04.Abr[CONTA],$F104)</f>
        <v>5368.74</v>
      </c>
      <c r="L104" s="4">
        <f>SUMIFS(Tab_05.Mai[MOVIMENTO],Tab_05.Mai[CONTA],$F104)</f>
        <v>-1103.81</v>
      </c>
      <c r="M104" s="4">
        <f>SUMIFS(Tab_06.Jun[MOVIMENTO],Tab_06.Jun[CONTA],$F104)</f>
        <v>-548.36</v>
      </c>
      <c r="N104" s="4">
        <f>SUMIFS(Tab_07.Jul[MOVIMENTO],Tab_07.Jul[CONTA],$F104)</f>
        <v>-548.36</v>
      </c>
      <c r="O104" s="4">
        <f>SUMIFS(Tab_08.Ago[MOVIMENTO],Tab_08.Ago[CONTA],$F104)</f>
        <v>-548.36</v>
      </c>
      <c r="P104" s="4">
        <f>SUMIFS(Tab_09.Set[MOVIMENTO],Tab_09.Set[CONTA],$F104)</f>
        <v>1007.92</v>
      </c>
      <c r="Q104" s="4">
        <f>SUMIFS(Tab_10.Out[MOVIMENTO],Tab_10.Out[CONTA],$F104)</f>
        <v>-54.45</v>
      </c>
      <c r="R104" s="4">
        <f>SUMIFS(Tab_11.Nov[MOVIMENTO],Tab_11.Nov[CONTA],$F104)</f>
        <v>962.01</v>
      </c>
      <c r="S104" s="4">
        <f>SUMIFS(Tab_12.Dez[MOVIMENTO],Tab_12.Dez[CONTA],$F104)</f>
        <v>408.42</v>
      </c>
    </row>
    <row r="105" spans="2:19" x14ac:dyDescent="0.3">
      <c r="B105" s="3" t="s">
        <v>52</v>
      </c>
      <c r="C105" s="2" t="str">
        <f t="shared" si="12"/>
        <v>P</v>
      </c>
      <c r="D105" s="2" t="str">
        <f t="shared" si="13"/>
        <v>A</v>
      </c>
      <c r="E105" s="2">
        <f t="shared" si="14"/>
        <v>5</v>
      </c>
      <c r="F105" s="3" t="s">
        <v>338</v>
      </c>
      <c r="G105" s="3" t="s">
        <v>339</v>
      </c>
      <c r="H105" s="4">
        <f>SUMIFS(Tab_01.Jan[MOVIMENTO],Tab_01.Jan[CONTA],$F105)</f>
        <v>-3625.93</v>
      </c>
      <c r="I105" s="4">
        <f>SUMIFS(Tab_02.Fev[MOVIMENTO],Tab_02.Fev[CONTA],$F105)</f>
        <v>0</v>
      </c>
      <c r="J105" s="4">
        <f>SUMIFS(Tab_03.Mar[MOVIMENTO],Tab_03.Mar[CONTA],$F105)</f>
        <v>512.96</v>
      </c>
      <c r="K105" s="4">
        <f>SUMIFS(Tab_04.Abr[MOVIMENTO],Tab_04.Abr[CONTA],$F105)</f>
        <v>-275</v>
      </c>
      <c r="L105" s="4">
        <f>SUMIFS(Tab_05.Mai[MOVIMENTO],Tab_05.Mai[CONTA],$F105)</f>
        <v>275</v>
      </c>
      <c r="M105" s="4">
        <f>SUMIFS(Tab_06.Jun[MOVIMENTO],Tab_06.Jun[CONTA],$F105)</f>
        <v>-71.099999999999994</v>
      </c>
      <c r="N105" s="4">
        <f>SUMIFS(Tab_07.Jul[MOVIMENTO],Tab_07.Jul[CONTA],$F105)</f>
        <v>-71.099999999999994</v>
      </c>
      <c r="O105" s="4">
        <f>SUMIFS(Tab_08.Ago[MOVIMENTO],Tab_08.Ago[CONTA],$F105)</f>
        <v>-71.099999999999994</v>
      </c>
      <c r="P105" s="4">
        <f>SUMIFS(Tab_09.Set[MOVIMENTO],Tab_09.Set[CONTA],$F105)</f>
        <v>584.08000000000004</v>
      </c>
      <c r="Q105" s="4">
        <f>SUMIFS(Tab_10.Out[MOVIMENTO],Tab_10.Out[CONTA],$F105)</f>
        <v>-584.08000000000004</v>
      </c>
      <c r="R105" s="4">
        <f>SUMIFS(Tab_11.Nov[MOVIMENTO],Tab_11.Nov[CONTA],$F105)</f>
        <v>40.630000000000003</v>
      </c>
      <c r="S105" s="4">
        <f>SUMIFS(Tab_12.Dez[MOVIMENTO],Tab_12.Dez[CONTA],$F105)</f>
        <v>0</v>
      </c>
    </row>
    <row r="106" spans="2:19" x14ac:dyDescent="0.3">
      <c r="B106" s="3"/>
      <c r="C106" s="2" t="str">
        <f t="shared" si="12"/>
        <v>P</v>
      </c>
      <c r="D106" s="2" t="str">
        <f t="shared" si="13"/>
        <v>S</v>
      </c>
      <c r="E106" s="2">
        <f t="shared" si="14"/>
        <v>5</v>
      </c>
      <c r="F106" s="3" t="s">
        <v>563</v>
      </c>
      <c r="G106" s="3" t="s">
        <v>659</v>
      </c>
      <c r="H106" s="4">
        <f>SUMIFS(Tab_01.Jan[MOVIMENTO],Tab_01.Jan[CONTA],$F106)</f>
        <v>13291.04</v>
      </c>
      <c r="I106" s="4">
        <f>SUMIFS(Tab_02.Fev[MOVIMENTO],Tab_02.Fev[CONTA],$F106)</f>
        <v>13042.22</v>
      </c>
      <c r="J106" s="4">
        <f>SUMIFS(Tab_03.Mar[MOVIMENTO],Tab_03.Mar[CONTA],$F106)</f>
        <v>1875.73</v>
      </c>
      <c r="K106" s="4">
        <f>SUMIFS(Tab_04.Abr[MOVIMENTO],Tab_04.Abr[CONTA],$F106)</f>
        <v>1603.66</v>
      </c>
      <c r="L106" s="4">
        <f>SUMIFS(Tab_05.Mai[MOVIMENTO],Tab_05.Mai[CONTA],$F106)</f>
        <v>1300.74</v>
      </c>
      <c r="M106" s="4">
        <f>SUMIFS(Tab_06.Jun[MOVIMENTO],Tab_06.Jun[CONTA],$F106)</f>
        <v>-219.8</v>
      </c>
      <c r="N106" s="4">
        <f>SUMIFS(Tab_07.Jul[MOVIMENTO],Tab_07.Jul[CONTA],$F106)</f>
        <v>-219.8</v>
      </c>
      <c r="O106" s="4">
        <f>SUMIFS(Tab_08.Ago[MOVIMENTO],Tab_08.Ago[CONTA],$F106)</f>
        <v>-219.8</v>
      </c>
      <c r="P106" s="4">
        <f>SUMIFS(Tab_09.Set[MOVIMENTO],Tab_09.Set[CONTA],$F106)</f>
        <v>330.92</v>
      </c>
      <c r="Q106" s="4">
        <f>SUMIFS(Tab_10.Out[MOVIMENTO],Tab_10.Out[CONTA],$F106)</f>
        <v>-48.82</v>
      </c>
      <c r="R106" s="4">
        <f>SUMIFS(Tab_11.Nov[MOVIMENTO],Tab_11.Nov[CONTA],$F106)</f>
        <v>329.88</v>
      </c>
      <c r="S106" s="4">
        <f>SUMIFS(Tab_12.Dez[MOVIMENTO],Tab_12.Dez[CONTA],$F106)</f>
        <v>-7866</v>
      </c>
    </row>
    <row r="107" spans="2:19" x14ac:dyDescent="0.3">
      <c r="B107" s="3" t="s">
        <v>52</v>
      </c>
      <c r="C107" s="2" t="str">
        <f>IF($F107="","",IF(LEFT($F107,1)*1=1,"A",IF(LEFT($F107,1)*1=2,"P",IF(LEFT($F107,1)*1=3,"R",IF(LEFT($F107,1)*1=4,"C",IF(LEFT($F107,1)*1=5,"C",IF(LEFT($F107,1)*1=6,"C","")))))))</f>
        <v>P</v>
      </c>
      <c r="D107" s="2" t="str">
        <f>IF($F107="","",IF(LEN($F107)=13,"A","S"))</f>
        <v>A</v>
      </c>
      <c r="E107" s="2">
        <f>IF($F107="","",IF(LEN($F107)=1,1,IF(LEN($F107)=3,2,IF(LEN($F107)=5,3,IF(LEN($F107)=8,4,5)))))</f>
        <v>5</v>
      </c>
      <c r="F107" s="3" t="s">
        <v>340</v>
      </c>
      <c r="G107" s="3" t="s">
        <v>341</v>
      </c>
      <c r="H107" s="4">
        <f>SUMIFS(Tab_01.Jan[MOVIMENTO],Tab_01.Jan[CONTA],$F107)</f>
        <v>11214.84</v>
      </c>
      <c r="I107" s="4">
        <f>SUMIFS(Tab_02.Fev[MOVIMENTO],Tab_02.Fev[CONTA],$F107)</f>
        <v>11593.09</v>
      </c>
      <c r="J107" s="4">
        <f>SUMIFS(Tab_03.Mar[MOVIMENTO],Tab_03.Mar[CONTA],$F107)</f>
        <v>1571.15</v>
      </c>
      <c r="K107" s="4">
        <f>SUMIFS(Tab_04.Abr[MOVIMENTO],Tab_04.Abr[CONTA],$F107)</f>
        <v>1557.77</v>
      </c>
      <c r="L107" s="4">
        <f>SUMIFS(Tab_05.Mai[MOVIMENTO],Tab_05.Mai[CONTA],$F107)</f>
        <v>1377.11</v>
      </c>
      <c r="M107" s="4">
        <f>SUMIFS(Tab_06.Jun[MOVIMENTO],Tab_06.Jun[CONTA],$F107)</f>
        <v>-143.74</v>
      </c>
      <c r="N107" s="4">
        <f>SUMIFS(Tab_07.Jul[MOVIMENTO],Tab_07.Jul[CONTA],$F107)</f>
        <v>-143.74</v>
      </c>
      <c r="O107" s="4">
        <f>SUMIFS(Tab_08.Ago[MOVIMENTO],Tab_08.Ago[CONTA],$F107)</f>
        <v>-143.74</v>
      </c>
      <c r="P107" s="4">
        <f>SUMIFS(Tab_09.Set[MOVIMENTO],Tab_09.Set[CONTA],$F107)</f>
        <v>311.97000000000003</v>
      </c>
      <c r="Q107" s="4">
        <f>SUMIFS(Tab_10.Out[MOVIMENTO],Tab_10.Out[CONTA],$F107)</f>
        <v>-43.38</v>
      </c>
      <c r="R107" s="4">
        <f>SUMIFS(Tab_11.Nov[MOVIMENTO],Tab_11.Nov[CONTA],$F107)</f>
        <v>293.24</v>
      </c>
      <c r="S107" s="4">
        <f>SUMIFS(Tab_12.Dez[MOVIMENTO],Tab_12.Dez[CONTA],$F107)</f>
        <v>-7953.68</v>
      </c>
    </row>
    <row r="108" spans="2:19" x14ac:dyDescent="0.3">
      <c r="B108" s="3" t="s">
        <v>52</v>
      </c>
      <c r="C108" s="2" t="str">
        <f t="shared" si="12"/>
        <v>P</v>
      </c>
      <c r="D108" s="2" t="str">
        <f t="shared" si="13"/>
        <v>A</v>
      </c>
      <c r="E108" s="2">
        <f t="shared" si="14"/>
        <v>5</v>
      </c>
      <c r="F108" s="3" t="s">
        <v>342</v>
      </c>
      <c r="G108" s="3" t="s">
        <v>343</v>
      </c>
      <c r="H108" s="4">
        <f>SUMIFS(Tab_01.Jan[MOVIMENTO],Tab_01.Jan[CONTA],$F108)</f>
        <v>2076.1999999999998</v>
      </c>
      <c r="I108" s="4">
        <f>SUMIFS(Tab_02.Fev[MOVIMENTO],Tab_02.Fev[CONTA],$F108)</f>
        <v>1449.13</v>
      </c>
      <c r="J108" s="4">
        <f>SUMIFS(Tab_03.Mar[MOVIMENTO],Tab_03.Mar[CONTA],$F108)</f>
        <v>304.58</v>
      </c>
      <c r="K108" s="4">
        <f>SUMIFS(Tab_04.Abr[MOVIMENTO],Tab_04.Abr[CONTA],$F108)</f>
        <v>45.89</v>
      </c>
      <c r="L108" s="4">
        <f>SUMIFS(Tab_05.Mai[MOVIMENTO],Tab_05.Mai[CONTA],$F108)</f>
        <v>-76.37</v>
      </c>
      <c r="M108" s="4">
        <f>SUMIFS(Tab_06.Jun[MOVIMENTO],Tab_06.Jun[CONTA],$F108)</f>
        <v>-76.06</v>
      </c>
      <c r="N108" s="4">
        <f>SUMIFS(Tab_07.Jul[MOVIMENTO],Tab_07.Jul[CONTA],$F108)</f>
        <v>-76.06</v>
      </c>
      <c r="O108" s="4">
        <f>SUMIFS(Tab_08.Ago[MOVIMENTO],Tab_08.Ago[CONTA],$F108)</f>
        <v>-76.06</v>
      </c>
      <c r="P108" s="4">
        <f>SUMIFS(Tab_09.Set[MOVIMENTO],Tab_09.Set[CONTA],$F108)</f>
        <v>18.95</v>
      </c>
      <c r="Q108" s="4">
        <f>SUMIFS(Tab_10.Out[MOVIMENTO],Tab_10.Out[CONTA],$F108)</f>
        <v>-5.44</v>
      </c>
      <c r="R108" s="4">
        <f>SUMIFS(Tab_11.Nov[MOVIMENTO],Tab_11.Nov[CONTA],$F108)</f>
        <v>36.64</v>
      </c>
      <c r="S108" s="4">
        <f>SUMIFS(Tab_12.Dez[MOVIMENTO],Tab_12.Dez[CONTA],$F108)</f>
        <v>87.68</v>
      </c>
    </row>
    <row r="109" spans="2:19" x14ac:dyDescent="0.3">
      <c r="B109" s="3"/>
      <c r="C109" s="2" t="str">
        <f t="shared" si="12"/>
        <v>P</v>
      </c>
      <c r="D109" s="2" t="str">
        <f t="shared" si="13"/>
        <v>S</v>
      </c>
      <c r="E109" s="2">
        <f t="shared" si="14"/>
        <v>5</v>
      </c>
      <c r="F109" s="3" t="s">
        <v>218</v>
      </c>
      <c r="G109" s="3" t="s">
        <v>660</v>
      </c>
      <c r="H109" s="4">
        <f>SUMIFS(Tab_01.Jan[MOVIMENTO],Tab_01.Jan[CONTA],$F109)</f>
        <v>-531018.04</v>
      </c>
      <c r="I109" s="4">
        <f>SUMIFS(Tab_02.Fev[MOVIMENTO],Tab_02.Fev[CONTA],$F109)</f>
        <v>544218.98</v>
      </c>
      <c r="J109" s="4">
        <f>SUMIFS(Tab_03.Mar[MOVIMENTO],Tab_03.Mar[CONTA],$F109)</f>
        <v>458395.71</v>
      </c>
      <c r="K109" s="4">
        <f>SUMIFS(Tab_04.Abr[MOVIMENTO],Tab_04.Abr[CONTA],$F109)</f>
        <v>-326788.49</v>
      </c>
      <c r="L109" s="4">
        <f>SUMIFS(Tab_05.Mai[MOVIMENTO],Tab_05.Mai[CONTA],$F109)</f>
        <v>152251.95000000001</v>
      </c>
      <c r="M109" s="4">
        <f>SUMIFS(Tab_06.Jun[MOVIMENTO],Tab_06.Jun[CONTA],$F109)</f>
        <v>-154744.84</v>
      </c>
      <c r="N109" s="4">
        <f>SUMIFS(Tab_07.Jul[MOVIMENTO],Tab_07.Jul[CONTA],$F109)</f>
        <v>-154744.84</v>
      </c>
      <c r="O109" s="4">
        <f>SUMIFS(Tab_08.Ago[MOVIMENTO],Tab_08.Ago[CONTA],$F109)</f>
        <v>-154744.84</v>
      </c>
      <c r="P109" s="4">
        <f>SUMIFS(Tab_09.Set[MOVIMENTO],Tab_09.Set[CONTA],$F109)</f>
        <v>46516.91</v>
      </c>
      <c r="Q109" s="4">
        <f>SUMIFS(Tab_10.Out[MOVIMENTO],Tab_10.Out[CONTA],$F109)</f>
        <v>11983.24</v>
      </c>
      <c r="R109" s="4">
        <f>SUMIFS(Tab_11.Nov[MOVIMENTO],Tab_11.Nov[CONTA],$F109)</f>
        <v>203811.35</v>
      </c>
      <c r="S109" s="4">
        <f>SUMIFS(Tab_12.Dez[MOVIMENTO],Tab_12.Dez[CONTA],$F109)</f>
        <v>483257.28</v>
      </c>
    </row>
    <row r="110" spans="2:19" x14ac:dyDescent="0.3">
      <c r="B110" s="3"/>
      <c r="C110" s="2" t="str">
        <f t="shared" si="12"/>
        <v>P</v>
      </c>
      <c r="D110" s="2" t="str">
        <f t="shared" si="13"/>
        <v>S</v>
      </c>
      <c r="E110" s="2">
        <f t="shared" si="14"/>
        <v>5</v>
      </c>
      <c r="F110" s="3" t="s">
        <v>219</v>
      </c>
      <c r="G110" s="3" t="s">
        <v>56</v>
      </c>
      <c r="H110" s="4">
        <f>SUMIFS(Tab_01.Jan[MOVIMENTO],Tab_01.Jan[CONTA],$F110)</f>
        <v>-531018.04</v>
      </c>
      <c r="I110" s="4">
        <f>SUMIFS(Tab_02.Fev[MOVIMENTO],Tab_02.Fev[CONTA],$F110)</f>
        <v>544218.98</v>
      </c>
      <c r="J110" s="4">
        <f>SUMIFS(Tab_03.Mar[MOVIMENTO],Tab_03.Mar[CONTA],$F110)</f>
        <v>458395.71</v>
      </c>
      <c r="K110" s="4">
        <f>SUMIFS(Tab_04.Abr[MOVIMENTO],Tab_04.Abr[CONTA],$F110)</f>
        <v>-326788.49</v>
      </c>
      <c r="L110" s="4">
        <f>SUMIFS(Tab_05.Mai[MOVIMENTO],Tab_05.Mai[CONTA],$F110)</f>
        <v>359199.97</v>
      </c>
      <c r="M110" s="4">
        <f>SUMIFS(Tab_06.Jun[MOVIMENTO],Tab_06.Jun[CONTA],$F110)</f>
        <v>30528.37</v>
      </c>
      <c r="N110" s="4">
        <f>SUMIFS(Tab_07.Jul[MOVIMENTO],Tab_07.Jul[CONTA],$F110)</f>
        <v>30528.37</v>
      </c>
      <c r="O110" s="4">
        <f>SUMIFS(Tab_08.Ago[MOVIMENTO],Tab_08.Ago[CONTA],$F110)</f>
        <v>30528.37</v>
      </c>
      <c r="P110" s="4">
        <f>SUMIFS(Tab_09.Set[MOVIMENTO],Tab_09.Set[CONTA],$F110)</f>
        <v>3851.34</v>
      </c>
      <c r="Q110" s="4">
        <f>SUMIFS(Tab_10.Out[MOVIMENTO],Tab_10.Out[CONTA],$F110)</f>
        <v>-232402.75</v>
      </c>
      <c r="R110" s="4">
        <f>SUMIFS(Tab_11.Nov[MOVIMENTO],Tab_11.Nov[CONTA],$F110)</f>
        <v>203811.35</v>
      </c>
      <c r="S110" s="4">
        <f>SUMIFS(Tab_12.Dez[MOVIMENTO],Tab_12.Dez[CONTA],$F110)</f>
        <v>42115.01</v>
      </c>
    </row>
    <row r="111" spans="2:19" x14ac:dyDescent="0.3">
      <c r="B111" s="3" t="s">
        <v>50</v>
      </c>
      <c r="C111" s="2" t="str">
        <f t="shared" si="12"/>
        <v>P</v>
      </c>
      <c r="D111" s="2" t="str">
        <f t="shared" si="13"/>
        <v>A</v>
      </c>
      <c r="E111" s="2">
        <f t="shared" si="14"/>
        <v>5</v>
      </c>
      <c r="F111" s="3" t="s">
        <v>344</v>
      </c>
      <c r="G111" s="3" t="s">
        <v>56</v>
      </c>
      <c r="H111" s="4">
        <f>SUMIFS(Tab_01.Jan[MOVIMENTO],Tab_01.Jan[CONTA],$F111)</f>
        <v>-531018.04</v>
      </c>
      <c r="I111" s="4">
        <f>SUMIFS(Tab_02.Fev[MOVIMENTO],Tab_02.Fev[CONTA],$F111)</f>
        <v>544218.98</v>
      </c>
      <c r="J111" s="4">
        <f>SUMIFS(Tab_03.Mar[MOVIMENTO],Tab_03.Mar[CONTA],$F111)</f>
        <v>458395.71</v>
      </c>
      <c r="K111" s="4">
        <f>SUMIFS(Tab_04.Abr[MOVIMENTO],Tab_04.Abr[CONTA],$F111)</f>
        <v>-326788.49</v>
      </c>
      <c r="L111" s="4">
        <f>SUMIFS(Tab_05.Mai[MOVIMENTO],Tab_05.Mai[CONTA],$F111)</f>
        <v>359199.97</v>
      </c>
      <c r="M111" s="4">
        <f>SUMIFS(Tab_06.Jun[MOVIMENTO],Tab_06.Jun[CONTA],$F111)</f>
        <v>30528.37</v>
      </c>
      <c r="N111" s="4">
        <f>SUMIFS(Tab_07.Jul[MOVIMENTO],Tab_07.Jul[CONTA],$F111)</f>
        <v>30528.37</v>
      </c>
      <c r="O111" s="4">
        <f>SUMIFS(Tab_08.Ago[MOVIMENTO],Tab_08.Ago[CONTA],$F111)</f>
        <v>30528.37</v>
      </c>
      <c r="P111" s="4">
        <f>SUMIFS(Tab_09.Set[MOVIMENTO],Tab_09.Set[CONTA],$F111)</f>
        <v>3851.34</v>
      </c>
      <c r="Q111" s="4">
        <f>SUMIFS(Tab_10.Out[MOVIMENTO],Tab_10.Out[CONTA],$F111)</f>
        <v>-232402.75</v>
      </c>
      <c r="R111" s="4">
        <f>SUMIFS(Tab_11.Nov[MOVIMENTO],Tab_11.Nov[CONTA],$F111)</f>
        <v>203811.35</v>
      </c>
      <c r="S111" s="4">
        <f>SUMIFS(Tab_12.Dez[MOVIMENTO],Tab_12.Dez[CONTA],$F111)</f>
        <v>42115.01</v>
      </c>
    </row>
    <row r="112" spans="2:19" x14ac:dyDescent="0.3">
      <c r="B112" s="3"/>
      <c r="C112" s="2" t="str">
        <f t="shared" si="12"/>
        <v>P</v>
      </c>
      <c r="D112" s="2" t="str">
        <f t="shared" si="13"/>
        <v>S</v>
      </c>
      <c r="E112" s="2">
        <f t="shared" si="14"/>
        <v>5</v>
      </c>
      <c r="F112" s="3" t="s">
        <v>220</v>
      </c>
      <c r="G112" s="3" t="s">
        <v>346</v>
      </c>
      <c r="H112" s="4">
        <f>SUMIFS(Tab_01.Jan[MOVIMENTO],Tab_01.Jan[CONTA],$F112)</f>
        <v>0</v>
      </c>
      <c r="I112" s="4">
        <f>SUMIFS(Tab_02.Fev[MOVIMENTO],Tab_02.Fev[CONTA],$F112)</f>
        <v>0</v>
      </c>
      <c r="J112" s="4">
        <f>SUMIFS(Tab_03.Mar[MOVIMENTO],Tab_03.Mar[CONTA],$F112)</f>
        <v>0</v>
      </c>
      <c r="K112" s="4">
        <f>SUMIFS(Tab_04.Abr[MOVIMENTO],Tab_04.Abr[CONTA],$F112)</f>
        <v>0</v>
      </c>
      <c r="L112" s="4">
        <f>SUMIFS(Tab_05.Mai[MOVIMENTO],Tab_05.Mai[CONTA],$F112)</f>
        <v>-206948.02</v>
      </c>
      <c r="M112" s="4">
        <f>SUMIFS(Tab_06.Jun[MOVIMENTO],Tab_06.Jun[CONTA],$F112)</f>
        <v>-185273.21</v>
      </c>
      <c r="N112" s="4">
        <f>SUMIFS(Tab_07.Jul[MOVIMENTO],Tab_07.Jul[CONTA],$F112)</f>
        <v>-185273.21</v>
      </c>
      <c r="O112" s="4">
        <f>SUMIFS(Tab_08.Ago[MOVIMENTO],Tab_08.Ago[CONTA],$F112)</f>
        <v>-185273.21</v>
      </c>
      <c r="P112" s="4">
        <f>SUMIFS(Tab_09.Set[MOVIMENTO],Tab_09.Set[CONTA],$F112)</f>
        <v>42665.57</v>
      </c>
      <c r="Q112" s="4">
        <f>SUMIFS(Tab_10.Out[MOVIMENTO],Tab_10.Out[CONTA],$F112)</f>
        <v>244385.99</v>
      </c>
      <c r="R112" s="4">
        <f>SUMIFS(Tab_11.Nov[MOVIMENTO],Tab_11.Nov[CONTA],$F112)</f>
        <v>0</v>
      </c>
      <c r="S112" s="4">
        <f>SUMIFS(Tab_12.Dez[MOVIMENTO],Tab_12.Dez[CONTA],$F112)</f>
        <v>441142.27</v>
      </c>
    </row>
    <row r="113" spans="2:19" x14ac:dyDescent="0.3">
      <c r="B113" s="3" t="s">
        <v>50</v>
      </c>
      <c r="C113" s="2" t="str">
        <f t="shared" si="12"/>
        <v>P</v>
      </c>
      <c r="D113" s="2" t="str">
        <f t="shared" si="13"/>
        <v>A</v>
      </c>
      <c r="E113" s="2">
        <f t="shared" si="14"/>
        <v>5</v>
      </c>
      <c r="F113" s="3" t="s">
        <v>345</v>
      </c>
      <c r="G113" s="3" t="s">
        <v>346</v>
      </c>
      <c r="H113" s="4">
        <f>SUMIFS(Tab_01.Jan[MOVIMENTO],Tab_01.Jan[CONTA],$F113)</f>
        <v>0</v>
      </c>
      <c r="I113" s="4">
        <f>SUMIFS(Tab_02.Fev[MOVIMENTO],Tab_02.Fev[CONTA],$F113)</f>
        <v>0</v>
      </c>
      <c r="J113" s="4">
        <f>SUMIFS(Tab_03.Mar[MOVIMENTO],Tab_03.Mar[CONTA],$F113)</f>
        <v>0</v>
      </c>
      <c r="K113" s="4">
        <f>SUMIFS(Tab_04.Abr[MOVIMENTO],Tab_04.Abr[CONTA],$F113)</f>
        <v>0</v>
      </c>
      <c r="L113" s="4">
        <f>SUMIFS(Tab_05.Mai[MOVIMENTO],Tab_05.Mai[CONTA],$F113)</f>
        <v>-206948.02</v>
      </c>
      <c r="M113" s="4">
        <f>SUMIFS(Tab_06.Jun[MOVIMENTO],Tab_06.Jun[CONTA],$F113)</f>
        <v>-185273.21</v>
      </c>
      <c r="N113" s="4">
        <f>SUMIFS(Tab_07.Jul[MOVIMENTO],Tab_07.Jul[CONTA],$F113)</f>
        <v>-185273.21</v>
      </c>
      <c r="O113" s="4">
        <f>SUMIFS(Tab_08.Ago[MOVIMENTO],Tab_08.Ago[CONTA],$F113)</f>
        <v>-185273.21</v>
      </c>
      <c r="P113" s="4">
        <f>SUMIFS(Tab_09.Set[MOVIMENTO],Tab_09.Set[CONTA],$F113)</f>
        <v>42665.57</v>
      </c>
      <c r="Q113" s="4">
        <f>SUMIFS(Tab_10.Out[MOVIMENTO],Tab_10.Out[CONTA],$F113)</f>
        <v>244385.99</v>
      </c>
      <c r="R113" s="4">
        <f>SUMIFS(Tab_11.Nov[MOVIMENTO],Tab_11.Nov[CONTA],$F113)</f>
        <v>0</v>
      </c>
      <c r="S113" s="4">
        <f>SUMIFS(Tab_12.Dez[MOVIMENTO],Tab_12.Dez[CONTA],$F113)</f>
        <v>441142.27</v>
      </c>
    </row>
    <row r="114" spans="2:19" x14ac:dyDescent="0.3">
      <c r="B114" s="3"/>
      <c r="C114" s="2" t="str">
        <f t="shared" si="12"/>
        <v>P</v>
      </c>
      <c r="D114" s="2" t="str">
        <f t="shared" si="13"/>
        <v>S</v>
      </c>
      <c r="E114" s="2">
        <f t="shared" si="14"/>
        <v>5</v>
      </c>
      <c r="F114" s="3" t="s">
        <v>221</v>
      </c>
      <c r="G114" s="3" t="s">
        <v>661</v>
      </c>
      <c r="H114" s="4">
        <f>SUMIFS(Tab_01.Jan[MOVIMENTO],Tab_01.Jan[CONTA],$F114)</f>
        <v>36837.620000000003</v>
      </c>
      <c r="I114" s="4">
        <f>SUMIFS(Tab_02.Fev[MOVIMENTO],Tab_02.Fev[CONTA],$F114)</f>
        <v>22333</v>
      </c>
      <c r="J114" s="4">
        <f>SUMIFS(Tab_03.Mar[MOVIMENTO],Tab_03.Mar[CONTA],$F114)</f>
        <v>5113.87</v>
      </c>
      <c r="K114" s="4">
        <f>SUMIFS(Tab_04.Abr[MOVIMENTO],Tab_04.Abr[CONTA],$F114)</f>
        <v>-775.51</v>
      </c>
      <c r="L114" s="4">
        <f>SUMIFS(Tab_05.Mai[MOVIMENTO],Tab_05.Mai[CONTA],$F114)</f>
        <v>1051.1400000000001</v>
      </c>
      <c r="M114" s="4">
        <f>SUMIFS(Tab_06.Jun[MOVIMENTO],Tab_06.Jun[CONTA],$F114)</f>
        <v>6817.05</v>
      </c>
      <c r="N114" s="4">
        <f>SUMIFS(Tab_07.Jul[MOVIMENTO],Tab_07.Jul[CONTA],$F114)</f>
        <v>6817.05</v>
      </c>
      <c r="O114" s="4">
        <f>SUMIFS(Tab_08.Ago[MOVIMENTO],Tab_08.Ago[CONTA],$F114)</f>
        <v>6817.05</v>
      </c>
      <c r="P114" s="4">
        <f>SUMIFS(Tab_09.Set[MOVIMENTO],Tab_09.Set[CONTA],$F114)</f>
        <v>3862.37</v>
      </c>
      <c r="Q114" s="4">
        <f>SUMIFS(Tab_10.Out[MOVIMENTO],Tab_10.Out[CONTA],$F114)</f>
        <v>-8548.4699999999993</v>
      </c>
      <c r="R114" s="4">
        <f>SUMIFS(Tab_11.Nov[MOVIMENTO],Tab_11.Nov[CONTA],$F114)</f>
        <v>519.24</v>
      </c>
      <c r="S114" s="4">
        <f>SUMIFS(Tab_12.Dez[MOVIMENTO],Tab_12.Dez[CONTA],$F114)</f>
        <v>-613.4</v>
      </c>
    </row>
    <row r="115" spans="2:19" x14ac:dyDescent="0.3">
      <c r="B115" s="3"/>
      <c r="C115" s="2" t="str">
        <f t="shared" si="12"/>
        <v>P</v>
      </c>
      <c r="D115" s="2" t="str">
        <f t="shared" si="13"/>
        <v>S</v>
      </c>
      <c r="E115" s="2">
        <f t="shared" si="14"/>
        <v>5</v>
      </c>
      <c r="F115" s="3" t="s">
        <v>222</v>
      </c>
      <c r="G115" s="3" t="s">
        <v>662</v>
      </c>
      <c r="H115" s="4">
        <f>SUMIFS(Tab_01.Jan[MOVIMENTO],Tab_01.Jan[CONTA],$F115)</f>
        <v>36773.11</v>
      </c>
      <c r="I115" s="4">
        <f>SUMIFS(Tab_02.Fev[MOVIMENTO],Tab_02.Fev[CONTA],$F115)</f>
        <v>22333</v>
      </c>
      <c r="J115" s="4">
        <f>SUMIFS(Tab_03.Mar[MOVIMENTO],Tab_03.Mar[CONTA],$F115)</f>
        <v>5113.87</v>
      </c>
      <c r="K115" s="4">
        <f>SUMIFS(Tab_04.Abr[MOVIMENTO],Tab_04.Abr[CONTA],$F115)</f>
        <v>-1259.69</v>
      </c>
      <c r="L115" s="4">
        <f>SUMIFS(Tab_05.Mai[MOVIMENTO],Tab_05.Mai[CONTA],$F115)</f>
        <v>1051.1400000000001</v>
      </c>
      <c r="M115" s="4">
        <f>SUMIFS(Tab_06.Jun[MOVIMENTO],Tab_06.Jun[CONTA],$F115)</f>
        <v>6817.05</v>
      </c>
      <c r="N115" s="4">
        <f>SUMIFS(Tab_07.Jul[MOVIMENTO],Tab_07.Jul[CONTA],$F115)</f>
        <v>6817.05</v>
      </c>
      <c r="O115" s="4">
        <f>SUMIFS(Tab_08.Ago[MOVIMENTO],Tab_08.Ago[CONTA],$F115)</f>
        <v>6817.05</v>
      </c>
      <c r="P115" s="4">
        <f>SUMIFS(Tab_09.Set[MOVIMENTO],Tab_09.Set[CONTA],$F115)</f>
        <v>3862.37</v>
      </c>
      <c r="Q115" s="4">
        <f>SUMIFS(Tab_10.Out[MOVIMENTO],Tab_10.Out[CONTA],$F115)</f>
        <v>-8548.4699999999993</v>
      </c>
      <c r="R115" s="4">
        <f>SUMIFS(Tab_11.Nov[MOVIMENTO],Tab_11.Nov[CONTA],$F115)</f>
        <v>519.24</v>
      </c>
      <c r="S115" s="4">
        <f>SUMIFS(Tab_12.Dez[MOVIMENTO],Tab_12.Dez[CONTA],$F115)</f>
        <v>-613.4</v>
      </c>
    </row>
    <row r="116" spans="2:19" x14ac:dyDescent="0.3">
      <c r="B116" s="3" t="s">
        <v>53</v>
      </c>
      <c r="C116" s="2" t="str">
        <f t="shared" si="12"/>
        <v>P</v>
      </c>
      <c r="D116" s="2" t="str">
        <f t="shared" si="13"/>
        <v>A</v>
      </c>
      <c r="E116" s="2">
        <f t="shared" si="14"/>
        <v>5</v>
      </c>
      <c r="F116" s="3" t="s">
        <v>191</v>
      </c>
      <c r="G116" s="3" t="s">
        <v>347</v>
      </c>
      <c r="H116" s="4">
        <f>SUMIFS(Tab_01.Jan[MOVIMENTO],Tab_01.Jan[CONTA],$F116)</f>
        <v>167.79</v>
      </c>
      <c r="I116" s="4">
        <f>SUMIFS(Tab_02.Fev[MOVIMENTO],Tab_02.Fev[CONTA],$F116)</f>
        <v>-9.31</v>
      </c>
      <c r="J116" s="4">
        <f>SUMIFS(Tab_03.Mar[MOVIMENTO],Tab_03.Mar[CONTA],$F116)</f>
        <v>14.13</v>
      </c>
      <c r="K116" s="4">
        <f>SUMIFS(Tab_04.Abr[MOVIMENTO],Tab_04.Abr[CONTA],$F116)</f>
        <v>-151.62</v>
      </c>
      <c r="L116" s="4">
        <f>SUMIFS(Tab_05.Mai[MOVIMENTO],Tab_05.Mai[CONTA],$F116)</f>
        <v>138.52000000000001</v>
      </c>
      <c r="M116" s="4">
        <f>SUMIFS(Tab_06.Jun[MOVIMENTO],Tab_06.Jun[CONTA],$F116)</f>
        <v>727.98</v>
      </c>
      <c r="N116" s="4">
        <f>SUMIFS(Tab_07.Jul[MOVIMENTO],Tab_07.Jul[CONTA],$F116)</f>
        <v>727.98</v>
      </c>
      <c r="O116" s="4">
        <f>SUMIFS(Tab_08.Ago[MOVIMENTO],Tab_08.Ago[CONTA],$F116)</f>
        <v>727.98</v>
      </c>
      <c r="P116" s="4">
        <f>SUMIFS(Tab_09.Set[MOVIMENTO],Tab_09.Set[CONTA],$F116)</f>
        <v>91.73</v>
      </c>
      <c r="Q116" s="4">
        <f>SUMIFS(Tab_10.Out[MOVIMENTO],Tab_10.Out[CONTA],$F116)</f>
        <v>-1056.46</v>
      </c>
      <c r="R116" s="4">
        <f>SUMIFS(Tab_11.Nov[MOVIMENTO],Tab_11.Nov[CONTA],$F116)</f>
        <v>-291.68</v>
      </c>
      <c r="S116" s="4">
        <f>SUMIFS(Tab_12.Dez[MOVIMENTO],Tab_12.Dez[CONTA],$F116)</f>
        <v>335.87</v>
      </c>
    </row>
    <row r="117" spans="2:19" x14ac:dyDescent="0.3">
      <c r="B117" s="3" t="s">
        <v>52</v>
      </c>
      <c r="C117" s="2" t="str">
        <f t="shared" si="12"/>
        <v>P</v>
      </c>
      <c r="D117" s="2" t="str">
        <f t="shared" si="13"/>
        <v>A</v>
      </c>
      <c r="E117" s="2">
        <f t="shared" si="14"/>
        <v>5</v>
      </c>
      <c r="F117" s="3" t="s">
        <v>192</v>
      </c>
      <c r="G117" s="3" t="s">
        <v>348</v>
      </c>
      <c r="H117" s="4">
        <f>SUMIFS(Tab_01.Jan[MOVIMENTO],Tab_01.Jan[CONTA],$F117)</f>
        <v>36372.400000000001</v>
      </c>
      <c r="I117" s="4">
        <f>SUMIFS(Tab_02.Fev[MOVIMENTO],Tab_02.Fev[CONTA],$F117)</f>
        <v>21686.36</v>
      </c>
      <c r="J117" s="4">
        <f>SUMIFS(Tab_03.Mar[MOVIMENTO],Tab_03.Mar[CONTA],$F117)</f>
        <v>5327.69</v>
      </c>
      <c r="K117" s="4">
        <f>SUMIFS(Tab_04.Abr[MOVIMENTO],Tab_04.Abr[CONTA],$F117)</f>
        <v>-13.2</v>
      </c>
      <c r="L117" s="4">
        <f>SUMIFS(Tab_05.Mai[MOVIMENTO],Tab_05.Mai[CONTA],$F117)</f>
        <v>41.64</v>
      </c>
      <c r="M117" s="4">
        <f>SUMIFS(Tab_06.Jun[MOVIMENTO],Tab_06.Jun[CONTA],$F117)</f>
        <v>4492.88</v>
      </c>
      <c r="N117" s="4">
        <f>SUMIFS(Tab_07.Jul[MOVIMENTO],Tab_07.Jul[CONTA],$F117)</f>
        <v>4492.88</v>
      </c>
      <c r="O117" s="4">
        <f>SUMIFS(Tab_08.Ago[MOVIMENTO],Tab_08.Ago[CONTA],$F117)</f>
        <v>4492.88</v>
      </c>
      <c r="P117" s="4">
        <f>SUMIFS(Tab_09.Set[MOVIMENTO],Tab_09.Set[CONTA],$F117)</f>
        <v>3249.89</v>
      </c>
      <c r="Q117" s="4">
        <f>SUMIFS(Tab_10.Out[MOVIMENTO],Tab_10.Out[CONTA],$F117)</f>
        <v>-3912.06</v>
      </c>
      <c r="R117" s="4">
        <f>SUMIFS(Tab_11.Nov[MOVIMENTO],Tab_11.Nov[CONTA],$F117)</f>
        <v>1709.44</v>
      </c>
      <c r="S117" s="4">
        <f>SUMIFS(Tab_12.Dez[MOVIMENTO],Tab_12.Dez[CONTA],$F117)</f>
        <v>-1016.15</v>
      </c>
    </row>
    <row r="118" spans="2:19" x14ac:dyDescent="0.3">
      <c r="B118" s="3" t="s">
        <v>53</v>
      </c>
      <c r="C118" s="2" t="str">
        <f t="shared" si="12"/>
        <v>P</v>
      </c>
      <c r="D118" s="2" t="str">
        <f t="shared" si="13"/>
        <v>A</v>
      </c>
      <c r="E118" s="2">
        <f t="shared" si="14"/>
        <v>5</v>
      </c>
      <c r="F118" s="3" t="s">
        <v>264</v>
      </c>
      <c r="G118" s="3" t="s">
        <v>349</v>
      </c>
      <c r="H118" s="4">
        <f>SUMIFS(Tab_01.Jan[MOVIMENTO],Tab_01.Jan[CONTA],$F118)</f>
        <v>349.52</v>
      </c>
      <c r="I118" s="4">
        <f>SUMIFS(Tab_02.Fev[MOVIMENTO],Tab_02.Fev[CONTA],$F118)</f>
        <v>0</v>
      </c>
      <c r="J118" s="4">
        <f>SUMIFS(Tab_03.Mar[MOVIMENTO],Tab_03.Mar[CONTA],$F118)</f>
        <v>-13.2</v>
      </c>
      <c r="K118" s="4">
        <f>SUMIFS(Tab_04.Abr[MOVIMENTO],Tab_04.Abr[CONTA],$F118)</f>
        <v>13.2</v>
      </c>
      <c r="L118" s="4">
        <f>SUMIFS(Tab_05.Mai[MOVIMENTO],Tab_05.Mai[CONTA],$F118)</f>
        <v>-438.36</v>
      </c>
      <c r="M118" s="4">
        <f>SUMIFS(Tab_06.Jun[MOVIMENTO],Tab_06.Jun[CONTA],$F118)</f>
        <v>335.15</v>
      </c>
      <c r="N118" s="4">
        <f>SUMIFS(Tab_07.Jul[MOVIMENTO],Tab_07.Jul[CONTA],$F118)</f>
        <v>335.15</v>
      </c>
      <c r="O118" s="4">
        <f>SUMIFS(Tab_08.Ago[MOVIMENTO],Tab_08.Ago[CONTA],$F118)</f>
        <v>335.15</v>
      </c>
      <c r="P118" s="4">
        <f>SUMIFS(Tab_09.Set[MOVIMENTO],Tab_09.Set[CONTA],$F118)</f>
        <v>0</v>
      </c>
      <c r="Q118" s="4">
        <f>SUMIFS(Tab_10.Out[MOVIMENTO],Tab_10.Out[CONTA],$F118)</f>
        <v>0</v>
      </c>
      <c r="R118" s="4">
        <f>SUMIFS(Tab_11.Nov[MOVIMENTO],Tab_11.Nov[CONTA],$F118)</f>
        <v>0</v>
      </c>
      <c r="S118" s="4">
        <f>SUMIFS(Tab_12.Dez[MOVIMENTO],Tab_12.Dez[CONTA],$F118)</f>
        <v>0</v>
      </c>
    </row>
    <row r="119" spans="2:19" x14ac:dyDescent="0.3">
      <c r="B119" s="3" t="s">
        <v>53</v>
      </c>
      <c r="C119" s="2" t="str">
        <f t="shared" si="12"/>
        <v>P</v>
      </c>
      <c r="D119" s="2" t="str">
        <f t="shared" si="13"/>
        <v>A</v>
      </c>
      <c r="E119" s="2">
        <f t="shared" si="14"/>
        <v>5</v>
      </c>
      <c r="F119" s="3" t="s">
        <v>350</v>
      </c>
      <c r="G119" s="3" t="s">
        <v>351</v>
      </c>
      <c r="H119" s="4">
        <f>SUMIFS(Tab_01.Jan[MOVIMENTO],Tab_01.Jan[CONTA],$F119)</f>
        <v>-116.6</v>
      </c>
      <c r="I119" s="4">
        <f>SUMIFS(Tab_02.Fev[MOVIMENTO],Tab_02.Fev[CONTA],$F119)</f>
        <v>655.95</v>
      </c>
      <c r="J119" s="4">
        <f>SUMIFS(Tab_03.Mar[MOVIMENTO],Tab_03.Mar[CONTA],$F119)</f>
        <v>-214.75</v>
      </c>
      <c r="K119" s="4">
        <f>SUMIFS(Tab_04.Abr[MOVIMENTO],Tab_04.Abr[CONTA],$F119)</f>
        <v>-1108.07</v>
      </c>
      <c r="L119" s="4">
        <f>SUMIFS(Tab_05.Mai[MOVIMENTO],Tab_05.Mai[CONTA],$F119)</f>
        <v>1309.3399999999999</v>
      </c>
      <c r="M119" s="4">
        <f>SUMIFS(Tab_06.Jun[MOVIMENTO],Tab_06.Jun[CONTA],$F119)</f>
        <v>1261.04</v>
      </c>
      <c r="N119" s="4">
        <f>SUMIFS(Tab_07.Jul[MOVIMENTO],Tab_07.Jul[CONTA],$F119)</f>
        <v>1261.04</v>
      </c>
      <c r="O119" s="4">
        <f>SUMIFS(Tab_08.Ago[MOVIMENTO],Tab_08.Ago[CONTA],$F119)</f>
        <v>1261.04</v>
      </c>
      <c r="P119" s="4">
        <f>SUMIFS(Tab_09.Set[MOVIMENTO],Tab_09.Set[CONTA],$F119)</f>
        <v>509.58</v>
      </c>
      <c r="Q119" s="4">
        <f>SUMIFS(Tab_10.Out[MOVIMENTO],Tab_10.Out[CONTA],$F119)</f>
        <v>-3579.95</v>
      </c>
      <c r="R119" s="4">
        <f>SUMIFS(Tab_11.Nov[MOVIMENTO],Tab_11.Nov[CONTA],$F119)</f>
        <v>-898.52</v>
      </c>
      <c r="S119" s="4">
        <f>SUMIFS(Tab_12.Dez[MOVIMENTO],Tab_12.Dez[CONTA],$F119)</f>
        <v>67.31</v>
      </c>
    </row>
    <row r="120" spans="2:19" x14ac:dyDescent="0.3">
      <c r="B120" s="3" t="s">
        <v>53</v>
      </c>
      <c r="C120" s="2" t="str">
        <f t="shared" si="12"/>
        <v>P</v>
      </c>
      <c r="D120" s="2" t="str">
        <f t="shared" si="13"/>
        <v>A</v>
      </c>
      <c r="E120" s="2">
        <f t="shared" si="14"/>
        <v>5</v>
      </c>
      <c r="F120" s="3" t="s">
        <v>352</v>
      </c>
      <c r="G120" s="3" t="s">
        <v>353</v>
      </c>
      <c r="H120" s="4">
        <f>SUMIFS(Tab_01.Jan[MOVIMENTO],Tab_01.Jan[CONTA],$F120)</f>
        <v>0</v>
      </c>
      <c r="I120" s="4">
        <f>SUMIFS(Tab_02.Fev[MOVIMENTO],Tab_02.Fev[CONTA],$F120)</f>
        <v>0</v>
      </c>
      <c r="J120" s="4">
        <f>SUMIFS(Tab_03.Mar[MOVIMENTO],Tab_03.Mar[CONTA],$F120)</f>
        <v>0</v>
      </c>
      <c r="K120" s="4">
        <f>SUMIFS(Tab_04.Abr[MOVIMENTO],Tab_04.Abr[CONTA],$F120)</f>
        <v>0</v>
      </c>
      <c r="L120" s="4">
        <f>SUMIFS(Tab_05.Mai[MOVIMENTO],Tab_05.Mai[CONTA],$F120)</f>
        <v>0</v>
      </c>
      <c r="M120" s="4">
        <f>SUMIFS(Tab_06.Jun[MOVIMENTO],Tab_06.Jun[CONTA],$F120)</f>
        <v>0</v>
      </c>
      <c r="N120" s="4">
        <f>SUMIFS(Tab_07.Jul[MOVIMENTO],Tab_07.Jul[CONTA],$F120)</f>
        <v>0</v>
      </c>
      <c r="O120" s="4">
        <f>SUMIFS(Tab_08.Ago[MOVIMENTO],Tab_08.Ago[CONTA],$F120)</f>
        <v>0</v>
      </c>
      <c r="P120" s="4">
        <f>SUMIFS(Tab_09.Set[MOVIMENTO],Tab_09.Set[CONTA],$F120)</f>
        <v>11.17</v>
      </c>
      <c r="Q120" s="4">
        <f>SUMIFS(Tab_10.Out[MOVIMENTO],Tab_10.Out[CONTA],$F120)</f>
        <v>0</v>
      </c>
      <c r="R120" s="4">
        <f>SUMIFS(Tab_11.Nov[MOVIMENTO],Tab_11.Nov[CONTA],$F120)</f>
        <v>0</v>
      </c>
      <c r="S120" s="4">
        <f>SUMIFS(Tab_12.Dez[MOVIMENTO],Tab_12.Dez[CONTA],$F120)</f>
        <v>-0.43</v>
      </c>
    </row>
    <row r="121" spans="2:19" x14ac:dyDescent="0.3">
      <c r="B121" s="3"/>
      <c r="C121" s="2" t="str">
        <f t="shared" si="12"/>
        <v>P</v>
      </c>
      <c r="D121" s="2" t="str">
        <f t="shared" si="13"/>
        <v>S</v>
      </c>
      <c r="E121" s="2">
        <f t="shared" si="14"/>
        <v>5</v>
      </c>
      <c r="F121" s="3" t="s">
        <v>223</v>
      </c>
      <c r="G121" s="3" t="s">
        <v>663</v>
      </c>
      <c r="H121" s="4">
        <f>SUMIFS(Tab_01.Jan[MOVIMENTO],Tab_01.Jan[CONTA],$F121)</f>
        <v>64.510000000000005</v>
      </c>
      <c r="I121" s="4">
        <f>SUMIFS(Tab_02.Fev[MOVIMENTO],Tab_02.Fev[CONTA],$F121)</f>
        <v>0</v>
      </c>
      <c r="J121" s="4">
        <f>SUMIFS(Tab_03.Mar[MOVIMENTO],Tab_03.Mar[CONTA],$F121)</f>
        <v>0</v>
      </c>
      <c r="K121" s="4">
        <f>SUMIFS(Tab_04.Abr[MOVIMENTO],Tab_04.Abr[CONTA],$F121)</f>
        <v>484.18</v>
      </c>
      <c r="L121" s="4">
        <f>SUMIFS(Tab_05.Mai[MOVIMENTO],Tab_05.Mai[CONTA],$F121)</f>
        <v>0</v>
      </c>
      <c r="M121" s="4">
        <f>SUMIFS(Tab_06.Jun[MOVIMENTO],Tab_06.Jun[CONTA],$F121)</f>
        <v>0</v>
      </c>
      <c r="N121" s="4">
        <f>SUMIFS(Tab_07.Jul[MOVIMENTO],Tab_07.Jul[CONTA],$F121)</f>
        <v>0</v>
      </c>
      <c r="O121" s="4">
        <f>SUMIFS(Tab_08.Ago[MOVIMENTO],Tab_08.Ago[CONTA],$F121)</f>
        <v>0</v>
      </c>
      <c r="P121" s="4">
        <f>SUMIFS(Tab_09.Set[MOVIMENTO],Tab_09.Set[CONTA],$F121)</f>
        <v>0</v>
      </c>
      <c r="Q121" s="4">
        <f>SUMIFS(Tab_10.Out[MOVIMENTO],Tab_10.Out[CONTA],$F121)</f>
        <v>0</v>
      </c>
      <c r="R121" s="4">
        <f>SUMIFS(Tab_11.Nov[MOVIMENTO],Tab_11.Nov[CONTA],$F121)</f>
        <v>0</v>
      </c>
      <c r="S121" s="4">
        <f>SUMIFS(Tab_12.Dez[MOVIMENTO],Tab_12.Dez[CONTA],$F121)</f>
        <v>0</v>
      </c>
    </row>
    <row r="122" spans="2:19" x14ac:dyDescent="0.3">
      <c r="B122" s="3" t="s">
        <v>53</v>
      </c>
      <c r="C122" s="2" t="str">
        <f t="shared" si="12"/>
        <v>P</v>
      </c>
      <c r="D122" s="2" t="str">
        <f t="shared" si="13"/>
        <v>A</v>
      </c>
      <c r="E122" s="2">
        <f t="shared" si="14"/>
        <v>5</v>
      </c>
      <c r="F122" s="3" t="s">
        <v>354</v>
      </c>
      <c r="G122" s="3" t="s">
        <v>355</v>
      </c>
      <c r="H122" s="4">
        <f>SUMIFS(Tab_01.Jan[MOVIMENTO],Tab_01.Jan[CONTA],$F122)</f>
        <v>64.510000000000005</v>
      </c>
      <c r="I122" s="4">
        <f>SUMIFS(Tab_02.Fev[MOVIMENTO],Tab_02.Fev[CONTA],$F122)</f>
        <v>0</v>
      </c>
      <c r="J122" s="4">
        <f>SUMIFS(Tab_03.Mar[MOVIMENTO],Tab_03.Mar[CONTA],$F122)</f>
        <v>0</v>
      </c>
      <c r="K122" s="4">
        <f>SUMIFS(Tab_04.Abr[MOVIMENTO],Tab_04.Abr[CONTA],$F122)</f>
        <v>484.18</v>
      </c>
      <c r="L122" s="4">
        <f>SUMIFS(Tab_05.Mai[MOVIMENTO],Tab_05.Mai[CONTA],$F122)</f>
        <v>0</v>
      </c>
      <c r="M122" s="4">
        <f>SUMIFS(Tab_06.Jun[MOVIMENTO],Tab_06.Jun[CONTA],$F122)</f>
        <v>0</v>
      </c>
      <c r="N122" s="4">
        <f>SUMIFS(Tab_07.Jul[MOVIMENTO],Tab_07.Jul[CONTA],$F122)</f>
        <v>0</v>
      </c>
      <c r="O122" s="4">
        <f>SUMIFS(Tab_08.Ago[MOVIMENTO],Tab_08.Ago[CONTA],$F122)</f>
        <v>0</v>
      </c>
      <c r="P122" s="4">
        <f>SUMIFS(Tab_09.Set[MOVIMENTO],Tab_09.Set[CONTA],$F122)</f>
        <v>0</v>
      </c>
      <c r="Q122" s="4">
        <f>SUMIFS(Tab_10.Out[MOVIMENTO],Tab_10.Out[CONTA],$F122)</f>
        <v>0</v>
      </c>
      <c r="R122" s="4">
        <f>SUMIFS(Tab_11.Nov[MOVIMENTO],Tab_11.Nov[CONTA],$F122)</f>
        <v>0</v>
      </c>
      <c r="S122" s="4">
        <f>SUMIFS(Tab_12.Dez[MOVIMENTO],Tab_12.Dez[CONTA],$F122)</f>
        <v>0</v>
      </c>
    </row>
    <row r="123" spans="2:19" x14ac:dyDescent="0.3">
      <c r="B123" s="3"/>
      <c r="C123" s="2" t="str">
        <f t="shared" si="12"/>
        <v>P</v>
      </c>
      <c r="D123" s="2" t="str">
        <f t="shared" si="13"/>
        <v>S</v>
      </c>
      <c r="E123" s="2">
        <f t="shared" si="14"/>
        <v>5</v>
      </c>
      <c r="F123" s="3" t="s">
        <v>224</v>
      </c>
      <c r="G123" s="3" t="s">
        <v>664</v>
      </c>
      <c r="H123" s="4">
        <f>SUMIFS(Tab_01.Jan[MOVIMENTO],Tab_01.Jan[CONTA],$F123)</f>
        <v>-2462.9299999999998</v>
      </c>
      <c r="I123" s="4">
        <f>SUMIFS(Tab_02.Fev[MOVIMENTO],Tab_02.Fev[CONTA],$F123)</f>
        <v>-37.78</v>
      </c>
      <c r="J123" s="4">
        <f>SUMIFS(Tab_03.Mar[MOVIMENTO],Tab_03.Mar[CONTA],$F123)</f>
        <v>18.579999999999998</v>
      </c>
      <c r="K123" s="4">
        <f>SUMIFS(Tab_04.Abr[MOVIMENTO],Tab_04.Abr[CONTA],$F123)</f>
        <v>-239.38</v>
      </c>
      <c r="L123" s="4">
        <f>SUMIFS(Tab_05.Mai[MOVIMENTO],Tab_05.Mai[CONTA],$F123)</f>
        <v>253.98</v>
      </c>
      <c r="M123" s="4">
        <f>SUMIFS(Tab_06.Jun[MOVIMENTO],Tab_06.Jun[CONTA],$F123)</f>
        <v>169.15</v>
      </c>
      <c r="N123" s="4">
        <f>SUMIFS(Tab_07.Jul[MOVIMENTO],Tab_07.Jul[CONTA],$F123)</f>
        <v>169.15</v>
      </c>
      <c r="O123" s="4">
        <f>SUMIFS(Tab_08.Ago[MOVIMENTO],Tab_08.Ago[CONTA],$F123)</f>
        <v>169.15</v>
      </c>
      <c r="P123" s="4">
        <f>SUMIFS(Tab_09.Set[MOVIMENTO],Tab_09.Set[CONTA],$F123)</f>
        <v>-46.44</v>
      </c>
      <c r="Q123" s="4">
        <f>SUMIFS(Tab_10.Out[MOVIMENTO],Tab_10.Out[CONTA],$F123)</f>
        <v>-610.49</v>
      </c>
      <c r="R123" s="4">
        <f>SUMIFS(Tab_11.Nov[MOVIMENTO],Tab_11.Nov[CONTA],$F123)</f>
        <v>-15.43</v>
      </c>
      <c r="S123" s="4">
        <f>SUMIFS(Tab_12.Dez[MOVIMENTO],Tab_12.Dez[CONTA],$F123)</f>
        <v>19874.689999999999</v>
      </c>
    </row>
    <row r="124" spans="2:19" x14ac:dyDescent="0.3">
      <c r="B124" s="3"/>
      <c r="C124" s="2" t="str">
        <f t="shared" si="12"/>
        <v>P</v>
      </c>
      <c r="D124" s="2" t="str">
        <f t="shared" si="13"/>
        <v>S</v>
      </c>
      <c r="E124" s="2">
        <f t="shared" si="14"/>
        <v>5</v>
      </c>
      <c r="F124" s="3" t="s">
        <v>225</v>
      </c>
      <c r="G124" s="3" t="s">
        <v>665</v>
      </c>
      <c r="H124" s="4">
        <f>SUMIFS(Tab_01.Jan[MOVIMENTO],Tab_01.Jan[CONTA],$F124)</f>
        <v>-2462.9299999999998</v>
      </c>
      <c r="I124" s="4">
        <f>SUMIFS(Tab_02.Fev[MOVIMENTO],Tab_02.Fev[CONTA],$F124)</f>
        <v>-37.78</v>
      </c>
      <c r="J124" s="4">
        <f>SUMIFS(Tab_03.Mar[MOVIMENTO],Tab_03.Mar[CONTA],$F124)</f>
        <v>18.579999999999998</v>
      </c>
      <c r="K124" s="4">
        <f>SUMIFS(Tab_04.Abr[MOVIMENTO],Tab_04.Abr[CONTA],$F124)</f>
        <v>-239.38</v>
      </c>
      <c r="L124" s="4">
        <f>SUMIFS(Tab_05.Mai[MOVIMENTO],Tab_05.Mai[CONTA],$F124)</f>
        <v>253.98</v>
      </c>
      <c r="M124" s="4">
        <f>SUMIFS(Tab_06.Jun[MOVIMENTO],Tab_06.Jun[CONTA],$F124)</f>
        <v>169.15</v>
      </c>
      <c r="N124" s="4">
        <f>SUMIFS(Tab_07.Jul[MOVIMENTO],Tab_07.Jul[CONTA],$F124)</f>
        <v>169.15</v>
      </c>
      <c r="O124" s="4">
        <f>SUMIFS(Tab_08.Ago[MOVIMENTO],Tab_08.Ago[CONTA],$F124)</f>
        <v>169.15</v>
      </c>
      <c r="P124" s="4">
        <f>SUMIFS(Tab_09.Set[MOVIMENTO],Tab_09.Set[CONTA],$F124)</f>
        <v>-46.44</v>
      </c>
      <c r="Q124" s="4">
        <f>SUMIFS(Tab_10.Out[MOVIMENTO],Tab_10.Out[CONTA],$F124)</f>
        <v>-610.49</v>
      </c>
      <c r="R124" s="4">
        <f>SUMIFS(Tab_11.Nov[MOVIMENTO],Tab_11.Nov[CONTA],$F124)</f>
        <v>-15.43</v>
      </c>
      <c r="S124" s="4">
        <f>SUMIFS(Tab_12.Dez[MOVIMENTO],Tab_12.Dez[CONTA],$F124)</f>
        <v>19874.689999999999</v>
      </c>
    </row>
    <row r="125" spans="2:19" x14ac:dyDescent="0.3">
      <c r="B125" s="3" t="s">
        <v>55</v>
      </c>
      <c r="C125" s="2" t="str">
        <f t="shared" si="12"/>
        <v>P</v>
      </c>
      <c r="D125" s="2" t="str">
        <f t="shared" si="13"/>
        <v>A</v>
      </c>
      <c r="E125" s="2">
        <f t="shared" si="14"/>
        <v>5</v>
      </c>
      <c r="F125" s="3" t="s">
        <v>356</v>
      </c>
      <c r="G125" s="3" t="s">
        <v>357</v>
      </c>
      <c r="H125" s="4">
        <f>SUMIFS(Tab_01.Jan[MOVIMENTO],Tab_01.Jan[CONTA],$F125)</f>
        <v>-2462.9299999999998</v>
      </c>
      <c r="I125" s="4">
        <f>SUMIFS(Tab_02.Fev[MOVIMENTO],Tab_02.Fev[CONTA],$F125)</f>
        <v>-37.78</v>
      </c>
      <c r="J125" s="4">
        <f>SUMIFS(Tab_03.Mar[MOVIMENTO],Tab_03.Mar[CONTA],$F125)</f>
        <v>18.579999999999998</v>
      </c>
      <c r="K125" s="4">
        <f>SUMIFS(Tab_04.Abr[MOVIMENTO],Tab_04.Abr[CONTA],$F125)</f>
        <v>-239.38</v>
      </c>
      <c r="L125" s="4">
        <f>SUMIFS(Tab_05.Mai[MOVIMENTO],Tab_05.Mai[CONTA],$F125)</f>
        <v>253.98</v>
      </c>
      <c r="M125" s="4">
        <f>SUMIFS(Tab_06.Jun[MOVIMENTO],Tab_06.Jun[CONTA],$F125)</f>
        <v>169.15</v>
      </c>
      <c r="N125" s="4">
        <f>SUMIFS(Tab_07.Jul[MOVIMENTO],Tab_07.Jul[CONTA],$F125)</f>
        <v>169.15</v>
      </c>
      <c r="O125" s="4">
        <f>SUMIFS(Tab_08.Ago[MOVIMENTO],Tab_08.Ago[CONTA],$F125)</f>
        <v>169.15</v>
      </c>
      <c r="P125" s="4">
        <f>SUMIFS(Tab_09.Set[MOVIMENTO],Tab_09.Set[CONTA],$F125)</f>
        <v>-46.44</v>
      </c>
      <c r="Q125" s="4">
        <f>SUMIFS(Tab_10.Out[MOVIMENTO],Tab_10.Out[CONTA],$F125)</f>
        <v>-610.49</v>
      </c>
      <c r="R125" s="4">
        <f>SUMIFS(Tab_11.Nov[MOVIMENTO],Tab_11.Nov[CONTA],$F125)</f>
        <v>-15.43</v>
      </c>
      <c r="S125" s="4">
        <f>SUMIFS(Tab_12.Dez[MOVIMENTO],Tab_12.Dez[CONTA],$F125)</f>
        <v>19874.689999999999</v>
      </c>
    </row>
    <row r="126" spans="2:19" x14ac:dyDescent="0.3">
      <c r="B126" s="3"/>
      <c r="C126" s="2" t="str">
        <f t="shared" ref="C126:C159" si="15">IF($F126="","",IF(LEFT($F126,1)*1=1,"A",IF(LEFT($F126,1)*1=2,"P",IF(LEFT($F126,1)*1=3,"R",IF(LEFT($F126,1)*1=4,"C",IF(LEFT($F126,1)*1=5,"C",IF(LEFT($F126,1)*1=6,"C","")))))))</f>
        <v>P</v>
      </c>
      <c r="D126" s="2" t="str">
        <f t="shared" ref="D126:D159" si="16">IF($F126="","",IF(LEN($F126)=13,"A","S"))</f>
        <v>S</v>
      </c>
      <c r="E126" s="2">
        <f t="shared" ref="E126:E159" si="17">IF($F126="","",IF(LEN($F126)=1,1,IF(LEN($F126)=3,2,IF(LEN($F126)=5,3,IF(LEN($F126)=8,4,5)))))</f>
        <v>5</v>
      </c>
      <c r="F126" s="3" t="s">
        <v>564</v>
      </c>
      <c r="G126" s="3" t="s">
        <v>666</v>
      </c>
      <c r="H126" s="4">
        <f>SUMIFS(Tab_01.Jan[MOVIMENTO],Tab_01.Jan[CONTA],$F126)</f>
        <v>0</v>
      </c>
      <c r="I126" s="4">
        <f>SUMIFS(Tab_02.Fev[MOVIMENTO],Tab_02.Fev[CONTA],$F126)</f>
        <v>0</v>
      </c>
      <c r="J126" s="4">
        <f>SUMIFS(Tab_03.Mar[MOVIMENTO],Tab_03.Mar[CONTA],$F126)</f>
        <v>0</v>
      </c>
      <c r="K126" s="4">
        <f>SUMIFS(Tab_04.Abr[MOVIMENTO],Tab_04.Abr[CONTA],$F126)</f>
        <v>0</v>
      </c>
      <c r="L126" s="4">
        <f>SUMIFS(Tab_05.Mai[MOVIMENTO],Tab_05.Mai[CONTA],$F126)</f>
        <v>0</v>
      </c>
      <c r="M126" s="4">
        <f>SUMIFS(Tab_06.Jun[MOVIMENTO],Tab_06.Jun[CONTA],$F126)</f>
        <v>0</v>
      </c>
      <c r="N126" s="4">
        <f>SUMIFS(Tab_07.Jul[MOVIMENTO],Tab_07.Jul[CONTA],$F126)</f>
        <v>0</v>
      </c>
      <c r="O126" s="4">
        <f>SUMIFS(Tab_08.Ago[MOVIMENTO],Tab_08.Ago[CONTA],$F126)</f>
        <v>0</v>
      </c>
      <c r="P126" s="4">
        <f>SUMIFS(Tab_09.Set[MOVIMENTO],Tab_09.Set[CONTA],$F126)</f>
        <v>0</v>
      </c>
      <c r="Q126" s="4">
        <f>SUMIFS(Tab_10.Out[MOVIMENTO],Tab_10.Out[CONTA],$F126)</f>
        <v>0</v>
      </c>
      <c r="R126" s="4">
        <f>SUMIFS(Tab_11.Nov[MOVIMENTO],Tab_11.Nov[CONTA],$F126)</f>
        <v>0</v>
      </c>
      <c r="S126" s="4">
        <f>SUMIFS(Tab_12.Dez[MOVIMENTO],Tab_12.Dez[CONTA],$F126)</f>
        <v>0</v>
      </c>
    </row>
    <row r="127" spans="2:19" x14ac:dyDescent="0.3">
      <c r="B127" s="3"/>
      <c r="C127" s="2" t="str">
        <f t="shared" si="15"/>
        <v>P</v>
      </c>
      <c r="D127" s="2" t="str">
        <f t="shared" si="16"/>
        <v>S</v>
      </c>
      <c r="E127" s="2">
        <f t="shared" si="17"/>
        <v>5</v>
      </c>
      <c r="F127" s="3" t="s">
        <v>565</v>
      </c>
      <c r="G127" s="3" t="s">
        <v>667</v>
      </c>
      <c r="H127" s="4">
        <f>SUMIFS(Tab_01.Jan[MOVIMENTO],Tab_01.Jan[CONTA],$F127)</f>
        <v>0</v>
      </c>
      <c r="I127" s="4">
        <f>SUMIFS(Tab_02.Fev[MOVIMENTO],Tab_02.Fev[CONTA],$F127)</f>
        <v>0</v>
      </c>
      <c r="J127" s="4">
        <f>SUMIFS(Tab_03.Mar[MOVIMENTO],Tab_03.Mar[CONTA],$F127)</f>
        <v>0</v>
      </c>
      <c r="K127" s="4">
        <f>SUMIFS(Tab_04.Abr[MOVIMENTO],Tab_04.Abr[CONTA],$F127)</f>
        <v>0</v>
      </c>
      <c r="L127" s="4">
        <f>SUMIFS(Tab_05.Mai[MOVIMENTO],Tab_05.Mai[CONTA],$F127)</f>
        <v>0</v>
      </c>
      <c r="M127" s="4">
        <f>SUMIFS(Tab_06.Jun[MOVIMENTO],Tab_06.Jun[CONTA],$F127)</f>
        <v>0</v>
      </c>
      <c r="N127" s="4">
        <f>SUMIFS(Tab_07.Jul[MOVIMENTO],Tab_07.Jul[CONTA],$F127)</f>
        <v>0</v>
      </c>
      <c r="O127" s="4">
        <f>SUMIFS(Tab_08.Ago[MOVIMENTO],Tab_08.Ago[CONTA],$F127)</f>
        <v>0</v>
      </c>
      <c r="P127" s="4">
        <f>SUMIFS(Tab_09.Set[MOVIMENTO],Tab_09.Set[CONTA],$F127)</f>
        <v>0</v>
      </c>
      <c r="Q127" s="4">
        <f>SUMIFS(Tab_10.Out[MOVIMENTO],Tab_10.Out[CONTA],$F127)</f>
        <v>0</v>
      </c>
      <c r="R127" s="4">
        <f>SUMIFS(Tab_11.Nov[MOVIMENTO],Tab_11.Nov[CONTA],$F127)</f>
        <v>0</v>
      </c>
      <c r="S127" s="4">
        <f>SUMIFS(Tab_12.Dez[MOVIMENTO],Tab_12.Dez[CONTA],$F127)</f>
        <v>0</v>
      </c>
    </row>
    <row r="128" spans="2:19" x14ac:dyDescent="0.3">
      <c r="B128" s="3" t="s">
        <v>54</v>
      </c>
      <c r="C128" s="2" t="str">
        <f t="shared" si="15"/>
        <v>P</v>
      </c>
      <c r="D128" s="2" t="str">
        <f t="shared" si="16"/>
        <v>A</v>
      </c>
      <c r="E128" s="2">
        <f t="shared" si="17"/>
        <v>5</v>
      </c>
      <c r="F128" s="3" t="s">
        <v>358</v>
      </c>
      <c r="G128" s="3" t="s">
        <v>359</v>
      </c>
      <c r="H128" s="4">
        <f>SUMIFS(Tab_01.Jan[MOVIMENTO],Tab_01.Jan[CONTA],$F128)</f>
        <v>0</v>
      </c>
      <c r="I128" s="4">
        <f>SUMIFS(Tab_02.Fev[MOVIMENTO],Tab_02.Fev[CONTA],$F128)</f>
        <v>0</v>
      </c>
      <c r="J128" s="4">
        <f>SUMIFS(Tab_03.Mar[MOVIMENTO],Tab_03.Mar[CONTA],$F128)</f>
        <v>0</v>
      </c>
      <c r="K128" s="4">
        <f>SUMIFS(Tab_04.Abr[MOVIMENTO],Tab_04.Abr[CONTA],$F128)</f>
        <v>0</v>
      </c>
      <c r="L128" s="4">
        <f>SUMIFS(Tab_05.Mai[MOVIMENTO],Tab_05.Mai[CONTA],$F128)</f>
        <v>0</v>
      </c>
      <c r="M128" s="4">
        <f>SUMIFS(Tab_06.Jun[MOVIMENTO],Tab_06.Jun[CONTA],$F128)</f>
        <v>0</v>
      </c>
      <c r="N128" s="4">
        <f>SUMIFS(Tab_07.Jul[MOVIMENTO],Tab_07.Jul[CONTA],$F128)</f>
        <v>0</v>
      </c>
      <c r="O128" s="4">
        <f>SUMIFS(Tab_08.Ago[MOVIMENTO],Tab_08.Ago[CONTA],$F128)</f>
        <v>0</v>
      </c>
      <c r="P128" s="4">
        <f>SUMIFS(Tab_09.Set[MOVIMENTO],Tab_09.Set[CONTA],$F128)</f>
        <v>0</v>
      </c>
      <c r="Q128" s="4">
        <f>SUMIFS(Tab_10.Out[MOVIMENTO],Tab_10.Out[CONTA],$F128)</f>
        <v>0</v>
      </c>
      <c r="R128" s="4">
        <f>SUMIFS(Tab_11.Nov[MOVIMENTO],Tab_11.Nov[CONTA],$F128)</f>
        <v>0</v>
      </c>
      <c r="S128" s="4">
        <f>SUMIFS(Tab_12.Dez[MOVIMENTO],Tab_12.Dez[CONTA],$F128)</f>
        <v>0</v>
      </c>
    </row>
    <row r="129" spans="2:19" x14ac:dyDescent="0.3">
      <c r="B129" s="3"/>
      <c r="C129" s="2" t="str">
        <f t="shared" si="15"/>
        <v>P</v>
      </c>
      <c r="D129" s="2" t="str">
        <f t="shared" si="16"/>
        <v>S</v>
      </c>
      <c r="E129" s="2">
        <f t="shared" si="17"/>
        <v>2</v>
      </c>
      <c r="F129" s="3" t="s">
        <v>226</v>
      </c>
      <c r="G129" s="3" t="s">
        <v>76</v>
      </c>
      <c r="H129" s="4">
        <f>SUMIFS(Tab_01.Jan[MOVIMENTO],Tab_01.Jan[CONTA],$F129)</f>
        <v>0</v>
      </c>
      <c r="I129" s="4">
        <f>SUMIFS(Tab_02.Fev[MOVIMENTO],Tab_02.Fev[CONTA],$F129)</f>
        <v>0</v>
      </c>
      <c r="J129" s="4">
        <f>SUMIFS(Tab_03.Mar[MOVIMENTO],Tab_03.Mar[CONTA],$F129)</f>
        <v>0</v>
      </c>
      <c r="K129" s="4">
        <f>SUMIFS(Tab_04.Abr[MOVIMENTO],Tab_04.Abr[CONTA],$F129)</f>
        <v>0</v>
      </c>
      <c r="L129" s="4">
        <f>SUMIFS(Tab_05.Mai[MOVIMENTO],Tab_05.Mai[CONTA],$F129)</f>
        <v>0</v>
      </c>
      <c r="M129" s="4">
        <f>SUMIFS(Tab_06.Jun[MOVIMENTO],Tab_06.Jun[CONTA],$F129)</f>
        <v>0</v>
      </c>
      <c r="N129" s="4">
        <f>SUMIFS(Tab_07.Jul[MOVIMENTO],Tab_07.Jul[CONTA],$F129)</f>
        <v>0</v>
      </c>
      <c r="O129" s="4">
        <f>SUMIFS(Tab_08.Ago[MOVIMENTO],Tab_08.Ago[CONTA],$F129)</f>
        <v>0</v>
      </c>
      <c r="P129" s="4">
        <f>SUMIFS(Tab_09.Set[MOVIMENTO],Tab_09.Set[CONTA],$F129)</f>
        <v>0</v>
      </c>
      <c r="Q129" s="4">
        <f>SUMIFS(Tab_10.Out[MOVIMENTO],Tab_10.Out[CONTA],$F129)</f>
        <v>0</v>
      </c>
      <c r="R129" s="4">
        <f>SUMIFS(Tab_11.Nov[MOVIMENTO],Tab_11.Nov[CONTA],$F129)</f>
        <v>0</v>
      </c>
      <c r="S129" s="4">
        <f>SUMIFS(Tab_12.Dez[MOVIMENTO],Tab_12.Dez[CONTA],$F129)</f>
        <v>46934.04</v>
      </c>
    </row>
    <row r="130" spans="2:19" x14ac:dyDescent="0.3">
      <c r="B130" s="3"/>
      <c r="C130" s="2" t="str">
        <f t="shared" si="15"/>
        <v>P</v>
      </c>
      <c r="D130" s="2" t="str">
        <f t="shared" si="16"/>
        <v>S</v>
      </c>
      <c r="E130" s="2">
        <f t="shared" si="17"/>
        <v>5</v>
      </c>
      <c r="F130" s="3" t="s">
        <v>566</v>
      </c>
      <c r="G130" s="3" t="s">
        <v>668</v>
      </c>
      <c r="H130" s="4">
        <f>SUMIFS(Tab_01.Jan[MOVIMENTO],Tab_01.Jan[CONTA],$F130)</f>
        <v>0</v>
      </c>
      <c r="I130" s="4">
        <f>SUMIFS(Tab_02.Fev[MOVIMENTO],Tab_02.Fev[CONTA],$F130)</f>
        <v>0</v>
      </c>
      <c r="J130" s="4">
        <f>SUMIFS(Tab_03.Mar[MOVIMENTO],Tab_03.Mar[CONTA],$F130)</f>
        <v>0</v>
      </c>
      <c r="K130" s="4">
        <f>SUMIFS(Tab_04.Abr[MOVIMENTO],Tab_04.Abr[CONTA],$F130)</f>
        <v>0</v>
      </c>
      <c r="L130" s="4">
        <f>SUMIFS(Tab_05.Mai[MOVIMENTO],Tab_05.Mai[CONTA],$F130)</f>
        <v>0</v>
      </c>
      <c r="M130" s="4">
        <f>SUMIFS(Tab_06.Jun[MOVIMENTO],Tab_06.Jun[CONTA],$F130)</f>
        <v>0</v>
      </c>
      <c r="N130" s="4">
        <f>SUMIFS(Tab_07.Jul[MOVIMENTO],Tab_07.Jul[CONTA],$F130)</f>
        <v>0</v>
      </c>
      <c r="O130" s="4">
        <f>SUMIFS(Tab_08.Ago[MOVIMENTO],Tab_08.Ago[CONTA],$F130)</f>
        <v>0</v>
      </c>
      <c r="P130" s="4">
        <f>SUMIFS(Tab_09.Set[MOVIMENTO],Tab_09.Set[CONTA],$F130)</f>
        <v>0</v>
      </c>
      <c r="Q130" s="4">
        <f>SUMIFS(Tab_10.Out[MOVIMENTO],Tab_10.Out[CONTA],$F130)</f>
        <v>0</v>
      </c>
      <c r="R130" s="4">
        <f>SUMIFS(Tab_11.Nov[MOVIMENTO],Tab_11.Nov[CONTA],$F130)</f>
        <v>0</v>
      </c>
      <c r="S130" s="4">
        <f>SUMIFS(Tab_12.Dez[MOVIMENTO],Tab_12.Dez[CONTA],$F130)</f>
        <v>46934.04</v>
      </c>
    </row>
    <row r="131" spans="2:19" x14ac:dyDescent="0.3">
      <c r="B131" s="3"/>
      <c r="C131" s="2" t="str">
        <f t="shared" si="15"/>
        <v>P</v>
      </c>
      <c r="D131" s="2" t="str">
        <f t="shared" si="16"/>
        <v>S</v>
      </c>
      <c r="E131" s="2">
        <f t="shared" si="17"/>
        <v>5</v>
      </c>
      <c r="F131" s="3" t="s">
        <v>567</v>
      </c>
      <c r="G131" s="3" t="s">
        <v>669</v>
      </c>
      <c r="H131" s="4">
        <f>SUMIFS(Tab_01.Jan[MOVIMENTO],Tab_01.Jan[CONTA],$F131)</f>
        <v>0</v>
      </c>
      <c r="I131" s="4">
        <f>SUMIFS(Tab_02.Fev[MOVIMENTO],Tab_02.Fev[CONTA],$F131)</f>
        <v>0</v>
      </c>
      <c r="J131" s="4">
        <f>SUMIFS(Tab_03.Mar[MOVIMENTO],Tab_03.Mar[CONTA],$F131)</f>
        <v>0</v>
      </c>
      <c r="K131" s="4">
        <f>SUMIFS(Tab_04.Abr[MOVIMENTO],Tab_04.Abr[CONTA],$F131)</f>
        <v>0</v>
      </c>
      <c r="L131" s="4">
        <f>SUMIFS(Tab_05.Mai[MOVIMENTO],Tab_05.Mai[CONTA],$F131)</f>
        <v>0</v>
      </c>
      <c r="M131" s="4">
        <f>SUMIFS(Tab_06.Jun[MOVIMENTO],Tab_06.Jun[CONTA],$F131)</f>
        <v>0</v>
      </c>
      <c r="N131" s="4">
        <f>SUMIFS(Tab_07.Jul[MOVIMENTO],Tab_07.Jul[CONTA],$F131)</f>
        <v>0</v>
      </c>
      <c r="O131" s="4">
        <f>SUMIFS(Tab_08.Ago[MOVIMENTO],Tab_08.Ago[CONTA],$F131)</f>
        <v>0</v>
      </c>
      <c r="P131" s="4">
        <f>SUMIFS(Tab_09.Set[MOVIMENTO],Tab_09.Set[CONTA],$F131)</f>
        <v>0</v>
      </c>
      <c r="Q131" s="4">
        <f>SUMIFS(Tab_10.Out[MOVIMENTO],Tab_10.Out[CONTA],$F131)</f>
        <v>0</v>
      </c>
      <c r="R131" s="4">
        <f>SUMIFS(Tab_11.Nov[MOVIMENTO],Tab_11.Nov[CONTA],$F131)</f>
        <v>0</v>
      </c>
      <c r="S131" s="4">
        <f>SUMIFS(Tab_12.Dez[MOVIMENTO],Tab_12.Dez[CONTA],$F131)</f>
        <v>46934.04</v>
      </c>
    </row>
    <row r="132" spans="2:19" x14ac:dyDescent="0.3">
      <c r="B132" s="3" t="s">
        <v>122</v>
      </c>
      <c r="C132" s="2" t="str">
        <f t="shared" si="15"/>
        <v>P</v>
      </c>
      <c r="D132" s="2" t="str">
        <f t="shared" si="16"/>
        <v>A</v>
      </c>
      <c r="E132" s="2">
        <f t="shared" si="17"/>
        <v>5</v>
      </c>
      <c r="F132" s="3" t="s">
        <v>360</v>
      </c>
      <c r="G132" s="3" t="s">
        <v>361</v>
      </c>
      <c r="H132" s="4">
        <f>SUMIFS(Tab_01.Jan[MOVIMENTO],Tab_01.Jan[CONTA],$F132)</f>
        <v>0</v>
      </c>
      <c r="I132" s="4">
        <f>SUMIFS(Tab_02.Fev[MOVIMENTO],Tab_02.Fev[CONTA],$F132)</f>
        <v>0</v>
      </c>
      <c r="J132" s="4">
        <f>SUMIFS(Tab_03.Mar[MOVIMENTO],Tab_03.Mar[CONTA],$F132)</f>
        <v>0</v>
      </c>
      <c r="K132" s="4">
        <f>SUMIFS(Tab_04.Abr[MOVIMENTO],Tab_04.Abr[CONTA],$F132)</f>
        <v>0</v>
      </c>
      <c r="L132" s="4">
        <f>SUMIFS(Tab_05.Mai[MOVIMENTO],Tab_05.Mai[CONTA],$F132)</f>
        <v>0</v>
      </c>
      <c r="M132" s="4">
        <f>SUMIFS(Tab_06.Jun[MOVIMENTO],Tab_06.Jun[CONTA],$F132)</f>
        <v>0</v>
      </c>
      <c r="N132" s="4">
        <f>SUMIFS(Tab_07.Jul[MOVIMENTO],Tab_07.Jul[CONTA],$F132)</f>
        <v>0</v>
      </c>
      <c r="O132" s="4">
        <f>SUMIFS(Tab_08.Ago[MOVIMENTO],Tab_08.Ago[CONTA],$F132)</f>
        <v>0</v>
      </c>
      <c r="P132" s="4">
        <f>SUMIFS(Tab_09.Set[MOVIMENTO],Tab_09.Set[CONTA],$F132)</f>
        <v>0</v>
      </c>
      <c r="Q132" s="4">
        <f>SUMIFS(Tab_10.Out[MOVIMENTO],Tab_10.Out[CONTA],$F132)</f>
        <v>0</v>
      </c>
      <c r="R132" s="4">
        <f>SUMIFS(Tab_11.Nov[MOVIMENTO],Tab_11.Nov[CONTA],$F132)</f>
        <v>0</v>
      </c>
      <c r="S132" s="4">
        <f>SUMIFS(Tab_12.Dez[MOVIMENTO],Tab_12.Dez[CONTA],$F132)</f>
        <v>31934.04</v>
      </c>
    </row>
    <row r="133" spans="2:19" x14ac:dyDescent="0.3">
      <c r="B133" s="3" t="s">
        <v>122</v>
      </c>
      <c r="C133" s="2" t="str">
        <f t="shared" si="15"/>
        <v>P</v>
      </c>
      <c r="D133" s="2" t="str">
        <f t="shared" si="16"/>
        <v>A</v>
      </c>
      <c r="E133" s="2">
        <f t="shared" si="17"/>
        <v>5</v>
      </c>
      <c r="F133" s="3" t="s">
        <v>362</v>
      </c>
      <c r="G133" s="3" t="s">
        <v>363</v>
      </c>
      <c r="H133" s="4">
        <f>SUMIFS(Tab_01.Jan[MOVIMENTO],Tab_01.Jan[CONTA],$F133)</f>
        <v>0</v>
      </c>
      <c r="I133" s="4">
        <f>SUMIFS(Tab_02.Fev[MOVIMENTO],Tab_02.Fev[CONTA],$F133)</f>
        <v>0</v>
      </c>
      <c r="J133" s="4">
        <f>SUMIFS(Tab_03.Mar[MOVIMENTO],Tab_03.Mar[CONTA],$F133)</f>
        <v>0</v>
      </c>
      <c r="K133" s="4">
        <f>SUMIFS(Tab_04.Abr[MOVIMENTO],Tab_04.Abr[CONTA],$F133)</f>
        <v>0</v>
      </c>
      <c r="L133" s="4">
        <f>SUMIFS(Tab_05.Mai[MOVIMENTO],Tab_05.Mai[CONTA],$F133)</f>
        <v>0</v>
      </c>
      <c r="M133" s="4">
        <f>SUMIFS(Tab_06.Jun[MOVIMENTO],Tab_06.Jun[CONTA],$F133)</f>
        <v>0</v>
      </c>
      <c r="N133" s="4">
        <f>SUMIFS(Tab_07.Jul[MOVIMENTO],Tab_07.Jul[CONTA],$F133)</f>
        <v>0</v>
      </c>
      <c r="O133" s="4">
        <f>SUMIFS(Tab_08.Ago[MOVIMENTO],Tab_08.Ago[CONTA],$F133)</f>
        <v>0</v>
      </c>
      <c r="P133" s="4">
        <f>SUMIFS(Tab_09.Set[MOVIMENTO],Tab_09.Set[CONTA],$F133)</f>
        <v>0</v>
      </c>
      <c r="Q133" s="4">
        <f>SUMIFS(Tab_10.Out[MOVIMENTO],Tab_10.Out[CONTA],$F133)</f>
        <v>0</v>
      </c>
      <c r="R133" s="4">
        <f>SUMIFS(Tab_11.Nov[MOVIMENTO],Tab_11.Nov[CONTA],$F133)</f>
        <v>0</v>
      </c>
      <c r="S133" s="4">
        <f>SUMIFS(Tab_12.Dez[MOVIMENTO],Tab_12.Dez[CONTA],$F133)</f>
        <v>15000</v>
      </c>
    </row>
    <row r="134" spans="2:19" x14ac:dyDescent="0.3">
      <c r="B134" s="3"/>
      <c r="C134" s="2" t="str">
        <f t="shared" si="15"/>
        <v>P</v>
      </c>
      <c r="D134" s="2" t="str">
        <f t="shared" si="16"/>
        <v>S</v>
      </c>
      <c r="E134" s="2">
        <f t="shared" si="17"/>
        <v>2</v>
      </c>
      <c r="F134" s="3" t="s">
        <v>228</v>
      </c>
      <c r="G134" s="3" t="s">
        <v>670</v>
      </c>
      <c r="H134" s="4">
        <f>SUMIFS(Tab_01.Jan[MOVIMENTO],Tab_01.Jan[CONTA],$F134)</f>
        <v>-4481.74</v>
      </c>
      <c r="I134" s="4">
        <f>SUMIFS(Tab_02.Fev[MOVIMENTO],Tab_02.Fev[CONTA],$F134)</f>
        <v>0</v>
      </c>
      <c r="J134" s="4">
        <f>SUMIFS(Tab_03.Mar[MOVIMENTO],Tab_03.Mar[CONTA],$F134)</f>
        <v>0</v>
      </c>
      <c r="K134" s="4">
        <f>SUMIFS(Tab_04.Abr[MOVIMENTO],Tab_04.Abr[CONTA],$F134)</f>
        <v>0</v>
      </c>
      <c r="L134" s="4">
        <f>SUMIFS(Tab_05.Mai[MOVIMENTO],Tab_05.Mai[CONTA],$F134)</f>
        <v>0</v>
      </c>
      <c r="M134" s="4">
        <f>SUMIFS(Tab_06.Jun[MOVIMENTO],Tab_06.Jun[CONTA],$F134)</f>
        <v>0</v>
      </c>
      <c r="N134" s="4">
        <f>SUMIFS(Tab_07.Jul[MOVIMENTO],Tab_07.Jul[CONTA],$F134)</f>
        <v>0</v>
      </c>
      <c r="O134" s="4">
        <f>SUMIFS(Tab_08.Ago[MOVIMENTO],Tab_08.Ago[CONTA],$F134)</f>
        <v>0</v>
      </c>
      <c r="P134" s="4">
        <f>SUMIFS(Tab_09.Set[MOVIMENTO],Tab_09.Set[CONTA],$F134)</f>
        <v>0</v>
      </c>
      <c r="Q134" s="4">
        <f>SUMIFS(Tab_10.Out[MOVIMENTO],Tab_10.Out[CONTA],$F134)</f>
        <v>0</v>
      </c>
      <c r="R134" s="4">
        <f>SUMIFS(Tab_11.Nov[MOVIMENTO],Tab_11.Nov[CONTA],$F134)</f>
        <v>0</v>
      </c>
      <c r="S134" s="4">
        <f>SUMIFS(Tab_12.Dez[MOVIMENTO],Tab_12.Dez[CONTA],$F134)</f>
        <v>-1037831.24</v>
      </c>
    </row>
    <row r="135" spans="2:19" x14ac:dyDescent="0.3">
      <c r="B135" s="3"/>
      <c r="C135" s="2" t="str">
        <f t="shared" si="15"/>
        <v>P</v>
      </c>
      <c r="D135" s="2" t="str">
        <f t="shared" si="16"/>
        <v>S</v>
      </c>
      <c r="E135" s="2">
        <f t="shared" si="17"/>
        <v>5</v>
      </c>
      <c r="F135" s="3" t="s">
        <v>229</v>
      </c>
      <c r="G135" s="3" t="s">
        <v>670</v>
      </c>
      <c r="H135" s="4">
        <f>SUMIFS(Tab_01.Jan[MOVIMENTO],Tab_01.Jan[CONTA],$F135)</f>
        <v>-4481.74</v>
      </c>
      <c r="I135" s="4">
        <f>SUMIFS(Tab_02.Fev[MOVIMENTO],Tab_02.Fev[CONTA],$F135)</f>
        <v>0</v>
      </c>
      <c r="J135" s="4">
        <f>SUMIFS(Tab_03.Mar[MOVIMENTO],Tab_03.Mar[CONTA],$F135)</f>
        <v>0</v>
      </c>
      <c r="K135" s="4">
        <f>SUMIFS(Tab_04.Abr[MOVIMENTO],Tab_04.Abr[CONTA],$F135)</f>
        <v>0</v>
      </c>
      <c r="L135" s="4">
        <f>SUMIFS(Tab_05.Mai[MOVIMENTO],Tab_05.Mai[CONTA],$F135)</f>
        <v>0</v>
      </c>
      <c r="M135" s="4">
        <f>SUMIFS(Tab_06.Jun[MOVIMENTO],Tab_06.Jun[CONTA],$F135)</f>
        <v>0</v>
      </c>
      <c r="N135" s="4">
        <f>SUMIFS(Tab_07.Jul[MOVIMENTO],Tab_07.Jul[CONTA],$F135)</f>
        <v>0</v>
      </c>
      <c r="O135" s="4">
        <f>SUMIFS(Tab_08.Ago[MOVIMENTO],Tab_08.Ago[CONTA],$F135)</f>
        <v>0</v>
      </c>
      <c r="P135" s="4">
        <f>SUMIFS(Tab_09.Set[MOVIMENTO],Tab_09.Set[CONTA],$F135)</f>
        <v>0</v>
      </c>
      <c r="Q135" s="4">
        <f>SUMIFS(Tab_10.Out[MOVIMENTO],Tab_10.Out[CONTA],$F135)</f>
        <v>0</v>
      </c>
      <c r="R135" s="4">
        <f>SUMIFS(Tab_11.Nov[MOVIMENTO],Tab_11.Nov[CONTA],$F135)</f>
        <v>0</v>
      </c>
      <c r="S135" s="4">
        <f>SUMIFS(Tab_12.Dez[MOVIMENTO],Tab_12.Dez[CONTA],$F135)</f>
        <v>-1037831.24</v>
      </c>
    </row>
    <row r="136" spans="2:19" x14ac:dyDescent="0.3">
      <c r="B136" s="3"/>
      <c r="C136" s="2" t="str">
        <f t="shared" si="15"/>
        <v>P</v>
      </c>
      <c r="D136" s="2" t="str">
        <f t="shared" si="16"/>
        <v>S</v>
      </c>
      <c r="E136" s="2">
        <f t="shared" si="17"/>
        <v>5</v>
      </c>
      <c r="F136" s="3" t="s">
        <v>230</v>
      </c>
      <c r="G136" s="3" t="s">
        <v>364</v>
      </c>
      <c r="H136" s="4">
        <f>SUMIFS(Tab_01.Jan[MOVIMENTO],Tab_01.Jan[CONTA],$F136)</f>
        <v>0</v>
      </c>
      <c r="I136" s="4">
        <f>SUMIFS(Tab_02.Fev[MOVIMENTO],Tab_02.Fev[CONTA],$F136)</f>
        <v>0</v>
      </c>
      <c r="J136" s="4">
        <f>SUMIFS(Tab_03.Mar[MOVIMENTO],Tab_03.Mar[CONTA],$F136)</f>
        <v>0</v>
      </c>
      <c r="K136" s="4">
        <f>SUMIFS(Tab_04.Abr[MOVIMENTO],Tab_04.Abr[CONTA],$F136)</f>
        <v>0</v>
      </c>
      <c r="L136" s="4">
        <f>SUMIFS(Tab_05.Mai[MOVIMENTO],Tab_05.Mai[CONTA],$F136)</f>
        <v>0</v>
      </c>
      <c r="M136" s="4">
        <f>SUMIFS(Tab_06.Jun[MOVIMENTO],Tab_06.Jun[CONTA],$F136)</f>
        <v>0</v>
      </c>
      <c r="N136" s="4">
        <f>SUMIFS(Tab_07.Jul[MOVIMENTO],Tab_07.Jul[CONTA],$F136)</f>
        <v>0</v>
      </c>
      <c r="O136" s="4">
        <f>SUMIFS(Tab_08.Ago[MOVIMENTO],Tab_08.Ago[CONTA],$F136)</f>
        <v>0</v>
      </c>
      <c r="P136" s="4">
        <f>SUMIFS(Tab_09.Set[MOVIMENTO],Tab_09.Set[CONTA],$F136)</f>
        <v>0</v>
      </c>
      <c r="Q136" s="4">
        <f>SUMIFS(Tab_10.Out[MOVIMENTO],Tab_10.Out[CONTA],$F136)</f>
        <v>0</v>
      </c>
      <c r="R136" s="4">
        <f>SUMIFS(Tab_11.Nov[MOVIMENTO],Tab_11.Nov[CONTA],$F136)</f>
        <v>0</v>
      </c>
      <c r="S136" s="4">
        <f>SUMIFS(Tab_12.Dez[MOVIMENTO],Tab_12.Dez[CONTA],$F136)</f>
        <v>0</v>
      </c>
    </row>
    <row r="137" spans="2:19" x14ac:dyDescent="0.3">
      <c r="B137" s="3" t="s">
        <v>61</v>
      </c>
      <c r="C137" s="2" t="str">
        <f t="shared" si="15"/>
        <v>P</v>
      </c>
      <c r="D137" s="2" t="str">
        <f t="shared" si="16"/>
        <v>A</v>
      </c>
      <c r="E137" s="2">
        <f t="shared" si="17"/>
        <v>5</v>
      </c>
      <c r="F137" s="3" t="s">
        <v>193</v>
      </c>
      <c r="G137" s="3" t="s">
        <v>364</v>
      </c>
      <c r="H137" s="4">
        <f>SUMIFS(Tab_01.Jan[MOVIMENTO],Tab_01.Jan[CONTA],$F137)</f>
        <v>0</v>
      </c>
      <c r="I137" s="4">
        <f>SUMIFS(Tab_02.Fev[MOVIMENTO],Tab_02.Fev[CONTA],$F137)</f>
        <v>0</v>
      </c>
      <c r="J137" s="4">
        <f>SUMIFS(Tab_03.Mar[MOVIMENTO],Tab_03.Mar[CONTA],$F137)</f>
        <v>0</v>
      </c>
      <c r="K137" s="4">
        <f>SUMIFS(Tab_04.Abr[MOVIMENTO],Tab_04.Abr[CONTA],$F137)</f>
        <v>0</v>
      </c>
      <c r="L137" s="4">
        <f>SUMIFS(Tab_05.Mai[MOVIMENTO],Tab_05.Mai[CONTA],$F137)</f>
        <v>0</v>
      </c>
      <c r="M137" s="4">
        <f>SUMIFS(Tab_06.Jun[MOVIMENTO],Tab_06.Jun[CONTA],$F137)</f>
        <v>0</v>
      </c>
      <c r="N137" s="4">
        <f>SUMIFS(Tab_07.Jul[MOVIMENTO],Tab_07.Jul[CONTA],$F137)</f>
        <v>0</v>
      </c>
      <c r="O137" s="4">
        <f>SUMIFS(Tab_08.Ago[MOVIMENTO],Tab_08.Ago[CONTA],$F137)</f>
        <v>0</v>
      </c>
      <c r="P137" s="4">
        <f>SUMIFS(Tab_09.Set[MOVIMENTO],Tab_09.Set[CONTA],$F137)</f>
        <v>0</v>
      </c>
      <c r="Q137" s="4">
        <f>SUMIFS(Tab_10.Out[MOVIMENTO],Tab_10.Out[CONTA],$F137)</f>
        <v>0</v>
      </c>
      <c r="R137" s="4">
        <f>SUMIFS(Tab_11.Nov[MOVIMENTO],Tab_11.Nov[CONTA],$F137)</f>
        <v>0</v>
      </c>
      <c r="S137" s="4">
        <f>SUMIFS(Tab_12.Dez[MOVIMENTO],Tab_12.Dez[CONTA],$F137)</f>
        <v>0</v>
      </c>
    </row>
    <row r="138" spans="2:19" x14ac:dyDescent="0.3">
      <c r="B138" s="3"/>
      <c r="C138" s="2" t="str">
        <f t="shared" si="15"/>
        <v>P</v>
      </c>
      <c r="D138" s="2" t="str">
        <f t="shared" si="16"/>
        <v>S</v>
      </c>
      <c r="E138" s="2">
        <f t="shared" si="17"/>
        <v>5</v>
      </c>
      <c r="F138" s="3" t="s">
        <v>568</v>
      </c>
      <c r="G138" s="3" t="s">
        <v>671</v>
      </c>
      <c r="H138" s="4">
        <f>SUMIFS(Tab_01.Jan[MOVIMENTO],Tab_01.Jan[CONTA],$F138)</f>
        <v>0</v>
      </c>
      <c r="I138" s="4">
        <f>SUMIFS(Tab_02.Fev[MOVIMENTO],Tab_02.Fev[CONTA],$F138)</f>
        <v>0</v>
      </c>
      <c r="J138" s="4">
        <f>SUMIFS(Tab_03.Mar[MOVIMENTO],Tab_03.Mar[CONTA],$F138)</f>
        <v>0</v>
      </c>
      <c r="K138" s="4">
        <f>SUMIFS(Tab_04.Abr[MOVIMENTO],Tab_04.Abr[CONTA],$F138)</f>
        <v>0</v>
      </c>
      <c r="L138" s="4">
        <f>SUMIFS(Tab_05.Mai[MOVIMENTO],Tab_05.Mai[CONTA],$F138)</f>
        <v>0</v>
      </c>
      <c r="M138" s="4">
        <f>SUMIFS(Tab_06.Jun[MOVIMENTO],Tab_06.Jun[CONTA],$F138)</f>
        <v>0</v>
      </c>
      <c r="N138" s="4">
        <f>SUMIFS(Tab_07.Jul[MOVIMENTO],Tab_07.Jul[CONTA],$F138)</f>
        <v>0</v>
      </c>
      <c r="O138" s="4">
        <f>SUMIFS(Tab_08.Ago[MOVIMENTO],Tab_08.Ago[CONTA],$F138)</f>
        <v>0</v>
      </c>
      <c r="P138" s="4">
        <f>SUMIFS(Tab_09.Set[MOVIMENTO],Tab_09.Set[CONTA],$F138)</f>
        <v>0</v>
      </c>
      <c r="Q138" s="4">
        <f>SUMIFS(Tab_10.Out[MOVIMENTO],Tab_10.Out[CONTA],$F138)</f>
        <v>0</v>
      </c>
      <c r="R138" s="4">
        <f>SUMIFS(Tab_11.Nov[MOVIMENTO],Tab_11.Nov[CONTA],$F138)</f>
        <v>0</v>
      </c>
      <c r="S138" s="4">
        <f>SUMIFS(Tab_12.Dez[MOVIMENTO],Tab_12.Dez[CONTA],$F138)</f>
        <v>0</v>
      </c>
    </row>
    <row r="139" spans="2:19" x14ac:dyDescent="0.3">
      <c r="B139" s="3" t="s">
        <v>163</v>
      </c>
      <c r="C139" s="2" t="str">
        <f t="shared" si="15"/>
        <v>P</v>
      </c>
      <c r="D139" s="2" t="str">
        <f t="shared" si="16"/>
        <v>A</v>
      </c>
      <c r="E139" s="2">
        <f t="shared" si="17"/>
        <v>5</v>
      </c>
      <c r="F139" s="3" t="s">
        <v>743</v>
      </c>
      <c r="G139" s="3" t="s">
        <v>744</v>
      </c>
      <c r="H139" s="4">
        <f>SUMIFS(Tab_01.Jan[MOVIMENTO],Tab_01.Jan[CONTA],$F139)</f>
        <v>0</v>
      </c>
      <c r="I139" s="4">
        <f>SUMIFS(Tab_02.Fev[MOVIMENTO],Tab_02.Fev[CONTA],$F139)</f>
        <v>0</v>
      </c>
      <c r="J139" s="4">
        <f>SUMIFS(Tab_03.Mar[MOVIMENTO],Tab_03.Mar[CONTA],$F139)</f>
        <v>0</v>
      </c>
      <c r="K139" s="4">
        <f>SUMIFS(Tab_04.Abr[MOVIMENTO],Tab_04.Abr[CONTA],$F139)</f>
        <v>0</v>
      </c>
      <c r="L139" s="4">
        <f>SUMIFS(Tab_05.Mai[MOVIMENTO],Tab_05.Mai[CONTA],$F139)</f>
        <v>0</v>
      </c>
      <c r="M139" s="4">
        <f>SUMIFS(Tab_06.Jun[MOVIMENTO],Tab_06.Jun[CONTA],$F139)</f>
        <v>0</v>
      </c>
      <c r="N139" s="4">
        <f>SUMIFS(Tab_07.Jul[MOVIMENTO],Tab_07.Jul[CONTA],$F139)</f>
        <v>0</v>
      </c>
      <c r="O139" s="4">
        <f>SUMIFS(Tab_08.Ago[MOVIMENTO],Tab_08.Ago[CONTA],$F139)</f>
        <v>0</v>
      </c>
      <c r="P139" s="4">
        <f>SUMIFS(Tab_09.Set[MOVIMENTO],Tab_09.Set[CONTA],$F139)</f>
        <v>0</v>
      </c>
      <c r="Q139" s="4">
        <f>SUMIFS(Tab_10.Out[MOVIMENTO],Tab_10.Out[CONTA],$F139)</f>
        <v>0</v>
      </c>
      <c r="R139" s="4">
        <f>SUMIFS(Tab_11.Nov[MOVIMENTO],Tab_11.Nov[CONTA],$F139)</f>
        <v>0</v>
      </c>
      <c r="S139" s="4">
        <f>SUMIFS(Tab_12.Dez[MOVIMENTO],Tab_12.Dez[CONTA],$F139)</f>
        <v>0</v>
      </c>
    </row>
    <row r="140" spans="2:19" x14ac:dyDescent="0.3">
      <c r="B140" s="3" t="s">
        <v>163</v>
      </c>
      <c r="C140" s="2" t="str">
        <f t="shared" si="15"/>
        <v>P</v>
      </c>
      <c r="D140" s="2" t="str">
        <f t="shared" si="16"/>
        <v>A</v>
      </c>
      <c r="E140" s="2">
        <f t="shared" si="17"/>
        <v>5</v>
      </c>
      <c r="F140" s="3" t="s">
        <v>365</v>
      </c>
      <c r="G140" s="3" t="s">
        <v>366</v>
      </c>
      <c r="H140" s="4">
        <f>SUMIFS(Tab_01.Jan[MOVIMENTO],Tab_01.Jan[CONTA],$F140)</f>
        <v>0</v>
      </c>
      <c r="I140" s="4">
        <f>SUMIFS(Tab_02.Fev[MOVIMENTO],Tab_02.Fev[CONTA],$F140)</f>
        <v>0</v>
      </c>
      <c r="J140" s="4">
        <f>SUMIFS(Tab_03.Mar[MOVIMENTO],Tab_03.Mar[CONTA],$F140)</f>
        <v>0</v>
      </c>
      <c r="K140" s="4">
        <f>SUMIFS(Tab_04.Abr[MOVIMENTO],Tab_04.Abr[CONTA],$F140)</f>
        <v>0</v>
      </c>
      <c r="L140" s="4">
        <f>SUMIFS(Tab_05.Mai[MOVIMENTO],Tab_05.Mai[CONTA],$F140)</f>
        <v>0</v>
      </c>
      <c r="M140" s="4">
        <f>SUMIFS(Tab_06.Jun[MOVIMENTO],Tab_06.Jun[CONTA],$F140)</f>
        <v>0</v>
      </c>
      <c r="N140" s="4">
        <f>SUMIFS(Tab_07.Jul[MOVIMENTO],Tab_07.Jul[CONTA],$F140)</f>
        <v>0</v>
      </c>
      <c r="O140" s="4">
        <f>SUMIFS(Tab_08.Ago[MOVIMENTO],Tab_08.Ago[CONTA],$F140)</f>
        <v>0</v>
      </c>
      <c r="P140" s="4">
        <f>SUMIFS(Tab_09.Set[MOVIMENTO],Tab_09.Set[CONTA],$F140)</f>
        <v>0</v>
      </c>
      <c r="Q140" s="4">
        <f>SUMIFS(Tab_10.Out[MOVIMENTO],Tab_10.Out[CONTA],$F140)</f>
        <v>0</v>
      </c>
      <c r="R140" s="4">
        <f>SUMIFS(Tab_11.Nov[MOVIMENTO],Tab_11.Nov[CONTA],$F140)</f>
        <v>0</v>
      </c>
      <c r="S140" s="4">
        <f>SUMIFS(Tab_12.Dez[MOVIMENTO],Tab_12.Dez[CONTA],$F140)</f>
        <v>0</v>
      </c>
    </row>
    <row r="141" spans="2:19" x14ac:dyDescent="0.3">
      <c r="B141" s="3"/>
      <c r="C141" s="2" t="str">
        <f t="shared" si="15"/>
        <v>P</v>
      </c>
      <c r="D141" s="2" t="str">
        <f t="shared" si="16"/>
        <v>S</v>
      </c>
      <c r="E141" s="2">
        <f t="shared" si="17"/>
        <v>5</v>
      </c>
      <c r="F141" s="3" t="s">
        <v>745</v>
      </c>
      <c r="G141" s="3" t="s">
        <v>746</v>
      </c>
      <c r="H141" s="4">
        <f>SUMIFS(Tab_01.Jan[MOVIMENTO],Tab_01.Jan[CONTA],$F141)</f>
        <v>-4481.74</v>
      </c>
      <c r="I141" s="4">
        <f>SUMIFS(Tab_02.Fev[MOVIMENTO],Tab_02.Fev[CONTA],$F141)</f>
        <v>0</v>
      </c>
      <c r="J141" s="4">
        <f>SUMIFS(Tab_03.Mar[MOVIMENTO],Tab_03.Mar[CONTA],$F141)</f>
        <v>0</v>
      </c>
      <c r="K141" s="4">
        <f>SUMIFS(Tab_04.Abr[MOVIMENTO],Tab_04.Abr[CONTA],$F141)</f>
        <v>0</v>
      </c>
      <c r="L141" s="4">
        <f>SUMIFS(Tab_05.Mai[MOVIMENTO],Tab_05.Mai[CONTA],$F141)</f>
        <v>0</v>
      </c>
      <c r="M141" s="4">
        <f>SUMIFS(Tab_06.Jun[MOVIMENTO],Tab_06.Jun[CONTA],$F141)</f>
        <v>0</v>
      </c>
      <c r="N141" s="4">
        <f>SUMIFS(Tab_07.Jul[MOVIMENTO],Tab_07.Jul[CONTA],$F141)</f>
        <v>0</v>
      </c>
      <c r="O141" s="4">
        <f>SUMIFS(Tab_08.Ago[MOVIMENTO],Tab_08.Ago[CONTA],$F141)</f>
        <v>0</v>
      </c>
      <c r="P141" s="4">
        <f>SUMIFS(Tab_09.Set[MOVIMENTO],Tab_09.Set[CONTA],$F141)</f>
        <v>0</v>
      </c>
      <c r="Q141" s="4">
        <f>SUMIFS(Tab_10.Out[MOVIMENTO],Tab_10.Out[CONTA],$F141)</f>
        <v>0</v>
      </c>
      <c r="R141" s="4">
        <f>SUMIFS(Tab_11.Nov[MOVIMENTO],Tab_11.Nov[CONTA],$F141)</f>
        <v>0</v>
      </c>
      <c r="S141" s="4">
        <f>SUMIFS(Tab_12.Dez[MOVIMENTO],Tab_12.Dez[CONTA],$F141)</f>
        <v>-1037831.24</v>
      </c>
    </row>
    <row r="142" spans="2:19" x14ac:dyDescent="0.3">
      <c r="B142" s="3" t="s">
        <v>163</v>
      </c>
      <c r="C142" s="2" t="str">
        <f>IF($F142="","",IF(LEFT($F142,1)*1=1,"A",IF(LEFT($F142,1)*1=2,"P",IF(LEFT($F142,1)*1=3,"R",IF(LEFT($F142,1)*1=4,"C",IF(LEFT($F142,1)*1=5,"C",IF(LEFT($F142,1)*1=6,"C","")))))))</f>
        <v>P</v>
      </c>
      <c r="D142" s="2" t="str">
        <f>IF($F142="","",IF(LEN($F142)=13,"A","S"))</f>
        <v>A</v>
      </c>
      <c r="E142" s="2">
        <f>IF($F142="","",IF(LEN($F142)=1,1,IF(LEN($F142)=3,2,IF(LEN($F142)=5,3,IF(LEN($F142)=8,4,5)))))</f>
        <v>5</v>
      </c>
      <c r="F142" s="3" t="s">
        <v>747</v>
      </c>
      <c r="G142" s="3" t="s">
        <v>746</v>
      </c>
      <c r="H142" s="4">
        <f>SUMIFS(Tab_01.Jan[MOVIMENTO],Tab_01.Jan[CONTA],$F142)</f>
        <v>-4481.74</v>
      </c>
      <c r="I142" s="4">
        <f>SUMIFS(Tab_02.Fev[MOVIMENTO],Tab_02.Fev[CONTA],$F142)</f>
        <v>0</v>
      </c>
      <c r="J142" s="4">
        <f>SUMIFS(Tab_03.Mar[MOVIMENTO],Tab_03.Mar[CONTA],$F142)</f>
        <v>0</v>
      </c>
      <c r="K142" s="4">
        <f>SUMIFS(Tab_04.Abr[MOVIMENTO],Tab_04.Abr[CONTA],$F142)</f>
        <v>0</v>
      </c>
      <c r="L142" s="4">
        <f>SUMIFS(Tab_05.Mai[MOVIMENTO],Tab_05.Mai[CONTA],$F142)</f>
        <v>0</v>
      </c>
      <c r="M142" s="4">
        <f>SUMIFS(Tab_06.Jun[MOVIMENTO],Tab_06.Jun[CONTA],$F142)</f>
        <v>0</v>
      </c>
      <c r="N142" s="4">
        <f>SUMIFS(Tab_07.Jul[MOVIMENTO],Tab_07.Jul[CONTA],$F142)</f>
        <v>0</v>
      </c>
      <c r="O142" s="4">
        <f>SUMIFS(Tab_08.Ago[MOVIMENTO],Tab_08.Ago[CONTA],$F142)</f>
        <v>0</v>
      </c>
      <c r="P142" s="4">
        <f>SUMIFS(Tab_09.Set[MOVIMENTO],Tab_09.Set[CONTA],$F142)</f>
        <v>0</v>
      </c>
      <c r="Q142" s="4">
        <f>SUMIFS(Tab_10.Out[MOVIMENTO],Tab_10.Out[CONTA],$F142)</f>
        <v>0</v>
      </c>
      <c r="R142" s="4">
        <f>SUMIFS(Tab_11.Nov[MOVIMENTO],Tab_11.Nov[CONTA],$F142)</f>
        <v>0</v>
      </c>
      <c r="S142" s="4">
        <f>SUMIFS(Tab_12.Dez[MOVIMENTO],Tab_12.Dez[CONTA],$F142)</f>
        <v>-1037831.24</v>
      </c>
    </row>
    <row r="143" spans="2:19" x14ac:dyDescent="0.3">
      <c r="B143" s="3"/>
      <c r="C143" s="2" t="str">
        <f t="shared" si="15"/>
        <v>R</v>
      </c>
      <c r="D143" s="2" t="str">
        <f t="shared" si="16"/>
        <v>S</v>
      </c>
      <c r="E143" s="2">
        <f t="shared" si="17"/>
        <v>1</v>
      </c>
      <c r="F143" s="3">
        <v>3</v>
      </c>
      <c r="G143" s="3" t="s">
        <v>672</v>
      </c>
      <c r="H143" s="4">
        <f>SUMIFS(Tab_01.Jan[MOVIMENTO],Tab_01.Jan[CONTA],$F143)</f>
        <v>-1136279.73</v>
      </c>
      <c r="I143" s="4">
        <f>SUMIFS(Tab_02.Fev[MOVIMENTO],Tab_02.Fev[CONTA],$F143)</f>
        <v>-524610.86</v>
      </c>
      <c r="J143" s="4">
        <f>SUMIFS(Tab_03.Mar[MOVIMENTO],Tab_03.Mar[CONTA],$F143)</f>
        <v>-1344827.05</v>
      </c>
      <c r="K143" s="4">
        <f>SUMIFS(Tab_04.Abr[MOVIMENTO],Tab_04.Abr[CONTA],$F143)</f>
        <v>-1065966.78</v>
      </c>
      <c r="L143" s="4">
        <f>SUMIFS(Tab_05.Mai[MOVIMENTO],Tab_05.Mai[CONTA],$F143)</f>
        <v>-1527340.71</v>
      </c>
      <c r="M143" s="4">
        <f>SUMIFS(Tab_06.Jun[MOVIMENTO],Tab_06.Jun[CONTA],$F143)</f>
        <v>-1494884.3</v>
      </c>
      <c r="N143" s="4">
        <f>SUMIFS(Tab_07.Jul[MOVIMENTO],Tab_07.Jul[CONTA],$F143)</f>
        <v>-1494884.3</v>
      </c>
      <c r="O143" s="4">
        <f>SUMIFS(Tab_08.Ago[MOVIMENTO],Tab_08.Ago[CONTA],$F143)</f>
        <v>-1494884.3</v>
      </c>
      <c r="P143" s="4">
        <f>SUMIFS(Tab_09.Set[MOVIMENTO],Tab_09.Set[CONTA],$F143)</f>
        <v>-1110673.19</v>
      </c>
      <c r="Q143" s="4">
        <f>SUMIFS(Tab_10.Out[MOVIMENTO],Tab_10.Out[CONTA],$F143)</f>
        <v>-1438439.63</v>
      </c>
      <c r="R143" s="4">
        <f>SUMIFS(Tab_11.Nov[MOVIMENTO],Tab_11.Nov[CONTA],$F143)</f>
        <v>-1235067.96</v>
      </c>
      <c r="S143" s="4">
        <f>SUMIFS(Tab_12.Dez[MOVIMENTO],Tab_12.Dez[CONTA],$F143)</f>
        <v>-1380444.28</v>
      </c>
    </row>
    <row r="144" spans="2:19" x14ac:dyDescent="0.3">
      <c r="B144" s="3"/>
      <c r="C144" s="2" t="str">
        <f t="shared" si="15"/>
        <v>R</v>
      </c>
      <c r="D144" s="2" t="str">
        <f t="shared" si="16"/>
        <v>S</v>
      </c>
      <c r="E144" s="2">
        <f t="shared" si="17"/>
        <v>2</v>
      </c>
      <c r="F144" s="3" t="s">
        <v>231</v>
      </c>
      <c r="G144" s="3" t="s">
        <v>673</v>
      </c>
      <c r="H144" s="4">
        <f>SUMIFS(Tab_01.Jan[MOVIMENTO],Tab_01.Jan[CONTA],$F144)</f>
        <v>-511729.22</v>
      </c>
      <c r="I144" s="4">
        <f>SUMIFS(Tab_02.Fev[MOVIMENTO],Tab_02.Fev[CONTA],$F144)</f>
        <v>-89853</v>
      </c>
      <c r="J144" s="4">
        <f>SUMIFS(Tab_03.Mar[MOVIMENTO],Tab_03.Mar[CONTA],$F144)</f>
        <v>-594120.07999999996</v>
      </c>
      <c r="K144" s="4">
        <f>SUMIFS(Tab_04.Abr[MOVIMENTO],Tab_04.Abr[CONTA],$F144)</f>
        <v>-647972.43999999994</v>
      </c>
      <c r="L144" s="4">
        <f>SUMIFS(Tab_05.Mai[MOVIMENTO],Tab_05.Mai[CONTA],$F144)</f>
        <v>-747601.25</v>
      </c>
      <c r="M144" s="4">
        <f>SUMIFS(Tab_06.Jun[MOVIMENTO],Tab_06.Jun[CONTA],$F144)</f>
        <v>-611115.52000000002</v>
      </c>
      <c r="N144" s="4">
        <f>SUMIFS(Tab_07.Jul[MOVIMENTO],Tab_07.Jul[CONTA],$F144)</f>
        <v>-611115.52000000002</v>
      </c>
      <c r="O144" s="4">
        <f>SUMIFS(Tab_08.Ago[MOVIMENTO],Tab_08.Ago[CONTA],$F144)</f>
        <v>-611115.52000000002</v>
      </c>
      <c r="P144" s="4">
        <f>SUMIFS(Tab_09.Set[MOVIMENTO],Tab_09.Set[CONTA],$F144)</f>
        <v>-509455.47</v>
      </c>
      <c r="Q144" s="4">
        <f>SUMIFS(Tab_10.Out[MOVIMENTO],Tab_10.Out[CONTA],$F144)</f>
        <v>-757122.69</v>
      </c>
      <c r="R144" s="4">
        <f>SUMIFS(Tab_11.Nov[MOVIMENTO],Tab_11.Nov[CONTA],$F144)</f>
        <v>-456760.87</v>
      </c>
      <c r="S144" s="4">
        <f>SUMIFS(Tab_12.Dez[MOVIMENTO],Tab_12.Dez[CONTA],$F144)</f>
        <v>-1032131.29</v>
      </c>
    </row>
    <row r="145" spans="2:19" x14ac:dyDescent="0.3">
      <c r="B145" s="3"/>
      <c r="C145" s="2" t="str">
        <f t="shared" si="15"/>
        <v>R</v>
      </c>
      <c r="D145" s="2" t="str">
        <f t="shared" si="16"/>
        <v>S</v>
      </c>
      <c r="E145" s="2">
        <f t="shared" si="17"/>
        <v>5</v>
      </c>
      <c r="F145" s="3" t="s">
        <v>232</v>
      </c>
      <c r="G145" s="3" t="s">
        <v>674</v>
      </c>
      <c r="H145" s="4">
        <f>SUMIFS(Tab_01.Jan[MOVIMENTO],Tab_01.Jan[CONTA],$F145)</f>
        <v>-309988.61</v>
      </c>
      <c r="I145" s="4">
        <f>SUMIFS(Tab_02.Fev[MOVIMENTO],Tab_02.Fev[CONTA],$F145)</f>
        <v>0</v>
      </c>
      <c r="J145" s="4">
        <f>SUMIFS(Tab_03.Mar[MOVIMENTO],Tab_03.Mar[CONTA],$F145)</f>
        <v>-402105.77</v>
      </c>
      <c r="K145" s="4">
        <f>SUMIFS(Tab_04.Abr[MOVIMENTO],Tab_04.Abr[CONTA],$F145)</f>
        <v>-312504.86</v>
      </c>
      <c r="L145" s="4">
        <f>SUMIFS(Tab_05.Mai[MOVIMENTO],Tab_05.Mai[CONTA],$F145)</f>
        <v>-470540.5</v>
      </c>
      <c r="M145" s="4">
        <f>SUMIFS(Tab_06.Jun[MOVIMENTO],Tab_06.Jun[CONTA],$F145)</f>
        <v>-457031.23</v>
      </c>
      <c r="N145" s="4">
        <f>SUMIFS(Tab_07.Jul[MOVIMENTO],Tab_07.Jul[CONTA],$F145)</f>
        <v>-457031.23</v>
      </c>
      <c r="O145" s="4">
        <f>SUMIFS(Tab_08.Ago[MOVIMENTO],Tab_08.Ago[CONTA],$F145)</f>
        <v>-457031.23</v>
      </c>
      <c r="P145" s="4">
        <f>SUMIFS(Tab_09.Set[MOVIMENTO],Tab_09.Set[CONTA],$F145)</f>
        <v>-326915.51</v>
      </c>
      <c r="Q145" s="4">
        <f>SUMIFS(Tab_10.Out[MOVIMENTO],Tab_10.Out[CONTA],$F145)</f>
        <v>-578693.68000000005</v>
      </c>
      <c r="R145" s="4">
        <f>SUMIFS(Tab_11.Nov[MOVIMENTO],Tab_11.Nov[CONTA],$F145)</f>
        <v>-297490.43</v>
      </c>
      <c r="S145" s="4">
        <f>SUMIFS(Tab_12.Dez[MOVIMENTO],Tab_12.Dez[CONTA],$F145)</f>
        <v>-555424.06000000006</v>
      </c>
    </row>
    <row r="146" spans="2:19" x14ac:dyDescent="0.3">
      <c r="B146" s="3"/>
      <c r="C146" s="2" t="str">
        <f t="shared" si="15"/>
        <v>R</v>
      </c>
      <c r="D146" s="2" t="str">
        <f t="shared" si="16"/>
        <v>S</v>
      </c>
      <c r="E146" s="2">
        <f t="shared" si="17"/>
        <v>5</v>
      </c>
      <c r="F146" s="3" t="s">
        <v>233</v>
      </c>
      <c r="G146" s="3" t="s">
        <v>675</v>
      </c>
      <c r="H146" s="4">
        <f>SUMIFS(Tab_01.Jan[MOVIMENTO],Tab_01.Jan[CONTA],$F146)</f>
        <v>-122569.24</v>
      </c>
      <c r="I146" s="4">
        <f>SUMIFS(Tab_02.Fev[MOVIMENTO],Tab_02.Fev[CONTA],$F146)</f>
        <v>0</v>
      </c>
      <c r="J146" s="4">
        <f>SUMIFS(Tab_03.Mar[MOVIMENTO],Tab_03.Mar[CONTA],$F146)</f>
        <v>-154690.84</v>
      </c>
      <c r="K146" s="4">
        <f>SUMIFS(Tab_04.Abr[MOVIMENTO],Tab_04.Abr[CONTA],$F146)</f>
        <v>-132289.44</v>
      </c>
      <c r="L146" s="4">
        <f>SUMIFS(Tab_05.Mai[MOVIMENTO],Tab_05.Mai[CONTA],$F146)</f>
        <v>-137859.68</v>
      </c>
      <c r="M146" s="4">
        <f>SUMIFS(Tab_06.Jun[MOVIMENTO],Tab_06.Jun[CONTA],$F146)</f>
        <v>-133881.88</v>
      </c>
      <c r="N146" s="4">
        <f>SUMIFS(Tab_07.Jul[MOVIMENTO],Tab_07.Jul[CONTA],$F146)</f>
        <v>-133881.88</v>
      </c>
      <c r="O146" s="4">
        <f>SUMIFS(Tab_08.Ago[MOVIMENTO],Tab_08.Ago[CONTA],$F146)</f>
        <v>-133881.88</v>
      </c>
      <c r="P146" s="4">
        <f>SUMIFS(Tab_09.Set[MOVIMENTO],Tab_09.Set[CONTA],$F146)</f>
        <v>-128578.44</v>
      </c>
      <c r="Q146" s="4">
        <f>SUMIFS(Tab_10.Out[MOVIMENTO],Tab_10.Out[CONTA],$F146)</f>
        <v>-148911.84</v>
      </c>
      <c r="R146" s="4">
        <f>SUMIFS(Tab_11.Nov[MOVIMENTO],Tab_11.Nov[CONTA],$F146)</f>
        <v>-109417.12</v>
      </c>
      <c r="S146" s="4">
        <f>SUMIFS(Tab_12.Dez[MOVIMENTO],Tab_12.Dez[CONTA],$F146)</f>
        <v>-112795.04</v>
      </c>
    </row>
    <row r="147" spans="2:19" x14ac:dyDescent="0.3">
      <c r="B147" s="3" t="s">
        <v>101</v>
      </c>
      <c r="C147" s="2" t="str">
        <f t="shared" si="15"/>
        <v>R</v>
      </c>
      <c r="D147" s="2" t="str">
        <f t="shared" si="16"/>
        <v>A</v>
      </c>
      <c r="E147" s="2">
        <f t="shared" si="17"/>
        <v>5</v>
      </c>
      <c r="F147" s="3" t="s">
        <v>194</v>
      </c>
      <c r="G147" s="3" t="s">
        <v>367</v>
      </c>
      <c r="H147" s="4">
        <f>SUMIFS(Tab_01.Jan[MOVIMENTO],Tab_01.Jan[CONTA],$F147)</f>
        <v>-122569.24</v>
      </c>
      <c r="I147" s="4">
        <f>SUMIFS(Tab_02.Fev[MOVIMENTO],Tab_02.Fev[CONTA],$F147)</f>
        <v>0</v>
      </c>
      <c r="J147" s="4">
        <f>SUMIFS(Tab_03.Mar[MOVIMENTO],Tab_03.Mar[CONTA],$F147)</f>
        <v>-154690.84</v>
      </c>
      <c r="K147" s="4">
        <f>SUMIFS(Tab_04.Abr[MOVIMENTO],Tab_04.Abr[CONTA],$F147)</f>
        <v>-132289.44</v>
      </c>
      <c r="L147" s="4">
        <f>SUMIFS(Tab_05.Mai[MOVIMENTO],Tab_05.Mai[CONTA],$F147)</f>
        <v>-137859.68</v>
      </c>
      <c r="M147" s="4">
        <f>SUMIFS(Tab_06.Jun[MOVIMENTO],Tab_06.Jun[CONTA],$F147)</f>
        <v>-133881.88</v>
      </c>
      <c r="N147" s="4">
        <f>SUMIFS(Tab_07.Jul[MOVIMENTO],Tab_07.Jul[CONTA],$F147)</f>
        <v>-133881.88</v>
      </c>
      <c r="O147" s="4">
        <f>SUMIFS(Tab_08.Ago[MOVIMENTO],Tab_08.Ago[CONTA],$F147)</f>
        <v>-133881.88</v>
      </c>
      <c r="P147" s="4">
        <f>SUMIFS(Tab_09.Set[MOVIMENTO],Tab_09.Set[CONTA],$F147)</f>
        <v>-128578.44</v>
      </c>
      <c r="Q147" s="4">
        <f>SUMIFS(Tab_10.Out[MOVIMENTO],Tab_10.Out[CONTA],$F147)</f>
        <v>-148911.84</v>
      </c>
      <c r="R147" s="4">
        <f>SUMIFS(Tab_11.Nov[MOVIMENTO],Tab_11.Nov[CONTA],$F147)</f>
        <v>-109417.12</v>
      </c>
      <c r="S147" s="4">
        <f>SUMIFS(Tab_12.Dez[MOVIMENTO],Tab_12.Dez[CONTA],$F147)</f>
        <v>-112795.04</v>
      </c>
    </row>
    <row r="148" spans="2:19" x14ac:dyDescent="0.3">
      <c r="B148" s="3"/>
      <c r="C148" s="2" t="str">
        <f t="shared" si="15"/>
        <v>R</v>
      </c>
      <c r="D148" s="2" t="str">
        <f t="shared" si="16"/>
        <v>S</v>
      </c>
      <c r="E148" s="2">
        <f t="shared" si="17"/>
        <v>5</v>
      </c>
      <c r="F148" s="3" t="s">
        <v>569</v>
      </c>
      <c r="G148" s="3" t="s">
        <v>676</v>
      </c>
      <c r="H148" s="4">
        <f>SUMIFS(Tab_01.Jan[MOVIMENTO],Tab_01.Jan[CONTA],$F148)</f>
        <v>-201740.61</v>
      </c>
      <c r="I148" s="4">
        <f>SUMIFS(Tab_02.Fev[MOVIMENTO],Tab_02.Fev[CONTA],$F148)</f>
        <v>-89853</v>
      </c>
      <c r="J148" s="4">
        <f>SUMIFS(Tab_03.Mar[MOVIMENTO],Tab_03.Mar[CONTA],$F148)</f>
        <v>-192014.31</v>
      </c>
      <c r="K148" s="4">
        <f>SUMIFS(Tab_04.Abr[MOVIMENTO],Tab_04.Abr[CONTA],$F148)</f>
        <v>-335467.58</v>
      </c>
      <c r="L148" s="4">
        <f>SUMIFS(Tab_05.Mai[MOVIMENTO],Tab_05.Mai[CONTA],$F148)</f>
        <v>-277060.75</v>
      </c>
      <c r="M148" s="4">
        <f>SUMIFS(Tab_06.Jun[MOVIMENTO],Tab_06.Jun[CONTA],$F148)</f>
        <v>-154084.29</v>
      </c>
      <c r="N148" s="4">
        <f>SUMIFS(Tab_07.Jul[MOVIMENTO],Tab_07.Jul[CONTA],$F148)</f>
        <v>-154084.29</v>
      </c>
      <c r="O148" s="4">
        <f>SUMIFS(Tab_08.Ago[MOVIMENTO],Tab_08.Ago[CONTA],$F148)</f>
        <v>-154084.29</v>
      </c>
      <c r="P148" s="4">
        <f>SUMIFS(Tab_09.Set[MOVIMENTO],Tab_09.Set[CONTA],$F148)</f>
        <v>-182539.96</v>
      </c>
      <c r="Q148" s="4">
        <f>SUMIFS(Tab_10.Out[MOVIMENTO],Tab_10.Out[CONTA],$F148)</f>
        <v>-178429.01</v>
      </c>
      <c r="R148" s="4">
        <f>SUMIFS(Tab_11.Nov[MOVIMENTO],Tab_11.Nov[CONTA],$F148)</f>
        <v>-159270.44</v>
      </c>
      <c r="S148" s="4">
        <f>SUMIFS(Tab_12.Dez[MOVIMENTO],Tab_12.Dez[CONTA],$F148)</f>
        <v>-476707.23</v>
      </c>
    </row>
    <row r="149" spans="2:19" x14ac:dyDescent="0.3">
      <c r="B149" s="3"/>
      <c r="C149" s="2" t="str">
        <f t="shared" si="15"/>
        <v>R</v>
      </c>
      <c r="D149" s="2" t="str">
        <f t="shared" si="16"/>
        <v>S</v>
      </c>
      <c r="E149" s="2">
        <f t="shared" si="17"/>
        <v>5</v>
      </c>
      <c r="F149" s="3" t="s">
        <v>570</v>
      </c>
      <c r="G149" s="3" t="s">
        <v>677</v>
      </c>
      <c r="H149" s="4">
        <f>SUMIFS(Tab_01.Jan[MOVIMENTO],Tab_01.Jan[CONTA],$F149)</f>
        <v>-118774.53</v>
      </c>
      <c r="I149" s="4">
        <f>SUMIFS(Tab_02.Fev[MOVIMENTO],Tab_02.Fev[CONTA],$F149)</f>
        <v>-89853</v>
      </c>
      <c r="J149" s="4">
        <f>SUMIFS(Tab_03.Mar[MOVIMENTO],Tab_03.Mar[CONTA],$F149)</f>
        <v>-109048.23</v>
      </c>
      <c r="K149" s="4">
        <f>SUMIFS(Tab_04.Abr[MOVIMENTO],Tab_04.Abr[CONTA],$F149)</f>
        <v>-252501.5</v>
      </c>
      <c r="L149" s="4">
        <f>SUMIFS(Tab_05.Mai[MOVIMENTO],Tab_05.Mai[CONTA],$F149)</f>
        <v>-194094.67</v>
      </c>
      <c r="M149" s="4">
        <f>SUMIFS(Tab_06.Jun[MOVIMENTO],Tab_06.Jun[CONTA],$F149)</f>
        <v>-71118.210000000006</v>
      </c>
      <c r="N149" s="4">
        <f>SUMIFS(Tab_07.Jul[MOVIMENTO],Tab_07.Jul[CONTA],$F149)</f>
        <v>-71118.210000000006</v>
      </c>
      <c r="O149" s="4">
        <f>SUMIFS(Tab_08.Ago[MOVIMENTO],Tab_08.Ago[CONTA],$F149)</f>
        <v>-71118.210000000006</v>
      </c>
      <c r="P149" s="4">
        <f>SUMIFS(Tab_09.Set[MOVIMENTO],Tab_09.Set[CONTA],$F149)</f>
        <v>-99573.87</v>
      </c>
      <c r="Q149" s="4">
        <f>SUMIFS(Tab_10.Out[MOVIMENTO],Tab_10.Out[CONTA],$F149)</f>
        <v>-95462.93</v>
      </c>
      <c r="R149" s="4">
        <f>SUMIFS(Tab_11.Nov[MOVIMENTO],Tab_11.Nov[CONTA],$F149)</f>
        <v>-76304.36</v>
      </c>
      <c r="S149" s="4">
        <f>SUMIFS(Tab_12.Dez[MOVIMENTO],Tab_12.Dez[CONTA],$F149)</f>
        <v>-393741.15</v>
      </c>
    </row>
    <row r="150" spans="2:19" x14ac:dyDescent="0.3">
      <c r="B150" s="3" t="s">
        <v>101</v>
      </c>
      <c r="C150" s="2" t="str">
        <f t="shared" si="15"/>
        <v>R</v>
      </c>
      <c r="D150" s="2" t="str">
        <f t="shared" si="16"/>
        <v>A</v>
      </c>
      <c r="E150" s="2">
        <f t="shared" si="17"/>
        <v>5</v>
      </c>
      <c r="F150" s="3" t="s">
        <v>368</v>
      </c>
      <c r="G150" s="3" t="s">
        <v>369</v>
      </c>
      <c r="H150" s="4">
        <f>SUMIFS(Tab_01.Jan[MOVIMENTO],Tab_01.Jan[CONTA],$F150)</f>
        <v>-52200</v>
      </c>
      <c r="I150" s="4">
        <f>SUMIFS(Tab_02.Fev[MOVIMENTO],Tab_02.Fev[CONTA],$F150)</f>
        <v>-32300.240000000002</v>
      </c>
      <c r="J150" s="4">
        <f>SUMIFS(Tab_03.Mar[MOVIMENTO],Tab_03.Mar[CONTA],$F150)</f>
        <v>-31162.82</v>
      </c>
      <c r="K150" s="4">
        <f>SUMIFS(Tab_04.Abr[MOVIMENTO],Tab_04.Abr[CONTA],$F150)</f>
        <v>-126167.7</v>
      </c>
      <c r="L150" s="4">
        <f>SUMIFS(Tab_05.Mai[MOVIMENTO],Tab_05.Mai[CONTA],$F150)</f>
        <v>-159244</v>
      </c>
      <c r="M150" s="4">
        <f>SUMIFS(Tab_06.Jun[MOVIMENTO],Tab_06.Jun[CONTA],$F150)</f>
        <v>-35652.550000000003</v>
      </c>
      <c r="N150" s="4">
        <f>SUMIFS(Tab_07.Jul[MOVIMENTO],Tab_07.Jul[CONTA],$F150)</f>
        <v>-35652.550000000003</v>
      </c>
      <c r="O150" s="4">
        <f>SUMIFS(Tab_08.Ago[MOVIMENTO],Tab_08.Ago[CONTA],$F150)</f>
        <v>-35652.550000000003</v>
      </c>
      <c r="P150" s="4">
        <f>SUMIFS(Tab_09.Set[MOVIMENTO],Tab_09.Set[CONTA],$F150)</f>
        <v>-3800</v>
      </c>
      <c r="Q150" s="4">
        <f>SUMIFS(Tab_10.Out[MOVIMENTO],Tab_10.Out[CONTA],$F150)</f>
        <v>-4000</v>
      </c>
      <c r="R150" s="4">
        <f>SUMIFS(Tab_11.Nov[MOVIMENTO],Tab_11.Nov[CONTA],$F150)</f>
        <v>-3900</v>
      </c>
      <c r="S150" s="4">
        <f>SUMIFS(Tab_12.Dez[MOVIMENTO],Tab_12.Dez[CONTA],$F150)</f>
        <v>-3900</v>
      </c>
    </row>
    <row r="151" spans="2:19" x14ac:dyDescent="0.3">
      <c r="B151" s="3" t="s">
        <v>101</v>
      </c>
      <c r="C151" s="2" t="str">
        <f t="shared" si="15"/>
        <v>R</v>
      </c>
      <c r="D151" s="2" t="str">
        <f t="shared" si="16"/>
        <v>A</v>
      </c>
      <c r="E151" s="2">
        <f t="shared" si="17"/>
        <v>5</v>
      </c>
      <c r="F151" s="3" t="s">
        <v>370</v>
      </c>
      <c r="G151" s="3" t="s">
        <v>371</v>
      </c>
      <c r="H151" s="4">
        <f>SUMIFS(Tab_01.Jan[MOVIMENTO],Tab_01.Jan[CONTA],$F151)</f>
        <v>-66574.53</v>
      </c>
      <c r="I151" s="4">
        <f>SUMIFS(Tab_02.Fev[MOVIMENTO],Tab_02.Fev[CONTA],$F151)</f>
        <v>-51882.6</v>
      </c>
      <c r="J151" s="4">
        <f>SUMIFS(Tab_03.Mar[MOVIMENTO],Tab_03.Mar[CONTA],$F151)</f>
        <v>-77885.41</v>
      </c>
      <c r="K151" s="4">
        <f>SUMIFS(Tab_04.Abr[MOVIMENTO],Tab_04.Abr[CONTA],$F151)</f>
        <v>-36809.230000000003</v>
      </c>
      <c r="L151" s="4">
        <f>SUMIFS(Tab_05.Mai[MOVIMENTO],Tab_05.Mai[CONTA],$F151)</f>
        <v>-34850.67</v>
      </c>
      <c r="M151" s="4">
        <f>SUMIFS(Tab_06.Jun[MOVIMENTO],Tab_06.Jun[CONTA],$F151)</f>
        <v>-35465.660000000003</v>
      </c>
      <c r="N151" s="4">
        <f>SUMIFS(Tab_07.Jul[MOVIMENTO],Tab_07.Jul[CONTA],$F151)</f>
        <v>-35465.660000000003</v>
      </c>
      <c r="O151" s="4">
        <f>SUMIFS(Tab_08.Ago[MOVIMENTO],Tab_08.Ago[CONTA],$F151)</f>
        <v>-35465.660000000003</v>
      </c>
      <c r="P151" s="4">
        <f>SUMIFS(Tab_09.Set[MOVIMENTO],Tab_09.Set[CONTA],$F151)</f>
        <v>-95773.87</v>
      </c>
      <c r="Q151" s="4">
        <f>SUMIFS(Tab_10.Out[MOVIMENTO],Tab_10.Out[CONTA],$F151)</f>
        <v>-91462.93</v>
      </c>
      <c r="R151" s="4">
        <f>SUMIFS(Tab_11.Nov[MOVIMENTO],Tab_11.Nov[CONTA],$F151)</f>
        <v>-72404.36</v>
      </c>
      <c r="S151" s="4">
        <f>SUMIFS(Tab_12.Dez[MOVIMENTO],Tab_12.Dez[CONTA],$F151)</f>
        <v>-389841.15</v>
      </c>
    </row>
    <row r="152" spans="2:19" x14ac:dyDescent="0.3">
      <c r="B152" s="3" t="s">
        <v>101</v>
      </c>
      <c r="C152" s="2" t="str">
        <f t="shared" si="15"/>
        <v>R</v>
      </c>
      <c r="D152" s="2" t="str">
        <f t="shared" si="16"/>
        <v>A</v>
      </c>
      <c r="E152" s="2">
        <f t="shared" si="17"/>
        <v>5</v>
      </c>
      <c r="F152" s="3" t="s">
        <v>372</v>
      </c>
      <c r="G152" s="3" t="s">
        <v>373</v>
      </c>
      <c r="H152" s="4">
        <f>SUMIFS(Tab_01.Jan[MOVIMENTO],Tab_01.Jan[CONTA],$F152)</f>
        <v>0</v>
      </c>
      <c r="I152" s="4">
        <f>SUMIFS(Tab_02.Fev[MOVIMENTO],Tab_02.Fev[CONTA],$F152)</f>
        <v>-5670.16</v>
      </c>
      <c r="J152" s="4">
        <f>SUMIFS(Tab_03.Mar[MOVIMENTO],Tab_03.Mar[CONTA],$F152)</f>
        <v>0</v>
      </c>
      <c r="K152" s="4">
        <f>SUMIFS(Tab_04.Abr[MOVIMENTO],Tab_04.Abr[CONTA],$F152)</f>
        <v>0</v>
      </c>
      <c r="L152" s="4">
        <f>SUMIFS(Tab_05.Mai[MOVIMENTO],Tab_05.Mai[CONTA],$F152)</f>
        <v>0</v>
      </c>
      <c r="M152" s="4">
        <f>SUMIFS(Tab_06.Jun[MOVIMENTO],Tab_06.Jun[CONTA],$F152)</f>
        <v>0</v>
      </c>
      <c r="N152" s="4">
        <f>SUMIFS(Tab_07.Jul[MOVIMENTO],Tab_07.Jul[CONTA],$F152)</f>
        <v>0</v>
      </c>
      <c r="O152" s="4">
        <f>SUMIFS(Tab_08.Ago[MOVIMENTO],Tab_08.Ago[CONTA],$F152)</f>
        <v>0</v>
      </c>
      <c r="P152" s="4">
        <f>SUMIFS(Tab_09.Set[MOVIMENTO],Tab_09.Set[CONTA],$F152)</f>
        <v>0</v>
      </c>
      <c r="Q152" s="4">
        <f>SUMIFS(Tab_10.Out[MOVIMENTO],Tab_10.Out[CONTA],$F152)</f>
        <v>0</v>
      </c>
      <c r="R152" s="4">
        <f>SUMIFS(Tab_11.Nov[MOVIMENTO],Tab_11.Nov[CONTA],$F152)</f>
        <v>0</v>
      </c>
      <c r="S152" s="4">
        <f>SUMIFS(Tab_12.Dez[MOVIMENTO],Tab_12.Dez[CONTA],$F152)</f>
        <v>0</v>
      </c>
    </row>
    <row r="153" spans="2:19" x14ac:dyDescent="0.3">
      <c r="B153" s="3" t="s">
        <v>101</v>
      </c>
      <c r="C153" s="2" t="str">
        <f>IF($F153="","",IF(LEFT($F153,1)*1=1,"A",IF(LEFT($F153,1)*1=2,"P",IF(LEFT($F153,1)*1=3,"R",IF(LEFT($F153,1)*1=4,"C",IF(LEFT($F153,1)*1=5,"C",IF(LEFT($F153,1)*1=6,"C","")))))))</f>
        <v>R</v>
      </c>
      <c r="D153" s="2" t="str">
        <f>IF($F153="","",IF(LEN($F153)=13,"A","S"))</f>
        <v>A</v>
      </c>
      <c r="E153" s="2">
        <f>IF($F153="","",IF(LEN($F153)=1,1,IF(LEN($F153)=3,2,IF(LEN($F153)=5,3,IF(LEN($F153)=8,4,5)))))</f>
        <v>5</v>
      </c>
      <c r="F153" s="3" t="s">
        <v>851</v>
      </c>
      <c r="G153" s="3" t="s">
        <v>852</v>
      </c>
      <c r="H153" s="4">
        <f>SUMIFS(Tab_01.Jan[MOVIMENTO],Tab_01.Jan[CONTA],$F153)</f>
        <v>0</v>
      </c>
      <c r="I153" s="4">
        <f>SUMIFS(Tab_02.Fev[MOVIMENTO],Tab_02.Fev[CONTA],$F153)</f>
        <v>0</v>
      </c>
      <c r="J153" s="4">
        <f>SUMIFS(Tab_03.Mar[MOVIMENTO],Tab_03.Mar[CONTA],$F153)</f>
        <v>0</v>
      </c>
      <c r="K153" s="4">
        <f>SUMIFS(Tab_04.Abr[MOVIMENTO],Tab_04.Abr[CONTA],$F153)</f>
        <v>-89524.57</v>
      </c>
      <c r="L153" s="4">
        <f>SUMIFS(Tab_05.Mai[MOVIMENTO],Tab_05.Mai[CONTA],$F153)</f>
        <v>0</v>
      </c>
      <c r="M153" s="4">
        <f>SUMIFS(Tab_06.Jun[MOVIMENTO],Tab_06.Jun[CONTA],$F153)</f>
        <v>0</v>
      </c>
      <c r="N153" s="4">
        <f>SUMIFS(Tab_07.Jul[MOVIMENTO],Tab_07.Jul[CONTA],$F153)</f>
        <v>0</v>
      </c>
      <c r="O153" s="4">
        <f>SUMIFS(Tab_08.Ago[MOVIMENTO],Tab_08.Ago[CONTA],$F153)</f>
        <v>0</v>
      </c>
      <c r="P153" s="4">
        <f>SUMIFS(Tab_09.Set[MOVIMENTO],Tab_09.Set[CONTA],$F153)</f>
        <v>0</v>
      </c>
      <c r="Q153" s="4">
        <f>SUMIFS(Tab_10.Out[MOVIMENTO],Tab_10.Out[CONTA],$F153)</f>
        <v>0</v>
      </c>
      <c r="R153" s="4">
        <f>SUMIFS(Tab_11.Nov[MOVIMENTO],Tab_11.Nov[CONTA],$F153)</f>
        <v>0</v>
      </c>
      <c r="S153" s="4">
        <f>SUMIFS(Tab_12.Dez[MOVIMENTO],Tab_12.Dez[CONTA],$F153)</f>
        <v>0</v>
      </c>
    </row>
    <row r="154" spans="2:19" x14ac:dyDescent="0.3">
      <c r="B154" s="3" t="s">
        <v>101</v>
      </c>
      <c r="C154" s="2" t="str">
        <f t="shared" si="15"/>
        <v>R</v>
      </c>
      <c r="D154" s="2" t="str">
        <f t="shared" si="16"/>
        <v>A</v>
      </c>
      <c r="E154" s="2">
        <f t="shared" si="17"/>
        <v>5</v>
      </c>
      <c r="F154" s="3" t="s">
        <v>374</v>
      </c>
      <c r="G154" s="3" t="s">
        <v>375</v>
      </c>
      <c r="H154" s="4">
        <f>SUMIFS(Tab_01.Jan[MOVIMENTO],Tab_01.Jan[CONTA],$F154)</f>
        <v>0</v>
      </c>
      <c r="I154" s="4">
        <f>SUMIFS(Tab_02.Fev[MOVIMENTO],Tab_02.Fev[CONTA],$F154)</f>
        <v>0</v>
      </c>
      <c r="J154" s="4">
        <f>SUMIFS(Tab_03.Mar[MOVIMENTO],Tab_03.Mar[CONTA],$F154)</f>
        <v>0</v>
      </c>
      <c r="K154" s="4">
        <f>SUMIFS(Tab_04.Abr[MOVIMENTO],Tab_04.Abr[CONTA],$F154)</f>
        <v>0</v>
      </c>
      <c r="L154" s="4">
        <f>SUMIFS(Tab_05.Mai[MOVIMENTO],Tab_05.Mai[CONTA],$F154)</f>
        <v>0</v>
      </c>
      <c r="M154" s="4">
        <f>SUMIFS(Tab_06.Jun[MOVIMENTO],Tab_06.Jun[CONTA],$F154)</f>
        <v>0</v>
      </c>
      <c r="N154" s="4">
        <f>SUMIFS(Tab_07.Jul[MOVIMENTO],Tab_07.Jul[CONTA],$F154)</f>
        <v>0</v>
      </c>
      <c r="O154" s="4">
        <f>SUMIFS(Tab_08.Ago[MOVIMENTO],Tab_08.Ago[CONTA],$F154)</f>
        <v>0</v>
      </c>
      <c r="P154" s="4">
        <f>SUMIFS(Tab_09.Set[MOVIMENTO],Tab_09.Set[CONTA],$F154)</f>
        <v>0</v>
      </c>
      <c r="Q154" s="4">
        <f>SUMIFS(Tab_10.Out[MOVIMENTO],Tab_10.Out[CONTA],$F154)</f>
        <v>0</v>
      </c>
      <c r="R154" s="4">
        <f>SUMIFS(Tab_11.Nov[MOVIMENTO],Tab_11.Nov[CONTA],$F154)</f>
        <v>0</v>
      </c>
      <c r="S154" s="4">
        <f>SUMIFS(Tab_12.Dez[MOVIMENTO],Tab_12.Dez[CONTA],$F154)</f>
        <v>0</v>
      </c>
    </row>
    <row r="155" spans="2:19" x14ac:dyDescent="0.3">
      <c r="B155" s="3"/>
      <c r="C155" s="2" t="str">
        <f t="shared" si="15"/>
        <v>R</v>
      </c>
      <c r="D155" s="2" t="str">
        <f t="shared" si="16"/>
        <v>S</v>
      </c>
      <c r="E155" s="2">
        <f t="shared" si="17"/>
        <v>5</v>
      </c>
      <c r="F155" s="3" t="s">
        <v>571</v>
      </c>
      <c r="G155" s="3" t="s">
        <v>377</v>
      </c>
      <c r="H155" s="4">
        <f>SUMIFS(Tab_01.Jan[MOVIMENTO],Tab_01.Jan[CONTA],$F155)</f>
        <v>-82966.080000000002</v>
      </c>
      <c r="I155" s="4">
        <f>SUMIFS(Tab_02.Fev[MOVIMENTO],Tab_02.Fev[CONTA],$F155)</f>
        <v>0</v>
      </c>
      <c r="J155" s="4">
        <f>SUMIFS(Tab_03.Mar[MOVIMENTO],Tab_03.Mar[CONTA],$F155)</f>
        <v>-82966.080000000002</v>
      </c>
      <c r="K155" s="4">
        <f>SUMIFS(Tab_04.Abr[MOVIMENTO],Tab_04.Abr[CONTA],$F155)</f>
        <v>-82966.080000000002</v>
      </c>
      <c r="L155" s="4">
        <f>SUMIFS(Tab_05.Mai[MOVIMENTO],Tab_05.Mai[CONTA],$F155)</f>
        <v>-82966.080000000002</v>
      </c>
      <c r="M155" s="4">
        <f>SUMIFS(Tab_06.Jun[MOVIMENTO],Tab_06.Jun[CONTA],$F155)</f>
        <v>-82966.080000000002</v>
      </c>
      <c r="N155" s="4">
        <f>SUMIFS(Tab_07.Jul[MOVIMENTO],Tab_07.Jul[CONTA],$F155)</f>
        <v>-82966.080000000002</v>
      </c>
      <c r="O155" s="4">
        <f>SUMIFS(Tab_08.Ago[MOVIMENTO],Tab_08.Ago[CONTA],$F155)</f>
        <v>-82966.080000000002</v>
      </c>
      <c r="P155" s="4">
        <f>SUMIFS(Tab_09.Set[MOVIMENTO],Tab_09.Set[CONTA],$F155)</f>
        <v>-82966.09</v>
      </c>
      <c r="Q155" s="4">
        <f>SUMIFS(Tab_10.Out[MOVIMENTO],Tab_10.Out[CONTA],$F155)</f>
        <v>-82966.080000000002</v>
      </c>
      <c r="R155" s="4">
        <f>SUMIFS(Tab_11.Nov[MOVIMENTO],Tab_11.Nov[CONTA],$F155)</f>
        <v>-82966.080000000002</v>
      </c>
      <c r="S155" s="4">
        <f>SUMIFS(Tab_12.Dez[MOVIMENTO],Tab_12.Dez[CONTA],$F155)</f>
        <v>-82966.080000000002</v>
      </c>
    </row>
    <row r="156" spans="2:19" x14ac:dyDescent="0.3">
      <c r="B156" s="3" t="s">
        <v>101</v>
      </c>
      <c r="C156" s="2" t="str">
        <f t="shared" si="15"/>
        <v>R</v>
      </c>
      <c r="D156" s="2" t="str">
        <f t="shared" si="16"/>
        <v>A</v>
      </c>
      <c r="E156" s="2">
        <f t="shared" si="17"/>
        <v>5</v>
      </c>
      <c r="F156" s="3" t="s">
        <v>376</v>
      </c>
      <c r="G156" s="3" t="s">
        <v>377</v>
      </c>
      <c r="H156" s="4">
        <f>SUMIFS(Tab_01.Jan[MOVIMENTO],Tab_01.Jan[CONTA],$F156)</f>
        <v>-82966.080000000002</v>
      </c>
      <c r="I156" s="4">
        <f>SUMIFS(Tab_02.Fev[MOVIMENTO],Tab_02.Fev[CONTA],$F156)</f>
        <v>0</v>
      </c>
      <c r="J156" s="4">
        <f>SUMIFS(Tab_03.Mar[MOVIMENTO],Tab_03.Mar[CONTA],$F156)</f>
        <v>-82966.080000000002</v>
      </c>
      <c r="K156" s="4">
        <f>SUMIFS(Tab_04.Abr[MOVIMENTO],Tab_04.Abr[CONTA],$F156)</f>
        <v>-82966.080000000002</v>
      </c>
      <c r="L156" s="4">
        <f>SUMIFS(Tab_05.Mai[MOVIMENTO],Tab_05.Mai[CONTA],$F156)</f>
        <v>-82966.080000000002</v>
      </c>
      <c r="M156" s="4">
        <f>SUMIFS(Tab_06.Jun[MOVIMENTO],Tab_06.Jun[CONTA],$F156)</f>
        <v>-82966.080000000002</v>
      </c>
      <c r="N156" s="4">
        <f>SUMIFS(Tab_07.Jul[MOVIMENTO],Tab_07.Jul[CONTA],$F156)</f>
        <v>-82966.080000000002</v>
      </c>
      <c r="O156" s="4">
        <f>SUMIFS(Tab_08.Ago[MOVIMENTO],Tab_08.Ago[CONTA],$F156)</f>
        <v>-82966.080000000002</v>
      </c>
      <c r="P156" s="4">
        <f>SUMIFS(Tab_09.Set[MOVIMENTO],Tab_09.Set[CONTA],$F156)</f>
        <v>-82966.09</v>
      </c>
      <c r="Q156" s="4">
        <f>SUMIFS(Tab_10.Out[MOVIMENTO],Tab_10.Out[CONTA],$F156)</f>
        <v>-82966.080000000002</v>
      </c>
      <c r="R156" s="4">
        <f>SUMIFS(Tab_11.Nov[MOVIMENTO],Tab_11.Nov[CONTA],$F156)</f>
        <v>-82966.080000000002</v>
      </c>
      <c r="S156" s="4">
        <f>SUMIFS(Tab_12.Dez[MOVIMENTO],Tab_12.Dez[CONTA],$F156)</f>
        <v>-82966.080000000002</v>
      </c>
    </row>
    <row r="157" spans="2:19" x14ac:dyDescent="0.3">
      <c r="B157" s="3"/>
      <c r="C157" s="2" t="str">
        <f t="shared" si="15"/>
        <v>R</v>
      </c>
      <c r="D157" s="2" t="str">
        <f t="shared" si="16"/>
        <v>S</v>
      </c>
      <c r="E157" s="2">
        <f t="shared" si="17"/>
        <v>5</v>
      </c>
      <c r="F157" s="3" t="s">
        <v>572</v>
      </c>
      <c r="G157" s="3" t="s">
        <v>678</v>
      </c>
      <c r="H157" s="4">
        <f>SUMIFS(Tab_01.Jan[MOVIMENTO],Tab_01.Jan[CONTA],$F157)</f>
        <v>0</v>
      </c>
      <c r="I157" s="4">
        <f>SUMIFS(Tab_02.Fev[MOVIMENTO],Tab_02.Fev[CONTA],$F157)</f>
        <v>0</v>
      </c>
      <c r="J157" s="4">
        <f>SUMIFS(Tab_03.Mar[MOVIMENTO],Tab_03.Mar[CONTA],$F157)</f>
        <v>0</v>
      </c>
      <c r="K157" s="4">
        <f>SUMIFS(Tab_04.Abr[MOVIMENTO],Tab_04.Abr[CONTA],$F157)</f>
        <v>0</v>
      </c>
      <c r="L157" s="4">
        <f>SUMIFS(Tab_05.Mai[MOVIMENTO],Tab_05.Mai[CONTA],$F157)</f>
        <v>0</v>
      </c>
      <c r="M157" s="4">
        <f>SUMIFS(Tab_06.Jun[MOVIMENTO],Tab_06.Jun[CONTA],$F157)</f>
        <v>0</v>
      </c>
      <c r="N157" s="4">
        <f>SUMIFS(Tab_07.Jul[MOVIMENTO],Tab_07.Jul[CONTA],$F157)</f>
        <v>0</v>
      </c>
      <c r="O157" s="4">
        <f>SUMIFS(Tab_08.Ago[MOVIMENTO],Tab_08.Ago[CONTA],$F157)</f>
        <v>0</v>
      </c>
      <c r="P157" s="4">
        <f>SUMIFS(Tab_09.Set[MOVIMENTO],Tab_09.Set[CONTA],$F157)</f>
        <v>0</v>
      </c>
      <c r="Q157" s="4">
        <f>SUMIFS(Tab_10.Out[MOVIMENTO],Tab_10.Out[CONTA],$F157)</f>
        <v>0</v>
      </c>
      <c r="R157" s="4">
        <f>SUMIFS(Tab_11.Nov[MOVIMENTO],Tab_11.Nov[CONTA],$F157)</f>
        <v>0</v>
      </c>
      <c r="S157" s="4">
        <f>SUMIFS(Tab_12.Dez[MOVIMENTO],Tab_12.Dez[CONTA],$F157)</f>
        <v>0</v>
      </c>
    </row>
    <row r="158" spans="2:19" x14ac:dyDescent="0.3">
      <c r="B158" s="3"/>
      <c r="C158" s="2" t="str">
        <f t="shared" si="15"/>
        <v>R</v>
      </c>
      <c r="D158" s="2" t="str">
        <f t="shared" si="16"/>
        <v>S</v>
      </c>
      <c r="E158" s="2">
        <f t="shared" si="17"/>
        <v>5</v>
      </c>
      <c r="F158" s="3" t="s">
        <v>573</v>
      </c>
      <c r="G158" s="3" t="s">
        <v>679</v>
      </c>
      <c r="H158" s="4">
        <f>SUMIFS(Tab_01.Jan[MOVIMENTO],Tab_01.Jan[CONTA],$F158)</f>
        <v>0</v>
      </c>
      <c r="I158" s="4">
        <f>SUMIFS(Tab_02.Fev[MOVIMENTO],Tab_02.Fev[CONTA],$F158)</f>
        <v>0</v>
      </c>
      <c r="J158" s="4">
        <f>SUMIFS(Tab_03.Mar[MOVIMENTO],Tab_03.Mar[CONTA],$F158)</f>
        <v>0</v>
      </c>
      <c r="K158" s="4">
        <f>SUMIFS(Tab_04.Abr[MOVIMENTO],Tab_04.Abr[CONTA],$F158)</f>
        <v>0</v>
      </c>
      <c r="L158" s="4">
        <f>SUMIFS(Tab_05.Mai[MOVIMENTO],Tab_05.Mai[CONTA],$F158)</f>
        <v>0</v>
      </c>
      <c r="M158" s="4">
        <f>SUMIFS(Tab_06.Jun[MOVIMENTO],Tab_06.Jun[CONTA],$F158)</f>
        <v>0</v>
      </c>
      <c r="N158" s="4">
        <f>SUMIFS(Tab_07.Jul[MOVIMENTO],Tab_07.Jul[CONTA],$F158)</f>
        <v>0</v>
      </c>
      <c r="O158" s="4">
        <f>SUMIFS(Tab_08.Ago[MOVIMENTO],Tab_08.Ago[CONTA],$F158)</f>
        <v>0</v>
      </c>
      <c r="P158" s="4">
        <f>SUMIFS(Tab_09.Set[MOVIMENTO],Tab_09.Set[CONTA],$F158)</f>
        <v>0</v>
      </c>
      <c r="Q158" s="4">
        <f>SUMIFS(Tab_10.Out[MOVIMENTO],Tab_10.Out[CONTA],$F158)</f>
        <v>0</v>
      </c>
      <c r="R158" s="4">
        <f>SUMIFS(Tab_11.Nov[MOVIMENTO],Tab_11.Nov[CONTA],$F158)</f>
        <v>0</v>
      </c>
      <c r="S158" s="4">
        <f>SUMIFS(Tab_12.Dez[MOVIMENTO],Tab_12.Dez[CONTA],$F158)</f>
        <v>0</v>
      </c>
    </row>
    <row r="159" spans="2:19" x14ac:dyDescent="0.3">
      <c r="B159" s="3" t="s">
        <v>101</v>
      </c>
      <c r="C159" s="2" t="str">
        <f t="shared" si="15"/>
        <v>R</v>
      </c>
      <c r="D159" s="2" t="str">
        <f t="shared" si="16"/>
        <v>A</v>
      </c>
      <c r="E159" s="2">
        <f t="shared" si="17"/>
        <v>5</v>
      </c>
      <c r="F159" s="3" t="s">
        <v>378</v>
      </c>
      <c r="G159" s="3" t="s">
        <v>379</v>
      </c>
      <c r="H159" s="4">
        <f>SUMIFS(Tab_01.Jan[MOVIMENTO],Tab_01.Jan[CONTA],$F159)</f>
        <v>0</v>
      </c>
      <c r="I159" s="4">
        <f>SUMIFS(Tab_02.Fev[MOVIMENTO],Tab_02.Fev[CONTA],$F159)</f>
        <v>0</v>
      </c>
      <c r="J159" s="4">
        <f>SUMIFS(Tab_03.Mar[MOVIMENTO],Tab_03.Mar[CONTA],$F159)</f>
        <v>0</v>
      </c>
      <c r="K159" s="4">
        <f>SUMIFS(Tab_04.Abr[MOVIMENTO],Tab_04.Abr[CONTA],$F159)</f>
        <v>0</v>
      </c>
      <c r="L159" s="4">
        <f>SUMIFS(Tab_05.Mai[MOVIMENTO],Tab_05.Mai[CONTA],$F159)</f>
        <v>0</v>
      </c>
      <c r="M159" s="4">
        <f>SUMIFS(Tab_06.Jun[MOVIMENTO],Tab_06.Jun[CONTA],$F159)</f>
        <v>0</v>
      </c>
      <c r="N159" s="4">
        <f>SUMIFS(Tab_07.Jul[MOVIMENTO],Tab_07.Jul[CONTA],$F159)</f>
        <v>0</v>
      </c>
      <c r="O159" s="4">
        <f>SUMIFS(Tab_08.Ago[MOVIMENTO],Tab_08.Ago[CONTA],$F159)</f>
        <v>0</v>
      </c>
      <c r="P159" s="4">
        <f>SUMIFS(Tab_09.Set[MOVIMENTO],Tab_09.Set[CONTA],$F159)</f>
        <v>0</v>
      </c>
      <c r="Q159" s="4">
        <f>SUMIFS(Tab_10.Out[MOVIMENTO],Tab_10.Out[CONTA],$F159)</f>
        <v>0</v>
      </c>
      <c r="R159" s="4">
        <f>SUMIFS(Tab_11.Nov[MOVIMENTO],Tab_11.Nov[CONTA],$F159)</f>
        <v>0</v>
      </c>
      <c r="S159" s="4">
        <f>SUMIFS(Tab_12.Dez[MOVIMENTO],Tab_12.Dez[CONTA],$F159)</f>
        <v>0</v>
      </c>
    </row>
    <row r="160" spans="2:19" x14ac:dyDescent="0.3">
      <c r="B160" s="3" t="s">
        <v>101</v>
      </c>
      <c r="C160" s="2" t="str">
        <f t="shared" ref="C160:C177" si="18">IF($F160="","",IF(LEFT($F160,1)*1=1,"A",IF(LEFT($F160,1)*1=2,"P",IF(LEFT($F160,1)*1=3,"R",IF(LEFT($F160,1)*1=4,"C",IF(LEFT($F160,1)*1=5,"C",IF(LEFT($F160,1)*1=6,"C","")))))))</f>
        <v>R</v>
      </c>
      <c r="D160" s="2" t="str">
        <f t="shared" ref="D160:D177" si="19">IF($F160="","",IF(LEN($F160)=13,"A","S"))</f>
        <v>A</v>
      </c>
      <c r="E160" s="2">
        <f t="shared" ref="E160:E177" si="20">IF($F160="","",IF(LEN($F160)=1,1,IF(LEN($F160)=3,2,IF(LEN($F160)=5,3,IF(LEN($F160)=8,4,5)))))</f>
        <v>5</v>
      </c>
      <c r="F160" s="3" t="s">
        <v>380</v>
      </c>
      <c r="G160" s="3" t="s">
        <v>381</v>
      </c>
      <c r="H160" s="4">
        <f>SUMIFS(Tab_01.Jan[MOVIMENTO],Tab_01.Jan[CONTA],$F160)</f>
        <v>0</v>
      </c>
      <c r="I160" s="4">
        <f>SUMIFS(Tab_02.Fev[MOVIMENTO],Tab_02.Fev[CONTA],$F160)</f>
        <v>0</v>
      </c>
      <c r="J160" s="4">
        <f>SUMIFS(Tab_03.Mar[MOVIMENTO],Tab_03.Mar[CONTA],$F160)</f>
        <v>0</v>
      </c>
      <c r="K160" s="4">
        <f>SUMIFS(Tab_04.Abr[MOVIMENTO],Tab_04.Abr[CONTA],$F160)</f>
        <v>0</v>
      </c>
      <c r="L160" s="4">
        <f>SUMIFS(Tab_05.Mai[MOVIMENTO],Tab_05.Mai[CONTA],$F160)</f>
        <v>0</v>
      </c>
      <c r="M160" s="4">
        <f>SUMIFS(Tab_06.Jun[MOVIMENTO],Tab_06.Jun[CONTA],$F160)</f>
        <v>0</v>
      </c>
      <c r="N160" s="4">
        <f>SUMIFS(Tab_07.Jul[MOVIMENTO],Tab_07.Jul[CONTA],$F160)</f>
        <v>0</v>
      </c>
      <c r="O160" s="4">
        <f>SUMIFS(Tab_08.Ago[MOVIMENTO],Tab_08.Ago[CONTA],$F160)</f>
        <v>0</v>
      </c>
      <c r="P160" s="4">
        <f>SUMIFS(Tab_09.Set[MOVIMENTO],Tab_09.Set[CONTA],$F160)</f>
        <v>0</v>
      </c>
      <c r="Q160" s="4">
        <f>SUMIFS(Tab_10.Out[MOVIMENTO],Tab_10.Out[CONTA],$F160)</f>
        <v>0</v>
      </c>
      <c r="R160" s="4">
        <f>SUMIFS(Tab_11.Nov[MOVIMENTO],Tab_11.Nov[CONTA],$F160)</f>
        <v>0</v>
      </c>
      <c r="S160" s="4">
        <f>SUMIFS(Tab_12.Dez[MOVIMENTO],Tab_12.Dez[CONTA],$F160)</f>
        <v>0</v>
      </c>
    </row>
    <row r="161" spans="2:19" x14ac:dyDescent="0.3">
      <c r="B161" s="3"/>
      <c r="C161" s="2" t="str">
        <f t="shared" si="18"/>
        <v>R</v>
      </c>
      <c r="D161" s="2" t="str">
        <f t="shared" si="19"/>
        <v>S</v>
      </c>
      <c r="E161" s="2">
        <f t="shared" si="20"/>
        <v>5</v>
      </c>
      <c r="F161" s="3" t="s">
        <v>735</v>
      </c>
      <c r="G161" s="3" t="s">
        <v>736</v>
      </c>
      <c r="H161" s="4">
        <f>SUMIFS(Tab_01.Jan[MOVIMENTO],Tab_01.Jan[CONTA],$F161)</f>
        <v>-187419.37</v>
      </c>
      <c r="I161" s="4">
        <f>SUMIFS(Tab_02.Fev[MOVIMENTO],Tab_02.Fev[CONTA],$F161)</f>
        <v>0</v>
      </c>
      <c r="J161" s="4">
        <f>SUMIFS(Tab_03.Mar[MOVIMENTO],Tab_03.Mar[CONTA],$F161)</f>
        <v>-247414.93</v>
      </c>
      <c r="K161" s="4">
        <f>SUMIFS(Tab_04.Abr[MOVIMENTO],Tab_04.Abr[CONTA],$F161)</f>
        <v>-180215.42</v>
      </c>
      <c r="L161" s="4">
        <f>SUMIFS(Tab_05.Mai[MOVIMENTO],Tab_05.Mai[CONTA],$F161)</f>
        <v>-332680.82</v>
      </c>
      <c r="M161" s="4">
        <f>SUMIFS(Tab_06.Jun[MOVIMENTO],Tab_06.Jun[CONTA],$F161)</f>
        <v>-323149.34999999998</v>
      </c>
      <c r="N161" s="4">
        <f>SUMIFS(Tab_07.Jul[MOVIMENTO],Tab_07.Jul[CONTA],$F161)</f>
        <v>-323149.34999999998</v>
      </c>
      <c r="O161" s="4">
        <f>SUMIFS(Tab_08.Ago[MOVIMENTO],Tab_08.Ago[CONTA],$F161)</f>
        <v>-323149.34999999998</v>
      </c>
      <c r="P161" s="4">
        <f>SUMIFS(Tab_09.Set[MOVIMENTO],Tab_09.Set[CONTA],$F161)</f>
        <v>-198337.07</v>
      </c>
      <c r="Q161" s="4">
        <f>SUMIFS(Tab_10.Out[MOVIMENTO],Tab_10.Out[CONTA],$F161)</f>
        <v>-429781.84</v>
      </c>
      <c r="R161" s="4">
        <f>SUMIFS(Tab_11.Nov[MOVIMENTO],Tab_11.Nov[CONTA],$F161)</f>
        <v>-188073.31</v>
      </c>
      <c r="S161" s="4">
        <f>SUMIFS(Tab_12.Dez[MOVIMENTO],Tab_12.Dez[CONTA],$F161)</f>
        <v>-442629.02</v>
      </c>
    </row>
    <row r="162" spans="2:19" x14ac:dyDescent="0.3">
      <c r="B162" s="3" t="s">
        <v>101</v>
      </c>
      <c r="C162" s="2" t="str">
        <f t="shared" si="18"/>
        <v>R</v>
      </c>
      <c r="D162" s="2" t="str">
        <f t="shared" si="19"/>
        <v>A</v>
      </c>
      <c r="E162" s="2">
        <f t="shared" si="20"/>
        <v>5</v>
      </c>
      <c r="F162" s="3" t="s">
        <v>737</v>
      </c>
      <c r="G162" s="3" t="s">
        <v>422</v>
      </c>
      <c r="H162" s="4">
        <f>SUMIFS(Tab_01.Jan[MOVIMENTO],Tab_01.Jan[CONTA],$F162)</f>
        <v>-187419.37</v>
      </c>
      <c r="I162" s="4">
        <f>SUMIFS(Tab_02.Fev[MOVIMENTO],Tab_02.Fev[CONTA],$F162)</f>
        <v>0</v>
      </c>
      <c r="J162" s="4">
        <f>SUMIFS(Tab_03.Mar[MOVIMENTO],Tab_03.Mar[CONTA],$F162)</f>
        <v>-247414.93</v>
      </c>
      <c r="K162" s="4">
        <f>SUMIFS(Tab_04.Abr[MOVIMENTO],Tab_04.Abr[CONTA],$F162)</f>
        <v>-180215.42</v>
      </c>
      <c r="L162" s="4">
        <f>SUMIFS(Tab_05.Mai[MOVIMENTO],Tab_05.Mai[CONTA],$F162)</f>
        <v>-332680.82</v>
      </c>
      <c r="M162" s="4">
        <f>SUMIFS(Tab_06.Jun[MOVIMENTO],Tab_06.Jun[CONTA],$F162)</f>
        <v>-323149.34999999998</v>
      </c>
      <c r="N162" s="4">
        <f>SUMIFS(Tab_07.Jul[MOVIMENTO],Tab_07.Jul[CONTA],$F162)</f>
        <v>-323149.34999999998</v>
      </c>
      <c r="O162" s="4">
        <f>SUMIFS(Tab_08.Ago[MOVIMENTO],Tab_08.Ago[CONTA],$F162)</f>
        <v>-323149.34999999998</v>
      </c>
      <c r="P162" s="4">
        <f>SUMIFS(Tab_09.Set[MOVIMENTO],Tab_09.Set[CONTA],$F162)</f>
        <v>-198337.07</v>
      </c>
      <c r="Q162" s="4">
        <f>SUMIFS(Tab_10.Out[MOVIMENTO],Tab_10.Out[CONTA],$F162)</f>
        <v>-429781.84</v>
      </c>
      <c r="R162" s="4">
        <f>SUMIFS(Tab_11.Nov[MOVIMENTO],Tab_11.Nov[CONTA],$F162)</f>
        <v>-188073.31</v>
      </c>
      <c r="S162" s="4">
        <f>SUMIFS(Tab_12.Dez[MOVIMENTO],Tab_12.Dez[CONTA],$F162)</f>
        <v>-442629.02</v>
      </c>
    </row>
    <row r="163" spans="2:19" x14ac:dyDescent="0.3">
      <c r="B163" s="3"/>
      <c r="C163" s="2" t="str">
        <f t="shared" si="18"/>
        <v>R</v>
      </c>
      <c r="D163" s="2" t="str">
        <f t="shared" si="19"/>
        <v>S</v>
      </c>
      <c r="E163" s="2">
        <f t="shared" si="20"/>
        <v>2</v>
      </c>
      <c r="F163" s="3" t="s">
        <v>574</v>
      </c>
      <c r="G163" s="3" t="s">
        <v>680</v>
      </c>
      <c r="H163" s="4">
        <f>SUMIFS(Tab_01.Jan[MOVIMENTO],Tab_01.Jan[CONTA],$F163)</f>
        <v>-421470.98</v>
      </c>
      <c r="I163" s="4">
        <f>SUMIFS(Tab_02.Fev[MOVIMENTO],Tab_02.Fev[CONTA],$F163)</f>
        <v>-434107.84</v>
      </c>
      <c r="J163" s="4">
        <f>SUMIFS(Tab_03.Mar[MOVIMENTO],Tab_03.Mar[CONTA],$F163)</f>
        <v>-442052.26</v>
      </c>
      <c r="K163" s="4">
        <f>SUMIFS(Tab_04.Abr[MOVIMENTO],Tab_04.Abr[CONTA],$F163)</f>
        <v>-440421.58</v>
      </c>
      <c r="L163" s="4">
        <f>SUMIFS(Tab_05.Mai[MOVIMENTO],Tab_05.Mai[CONTA],$F163)</f>
        <v>-453004.42</v>
      </c>
      <c r="M163" s="4">
        <f>SUMIFS(Tab_06.Jun[MOVIMENTO],Tab_06.Jun[CONTA],$F163)</f>
        <v>-446974.84</v>
      </c>
      <c r="N163" s="4">
        <f>SUMIFS(Tab_07.Jul[MOVIMENTO],Tab_07.Jul[CONTA],$F163)</f>
        <v>-446974.84</v>
      </c>
      <c r="O163" s="4">
        <f>SUMIFS(Tab_08.Ago[MOVIMENTO],Tab_08.Ago[CONTA],$F163)</f>
        <v>-446974.84</v>
      </c>
      <c r="P163" s="4">
        <f>SUMIFS(Tab_09.Set[MOVIMENTO],Tab_09.Set[CONTA],$F163)</f>
        <v>-446371.77</v>
      </c>
      <c r="Q163" s="4">
        <f>SUMIFS(Tab_10.Out[MOVIMENTO],Tab_10.Out[CONTA],$F163)</f>
        <v>-467690.18</v>
      </c>
      <c r="R163" s="4">
        <f>SUMIFS(Tab_11.Nov[MOVIMENTO],Tab_11.Nov[CONTA],$F163)</f>
        <v>-444943.28</v>
      </c>
      <c r="S163" s="4">
        <f>SUMIFS(Tab_12.Dez[MOVIMENTO],Tab_12.Dez[CONTA],$F163)</f>
        <v>-441700.25</v>
      </c>
    </row>
    <row r="164" spans="2:19" x14ac:dyDescent="0.3">
      <c r="B164" s="3"/>
      <c r="C164" s="2" t="str">
        <f t="shared" si="18"/>
        <v>R</v>
      </c>
      <c r="D164" s="2" t="str">
        <f t="shared" si="19"/>
        <v>S</v>
      </c>
      <c r="E164" s="2">
        <f t="shared" si="20"/>
        <v>5</v>
      </c>
      <c r="F164" s="3" t="s">
        <v>575</v>
      </c>
      <c r="G164" s="3" t="s">
        <v>681</v>
      </c>
      <c r="H164" s="4">
        <f>SUMIFS(Tab_01.Jan[MOVIMENTO],Tab_01.Jan[CONTA],$F164)</f>
        <v>0</v>
      </c>
      <c r="I164" s="4">
        <f>SUMIFS(Tab_02.Fev[MOVIMENTO],Tab_02.Fev[CONTA],$F164)</f>
        <v>0</v>
      </c>
      <c r="J164" s="4">
        <f>SUMIFS(Tab_03.Mar[MOVIMENTO],Tab_03.Mar[CONTA],$F164)</f>
        <v>0</v>
      </c>
      <c r="K164" s="4">
        <f>SUMIFS(Tab_04.Abr[MOVIMENTO],Tab_04.Abr[CONTA],$F164)</f>
        <v>0</v>
      </c>
      <c r="L164" s="4">
        <f>SUMIFS(Tab_05.Mai[MOVIMENTO],Tab_05.Mai[CONTA],$F164)</f>
        <v>0</v>
      </c>
      <c r="M164" s="4">
        <f>SUMIFS(Tab_06.Jun[MOVIMENTO],Tab_06.Jun[CONTA],$F164)</f>
        <v>-50</v>
      </c>
      <c r="N164" s="4">
        <f>SUMIFS(Tab_07.Jul[MOVIMENTO],Tab_07.Jul[CONTA],$F164)</f>
        <v>-50</v>
      </c>
      <c r="O164" s="4">
        <f>SUMIFS(Tab_08.Ago[MOVIMENTO],Tab_08.Ago[CONTA],$F164)</f>
        <v>-50</v>
      </c>
      <c r="P164" s="4">
        <f>SUMIFS(Tab_09.Set[MOVIMENTO],Tab_09.Set[CONTA],$F164)</f>
        <v>-5000</v>
      </c>
      <c r="Q164" s="4">
        <f>SUMIFS(Tab_10.Out[MOVIMENTO],Tab_10.Out[CONTA],$F164)</f>
        <v>-2263.46</v>
      </c>
      <c r="R164" s="4">
        <f>SUMIFS(Tab_11.Nov[MOVIMENTO],Tab_11.Nov[CONTA],$F164)</f>
        <v>-6420.7</v>
      </c>
      <c r="S164" s="4">
        <f>SUMIFS(Tab_12.Dez[MOVIMENTO],Tab_12.Dez[CONTA],$F164)</f>
        <v>-1321.45</v>
      </c>
    </row>
    <row r="165" spans="2:19" x14ac:dyDescent="0.3">
      <c r="B165" s="3"/>
      <c r="C165" s="2" t="str">
        <f t="shared" si="18"/>
        <v>R</v>
      </c>
      <c r="D165" s="2" t="str">
        <f t="shared" si="19"/>
        <v>S</v>
      </c>
      <c r="E165" s="2">
        <f t="shared" si="20"/>
        <v>5</v>
      </c>
      <c r="F165" s="3" t="s">
        <v>576</v>
      </c>
      <c r="G165" s="3" t="s">
        <v>682</v>
      </c>
      <c r="H165" s="4">
        <f>SUMIFS(Tab_01.Jan[MOVIMENTO],Tab_01.Jan[CONTA],$F165)</f>
        <v>0</v>
      </c>
      <c r="I165" s="4">
        <f>SUMIFS(Tab_02.Fev[MOVIMENTO],Tab_02.Fev[CONTA],$F165)</f>
        <v>0</v>
      </c>
      <c r="J165" s="4">
        <f>SUMIFS(Tab_03.Mar[MOVIMENTO],Tab_03.Mar[CONTA],$F165)</f>
        <v>0</v>
      </c>
      <c r="K165" s="4">
        <f>SUMIFS(Tab_04.Abr[MOVIMENTO],Tab_04.Abr[CONTA],$F165)</f>
        <v>0</v>
      </c>
      <c r="L165" s="4">
        <f>SUMIFS(Tab_05.Mai[MOVIMENTO],Tab_05.Mai[CONTA],$F165)</f>
        <v>0</v>
      </c>
      <c r="M165" s="4">
        <f>SUMIFS(Tab_06.Jun[MOVIMENTO],Tab_06.Jun[CONTA],$F165)</f>
        <v>-50</v>
      </c>
      <c r="N165" s="4">
        <f>SUMIFS(Tab_07.Jul[MOVIMENTO],Tab_07.Jul[CONTA],$F165)</f>
        <v>-50</v>
      </c>
      <c r="O165" s="4">
        <f>SUMIFS(Tab_08.Ago[MOVIMENTO],Tab_08.Ago[CONTA],$F165)</f>
        <v>-50</v>
      </c>
      <c r="P165" s="4">
        <f>SUMIFS(Tab_09.Set[MOVIMENTO],Tab_09.Set[CONTA],$F165)</f>
        <v>-5000</v>
      </c>
      <c r="Q165" s="4">
        <f>SUMIFS(Tab_10.Out[MOVIMENTO],Tab_10.Out[CONTA],$F165)</f>
        <v>-2263.46</v>
      </c>
      <c r="R165" s="4">
        <f>SUMIFS(Tab_11.Nov[MOVIMENTO],Tab_11.Nov[CONTA],$F165)</f>
        <v>-6420.7</v>
      </c>
      <c r="S165" s="4">
        <f>SUMIFS(Tab_12.Dez[MOVIMENTO],Tab_12.Dez[CONTA],$F165)</f>
        <v>-1321.45</v>
      </c>
    </row>
    <row r="166" spans="2:19" x14ac:dyDescent="0.3">
      <c r="B166" s="3" t="s">
        <v>101</v>
      </c>
      <c r="C166" s="2" t="str">
        <f t="shared" si="18"/>
        <v>R</v>
      </c>
      <c r="D166" s="2" t="str">
        <f t="shared" si="19"/>
        <v>A</v>
      </c>
      <c r="E166" s="2">
        <f t="shared" si="20"/>
        <v>5</v>
      </c>
      <c r="F166" s="3" t="s">
        <v>382</v>
      </c>
      <c r="G166" s="3" t="s">
        <v>292</v>
      </c>
      <c r="H166" s="4">
        <f>SUMIFS(Tab_01.Jan[MOVIMENTO],Tab_01.Jan[CONTA],$F166)</f>
        <v>0</v>
      </c>
      <c r="I166" s="4">
        <f>SUMIFS(Tab_02.Fev[MOVIMENTO],Tab_02.Fev[CONTA],$F166)</f>
        <v>0</v>
      </c>
      <c r="J166" s="4">
        <f>SUMIFS(Tab_03.Mar[MOVIMENTO],Tab_03.Mar[CONTA],$F166)</f>
        <v>0</v>
      </c>
      <c r="K166" s="4">
        <f>SUMIFS(Tab_04.Abr[MOVIMENTO],Tab_04.Abr[CONTA],$F166)</f>
        <v>0</v>
      </c>
      <c r="L166" s="4">
        <f>SUMIFS(Tab_05.Mai[MOVIMENTO],Tab_05.Mai[CONTA],$F166)</f>
        <v>0</v>
      </c>
      <c r="M166" s="4">
        <f>SUMIFS(Tab_06.Jun[MOVIMENTO],Tab_06.Jun[CONTA],$F166)</f>
        <v>-50</v>
      </c>
      <c r="N166" s="4">
        <f>SUMIFS(Tab_07.Jul[MOVIMENTO],Tab_07.Jul[CONTA],$F166)</f>
        <v>-50</v>
      </c>
      <c r="O166" s="4">
        <f>SUMIFS(Tab_08.Ago[MOVIMENTO],Tab_08.Ago[CONTA],$F166)</f>
        <v>-50</v>
      </c>
      <c r="P166" s="4">
        <f>SUMIFS(Tab_09.Set[MOVIMENTO],Tab_09.Set[CONTA],$F166)</f>
        <v>-5000</v>
      </c>
      <c r="Q166" s="4">
        <f>SUMIFS(Tab_10.Out[MOVIMENTO],Tab_10.Out[CONTA],$F166)</f>
        <v>-2263.46</v>
      </c>
      <c r="R166" s="4">
        <f>SUMIFS(Tab_11.Nov[MOVIMENTO],Tab_11.Nov[CONTA],$F166)</f>
        <v>-6420.7</v>
      </c>
      <c r="S166" s="4">
        <f>SUMIFS(Tab_12.Dez[MOVIMENTO],Tab_12.Dez[CONTA],$F166)</f>
        <v>-1321.45</v>
      </c>
    </row>
    <row r="167" spans="2:19" x14ac:dyDescent="0.3">
      <c r="B167" s="3"/>
      <c r="C167" s="2" t="str">
        <f t="shared" si="18"/>
        <v>R</v>
      </c>
      <c r="D167" s="2" t="str">
        <f t="shared" si="19"/>
        <v>S</v>
      </c>
      <c r="E167" s="2">
        <f t="shared" si="20"/>
        <v>5</v>
      </c>
      <c r="F167" s="3" t="s">
        <v>577</v>
      </c>
      <c r="G167" s="3" t="s">
        <v>683</v>
      </c>
      <c r="H167" s="4">
        <f>SUMIFS(Tab_01.Jan[MOVIMENTO],Tab_01.Jan[CONTA],$F167)</f>
        <v>0</v>
      </c>
      <c r="I167" s="4">
        <f>SUMIFS(Tab_02.Fev[MOVIMENTO],Tab_02.Fev[CONTA],$F167)</f>
        <v>0</v>
      </c>
      <c r="J167" s="4">
        <f>SUMIFS(Tab_03.Mar[MOVIMENTO],Tab_03.Mar[CONTA],$F167)</f>
        <v>0</v>
      </c>
      <c r="K167" s="4">
        <f>SUMIFS(Tab_04.Abr[MOVIMENTO],Tab_04.Abr[CONTA],$F167)</f>
        <v>0</v>
      </c>
      <c r="L167" s="4">
        <f>SUMIFS(Tab_05.Mai[MOVIMENTO],Tab_05.Mai[CONTA],$F167)</f>
        <v>0</v>
      </c>
      <c r="M167" s="4">
        <f>SUMIFS(Tab_06.Jun[MOVIMENTO],Tab_06.Jun[CONTA],$F167)</f>
        <v>11</v>
      </c>
      <c r="N167" s="4">
        <f>SUMIFS(Tab_07.Jul[MOVIMENTO],Tab_07.Jul[CONTA],$F167)</f>
        <v>11</v>
      </c>
      <c r="O167" s="4">
        <f>SUMIFS(Tab_08.Ago[MOVIMENTO],Tab_08.Ago[CONTA],$F167)</f>
        <v>11</v>
      </c>
      <c r="P167" s="4">
        <f>SUMIFS(Tab_09.Set[MOVIMENTO],Tab_09.Set[CONTA],$F167)</f>
        <v>12078.33</v>
      </c>
      <c r="Q167" s="4">
        <f>SUMIFS(Tab_10.Out[MOVIMENTO],Tab_10.Out[CONTA],$F167)</f>
        <v>12.1</v>
      </c>
      <c r="R167" s="4">
        <f>SUMIFS(Tab_11.Nov[MOVIMENTO],Tab_11.Nov[CONTA],$F167)</f>
        <v>1899</v>
      </c>
      <c r="S167" s="4">
        <f>SUMIFS(Tab_12.Dez[MOVIMENTO],Tab_12.Dez[CONTA],$F167)</f>
        <v>265.62</v>
      </c>
    </row>
    <row r="168" spans="2:19" x14ac:dyDescent="0.3">
      <c r="B168" s="3"/>
      <c r="C168" s="2" t="str">
        <f t="shared" si="18"/>
        <v>R</v>
      </c>
      <c r="D168" s="2" t="str">
        <f t="shared" si="19"/>
        <v>S</v>
      </c>
      <c r="E168" s="2">
        <f t="shared" si="20"/>
        <v>5</v>
      </c>
      <c r="F168" s="3" t="s">
        <v>578</v>
      </c>
      <c r="G168" s="3" t="s">
        <v>684</v>
      </c>
      <c r="H168" s="4">
        <f>SUMIFS(Tab_01.Jan[MOVIMENTO],Tab_01.Jan[CONTA],$F168)</f>
        <v>0</v>
      </c>
      <c r="I168" s="4">
        <f>SUMIFS(Tab_02.Fev[MOVIMENTO],Tab_02.Fev[CONTA],$F168)</f>
        <v>0</v>
      </c>
      <c r="J168" s="4">
        <f>SUMIFS(Tab_03.Mar[MOVIMENTO],Tab_03.Mar[CONTA],$F168)</f>
        <v>0</v>
      </c>
      <c r="K168" s="4">
        <f>SUMIFS(Tab_04.Abr[MOVIMENTO],Tab_04.Abr[CONTA],$F168)</f>
        <v>0</v>
      </c>
      <c r="L168" s="4">
        <f>SUMIFS(Tab_05.Mai[MOVIMENTO],Tab_05.Mai[CONTA],$F168)</f>
        <v>0</v>
      </c>
      <c r="M168" s="4">
        <f>SUMIFS(Tab_06.Jun[MOVIMENTO],Tab_06.Jun[CONTA],$F168)</f>
        <v>0</v>
      </c>
      <c r="N168" s="4">
        <f>SUMIFS(Tab_07.Jul[MOVIMENTO],Tab_07.Jul[CONTA],$F168)</f>
        <v>0</v>
      </c>
      <c r="O168" s="4">
        <f>SUMIFS(Tab_08.Ago[MOVIMENTO],Tab_08.Ago[CONTA],$F168)</f>
        <v>0</v>
      </c>
      <c r="P168" s="4">
        <f>SUMIFS(Tab_09.Set[MOVIMENTO],Tab_09.Set[CONTA],$F168)</f>
        <v>0</v>
      </c>
      <c r="Q168" s="4">
        <f>SUMIFS(Tab_10.Out[MOVIMENTO],Tab_10.Out[CONTA],$F168)</f>
        <v>0</v>
      </c>
      <c r="R168" s="4">
        <f>SUMIFS(Tab_11.Nov[MOVIMENTO],Tab_11.Nov[CONTA],$F168)</f>
        <v>0</v>
      </c>
      <c r="S168" s="4">
        <f>SUMIFS(Tab_12.Dez[MOVIMENTO],Tab_12.Dez[CONTA],$F168)</f>
        <v>0</v>
      </c>
    </row>
    <row r="169" spans="2:19" x14ac:dyDescent="0.3">
      <c r="B169" s="3" t="s">
        <v>101</v>
      </c>
      <c r="C169" s="2" t="str">
        <f t="shared" si="18"/>
        <v>R</v>
      </c>
      <c r="D169" s="2" t="str">
        <f t="shared" si="19"/>
        <v>A</v>
      </c>
      <c r="E169" s="2">
        <f t="shared" si="20"/>
        <v>5</v>
      </c>
      <c r="F169" s="3" t="s">
        <v>383</v>
      </c>
      <c r="G169" s="3" t="s">
        <v>384</v>
      </c>
      <c r="H169" s="4">
        <f>SUMIFS(Tab_01.Jan[MOVIMENTO],Tab_01.Jan[CONTA],$F169)</f>
        <v>0</v>
      </c>
      <c r="I169" s="4">
        <f>SUMIFS(Tab_02.Fev[MOVIMENTO],Tab_02.Fev[CONTA],$F169)</f>
        <v>0</v>
      </c>
      <c r="J169" s="4">
        <f>SUMIFS(Tab_03.Mar[MOVIMENTO],Tab_03.Mar[CONTA],$F169)</f>
        <v>0</v>
      </c>
      <c r="K169" s="4">
        <f>SUMIFS(Tab_04.Abr[MOVIMENTO],Tab_04.Abr[CONTA],$F169)</f>
        <v>0</v>
      </c>
      <c r="L169" s="4">
        <f>SUMIFS(Tab_05.Mai[MOVIMENTO],Tab_05.Mai[CONTA],$F169)</f>
        <v>0</v>
      </c>
      <c r="M169" s="4">
        <f>SUMIFS(Tab_06.Jun[MOVIMENTO],Tab_06.Jun[CONTA],$F169)</f>
        <v>0</v>
      </c>
      <c r="N169" s="4">
        <f>SUMIFS(Tab_07.Jul[MOVIMENTO],Tab_07.Jul[CONTA],$F169)</f>
        <v>0</v>
      </c>
      <c r="O169" s="4">
        <f>SUMIFS(Tab_08.Ago[MOVIMENTO],Tab_08.Ago[CONTA],$F169)</f>
        <v>0</v>
      </c>
      <c r="P169" s="4">
        <f>SUMIFS(Tab_09.Set[MOVIMENTO],Tab_09.Set[CONTA],$F169)</f>
        <v>0</v>
      </c>
      <c r="Q169" s="4">
        <f>SUMIFS(Tab_10.Out[MOVIMENTO],Tab_10.Out[CONTA],$F169)</f>
        <v>0</v>
      </c>
      <c r="R169" s="4">
        <f>SUMIFS(Tab_11.Nov[MOVIMENTO],Tab_11.Nov[CONTA],$F169)</f>
        <v>0</v>
      </c>
      <c r="S169" s="4">
        <f>SUMIFS(Tab_12.Dez[MOVIMENTO],Tab_12.Dez[CONTA],$F169)</f>
        <v>0</v>
      </c>
    </row>
    <row r="170" spans="2:19" x14ac:dyDescent="0.3">
      <c r="B170" s="3"/>
      <c r="C170" s="2" t="str">
        <f t="shared" si="18"/>
        <v>R</v>
      </c>
      <c r="D170" s="2" t="str">
        <f t="shared" si="19"/>
        <v>S</v>
      </c>
      <c r="E170" s="2">
        <f t="shared" si="20"/>
        <v>5</v>
      </c>
      <c r="F170" s="3" t="s">
        <v>579</v>
      </c>
      <c r="G170" s="3" t="s">
        <v>685</v>
      </c>
      <c r="H170" s="4">
        <f>SUMIFS(Tab_01.Jan[MOVIMENTO],Tab_01.Jan[CONTA],$F170)</f>
        <v>0</v>
      </c>
      <c r="I170" s="4">
        <f>SUMIFS(Tab_02.Fev[MOVIMENTO],Tab_02.Fev[CONTA],$F170)</f>
        <v>0</v>
      </c>
      <c r="J170" s="4">
        <f>SUMIFS(Tab_03.Mar[MOVIMENTO],Tab_03.Mar[CONTA],$F170)</f>
        <v>0</v>
      </c>
      <c r="K170" s="4">
        <f>SUMIFS(Tab_04.Abr[MOVIMENTO],Tab_04.Abr[CONTA],$F170)</f>
        <v>0</v>
      </c>
      <c r="L170" s="4">
        <f>SUMIFS(Tab_05.Mai[MOVIMENTO],Tab_05.Mai[CONTA],$F170)</f>
        <v>0</v>
      </c>
      <c r="M170" s="4">
        <f>SUMIFS(Tab_06.Jun[MOVIMENTO],Tab_06.Jun[CONTA],$F170)</f>
        <v>0</v>
      </c>
      <c r="N170" s="4">
        <f>SUMIFS(Tab_07.Jul[MOVIMENTO],Tab_07.Jul[CONTA],$F170)</f>
        <v>0</v>
      </c>
      <c r="O170" s="4">
        <f>SUMIFS(Tab_08.Ago[MOVIMENTO],Tab_08.Ago[CONTA],$F170)</f>
        <v>0</v>
      </c>
      <c r="P170" s="4">
        <f>SUMIFS(Tab_09.Set[MOVIMENTO],Tab_09.Set[CONTA],$F170)</f>
        <v>0</v>
      </c>
      <c r="Q170" s="4">
        <f>SUMIFS(Tab_10.Out[MOVIMENTO],Tab_10.Out[CONTA],$F170)</f>
        <v>0</v>
      </c>
      <c r="R170" s="4">
        <f>SUMIFS(Tab_11.Nov[MOVIMENTO],Tab_11.Nov[CONTA],$F170)</f>
        <v>0</v>
      </c>
      <c r="S170" s="4">
        <f>SUMIFS(Tab_12.Dez[MOVIMENTO],Tab_12.Dez[CONTA],$F170)</f>
        <v>0</v>
      </c>
    </row>
    <row r="171" spans="2:19" x14ac:dyDescent="0.3">
      <c r="B171" s="3" t="s">
        <v>101</v>
      </c>
      <c r="C171" s="2" t="str">
        <f t="shared" si="18"/>
        <v>R</v>
      </c>
      <c r="D171" s="2" t="str">
        <f t="shared" si="19"/>
        <v>A</v>
      </c>
      <c r="E171" s="2">
        <f t="shared" si="20"/>
        <v>5</v>
      </c>
      <c r="F171" s="3" t="s">
        <v>385</v>
      </c>
      <c r="G171" s="3" t="s">
        <v>386</v>
      </c>
      <c r="H171" s="4">
        <f>SUMIFS(Tab_01.Jan[MOVIMENTO],Tab_01.Jan[CONTA],$F171)</f>
        <v>0</v>
      </c>
      <c r="I171" s="4">
        <f>SUMIFS(Tab_02.Fev[MOVIMENTO],Tab_02.Fev[CONTA],$F171)</f>
        <v>0</v>
      </c>
      <c r="J171" s="4">
        <f>SUMIFS(Tab_03.Mar[MOVIMENTO],Tab_03.Mar[CONTA],$F171)</f>
        <v>0</v>
      </c>
      <c r="K171" s="4">
        <f>SUMIFS(Tab_04.Abr[MOVIMENTO],Tab_04.Abr[CONTA],$F171)</f>
        <v>0</v>
      </c>
      <c r="L171" s="4">
        <f>SUMIFS(Tab_05.Mai[MOVIMENTO],Tab_05.Mai[CONTA],$F171)</f>
        <v>0</v>
      </c>
      <c r="M171" s="4">
        <f>SUMIFS(Tab_06.Jun[MOVIMENTO],Tab_06.Jun[CONTA],$F171)</f>
        <v>0</v>
      </c>
      <c r="N171" s="4">
        <f>SUMIFS(Tab_07.Jul[MOVIMENTO],Tab_07.Jul[CONTA],$F171)</f>
        <v>0</v>
      </c>
      <c r="O171" s="4">
        <f>SUMIFS(Tab_08.Ago[MOVIMENTO],Tab_08.Ago[CONTA],$F171)</f>
        <v>0</v>
      </c>
      <c r="P171" s="4">
        <f>SUMIFS(Tab_09.Set[MOVIMENTO],Tab_09.Set[CONTA],$F171)</f>
        <v>0</v>
      </c>
      <c r="Q171" s="4">
        <f>SUMIFS(Tab_10.Out[MOVIMENTO],Tab_10.Out[CONTA],$F171)</f>
        <v>0</v>
      </c>
      <c r="R171" s="4">
        <f>SUMIFS(Tab_11.Nov[MOVIMENTO],Tab_11.Nov[CONTA],$F171)</f>
        <v>0</v>
      </c>
      <c r="S171" s="4">
        <f>SUMIFS(Tab_12.Dez[MOVIMENTO],Tab_12.Dez[CONTA],$F171)</f>
        <v>0</v>
      </c>
    </row>
    <row r="172" spans="2:19" x14ac:dyDescent="0.3">
      <c r="B172" s="3"/>
      <c r="C172" s="2" t="str">
        <f t="shared" si="18"/>
        <v>R</v>
      </c>
      <c r="D172" s="2" t="str">
        <f t="shared" si="19"/>
        <v>S</v>
      </c>
      <c r="E172" s="2">
        <f t="shared" si="20"/>
        <v>5</v>
      </c>
      <c r="F172" s="3" t="s">
        <v>580</v>
      </c>
      <c r="G172" s="3" t="s">
        <v>686</v>
      </c>
      <c r="H172" s="4">
        <f>SUMIFS(Tab_01.Jan[MOVIMENTO],Tab_01.Jan[CONTA],$F172)</f>
        <v>-421470.98</v>
      </c>
      <c r="I172" s="4">
        <f>SUMIFS(Tab_02.Fev[MOVIMENTO],Tab_02.Fev[CONTA],$F172)</f>
        <v>-434107.84</v>
      </c>
      <c r="J172" s="4">
        <f>SUMIFS(Tab_03.Mar[MOVIMENTO],Tab_03.Mar[CONTA],$F172)</f>
        <v>-442052.26</v>
      </c>
      <c r="K172" s="4">
        <f>SUMIFS(Tab_04.Abr[MOVIMENTO],Tab_04.Abr[CONTA],$F172)</f>
        <v>-440421.58</v>
      </c>
      <c r="L172" s="4">
        <f>SUMIFS(Tab_05.Mai[MOVIMENTO],Tab_05.Mai[CONTA],$F172)</f>
        <v>-453004.42</v>
      </c>
      <c r="M172" s="4">
        <f>SUMIFS(Tab_06.Jun[MOVIMENTO],Tab_06.Jun[CONTA],$F172)</f>
        <v>-446935.84</v>
      </c>
      <c r="N172" s="4">
        <f>SUMIFS(Tab_07.Jul[MOVIMENTO],Tab_07.Jul[CONTA],$F172)</f>
        <v>-446935.84</v>
      </c>
      <c r="O172" s="4">
        <f>SUMIFS(Tab_08.Ago[MOVIMENTO],Tab_08.Ago[CONTA],$F172)</f>
        <v>-446935.84</v>
      </c>
      <c r="P172" s="4">
        <f>SUMIFS(Tab_09.Set[MOVIMENTO],Tab_09.Set[CONTA],$F172)</f>
        <v>-453450.1</v>
      </c>
      <c r="Q172" s="4">
        <f>SUMIFS(Tab_10.Out[MOVIMENTO],Tab_10.Out[CONTA],$F172)</f>
        <v>-465438.82</v>
      </c>
      <c r="R172" s="4">
        <f>SUMIFS(Tab_11.Nov[MOVIMENTO],Tab_11.Nov[CONTA],$F172)</f>
        <v>-440421.58</v>
      </c>
      <c r="S172" s="4">
        <f>SUMIFS(Tab_12.Dez[MOVIMENTO],Tab_12.Dez[CONTA],$F172)</f>
        <v>-440644.42</v>
      </c>
    </row>
    <row r="173" spans="2:19" x14ac:dyDescent="0.3">
      <c r="B173" s="186" t="s">
        <v>102</v>
      </c>
      <c r="C173" s="2" t="str">
        <f>IF($F173="","",IF(LEFT($F173,1)*1=1,"A",IF(LEFT($F173,1)*1=2,"P",IF(LEFT($F173,1)*1=3,"R",IF(LEFT($F173,1)*1=4,"C",IF(LEFT($F173,1)*1=5,"C",IF(LEFT($F173,1)*1=6,"C","")))))))</f>
        <v>R</v>
      </c>
      <c r="D173" s="2" t="str">
        <f>IF($F173="","",IF(LEN($F173)=13,"A","S"))</f>
        <v>S</v>
      </c>
      <c r="E173" s="2">
        <f>IF($F173="","",IF(LEN($F173)=1,1,IF(LEN($F173)=3,2,IF(LEN($F173)=5,3,IF(LEN($F173)=8,4,5)))))</f>
        <v>5</v>
      </c>
      <c r="F173" s="3" t="s">
        <v>853</v>
      </c>
      <c r="G173" s="3" t="s">
        <v>854</v>
      </c>
      <c r="H173" s="4">
        <f>SUMIFS(Tab_01.Jan[MOVIMENTO],Tab_01.Jan[CONTA],$F173)</f>
        <v>0</v>
      </c>
      <c r="I173" s="4">
        <f>SUMIFS(Tab_02.Fev[MOVIMENTO],Tab_02.Fev[CONTA],$F173)</f>
        <v>0</v>
      </c>
      <c r="J173" s="4">
        <f>SUMIFS(Tab_03.Mar[MOVIMENTO],Tab_03.Mar[CONTA],$F173)</f>
        <v>0</v>
      </c>
      <c r="K173" s="4">
        <f>SUMIFS(Tab_04.Abr[MOVIMENTO],Tab_04.Abr[CONTA],$F173)</f>
        <v>0</v>
      </c>
      <c r="L173" s="4">
        <f>SUMIFS(Tab_05.Mai[MOVIMENTO],Tab_05.Mai[CONTA],$F173)</f>
        <v>0</v>
      </c>
      <c r="M173" s="4">
        <f>SUMIFS(Tab_06.Jun[MOVIMENTO],Tab_06.Jun[CONTA],$F173)</f>
        <v>11</v>
      </c>
      <c r="N173" s="4">
        <f>SUMIFS(Tab_07.Jul[MOVIMENTO],Tab_07.Jul[CONTA],$F173)</f>
        <v>11</v>
      </c>
      <c r="O173" s="4">
        <f>SUMIFS(Tab_08.Ago[MOVIMENTO],Tab_08.Ago[CONTA],$F173)</f>
        <v>11</v>
      </c>
      <c r="P173" s="4">
        <f>SUMIFS(Tab_09.Set[MOVIMENTO],Tab_09.Set[CONTA],$F173)</f>
        <v>12078.33</v>
      </c>
      <c r="Q173" s="4">
        <f>SUMIFS(Tab_10.Out[MOVIMENTO],Tab_10.Out[CONTA],$F173)</f>
        <v>12.1</v>
      </c>
      <c r="R173" s="4">
        <f>SUMIFS(Tab_11.Nov[MOVIMENTO],Tab_11.Nov[CONTA],$F173)</f>
        <v>1899</v>
      </c>
      <c r="S173" s="4">
        <f>SUMIFS(Tab_12.Dez[MOVIMENTO],Tab_12.Dez[CONTA],$F173)</f>
        <v>265.62</v>
      </c>
    </row>
    <row r="174" spans="2:19" x14ac:dyDescent="0.3">
      <c r="B174" s="3"/>
      <c r="C174" s="2" t="str">
        <f>IF($F174="","",IF(LEFT($F174,1)*1=1,"A",IF(LEFT($F174,1)*1=2,"P",IF(LEFT($F174,1)*1=3,"R",IF(LEFT($F174,1)*1=4,"C",IF(LEFT($F174,1)*1=5,"C",IF(LEFT($F174,1)*1=6,"C","")))))))</f>
        <v>R</v>
      </c>
      <c r="D174" s="2" t="str">
        <f>IF($F174="","",IF(LEN($F174)=13,"A","S"))</f>
        <v>A</v>
      </c>
      <c r="E174" s="2">
        <f>IF($F174="","",IF(LEN($F174)=1,1,IF(LEN($F174)=3,2,IF(LEN($F174)=5,3,IF(LEN($F174)=8,4,5)))))</f>
        <v>5</v>
      </c>
      <c r="F174" s="3" t="s">
        <v>855</v>
      </c>
      <c r="G174" s="3" t="s">
        <v>856</v>
      </c>
      <c r="H174" s="4">
        <f>SUMIFS(Tab_01.Jan[MOVIMENTO],Tab_01.Jan[CONTA],$F174)</f>
        <v>0</v>
      </c>
      <c r="I174" s="4">
        <f>SUMIFS(Tab_02.Fev[MOVIMENTO],Tab_02.Fev[CONTA],$F174)</f>
        <v>0</v>
      </c>
      <c r="J174" s="4">
        <f>SUMIFS(Tab_03.Mar[MOVIMENTO],Tab_03.Mar[CONTA],$F174)</f>
        <v>0</v>
      </c>
      <c r="K174" s="4">
        <f>SUMIFS(Tab_04.Abr[MOVIMENTO],Tab_04.Abr[CONTA],$F174)</f>
        <v>0</v>
      </c>
      <c r="L174" s="4">
        <f>SUMIFS(Tab_05.Mai[MOVIMENTO],Tab_05.Mai[CONTA],$F174)</f>
        <v>0</v>
      </c>
      <c r="M174" s="4">
        <f>SUMIFS(Tab_06.Jun[MOVIMENTO],Tab_06.Jun[CONTA],$F174)</f>
        <v>11</v>
      </c>
      <c r="N174" s="4">
        <f>SUMIFS(Tab_07.Jul[MOVIMENTO],Tab_07.Jul[CONTA],$F174)</f>
        <v>11</v>
      </c>
      <c r="O174" s="4">
        <f>SUMIFS(Tab_08.Ago[MOVIMENTO],Tab_08.Ago[CONTA],$F174)</f>
        <v>11</v>
      </c>
      <c r="P174" s="4">
        <f>SUMIFS(Tab_09.Set[MOVIMENTO],Tab_09.Set[CONTA],$F174)</f>
        <v>12078.33</v>
      </c>
      <c r="Q174" s="4">
        <f>SUMIFS(Tab_10.Out[MOVIMENTO],Tab_10.Out[CONTA],$F174)</f>
        <v>12.1</v>
      </c>
      <c r="R174" s="4">
        <f>SUMIFS(Tab_11.Nov[MOVIMENTO],Tab_11.Nov[CONTA],$F174)</f>
        <v>1899</v>
      </c>
      <c r="S174" s="4">
        <f>SUMIFS(Tab_12.Dez[MOVIMENTO],Tab_12.Dez[CONTA],$F174)</f>
        <v>265.62</v>
      </c>
    </row>
    <row r="175" spans="2:19" x14ac:dyDescent="0.3">
      <c r="B175" s="3"/>
      <c r="C175" s="2" t="str">
        <f t="shared" si="18"/>
        <v>R</v>
      </c>
      <c r="D175" s="2" t="str">
        <f t="shared" si="19"/>
        <v>S</v>
      </c>
      <c r="E175" s="2">
        <f t="shared" si="20"/>
        <v>5</v>
      </c>
      <c r="F175" s="3" t="s">
        <v>581</v>
      </c>
      <c r="G175" s="3" t="s">
        <v>687</v>
      </c>
      <c r="H175" s="4">
        <f>SUMIFS(Tab_01.Jan[MOVIMENTO],Tab_01.Jan[CONTA],$F175)</f>
        <v>-421470.98</v>
      </c>
      <c r="I175" s="4">
        <f>SUMIFS(Tab_02.Fev[MOVIMENTO],Tab_02.Fev[CONTA],$F175)</f>
        <v>-434107.84</v>
      </c>
      <c r="J175" s="4">
        <f>SUMIFS(Tab_03.Mar[MOVIMENTO],Tab_03.Mar[CONTA],$F175)</f>
        <v>-442052.26</v>
      </c>
      <c r="K175" s="4">
        <f>SUMIFS(Tab_04.Abr[MOVIMENTO],Tab_04.Abr[CONTA],$F175)</f>
        <v>-440421.58</v>
      </c>
      <c r="L175" s="4">
        <f>SUMIFS(Tab_05.Mai[MOVIMENTO],Tab_05.Mai[CONTA],$F175)</f>
        <v>-453004.42</v>
      </c>
      <c r="M175" s="4">
        <f>SUMIFS(Tab_06.Jun[MOVIMENTO],Tab_06.Jun[CONTA],$F175)</f>
        <v>-446935.84</v>
      </c>
      <c r="N175" s="4">
        <f>SUMIFS(Tab_07.Jul[MOVIMENTO],Tab_07.Jul[CONTA],$F175)</f>
        <v>-446935.84</v>
      </c>
      <c r="O175" s="4">
        <f>SUMIFS(Tab_08.Ago[MOVIMENTO],Tab_08.Ago[CONTA],$F175)</f>
        <v>-446935.84</v>
      </c>
      <c r="P175" s="4">
        <f>SUMIFS(Tab_09.Set[MOVIMENTO],Tab_09.Set[CONTA],$F175)</f>
        <v>-453450.1</v>
      </c>
      <c r="Q175" s="4">
        <f>SUMIFS(Tab_10.Out[MOVIMENTO],Tab_10.Out[CONTA],$F175)</f>
        <v>-465438.82</v>
      </c>
      <c r="R175" s="4">
        <f>SUMIFS(Tab_11.Nov[MOVIMENTO],Tab_11.Nov[CONTA],$F175)</f>
        <v>-440421.58</v>
      </c>
      <c r="S175" s="4">
        <f>SUMIFS(Tab_12.Dez[MOVIMENTO],Tab_12.Dez[CONTA],$F175)</f>
        <v>-440644.42</v>
      </c>
    </row>
    <row r="176" spans="2:19" x14ac:dyDescent="0.3">
      <c r="B176" s="3" t="s">
        <v>101</v>
      </c>
      <c r="C176" s="2" t="str">
        <f t="shared" si="18"/>
        <v>R</v>
      </c>
      <c r="D176" s="2" t="str">
        <f t="shared" si="19"/>
        <v>A</v>
      </c>
      <c r="E176" s="2">
        <f t="shared" si="20"/>
        <v>5</v>
      </c>
      <c r="F176" s="3" t="s">
        <v>387</v>
      </c>
      <c r="G176" s="3" t="s">
        <v>388</v>
      </c>
      <c r="H176" s="4">
        <f>SUMIFS(Tab_01.Jan[MOVIMENTO],Tab_01.Jan[CONTA],$F176)</f>
        <v>-421470.98</v>
      </c>
      <c r="I176" s="4">
        <f>SUMIFS(Tab_02.Fev[MOVIMENTO],Tab_02.Fev[CONTA],$F176)</f>
        <v>-421470.98</v>
      </c>
      <c r="J176" s="4">
        <f>SUMIFS(Tab_03.Mar[MOVIMENTO],Tab_03.Mar[CONTA],$F176)</f>
        <v>-421470.98</v>
      </c>
      <c r="K176" s="4">
        <f>SUMIFS(Tab_04.Abr[MOVIMENTO],Tab_04.Abr[CONTA],$F176)</f>
        <v>-440421.58</v>
      </c>
      <c r="L176" s="4">
        <f>SUMIFS(Tab_05.Mai[MOVIMENTO],Tab_05.Mai[CONTA],$F176)</f>
        <v>-440421.58</v>
      </c>
      <c r="M176" s="4">
        <f>SUMIFS(Tab_06.Jun[MOVIMENTO],Tab_06.Jun[CONTA],$F176)</f>
        <v>-440421.58</v>
      </c>
      <c r="N176" s="4">
        <f>SUMIFS(Tab_07.Jul[MOVIMENTO],Tab_07.Jul[CONTA],$F176)</f>
        <v>-440421.58</v>
      </c>
      <c r="O176" s="4">
        <f>SUMIFS(Tab_08.Ago[MOVIMENTO],Tab_08.Ago[CONTA],$F176)</f>
        <v>-440421.58</v>
      </c>
      <c r="P176" s="4">
        <f>SUMIFS(Tab_09.Set[MOVIMENTO],Tab_09.Set[CONTA],$F176)</f>
        <v>-440421.58</v>
      </c>
      <c r="Q176" s="4">
        <f>SUMIFS(Tab_10.Out[MOVIMENTO],Tab_10.Out[CONTA],$F176)</f>
        <v>-440421.58</v>
      </c>
      <c r="R176" s="4">
        <f>SUMIFS(Tab_11.Nov[MOVIMENTO],Tab_11.Nov[CONTA],$F176)</f>
        <v>-440421.58</v>
      </c>
      <c r="S176" s="4">
        <f>SUMIFS(Tab_12.Dez[MOVIMENTO],Tab_12.Dez[CONTA],$F176)</f>
        <v>-440421.58</v>
      </c>
    </row>
    <row r="177" spans="2:19" x14ac:dyDescent="0.3">
      <c r="B177" s="3" t="s">
        <v>101</v>
      </c>
      <c r="C177" s="2" t="str">
        <f t="shared" si="18"/>
        <v>R</v>
      </c>
      <c r="D177" s="2" t="str">
        <f t="shared" si="19"/>
        <v>A</v>
      </c>
      <c r="E177" s="2">
        <f t="shared" si="20"/>
        <v>5</v>
      </c>
      <c r="F177" s="3" t="s">
        <v>389</v>
      </c>
      <c r="G177" s="3" t="s">
        <v>390</v>
      </c>
      <c r="H177" s="4">
        <f>SUMIFS(Tab_01.Jan[MOVIMENTO],Tab_01.Jan[CONTA],$F177)</f>
        <v>0</v>
      </c>
      <c r="I177" s="4">
        <f>SUMIFS(Tab_02.Fev[MOVIMENTO],Tab_02.Fev[CONTA],$F177)</f>
        <v>-12636.86</v>
      </c>
      <c r="J177" s="4">
        <f>SUMIFS(Tab_03.Mar[MOVIMENTO],Tab_03.Mar[CONTA],$F177)</f>
        <v>-20581.28</v>
      </c>
      <c r="K177" s="4">
        <f>SUMIFS(Tab_04.Abr[MOVIMENTO],Tab_04.Abr[CONTA],$F177)</f>
        <v>0</v>
      </c>
      <c r="L177" s="4">
        <f>SUMIFS(Tab_05.Mai[MOVIMENTO],Tab_05.Mai[CONTA],$F177)</f>
        <v>-12582.84</v>
      </c>
      <c r="M177" s="4">
        <f>SUMIFS(Tab_06.Jun[MOVIMENTO],Tab_06.Jun[CONTA],$F177)</f>
        <v>-6514.26</v>
      </c>
      <c r="N177" s="4">
        <f>SUMIFS(Tab_07.Jul[MOVIMENTO],Tab_07.Jul[CONTA],$F177)</f>
        <v>-6514.26</v>
      </c>
      <c r="O177" s="4">
        <f>SUMIFS(Tab_08.Ago[MOVIMENTO],Tab_08.Ago[CONTA],$F177)</f>
        <v>-6514.26</v>
      </c>
      <c r="P177" s="4">
        <f>SUMIFS(Tab_09.Set[MOVIMENTO],Tab_09.Set[CONTA],$F177)</f>
        <v>-13028.52</v>
      </c>
      <c r="Q177" s="4">
        <f>SUMIFS(Tab_10.Out[MOVIMENTO],Tab_10.Out[CONTA],$F177)</f>
        <v>-25017.24</v>
      </c>
      <c r="R177" s="4">
        <f>SUMIFS(Tab_11.Nov[MOVIMENTO],Tab_11.Nov[CONTA],$F177)</f>
        <v>0</v>
      </c>
      <c r="S177" s="4">
        <f>SUMIFS(Tab_12.Dez[MOVIMENTO],Tab_12.Dez[CONTA],$F177)</f>
        <v>-222.84</v>
      </c>
    </row>
    <row r="178" spans="2:19" x14ac:dyDescent="0.3">
      <c r="B178" s="3"/>
      <c r="C178" s="2" t="str">
        <f t="shared" ref="C178:C215" si="21">IF($F178="","",IF(LEFT($F178,1)*1=1,"A",IF(LEFT($F178,1)*1=2,"P",IF(LEFT($F178,1)*1=3,"R",IF(LEFT($F178,1)*1=4,"C",IF(LEFT($F178,1)*1=5,"C",IF(LEFT($F178,1)*1=6,"C","")))))))</f>
        <v>R</v>
      </c>
      <c r="D178" s="2" t="str">
        <f t="shared" ref="D178:D215" si="22">IF($F178="","",IF(LEN($F178)=13,"A","S"))</f>
        <v>S</v>
      </c>
      <c r="E178" s="2">
        <f t="shared" ref="E178:E215" si="23">IF($F178="","",IF(LEN($F178)=1,1,IF(LEN($F178)=3,2,IF(LEN($F178)=5,3,IF(LEN($F178)=8,4,5)))))</f>
        <v>2</v>
      </c>
      <c r="F178" s="3" t="s">
        <v>582</v>
      </c>
      <c r="G178" s="3" t="s">
        <v>688</v>
      </c>
      <c r="H178" s="4">
        <f>SUMIFS(Tab_01.Jan[MOVIMENTO],Tab_01.Jan[CONTA],$F178)</f>
        <v>-203029.53</v>
      </c>
      <c r="I178" s="4">
        <f>SUMIFS(Tab_02.Fev[MOVIMENTO],Tab_02.Fev[CONTA],$F178)</f>
        <v>-0.02</v>
      </c>
      <c r="J178" s="4">
        <f>SUMIFS(Tab_03.Mar[MOVIMENTO],Tab_03.Mar[CONTA],$F178)</f>
        <v>-306654.71000000002</v>
      </c>
      <c r="K178" s="4">
        <f>SUMIFS(Tab_04.Abr[MOVIMENTO],Tab_04.Abr[CONTA],$F178)</f>
        <v>24727.24</v>
      </c>
      <c r="L178" s="4">
        <f>SUMIFS(Tab_05.Mai[MOVIMENTO],Tab_05.Mai[CONTA],$F178)</f>
        <v>-326235.03999999998</v>
      </c>
      <c r="M178" s="4">
        <f>SUMIFS(Tab_06.Jun[MOVIMENTO],Tab_06.Jun[CONTA],$F178)</f>
        <v>-435543.94</v>
      </c>
      <c r="N178" s="4">
        <f>SUMIFS(Tab_07.Jul[MOVIMENTO],Tab_07.Jul[CONTA],$F178)</f>
        <v>-435543.94</v>
      </c>
      <c r="O178" s="4">
        <f>SUMIFS(Tab_08.Ago[MOVIMENTO],Tab_08.Ago[CONTA],$F178)</f>
        <v>-435543.94</v>
      </c>
      <c r="P178" s="4">
        <f>SUMIFS(Tab_09.Set[MOVIMENTO],Tab_09.Set[CONTA],$F178)</f>
        <v>-154845.95000000001</v>
      </c>
      <c r="Q178" s="4">
        <f>SUMIFS(Tab_10.Out[MOVIMENTO],Tab_10.Out[CONTA],$F178)</f>
        <v>-213626.76</v>
      </c>
      <c r="R178" s="4">
        <f>SUMIFS(Tab_11.Nov[MOVIMENTO],Tab_11.Nov[CONTA],$F178)</f>
        <v>-333363.81</v>
      </c>
      <c r="S178" s="4">
        <f>SUMIFS(Tab_12.Dez[MOVIMENTO],Tab_12.Dez[CONTA],$F178)</f>
        <v>93387.26</v>
      </c>
    </row>
    <row r="179" spans="2:19" x14ac:dyDescent="0.3">
      <c r="B179" s="3"/>
      <c r="C179" s="2" t="str">
        <f t="shared" si="21"/>
        <v>R</v>
      </c>
      <c r="D179" s="2" t="str">
        <f t="shared" si="22"/>
        <v>S</v>
      </c>
      <c r="E179" s="2">
        <f t="shared" si="23"/>
        <v>5</v>
      </c>
      <c r="F179" s="3" t="s">
        <v>583</v>
      </c>
      <c r="G179" s="3" t="s">
        <v>689</v>
      </c>
      <c r="H179" s="4">
        <f>SUMIFS(Tab_01.Jan[MOVIMENTO],Tab_01.Jan[CONTA],$F179)</f>
        <v>-0.05</v>
      </c>
      <c r="I179" s="4">
        <f>SUMIFS(Tab_02.Fev[MOVIMENTO],Tab_02.Fev[CONTA],$F179)</f>
        <v>-0.02</v>
      </c>
      <c r="J179" s="4">
        <f>SUMIFS(Tab_03.Mar[MOVIMENTO],Tab_03.Mar[CONTA],$F179)</f>
        <v>-0.03</v>
      </c>
      <c r="K179" s="4">
        <f>SUMIFS(Tab_04.Abr[MOVIMENTO],Tab_04.Abr[CONTA],$F179)</f>
        <v>-0.05</v>
      </c>
      <c r="L179" s="4">
        <f>SUMIFS(Tab_05.Mai[MOVIMENTO],Tab_05.Mai[CONTA],$F179)</f>
        <v>-7.0000000000000007E-2</v>
      </c>
      <c r="M179" s="4">
        <f>SUMIFS(Tab_06.Jun[MOVIMENTO],Tab_06.Jun[CONTA],$F179)</f>
        <v>-0.03</v>
      </c>
      <c r="N179" s="4">
        <f>SUMIFS(Tab_07.Jul[MOVIMENTO],Tab_07.Jul[CONTA],$F179)</f>
        <v>-0.03</v>
      </c>
      <c r="O179" s="4">
        <f>SUMIFS(Tab_08.Ago[MOVIMENTO],Tab_08.Ago[CONTA],$F179)</f>
        <v>-0.03</v>
      </c>
      <c r="P179" s="4">
        <f>SUMIFS(Tab_09.Set[MOVIMENTO],Tab_09.Set[CONTA],$F179)</f>
        <v>-300.02</v>
      </c>
      <c r="Q179" s="4">
        <f>SUMIFS(Tab_10.Out[MOVIMENTO],Tab_10.Out[CONTA],$F179)</f>
        <v>0</v>
      </c>
      <c r="R179" s="4">
        <f>SUMIFS(Tab_11.Nov[MOVIMENTO],Tab_11.Nov[CONTA],$F179)</f>
        <v>-1335.22</v>
      </c>
      <c r="S179" s="4">
        <f>SUMIFS(Tab_12.Dez[MOVIMENTO],Tab_12.Dez[CONTA],$F179)</f>
        <v>-0.01</v>
      </c>
    </row>
    <row r="180" spans="2:19" x14ac:dyDescent="0.3">
      <c r="B180" s="3"/>
      <c r="C180" s="2" t="str">
        <f t="shared" si="21"/>
        <v>R</v>
      </c>
      <c r="D180" s="2" t="str">
        <f t="shared" si="22"/>
        <v>S</v>
      </c>
      <c r="E180" s="2">
        <f t="shared" si="23"/>
        <v>5</v>
      </c>
      <c r="F180" s="3" t="s">
        <v>584</v>
      </c>
      <c r="G180" s="3" t="s">
        <v>689</v>
      </c>
      <c r="H180" s="4">
        <f>SUMIFS(Tab_01.Jan[MOVIMENTO],Tab_01.Jan[CONTA],$F180)</f>
        <v>-0.05</v>
      </c>
      <c r="I180" s="4">
        <f>SUMIFS(Tab_02.Fev[MOVIMENTO],Tab_02.Fev[CONTA],$F180)</f>
        <v>-0.02</v>
      </c>
      <c r="J180" s="4">
        <f>SUMIFS(Tab_03.Mar[MOVIMENTO],Tab_03.Mar[CONTA],$F180)</f>
        <v>-0.03</v>
      </c>
      <c r="K180" s="4">
        <f>SUMIFS(Tab_04.Abr[MOVIMENTO],Tab_04.Abr[CONTA],$F180)</f>
        <v>-0.05</v>
      </c>
      <c r="L180" s="4">
        <f>SUMIFS(Tab_05.Mai[MOVIMENTO],Tab_05.Mai[CONTA],$F180)</f>
        <v>-7.0000000000000007E-2</v>
      </c>
      <c r="M180" s="4">
        <f>SUMIFS(Tab_06.Jun[MOVIMENTO],Tab_06.Jun[CONTA],$F180)</f>
        <v>-0.03</v>
      </c>
      <c r="N180" s="4">
        <f>SUMIFS(Tab_07.Jul[MOVIMENTO],Tab_07.Jul[CONTA],$F180)</f>
        <v>-0.03</v>
      </c>
      <c r="O180" s="4">
        <f>SUMIFS(Tab_08.Ago[MOVIMENTO],Tab_08.Ago[CONTA],$F180)</f>
        <v>-0.03</v>
      </c>
      <c r="P180" s="4">
        <f>SUMIFS(Tab_09.Set[MOVIMENTO],Tab_09.Set[CONTA],$F180)</f>
        <v>-300.02</v>
      </c>
      <c r="Q180" s="4">
        <f>SUMIFS(Tab_10.Out[MOVIMENTO],Tab_10.Out[CONTA],$F180)</f>
        <v>0</v>
      </c>
      <c r="R180" s="4">
        <f>SUMIFS(Tab_11.Nov[MOVIMENTO],Tab_11.Nov[CONTA],$F180)</f>
        <v>-1335.22</v>
      </c>
      <c r="S180" s="4">
        <f>SUMIFS(Tab_12.Dez[MOVIMENTO],Tab_12.Dez[CONTA],$F180)</f>
        <v>-0.01</v>
      </c>
    </row>
    <row r="181" spans="2:19" x14ac:dyDescent="0.3">
      <c r="B181" s="3" t="s">
        <v>71</v>
      </c>
      <c r="C181" s="2" t="str">
        <f t="shared" si="21"/>
        <v>R</v>
      </c>
      <c r="D181" s="2" t="str">
        <f t="shared" si="22"/>
        <v>A</v>
      </c>
      <c r="E181" s="2">
        <f t="shared" si="23"/>
        <v>5</v>
      </c>
      <c r="F181" s="3" t="s">
        <v>391</v>
      </c>
      <c r="G181" s="3" t="s">
        <v>392</v>
      </c>
      <c r="H181" s="4">
        <f>SUMIFS(Tab_01.Jan[MOVIMENTO],Tab_01.Jan[CONTA],$F181)</f>
        <v>-0.05</v>
      </c>
      <c r="I181" s="4">
        <f>SUMIFS(Tab_02.Fev[MOVIMENTO],Tab_02.Fev[CONTA],$F181)</f>
        <v>-0.02</v>
      </c>
      <c r="J181" s="4">
        <f>SUMIFS(Tab_03.Mar[MOVIMENTO],Tab_03.Mar[CONTA],$F181)</f>
        <v>-0.03</v>
      </c>
      <c r="K181" s="4">
        <f>SUMIFS(Tab_04.Abr[MOVIMENTO],Tab_04.Abr[CONTA],$F181)</f>
        <v>-0.05</v>
      </c>
      <c r="L181" s="4">
        <f>SUMIFS(Tab_05.Mai[MOVIMENTO],Tab_05.Mai[CONTA],$F181)</f>
        <v>-7.0000000000000007E-2</v>
      </c>
      <c r="M181" s="4">
        <f>SUMIFS(Tab_06.Jun[MOVIMENTO],Tab_06.Jun[CONTA],$F181)</f>
        <v>-0.03</v>
      </c>
      <c r="N181" s="4">
        <f>SUMIFS(Tab_07.Jul[MOVIMENTO],Tab_07.Jul[CONTA],$F181)</f>
        <v>-0.03</v>
      </c>
      <c r="O181" s="4">
        <f>SUMIFS(Tab_08.Ago[MOVIMENTO],Tab_08.Ago[CONTA],$F181)</f>
        <v>-0.03</v>
      </c>
      <c r="P181" s="4">
        <f>SUMIFS(Tab_09.Set[MOVIMENTO],Tab_09.Set[CONTA],$F181)</f>
        <v>-300.02</v>
      </c>
      <c r="Q181" s="4">
        <f>SUMIFS(Tab_10.Out[MOVIMENTO],Tab_10.Out[CONTA],$F181)</f>
        <v>0</v>
      </c>
      <c r="R181" s="4">
        <f>SUMIFS(Tab_11.Nov[MOVIMENTO],Tab_11.Nov[CONTA],$F181)</f>
        <v>-1335.22</v>
      </c>
      <c r="S181" s="4">
        <f>SUMIFS(Tab_12.Dez[MOVIMENTO],Tab_12.Dez[CONTA],$F181)</f>
        <v>-0.01</v>
      </c>
    </row>
    <row r="182" spans="2:19" x14ac:dyDescent="0.3">
      <c r="B182" s="3"/>
      <c r="C182" s="2" t="str">
        <f t="shared" si="21"/>
        <v>R</v>
      </c>
      <c r="D182" s="2" t="str">
        <f t="shared" si="22"/>
        <v>S</v>
      </c>
      <c r="E182" s="2">
        <f t="shared" si="23"/>
        <v>5</v>
      </c>
      <c r="F182" s="3" t="s">
        <v>585</v>
      </c>
      <c r="G182" s="3" t="s">
        <v>690</v>
      </c>
      <c r="H182" s="4">
        <f>SUMIFS(Tab_01.Jan[MOVIMENTO],Tab_01.Jan[CONTA],$F182)</f>
        <v>-203029.48</v>
      </c>
      <c r="I182" s="4">
        <f>SUMIFS(Tab_02.Fev[MOVIMENTO],Tab_02.Fev[CONTA],$F182)</f>
        <v>0</v>
      </c>
      <c r="J182" s="4">
        <f>SUMIFS(Tab_03.Mar[MOVIMENTO],Tab_03.Mar[CONTA],$F182)</f>
        <v>-306654.68</v>
      </c>
      <c r="K182" s="4">
        <f>SUMIFS(Tab_04.Abr[MOVIMENTO],Tab_04.Abr[CONTA],$F182)</f>
        <v>24727.29</v>
      </c>
      <c r="L182" s="4">
        <f>SUMIFS(Tab_05.Mai[MOVIMENTO],Tab_05.Mai[CONTA],$F182)</f>
        <v>-326234.96999999997</v>
      </c>
      <c r="M182" s="4">
        <f>SUMIFS(Tab_06.Jun[MOVIMENTO],Tab_06.Jun[CONTA],$F182)</f>
        <v>-435543.91</v>
      </c>
      <c r="N182" s="4">
        <f>SUMIFS(Tab_07.Jul[MOVIMENTO],Tab_07.Jul[CONTA],$F182)</f>
        <v>-435543.91</v>
      </c>
      <c r="O182" s="4">
        <f>SUMIFS(Tab_08.Ago[MOVIMENTO],Tab_08.Ago[CONTA],$F182)</f>
        <v>-435543.91</v>
      </c>
      <c r="P182" s="4">
        <f>SUMIFS(Tab_09.Set[MOVIMENTO],Tab_09.Set[CONTA],$F182)</f>
        <v>-154545.93</v>
      </c>
      <c r="Q182" s="4">
        <f>SUMIFS(Tab_10.Out[MOVIMENTO],Tab_10.Out[CONTA],$F182)</f>
        <v>-213626.76</v>
      </c>
      <c r="R182" s="4">
        <f>SUMIFS(Tab_11.Nov[MOVIMENTO],Tab_11.Nov[CONTA],$F182)</f>
        <v>-332028.59000000003</v>
      </c>
      <c r="S182" s="4">
        <f>SUMIFS(Tab_12.Dez[MOVIMENTO],Tab_12.Dez[CONTA],$F182)</f>
        <v>93387.27</v>
      </c>
    </row>
    <row r="183" spans="2:19" x14ac:dyDescent="0.3">
      <c r="B183" s="3"/>
      <c r="C183" s="2" t="str">
        <f t="shared" si="21"/>
        <v>R</v>
      </c>
      <c r="D183" s="2" t="str">
        <f t="shared" si="22"/>
        <v>S</v>
      </c>
      <c r="E183" s="2">
        <f t="shared" si="23"/>
        <v>5</v>
      </c>
      <c r="F183" s="3" t="s">
        <v>586</v>
      </c>
      <c r="G183" s="3" t="s">
        <v>394</v>
      </c>
      <c r="H183" s="4">
        <f>SUMIFS(Tab_01.Jan[MOVIMENTO],Tab_01.Jan[CONTA],$F183)</f>
        <v>-203029.48</v>
      </c>
      <c r="I183" s="4">
        <f>SUMIFS(Tab_02.Fev[MOVIMENTO],Tab_02.Fev[CONTA],$F183)</f>
        <v>0</v>
      </c>
      <c r="J183" s="4">
        <f>SUMIFS(Tab_03.Mar[MOVIMENTO],Tab_03.Mar[CONTA],$F183)</f>
        <v>-306654.68</v>
      </c>
      <c r="K183" s="4">
        <f>SUMIFS(Tab_04.Abr[MOVIMENTO],Tab_04.Abr[CONTA],$F183)</f>
        <v>24727.29</v>
      </c>
      <c r="L183" s="4">
        <f>SUMIFS(Tab_05.Mai[MOVIMENTO],Tab_05.Mai[CONTA],$F183)</f>
        <v>-326234.96999999997</v>
      </c>
      <c r="M183" s="4">
        <f>SUMIFS(Tab_06.Jun[MOVIMENTO],Tab_06.Jun[CONTA],$F183)</f>
        <v>-435543.91</v>
      </c>
      <c r="N183" s="4">
        <f>SUMIFS(Tab_07.Jul[MOVIMENTO],Tab_07.Jul[CONTA],$F183)</f>
        <v>-435543.91</v>
      </c>
      <c r="O183" s="4">
        <f>SUMIFS(Tab_08.Ago[MOVIMENTO],Tab_08.Ago[CONTA],$F183)</f>
        <v>-435543.91</v>
      </c>
      <c r="P183" s="4">
        <f>SUMIFS(Tab_09.Set[MOVIMENTO],Tab_09.Set[CONTA],$F183)</f>
        <v>-154545.93</v>
      </c>
      <c r="Q183" s="4">
        <f>SUMIFS(Tab_10.Out[MOVIMENTO],Tab_10.Out[CONTA],$F183)</f>
        <v>-213626.76</v>
      </c>
      <c r="R183" s="4">
        <f>SUMIFS(Tab_11.Nov[MOVIMENTO],Tab_11.Nov[CONTA],$F183)</f>
        <v>-332028.59000000003</v>
      </c>
      <c r="S183" s="4">
        <f>SUMIFS(Tab_12.Dez[MOVIMENTO],Tab_12.Dez[CONTA],$F183)</f>
        <v>93387.27</v>
      </c>
    </row>
    <row r="184" spans="2:19" x14ac:dyDescent="0.3">
      <c r="B184" s="3" t="s">
        <v>71</v>
      </c>
      <c r="C184" s="2" t="str">
        <f t="shared" si="21"/>
        <v>R</v>
      </c>
      <c r="D184" s="2" t="str">
        <f t="shared" si="22"/>
        <v>A</v>
      </c>
      <c r="E184" s="2">
        <f t="shared" si="23"/>
        <v>5</v>
      </c>
      <c r="F184" s="3" t="s">
        <v>393</v>
      </c>
      <c r="G184" s="3" t="s">
        <v>394</v>
      </c>
      <c r="H184" s="4">
        <f>SUMIFS(Tab_01.Jan[MOVIMENTO],Tab_01.Jan[CONTA],$F184)</f>
        <v>-203029.48</v>
      </c>
      <c r="I184" s="4">
        <f>SUMIFS(Tab_02.Fev[MOVIMENTO],Tab_02.Fev[CONTA],$F184)</f>
        <v>0</v>
      </c>
      <c r="J184" s="4">
        <f>SUMIFS(Tab_03.Mar[MOVIMENTO],Tab_03.Mar[CONTA],$F184)</f>
        <v>-306654.68</v>
      </c>
      <c r="K184" s="4">
        <f>SUMIFS(Tab_04.Abr[MOVIMENTO],Tab_04.Abr[CONTA],$F184)</f>
        <v>24727.29</v>
      </c>
      <c r="L184" s="4">
        <f>SUMIFS(Tab_05.Mai[MOVIMENTO],Tab_05.Mai[CONTA],$F184)</f>
        <v>-326234.96999999997</v>
      </c>
      <c r="M184" s="4">
        <f>SUMIFS(Tab_06.Jun[MOVIMENTO],Tab_06.Jun[CONTA],$F184)</f>
        <v>-435543.91</v>
      </c>
      <c r="N184" s="4">
        <f>SUMIFS(Tab_07.Jul[MOVIMENTO],Tab_07.Jul[CONTA],$F184)</f>
        <v>-435543.91</v>
      </c>
      <c r="O184" s="4">
        <f>SUMIFS(Tab_08.Ago[MOVIMENTO],Tab_08.Ago[CONTA],$F184)</f>
        <v>-435543.91</v>
      </c>
      <c r="P184" s="4">
        <f>SUMIFS(Tab_09.Set[MOVIMENTO],Tab_09.Set[CONTA],$F184)</f>
        <v>-154545.93</v>
      </c>
      <c r="Q184" s="4">
        <f>SUMIFS(Tab_10.Out[MOVIMENTO],Tab_10.Out[CONTA],$F184)</f>
        <v>-213626.76</v>
      </c>
      <c r="R184" s="4">
        <f>SUMIFS(Tab_11.Nov[MOVIMENTO],Tab_11.Nov[CONTA],$F184)</f>
        <v>-332028.59000000003</v>
      </c>
      <c r="S184" s="4">
        <f>SUMIFS(Tab_12.Dez[MOVIMENTO],Tab_12.Dez[CONTA],$F184)</f>
        <v>93387.27</v>
      </c>
    </row>
    <row r="185" spans="2:19" x14ac:dyDescent="0.3">
      <c r="B185" s="3"/>
      <c r="C185" s="2" t="str">
        <f t="shared" si="21"/>
        <v>R</v>
      </c>
      <c r="D185" s="2" t="str">
        <f t="shared" si="22"/>
        <v>S</v>
      </c>
      <c r="E185" s="2">
        <f t="shared" si="23"/>
        <v>2</v>
      </c>
      <c r="F185" s="3" t="s">
        <v>587</v>
      </c>
      <c r="G185" s="3" t="s">
        <v>691</v>
      </c>
      <c r="H185" s="4">
        <f>SUMIFS(Tab_01.Jan[MOVIMENTO],Tab_01.Jan[CONTA],$F185)</f>
        <v>-50</v>
      </c>
      <c r="I185" s="4">
        <f>SUMIFS(Tab_02.Fev[MOVIMENTO],Tab_02.Fev[CONTA],$F185)</f>
        <v>-650</v>
      </c>
      <c r="J185" s="4">
        <f>SUMIFS(Tab_03.Mar[MOVIMENTO],Tab_03.Mar[CONTA],$F185)</f>
        <v>-2000</v>
      </c>
      <c r="K185" s="4">
        <f>SUMIFS(Tab_04.Abr[MOVIMENTO],Tab_04.Abr[CONTA],$F185)</f>
        <v>-2300</v>
      </c>
      <c r="L185" s="4">
        <f>SUMIFS(Tab_05.Mai[MOVIMENTO],Tab_05.Mai[CONTA],$F185)</f>
        <v>-500</v>
      </c>
      <c r="M185" s="4">
        <f>SUMIFS(Tab_06.Jun[MOVIMENTO],Tab_06.Jun[CONTA],$F185)</f>
        <v>-1250</v>
      </c>
      <c r="N185" s="4">
        <f>SUMIFS(Tab_07.Jul[MOVIMENTO],Tab_07.Jul[CONTA],$F185)</f>
        <v>-1250</v>
      </c>
      <c r="O185" s="4">
        <f>SUMIFS(Tab_08.Ago[MOVIMENTO],Tab_08.Ago[CONTA],$F185)</f>
        <v>-1250</v>
      </c>
      <c r="P185" s="4">
        <f>SUMIFS(Tab_09.Set[MOVIMENTO],Tab_09.Set[CONTA],$F185)</f>
        <v>0</v>
      </c>
      <c r="Q185" s="4">
        <f>SUMIFS(Tab_10.Out[MOVIMENTO],Tab_10.Out[CONTA],$F185)</f>
        <v>0</v>
      </c>
      <c r="R185" s="4">
        <f>SUMIFS(Tab_11.Nov[MOVIMENTO],Tab_11.Nov[CONTA],$F185)</f>
        <v>0</v>
      </c>
      <c r="S185" s="4">
        <f>SUMIFS(Tab_12.Dez[MOVIMENTO],Tab_12.Dez[CONTA],$F185)</f>
        <v>0</v>
      </c>
    </row>
    <row r="186" spans="2:19" x14ac:dyDescent="0.3">
      <c r="B186" s="3"/>
      <c r="C186" s="2" t="str">
        <f t="shared" si="21"/>
        <v>R</v>
      </c>
      <c r="D186" s="2" t="str">
        <f t="shared" si="22"/>
        <v>S</v>
      </c>
      <c r="E186" s="2">
        <f t="shared" si="23"/>
        <v>5</v>
      </c>
      <c r="F186" s="3" t="s">
        <v>588</v>
      </c>
      <c r="G186" s="3" t="s">
        <v>692</v>
      </c>
      <c r="H186" s="4">
        <f>SUMIFS(Tab_01.Jan[MOVIMENTO],Tab_01.Jan[CONTA],$F186)</f>
        <v>-50</v>
      </c>
      <c r="I186" s="4">
        <f>SUMIFS(Tab_02.Fev[MOVIMENTO],Tab_02.Fev[CONTA],$F186)</f>
        <v>-650</v>
      </c>
      <c r="J186" s="4">
        <f>SUMIFS(Tab_03.Mar[MOVIMENTO],Tab_03.Mar[CONTA],$F186)</f>
        <v>-2000</v>
      </c>
      <c r="K186" s="4">
        <f>SUMIFS(Tab_04.Abr[MOVIMENTO],Tab_04.Abr[CONTA],$F186)</f>
        <v>-2300</v>
      </c>
      <c r="L186" s="4">
        <f>SUMIFS(Tab_05.Mai[MOVIMENTO],Tab_05.Mai[CONTA],$F186)</f>
        <v>-500</v>
      </c>
      <c r="M186" s="4">
        <f>SUMIFS(Tab_06.Jun[MOVIMENTO],Tab_06.Jun[CONTA],$F186)</f>
        <v>-1250</v>
      </c>
      <c r="N186" s="4">
        <f>SUMIFS(Tab_07.Jul[MOVIMENTO],Tab_07.Jul[CONTA],$F186)</f>
        <v>-1250</v>
      </c>
      <c r="O186" s="4">
        <f>SUMIFS(Tab_08.Ago[MOVIMENTO],Tab_08.Ago[CONTA],$F186)</f>
        <v>-1250</v>
      </c>
      <c r="P186" s="4">
        <f>SUMIFS(Tab_09.Set[MOVIMENTO],Tab_09.Set[CONTA],$F186)</f>
        <v>0</v>
      </c>
      <c r="Q186" s="4">
        <f>SUMIFS(Tab_10.Out[MOVIMENTO],Tab_10.Out[CONTA],$F186)</f>
        <v>0</v>
      </c>
      <c r="R186" s="4">
        <f>SUMIFS(Tab_11.Nov[MOVIMENTO],Tab_11.Nov[CONTA],$F186)</f>
        <v>0</v>
      </c>
      <c r="S186" s="4">
        <f>SUMIFS(Tab_12.Dez[MOVIMENTO],Tab_12.Dez[CONTA],$F186)</f>
        <v>0</v>
      </c>
    </row>
    <row r="187" spans="2:19" x14ac:dyDescent="0.3">
      <c r="B187" s="3"/>
      <c r="C187" s="2" t="str">
        <f t="shared" si="21"/>
        <v>R</v>
      </c>
      <c r="D187" s="2" t="str">
        <f t="shared" si="22"/>
        <v>S</v>
      </c>
      <c r="E187" s="2">
        <f t="shared" si="23"/>
        <v>5</v>
      </c>
      <c r="F187" s="3" t="s">
        <v>589</v>
      </c>
      <c r="G187" s="3" t="s">
        <v>692</v>
      </c>
      <c r="H187" s="4">
        <f>SUMIFS(Tab_01.Jan[MOVIMENTO],Tab_01.Jan[CONTA],$F187)</f>
        <v>-50</v>
      </c>
      <c r="I187" s="4">
        <f>SUMIFS(Tab_02.Fev[MOVIMENTO],Tab_02.Fev[CONTA],$F187)</f>
        <v>-650</v>
      </c>
      <c r="J187" s="4">
        <f>SUMIFS(Tab_03.Mar[MOVIMENTO],Tab_03.Mar[CONTA],$F187)</f>
        <v>-2000</v>
      </c>
      <c r="K187" s="4">
        <f>SUMIFS(Tab_04.Abr[MOVIMENTO],Tab_04.Abr[CONTA],$F187)</f>
        <v>-2300</v>
      </c>
      <c r="L187" s="4">
        <f>SUMIFS(Tab_05.Mai[MOVIMENTO],Tab_05.Mai[CONTA],$F187)</f>
        <v>-500</v>
      </c>
      <c r="M187" s="4">
        <f>SUMIFS(Tab_06.Jun[MOVIMENTO],Tab_06.Jun[CONTA],$F187)</f>
        <v>-1250</v>
      </c>
      <c r="N187" s="4">
        <f>SUMIFS(Tab_07.Jul[MOVIMENTO],Tab_07.Jul[CONTA],$F187)</f>
        <v>-1250</v>
      </c>
      <c r="O187" s="4">
        <f>SUMIFS(Tab_08.Ago[MOVIMENTO],Tab_08.Ago[CONTA],$F187)</f>
        <v>-1250</v>
      </c>
      <c r="P187" s="4">
        <f>SUMIFS(Tab_09.Set[MOVIMENTO],Tab_09.Set[CONTA],$F187)</f>
        <v>0</v>
      </c>
      <c r="Q187" s="4">
        <f>SUMIFS(Tab_10.Out[MOVIMENTO],Tab_10.Out[CONTA],$F187)</f>
        <v>0</v>
      </c>
      <c r="R187" s="4">
        <f>SUMIFS(Tab_11.Nov[MOVIMENTO],Tab_11.Nov[CONTA],$F187)</f>
        <v>0</v>
      </c>
      <c r="S187" s="4">
        <f>SUMIFS(Tab_12.Dez[MOVIMENTO],Tab_12.Dez[CONTA],$F187)</f>
        <v>0</v>
      </c>
    </row>
    <row r="188" spans="2:19" x14ac:dyDescent="0.3">
      <c r="B188" s="3" t="s">
        <v>101</v>
      </c>
      <c r="C188" s="2" t="str">
        <f t="shared" si="21"/>
        <v>R</v>
      </c>
      <c r="D188" s="2" t="str">
        <f t="shared" si="22"/>
        <v>A</v>
      </c>
      <c r="E188" s="2">
        <f t="shared" si="23"/>
        <v>5</v>
      </c>
      <c r="F188" s="3" t="s">
        <v>395</v>
      </c>
      <c r="G188" s="3" t="s">
        <v>396</v>
      </c>
      <c r="H188" s="4">
        <f>SUMIFS(Tab_01.Jan[MOVIMENTO],Tab_01.Jan[CONTA],$F188)</f>
        <v>-50</v>
      </c>
      <c r="I188" s="4">
        <f>SUMIFS(Tab_02.Fev[MOVIMENTO],Tab_02.Fev[CONTA],$F188)</f>
        <v>-650</v>
      </c>
      <c r="J188" s="4">
        <f>SUMIFS(Tab_03.Mar[MOVIMENTO],Tab_03.Mar[CONTA],$F188)</f>
        <v>-2000</v>
      </c>
      <c r="K188" s="4">
        <f>SUMIFS(Tab_04.Abr[MOVIMENTO],Tab_04.Abr[CONTA],$F188)</f>
        <v>-2300</v>
      </c>
      <c r="L188" s="4">
        <f>SUMIFS(Tab_05.Mai[MOVIMENTO],Tab_05.Mai[CONTA],$F188)</f>
        <v>-500</v>
      </c>
      <c r="M188" s="4">
        <f>SUMIFS(Tab_06.Jun[MOVIMENTO],Tab_06.Jun[CONTA],$F188)</f>
        <v>-1250</v>
      </c>
      <c r="N188" s="4">
        <f>SUMIFS(Tab_07.Jul[MOVIMENTO],Tab_07.Jul[CONTA],$F188)</f>
        <v>-1250</v>
      </c>
      <c r="O188" s="4">
        <f>SUMIFS(Tab_08.Ago[MOVIMENTO],Tab_08.Ago[CONTA],$F188)</f>
        <v>-1250</v>
      </c>
      <c r="P188" s="4">
        <f>SUMIFS(Tab_09.Set[MOVIMENTO],Tab_09.Set[CONTA],$F188)</f>
        <v>0</v>
      </c>
      <c r="Q188" s="4">
        <f>SUMIFS(Tab_10.Out[MOVIMENTO],Tab_10.Out[CONTA],$F188)</f>
        <v>0</v>
      </c>
      <c r="R188" s="4">
        <f>SUMIFS(Tab_11.Nov[MOVIMENTO],Tab_11.Nov[CONTA],$F188)</f>
        <v>0</v>
      </c>
      <c r="S188" s="4">
        <f>SUMIFS(Tab_12.Dez[MOVIMENTO],Tab_12.Dez[CONTA],$F188)</f>
        <v>0</v>
      </c>
    </row>
    <row r="189" spans="2:19" x14ac:dyDescent="0.3">
      <c r="B189" s="3"/>
      <c r="C189" s="2" t="str">
        <f t="shared" si="21"/>
        <v>C</v>
      </c>
      <c r="D189" s="2" t="str">
        <f t="shared" si="22"/>
        <v>S</v>
      </c>
      <c r="E189" s="2">
        <f t="shared" si="23"/>
        <v>1</v>
      </c>
      <c r="F189" s="3">
        <v>4</v>
      </c>
      <c r="G189" s="3" t="s">
        <v>693</v>
      </c>
      <c r="H189" s="4">
        <f>SUMIFS(Tab_01.Jan[MOVIMENTO],Tab_01.Jan[CONTA],$F189)</f>
        <v>978219.9</v>
      </c>
      <c r="I189" s="4">
        <f>SUMIFS(Tab_02.Fev[MOVIMENTO],Tab_02.Fev[CONTA],$F189)</f>
        <v>226607.49</v>
      </c>
      <c r="J189" s="4">
        <f>SUMIFS(Tab_03.Mar[MOVIMENTO],Tab_03.Mar[CONTA],$F189)</f>
        <v>579455.34</v>
      </c>
      <c r="K189" s="4">
        <f>SUMIFS(Tab_04.Abr[MOVIMENTO],Tab_04.Abr[CONTA],$F189)</f>
        <v>833717.59</v>
      </c>
      <c r="L189" s="4">
        <f>SUMIFS(Tab_05.Mai[MOVIMENTO],Tab_05.Mai[CONTA],$F189)</f>
        <v>850627.51</v>
      </c>
      <c r="M189" s="4">
        <f>SUMIFS(Tab_06.Jun[MOVIMENTO],Tab_06.Jun[CONTA],$F189)</f>
        <v>827933.55</v>
      </c>
      <c r="N189" s="4">
        <f>SUMIFS(Tab_07.Jul[MOVIMENTO],Tab_07.Jul[CONTA],$F189)</f>
        <v>827933.55</v>
      </c>
      <c r="O189" s="4">
        <f>SUMIFS(Tab_08.Ago[MOVIMENTO],Tab_08.Ago[CONTA],$F189)</f>
        <v>827933.55</v>
      </c>
      <c r="P189" s="4">
        <f>SUMIFS(Tab_09.Set[MOVIMENTO],Tab_09.Set[CONTA],$F189)</f>
        <v>739966.21</v>
      </c>
      <c r="Q189" s="4">
        <f>SUMIFS(Tab_10.Out[MOVIMENTO],Tab_10.Out[CONTA],$F189)</f>
        <v>940843.08</v>
      </c>
      <c r="R189" s="4">
        <f>SUMIFS(Tab_11.Nov[MOVIMENTO],Tab_11.Nov[CONTA],$F189)</f>
        <v>460910.41</v>
      </c>
      <c r="S189" s="4">
        <f>SUMIFS(Tab_12.Dez[MOVIMENTO],Tab_12.Dez[CONTA],$F189)</f>
        <v>1612186.11</v>
      </c>
    </row>
    <row r="190" spans="2:19" x14ac:dyDescent="0.3">
      <c r="B190" s="3"/>
      <c r="C190" s="2" t="str">
        <f>IF($F190="","",IF(LEFT($F190,1)*1=1,"A",IF(LEFT($F190,1)*1=2,"P",IF(LEFT($F190,1)*1=3,"R",IF(LEFT($F190,1)*1=4,"C",IF(LEFT($F190,1)*1=5,"C",IF(LEFT($F190,1)*1=6,"C","")))))))</f>
        <v>C</v>
      </c>
      <c r="D190" s="2" t="str">
        <f>IF($F190="","",IF(LEN($F190)=13,"A","S"))</f>
        <v>S</v>
      </c>
      <c r="E190" s="2">
        <f>IF($F190="","",IF(LEN($F190)=1,1,IF(LEN($F190)=3,2,IF(LEN($F190)=5,3,IF(LEN($F190)=8,4,5)))))</f>
        <v>2</v>
      </c>
      <c r="F190" s="3" t="s">
        <v>234</v>
      </c>
      <c r="G190" s="3" t="s">
        <v>694</v>
      </c>
      <c r="H190" s="4">
        <f>SUMIFS(Tab_01.Jan[MOVIMENTO],Tab_01.Jan[CONTA],$F190)</f>
        <v>978219.9</v>
      </c>
      <c r="I190" s="4">
        <f>SUMIFS(Tab_02.Fev[MOVIMENTO],Tab_02.Fev[CONTA],$F190)</f>
        <v>226607.49</v>
      </c>
      <c r="J190" s="4">
        <f>SUMIFS(Tab_03.Mar[MOVIMENTO],Tab_03.Mar[CONTA],$F190)</f>
        <v>579455.34</v>
      </c>
      <c r="K190" s="4">
        <f>SUMIFS(Tab_04.Abr[MOVIMENTO],Tab_04.Abr[CONTA],$F190)</f>
        <v>833717.59</v>
      </c>
      <c r="L190" s="4">
        <f>SUMIFS(Tab_05.Mai[MOVIMENTO],Tab_05.Mai[CONTA],$F190)</f>
        <v>850627.51</v>
      </c>
      <c r="M190" s="4">
        <f>SUMIFS(Tab_06.Jun[MOVIMENTO],Tab_06.Jun[CONTA],$F190)</f>
        <v>827933.55</v>
      </c>
      <c r="N190" s="4">
        <f>SUMIFS(Tab_07.Jul[MOVIMENTO],Tab_07.Jul[CONTA],$F190)</f>
        <v>827933.55</v>
      </c>
      <c r="O190" s="4">
        <f>SUMIFS(Tab_08.Ago[MOVIMENTO],Tab_08.Ago[CONTA],$F190)</f>
        <v>827933.55</v>
      </c>
      <c r="P190" s="4">
        <f>SUMIFS(Tab_09.Set[MOVIMENTO],Tab_09.Set[CONTA],$F190)</f>
        <v>739966.21</v>
      </c>
      <c r="Q190" s="4">
        <f>SUMIFS(Tab_10.Out[MOVIMENTO],Tab_10.Out[CONTA],$F190)</f>
        <v>940843.08</v>
      </c>
      <c r="R190" s="4">
        <f>SUMIFS(Tab_11.Nov[MOVIMENTO],Tab_11.Nov[CONTA],$F190)</f>
        <v>460910.41</v>
      </c>
      <c r="S190" s="4">
        <f>SUMIFS(Tab_12.Dez[MOVIMENTO],Tab_12.Dez[CONTA],$F190)</f>
        <v>1612186.11</v>
      </c>
    </row>
    <row r="191" spans="2:19" x14ac:dyDescent="0.3">
      <c r="B191" s="3"/>
      <c r="C191" s="2" t="str">
        <f t="shared" si="21"/>
        <v>C</v>
      </c>
      <c r="D191" s="2" t="str">
        <f t="shared" si="22"/>
        <v>S</v>
      </c>
      <c r="E191" s="2">
        <f t="shared" si="23"/>
        <v>5</v>
      </c>
      <c r="F191" s="3" t="s">
        <v>235</v>
      </c>
      <c r="G191" s="3" t="s">
        <v>695</v>
      </c>
      <c r="H191" s="4">
        <f>SUMIFS(Tab_01.Jan[MOVIMENTO],Tab_01.Jan[CONTA],$F191)</f>
        <v>125780.71</v>
      </c>
      <c r="I191" s="4">
        <f>SUMIFS(Tab_02.Fev[MOVIMENTO],Tab_02.Fev[CONTA],$F191)</f>
        <v>49228.43</v>
      </c>
      <c r="J191" s="4">
        <f>SUMIFS(Tab_03.Mar[MOVIMENTO],Tab_03.Mar[CONTA],$F191)</f>
        <v>177349.57</v>
      </c>
      <c r="K191" s="4">
        <f>SUMIFS(Tab_04.Abr[MOVIMENTO],Tab_04.Abr[CONTA],$F191)</f>
        <v>174680.62</v>
      </c>
      <c r="L191" s="4">
        <f>SUMIFS(Tab_05.Mai[MOVIMENTO],Tab_05.Mai[CONTA],$F191)</f>
        <v>173138.99</v>
      </c>
      <c r="M191" s="4">
        <f>SUMIFS(Tab_06.Jun[MOVIMENTO],Tab_06.Jun[CONTA],$F191)</f>
        <v>125936.96000000001</v>
      </c>
      <c r="N191" s="4">
        <f>SUMIFS(Tab_07.Jul[MOVIMENTO],Tab_07.Jul[CONTA],$F191)</f>
        <v>125936.96000000001</v>
      </c>
      <c r="O191" s="4">
        <f>SUMIFS(Tab_08.Ago[MOVIMENTO],Tab_08.Ago[CONTA],$F191)</f>
        <v>125936.96000000001</v>
      </c>
      <c r="P191" s="4">
        <f>SUMIFS(Tab_09.Set[MOVIMENTO],Tab_09.Set[CONTA],$F191)</f>
        <v>168664.71</v>
      </c>
      <c r="Q191" s="4">
        <f>SUMIFS(Tab_10.Out[MOVIMENTO],Tab_10.Out[CONTA],$F191)</f>
        <v>136678.12</v>
      </c>
      <c r="R191" s="4">
        <f>SUMIFS(Tab_11.Nov[MOVIMENTO],Tab_11.Nov[CONTA],$F191)</f>
        <v>163419.98000000001</v>
      </c>
      <c r="S191" s="4">
        <f>SUMIFS(Tab_12.Dez[MOVIMENTO],Tab_12.Dez[CONTA],$F191)</f>
        <v>157554.72</v>
      </c>
    </row>
    <row r="192" spans="2:19" x14ac:dyDescent="0.3">
      <c r="B192" s="3"/>
      <c r="C192" s="2" t="str">
        <f>IF($F192="","",IF(LEFT($F192,1)*1=1,"A",IF(LEFT($F192,1)*1=2,"P",IF(LEFT($F192,1)*1=3,"R",IF(LEFT($F192,1)*1=4,"C",IF(LEFT($F192,1)*1=5,"C",IF(LEFT($F192,1)*1=6,"C","")))))))</f>
        <v>C</v>
      </c>
      <c r="D192" s="2" t="str">
        <f>IF($F192="","",IF(LEN($F192)=13,"A","S"))</f>
        <v>S</v>
      </c>
      <c r="E192" s="2">
        <f>IF($F192="","",IF(LEN($F192)=1,1,IF(LEN($F192)=3,2,IF(LEN($F192)=5,3,IF(LEN($F192)=8,4,5)))))</f>
        <v>5</v>
      </c>
      <c r="F192" s="3" t="s">
        <v>236</v>
      </c>
      <c r="G192" s="3" t="s">
        <v>696</v>
      </c>
      <c r="H192" s="4">
        <f>SUMIFS(Tab_01.Jan[MOVIMENTO],Tab_01.Jan[CONTA],$F192)</f>
        <v>54534.01</v>
      </c>
      <c r="I192" s="4">
        <f>SUMIFS(Tab_02.Fev[MOVIMENTO],Tab_02.Fev[CONTA],$F192)</f>
        <v>0</v>
      </c>
      <c r="J192" s="4">
        <f>SUMIFS(Tab_03.Mar[MOVIMENTO],Tab_03.Mar[CONTA],$F192)</f>
        <v>71633.179999999993</v>
      </c>
      <c r="K192" s="4">
        <f>SUMIFS(Tab_04.Abr[MOVIMENTO],Tab_04.Abr[CONTA],$F192)</f>
        <v>84490.42</v>
      </c>
      <c r="L192" s="4">
        <f>SUMIFS(Tab_05.Mai[MOVIMENTO],Tab_05.Mai[CONTA],$F192)</f>
        <v>83040.41</v>
      </c>
      <c r="M192" s="4">
        <f>SUMIFS(Tab_06.Jun[MOVIMENTO],Tab_06.Jun[CONTA],$F192)</f>
        <v>54793.49</v>
      </c>
      <c r="N192" s="4">
        <f>SUMIFS(Tab_07.Jul[MOVIMENTO],Tab_07.Jul[CONTA],$F192)</f>
        <v>54793.49</v>
      </c>
      <c r="O192" s="4">
        <f>SUMIFS(Tab_08.Ago[MOVIMENTO],Tab_08.Ago[CONTA],$F192)</f>
        <v>54793.49</v>
      </c>
      <c r="P192" s="4">
        <f>SUMIFS(Tab_09.Set[MOVIMENTO],Tab_09.Set[CONTA],$F192)</f>
        <v>72968.94</v>
      </c>
      <c r="Q192" s="4">
        <f>SUMIFS(Tab_10.Out[MOVIMENTO],Tab_10.Out[CONTA],$F192)</f>
        <v>64190.76</v>
      </c>
      <c r="R192" s="4">
        <f>SUMIFS(Tab_11.Nov[MOVIMENTO],Tab_11.Nov[CONTA],$F192)</f>
        <v>75227.48</v>
      </c>
      <c r="S192" s="4">
        <f>SUMIFS(Tab_12.Dez[MOVIMENTO],Tab_12.Dez[CONTA],$F192)</f>
        <v>84360.26</v>
      </c>
    </row>
    <row r="193" spans="2:19" x14ac:dyDescent="0.3">
      <c r="B193" s="3" t="s">
        <v>104</v>
      </c>
      <c r="C193" s="2" t="str">
        <f t="shared" si="21"/>
        <v>C</v>
      </c>
      <c r="D193" s="2" t="str">
        <f t="shared" si="22"/>
        <v>A</v>
      </c>
      <c r="E193" s="2">
        <f t="shared" si="23"/>
        <v>5</v>
      </c>
      <c r="F193" s="3" t="s">
        <v>195</v>
      </c>
      <c r="G193" s="3" t="s">
        <v>427</v>
      </c>
      <c r="H193" s="4">
        <f>SUMIFS(Tab_01.Jan[MOVIMENTO],Tab_01.Jan[CONTA],$F193)</f>
        <v>-9283.35</v>
      </c>
      <c r="I193" s="4">
        <f>SUMIFS(Tab_02.Fev[MOVIMENTO],Tab_02.Fev[CONTA],$F193)</f>
        <v>0</v>
      </c>
      <c r="J193" s="4">
        <f>SUMIFS(Tab_03.Mar[MOVIMENTO],Tab_03.Mar[CONTA],$F193)</f>
        <v>54617.88</v>
      </c>
      <c r="K193" s="4">
        <f>SUMIFS(Tab_04.Abr[MOVIMENTO],Tab_04.Abr[CONTA],$F193)</f>
        <v>67332.59</v>
      </c>
      <c r="L193" s="4">
        <f>SUMIFS(Tab_05.Mai[MOVIMENTO],Tab_05.Mai[CONTA],$F193)</f>
        <v>65332.63</v>
      </c>
      <c r="M193" s="4">
        <f>SUMIFS(Tab_06.Jun[MOVIMENTO],Tab_06.Jun[CONTA],$F193)</f>
        <v>37076.21</v>
      </c>
      <c r="N193" s="4">
        <f>SUMIFS(Tab_07.Jul[MOVIMENTO],Tab_07.Jul[CONTA],$F193)</f>
        <v>37076.21</v>
      </c>
      <c r="O193" s="4">
        <f>SUMIFS(Tab_08.Ago[MOVIMENTO],Tab_08.Ago[CONTA],$F193)</f>
        <v>37076.21</v>
      </c>
      <c r="P193" s="4">
        <f>SUMIFS(Tab_09.Set[MOVIMENTO],Tab_09.Set[CONTA],$F193)</f>
        <v>62503.12</v>
      </c>
      <c r="Q193" s="4">
        <f>SUMIFS(Tab_10.Out[MOVIMENTO],Tab_10.Out[CONTA],$F193)</f>
        <v>47197.23</v>
      </c>
      <c r="R193" s="4">
        <f>SUMIFS(Tab_11.Nov[MOVIMENTO],Tab_11.Nov[CONTA],$F193)</f>
        <v>58344.11</v>
      </c>
      <c r="S193" s="4">
        <f>SUMIFS(Tab_12.Dez[MOVIMENTO],Tab_12.Dez[CONTA],$F193)</f>
        <v>62486.02</v>
      </c>
    </row>
    <row r="194" spans="2:19" x14ac:dyDescent="0.3">
      <c r="B194" s="3" t="s">
        <v>104</v>
      </c>
      <c r="C194" s="2" t="str">
        <f t="shared" si="21"/>
        <v>C</v>
      </c>
      <c r="D194" s="2" t="str">
        <f t="shared" si="22"/>
        <v>A</v>
      </c>
      <c r="E194" s="2">
        <f t="shared" si="23"/>
        <v>5</v>
      </c>
      <c r="F194" s="3" t="s">
        <v>428</v>
      </c>
      <c r="G194" s="3" t="s">
        <v>429</v>
      </c>
      <c r="H194" s="4">
        <f>SUMIFS(Tab_01.Jan[MOVIMENTO],Tab_01.Jan[CONTA],$F194)</f>
        <v>0</v>
      </c>
      <c r="I194" s="4">
        <f>SUMIFS(Tab_02.Fev[MOVIMENTO],Tab_02.Fev[CONTA],$F194)</f>
        <v>0</v>
      </c>
      <c r="J194" s="4">
        <f>SUMIFS(Tab_03.Mar[MOVIMENTO],Tab_03.Mar[CONTA],$F194)</f>
        <v>0</v>
      </c>
      <c r="K194" s="4">
        <f>SUMIFS(Tab_04.Abr[MOVIMENTO],Tab_04.Abr[CONTA],$F194)</f>
        <v>0</v>
      </c>
      <c r="L194" s="4">
        <f>SUMIFS(Tab_05.Mai[MOVIMENTO],Tab_05.Mai[CONTA],$F194)</f>
        <v>0</v>
      </c>
      <c r="M194" s="4">
        <f>SUMIFS(Tab_06.Jun[MOVIMENTO],Tab_06.Jun[CONTA],$F194)</f>
        <v>0</v>
      </c>
      <c r="N194" s="4">
        <f>SUMIFS(Tab_07.Jul[MOVIMENTO],Tab_07.Jul[CONTA],$F194)</f>
        <v>0</v>
      </c>
      <c r="O194" s="4">
        <f>SUMIFS(Tab_08.Ago[MOVIMENTO],Tab_08.Ago[CONTA],$F194)</f>
        <v>0</v>
      </c>
      <c r="P194" s="4">
        <f>SUMIFS(Tab_09.Set[MOVIMENTO],Tab_09.Set[CONTA],$F194)</f>
        <v>0</v>
      </c>
      <c r="Q194" s="4">
        <f>SUMIFS(Tab_10.Out[MOVIMENTO],Tab_10.Out[CONTA],$F194)</f>
        <v>0</v>
      </c>
      <c r="R194" s="4">
        <f>SUMIFS(Tab_11.Nov[MOVIMENTO],Tab_11.Nov[CONTA],$F194)</f>
        <v>0</v>
      </c>
      <c r="S194" s="4">
        <f>SUMIFS(Tab_12.Dez[MOVIMENTO],Tab_12.Dez[CONTA],$F194)</f>
        <v>0</v>
      </c>
    </row>
    <row r="195" spans="2:19" x14ac:dyDescent="0.3">
      <c r="B195" s="3" t="s">
        <v>104</v>
      </c>
      <c r="C195" s="2" t="str">
        <f t="shared" si="21"/>
        <v>C</v>
      </c>
      <c r="D195" s="2" t="str">
        <f t="shared" si="22"/>
        <v>A</v>
      </c>
      <c r="E195" s="2">
        <f t="shared" si="23"/>
        <v>5</v>
      </c>
      <c r="F195" s="3" t="s">
        <v>430</v>
      </c>
      <c r="G195" s="3" t="s">
        <v>431</v>
      </c>
      <c r="H195" s="4">
        <f>SUMIFS(Tab_01.Jan[MOVIMENTO],Tab_01.Jan[CONTA],$F195)</f>
        <v>7059.76</v>
      </c>
      <c r="I195" s="4">
        <f>SUMIFS(Tab_02.Fev[MOVIMENTO],Tab_02.Fev[CONTA],$F195)</f>
        <v>0</v>
      </c>
      <c r="J195" s="4">
        <f>SUMIFS(Tab_03.Mar[MOVIMENTO],Tab_03.Mar[CONTA],$F195)</f>
        <v>6910.43</v>
      </c>
      <c r="K195" s="4">
        <f>SUMIFS(Tab_04.Abr[MOVIMENTO],Tab_04.Abr[CONTA],$F195)</f>
        <v>8176.23</v>
      </c>
      <c r="L195" s="4">
        <f>SUMIFS(Tab_05.Mai[MOVIMENTO],Tab_05.Mai[CONTA],$F195)</f>
        <v>8440.17</v>
      </c>
      <c r="M195" s="4">
        <f>SUMIFS(Tab_06.Jun[MOVIMENTO],Tab_06.Jun[CONTA],$F195)</f>
        <v>6726.67</v>
      </c>
      <c r="N195" s="4">
        <f>SUMIFS(Tab_07.Jul[MOVIMENTO],Tab_07.Jul[CONTA],$F195)</f>
        <v>6726.67</v>
      </c>
      <c r="O195" s="4">
        <f>SUMIFS(Tab_08.Ago[MOVIMENTO],Tab_08.Ago[CONTA],$F195)</f>
        <v>6726.67</v>
      </c>
      <c r="P195" s="4">
        <f>SUMIFS(Tab_09.Set[MOVIMENTO],Tab_09.Set[CONTA],$F195)</f>
        <v>8432.86</v>
      </c>
      <c r="Q195" s="4">
        <f>SUMIFS(Tab_10.Out[MOVIMENTO],Tab_10.Out[CONTA],$F195)</f>
        <v>12504.53</v>
      </c>
      <c r="R195" s="4">
        <f>SUMIFS(Tab_11.Nov[MOVIMENTO],Tab_11.Nov[CONTA],$F195)</f>
        <v>12494.88</v>
      </c>
      <c r="S195" s="4">
        <f>SUMIFS(Tab_12.Dez[MOVIMENTO],Tab_12.Dez[CONTA],$F195)</f>
        <v>12630.74</v>
      </c>
    </row>
    <row r="196" spans="2:19" x14ac:dyDescent="0.3">
      <c r="B196" s="3" t="s">
        <v>104</v>
      </c>
      <c r="C196" s="2" t="str">
        <f t="shared" si="21"/>
        <v>C</v>
      </c>
      <c r="D196" s="2" t="str">
        <f t="shared" si="22"/>
        <v>A</v>
      </c>
      <c r="E196" s="2">
        <f t="shared" si="23"/>
        <v>5</v>
      </c>
      <c r="F196" s="3" t="s">
        <v>432</v>
      </c>
      <c r="G196" s="3" t="s">
        <v>433</v>
      </c>
      <c r="H196" s="4">
        <f>SUMIFS(Tab_01.Jan[MOVIMENTO],Tab_01.Jan[CONTA],$F196)</f>
        <v>5045.03</v>
      </c>
      <c r="I196" s="4">
        <f>SUMIFS(Tab_02.Fev[MOVIMENTO],Tab_02.Fev[CONTA],$F196)</f>
        <v>0</v>
      </c>
      <c r="J196" s="4">
        <f>SUMIFS(Tab_03.Mar[MOVIMENTO],Tab_03.Mar[CONTA],$F196)</f>
        <v>5045.03</v>
      </c>
      <c r="K196" s="4">
        <f>SUMIFS(Tab_04.Abr[MOVIMENTO],Tab_04.Abr[CONTA],$F196)</f>
        <v>5044.99</v>
      </c>
      <c r="L196" s="4">
        <f>SUMIFS(Tab_05.Mai[MOVIMENTO],Tab_05.Mai[CONTA],$F196)</f>
        <v>5045.05</v>
      </c>
      <c r="M196" s="4">
        <f>SUMIFS(Tab_06.Jun[MOVIMENTO],Tab_06.Jun[CONTA],$F196)</f>
        <v>6330.11</v>
      </c>
      <c r="N196" s="4">
        <f>SUMIFS(Tab_07.Jul[MOVIMENTO],Tab_07.Jul[CONTA],$F196)</f>
        <v>6330.11</v>
      </c>
      <c r="O196" s="4">
        <f>SUMIFS(Tab_08.Ago[MOVIMENTO],Tab_08.Ago[CONTA],$F196)</f>
        <v>6330.11</v>
      </c>
      <c r="P196" s="4">
        <f>SUMIFS(Tab_09.Set[MOVIMENTO],Tab_09.Set[CONTA],$F196)</f>
        <v>7267.45</v>
      </c>
      <c r="Q196" s="4">
        <f>SUMIFS(Tab_10.Out[MOVIMENTO],Tab_10.Out[CONTA],$F196)</f>
        <v>0</v>
      </c>
      <c r="R196" s="4">
        <f>SUMIFS(Tab_11.Nov[MOVIMENTO],Tab_11.Nov[CONTA],$F196)</f>
        <v>0</v>
      </c>
      <c r="S196" s="4">
        <f>SUMIFS(Tab_12.Dez[MOVIMENTO],Tab_12.Dez[CONTA],$F196)</f>
        <v>3434.46</v>
      </c>
    </row>
    <row r="197" spans="2:19" x14ac:dyDescent="0.3">
      <c r="B197" s="3" t="s">
        <v>104</v>
      </c>
      <c r="C197" s="2" t="str">
        <f t="shared" si="21"/>
        <v>C</v>
      </c>
      <c r="D197" s="2" t="str">
        <f t="shared" si="22"/>
        <v>A</v>
      </c>
      <c r="E197" s="2">
        <f t="shared" si="23"/>
        <v>5</v>
      </c>
      <c r="F197" s="3" t="s">
        <v>748</v>
      </c>
      <c r="G197" s="3" t="s">
        <v>749</v>
      </c>
      <c r="H197" s="4">
        <f>SUMIFS(Tab_01.Jan[MOVIMENTO],Tab_01.Jan[CONTA],$F197)</f>
        <v>0</v>
      </c>
      <c r="I197" s="4">
        <f>SUMIFS(Tab_02.Fev[MOVIMENTO],Tab_02.Fev[CONTA],$F197)</f>
        <v>0</v>
      </c>
      <c r="J197" s="4">
        <f>SUMIFS(Tab_03.Mar[MOVIMENTO],Tab_03.Mar[CONTA],$F197)</f>
        <v>0</v>
      </c>
      <c r="K197" s="4">
        <f>SUMIFS(Tab_04.Abr[MOVIMENTO],Tab_04.Abr[CONTA],$F197)</f>
        <v>0</v>
      </c>
      <c r="L197" s="4">
        <f>SUMIFS(Tab_05.Mai[MOVIMENTO],Tab_05.Mai[CONTA],$F197)</f>
        <v>0</v>
      </c>
      <c r="M197" s="4">
        <f>SUMIFS(Tab_06.Jun[MOVIMENTO],Tab_06.Jun[CONTA],$F197)</f>
        <v>0</v>
      </c>
      <c r="N197" s="4">
        <f>SUMIFS(Tab_07.Jul[MOVIMENTO],Tab_07.Jul[CONTA],$F197)</f>
        <v>0</v>
      </c>
      <c r="O197" s="4">
        <f>SUMIFS(Tab_08.Ago[MOVIMENTO],Tab_08.Ago[CONTA],$F197)</f>
        <v>0</v>
      </c>
      <c r="P197" s="4">
        <f>SUMIFS(Tab_09.Set[MOVIMENTO],Tab_09.Set[CONTA],$F197)</f>
        <v>0</v>
      </c>
      <c r="Q197" s="4">
        <f>SUMIFS(Tab_10.Out[MOVIMENTO],Tab_10.Out[CONTA],$F197)</f>
        <v>0</v>
      </c>
      <c r="R197" s="4">
        <f>SUMIFS(Tab_11.Nov[MOVIMENTO],Tab_11.Nov[CONTA],$F197)</f>
        <v>0</v>
      </c>
      <c r="S197" s="4">
        <f>SUMIFS(Tab_12.Dez[MOVIMENTO],Tab_12.Dez[CONTA],$F197)</f>
        <v>0</v>
      </c>
    </row>
    <row r="198" spans="2:19" x14ac:dyDescent="0.3">
      <c r="B198" s="3" t="s">
        <v>104</v>
      </c>
      <c r="C198" s="2" t="str">
        <f t="shared" si="21"/>
        <v>C</v>
      </c>
      <c r="D198" s="2" t="str">
        <f t="shared" si="22"/>
        <v>A</v>
      </c>
      <c r="E198" s="2">
        <f t="shared" si="23"/>
        <v>5</v>
      </c>
      <c r="F198" s="3" t="s">
        <v>796</v>
      </c>
      <c r="G198" s="3" t="s">
        <v>797</v>
      </c>
      <c r="H198" s="4">
        <f>SUMIFS(Tab_01.Jan[MOVIMENTO],Tab_01.Jan[CONTA],$F198)</f>
        <v>49658.59</v>
      </c>
      <c r="I198" s="4">
        <f>SUMIFS(Tab_02.Fev[MOVIMENTO],Tab_02.Fev[CONTA],$F198)</f>
        <v>0</v>
      </c>
      <c r="J198" s="4">
        <f>SUMIFS(Tab_03.Mar[MOVIMENTO],Tab_03.Mar[CONTA],$F198)</f>
        <v>2718.52</v>
      </c>
      <c r="K198" s="4">
        <f>SUMIFS(Tab_04.Abr[MOVIMENTO],Tab_04.Abr[CONTA],$F198)</f>
        <v>1754.97</v>
      </c>
      <c r="L198" s="4">
        <f>SUMIFS(Tab_05.Mai[MOVIMENTO],Tab_05.Mai[CONTA],$F198)</f>
        <v>1802.78</v>
      </c>
      <c r="M198" s="4">
        <f>SUMIFS(Tab_06.Jun[MOVIMENTO],Tab_06.Jun[CONTA],$F198)</f>
        <v>1802.73</v>
      </c>
      <c r="N198" s="4">
        <f>SUMIFS(Tab_07.Jul[MOVIMENTO],Tab_07.Jul[CONTA],$F198)</f>
        <v>1802.73</v>
      </c>
      <c r="O198" s="4">
        <f>SUMIFS(Tab_08.Ago[MOVIMENTO],Tab_08.Ago[CONTA],$F198)</f>
        <v>1802.73</v>
      </c>
      <c r="P198" s="4">
        <f>SUMIFS(Tab_09.Set[MOVIMENTO],Tab_09.Set[CONTA],$F198)</f>
        <v>-5668.96</v>
      </c>
      <c r="Q198" s="4">
        <f>SUMIFS(Tab_10.Out[MOVIMENTO],Tab_10.Out[CONTA],$F198)</f>
        <v>3360.49</v>
      </c>
      <c r="R198" s="4">
        <f>SUMIFS(Tab_11.Nov[MOVIMENTO],Tab_11.Nov[CONTA],$F198)</f>
        <v>3314.3</v>
      </c>
      <c r="S198" s="4">
        <f>SUMIFS(Tab_12.Dez[MOVIMENTO],Tab_12.Dez[CONTA],$F198)</f>
        <v>3360.42</v>
      </c>
    </row>
    <row r="199" spans="2:19" x14ac:dyDescent="0.3">
      <c r="B199" s="3" t="s">
        <v>104</v>
      </c>
      <c r="C199" s="2" t="str">
        <f t="shared" si="21"/>
        <v>C</v>
      </c>
      <c r="D199" s="2" t="str">
        <f t="shared" si="22"/>
        <v>A</v>
      </c>
      <c r="E199" s="2">
        <f t="shared" si="23"/>
        <v>5</v>
      </c>
      <c r="F199" s="3" t="s">
        <v>798</v>
      </c>
      <c r="G199" s="3" t="s">
        <v>799</v>
      </c>
      <c r="H199" s="4">
        <f>SUMIFS(Tab_01.Jan[MOVIMENTO],Tab_01.Jan[CONTA],$F199)</f>
        <v>179.93</v>
      </c>
      <c r="I199" s="4">
        <f>SUMIFS(Tab_02.Fev[MOVIMENTO],Tab_02.Fev[CONTA],$F199)</f>
        <v>0</v>
      </c>
      <c r="J199" s="4">
        <f>SUMIFS(Tab_03.Mar[MOVIMENTO],Tab_03.Mar[CONTA],$F199)</f>
        <v>466.07</v>
      </c>
      <c r="K199" s="4">
        <f>SUMIFS(Tab_04.Abr[MOVIMENTO],Tab_04.Abr[CONTA],$F199)</f>
        <v>302.23</v>
      </c>
      <c r="L199" s="4">
        <f>SUMIFS(Tab_05.Mai[MOVIMENTO],Tab_05.Mai[CONTA],$F199)</f>
        <v>538.13</v>
      </c>
      <c r="M199" s="4">
        <f>SUMIFS(Tab_06.Jun[MOVIMENTO],Tab_06.Jun[CONTA],$F199)</f>
        <v>538.13</v>
      </c>
      <c r="N199" s="4">
        <f>SUMIFS(Tab_07.Jul[MOVIMENTO],Tab_07.Jul[CONTA],$F199)</f>
        <v>538.13</v>
      </c>
      <c r="O199" s="4">
        <f>SUMIFS(Tab_08.Ago[MOVIMENTO],Tab_08.Ago[CONTA],$F199)</f>
        <v>538.13</v>
      </c>
      <c r="P199" s="4">
        <f>SUMIFS(Tab_09.Set[MOVIMENTO],Tab_09.Set[CONTA],$F199)</f>
        <v>-1692.23</v>
      </c>
      <c r="Q199" s="4">
        <f>SUMIFS(Tab_10.Out[MOVIMENTO],Tab_10.Out[CONTA],$F199)</f>
        <v>1003.12</v>
      </c>
      <c r="R199" s="4">
        <f>SUMIFS(Tab_11.Nov[MOVIMENTO],Tab_11.Nov[CONTA],$F199)</f>
        <v>948.78</v>
      </c>
      <c r="S199" s="4">
        <f>SUMIFS(Tab_12.Dez[MOVIMENTO],Tab_12.Dez[CONTA],$F199)</f>
        <v>1003.1</v>
      </c>
    </row>
    <row r="200" spans="2:19" x14ac:dyDescent="0.3">
      <c r="B200" s="3" t="s">
        <v>104</v>
      </c>
      <c r="C200" s="2" t="str">
        <f t="shared" si="21"/>
        <v>C</v>
      </c>
      <c r="D200" s="2" t="str">
        <f t="shared" si="22"/>
        <v>A</v>
      </c>
      <c r="E200" s="2">
        <f t="shared" si="23"/>
        <v>5</v>
      </c>
      <c r="F200" s="3" t="s">
        <v>800</v>
      </c>
      <c r="G200" s="3" t="s">
        <v>801</v>
      </c>
      <c r="H200" s="4">
        <f>SUMIFS(Tab_01.Jan[MOVIMENTO],Tab_01.Jan[CONTA],$F200)</f>
        <v>67.97</v>
      </c>
      <c r="I200" s="4">
        <f>SUMIFS(Tab_02.Fev[MOVIMENTO],Tab_02.Fev[CONTA],$F200)</f>
        <v>0</v>
      </c>
      <c r="J200" s="4">
        <f>SUMIFS(Tab_03.Mar[MOVIMENTO],Tab_03.Mar[CONTA],$F200)</f>
        <v>69.150000000000006</v>
      </c>
      <c r="K200" s="4">
        <f>SUMIFS(Tab_04.Abr[MOVIMENTO],Tab_04.Abr[CONTA],$F200)</f>
        <v>73.290000000000006</v>
      </c>
      <c r="L200" s="4">
        <f>SUMIFS(Tab_05.Mai[MOVIMENTO],Tab_05.Mai[CONTA],$F200)</f>
        <v>75.510000000000005</v>
      </c>
      <c r="M200" s="4">
        <f>SUMIFS(Tab_06.Jun[MOVIMENTO],Tab_06.Jun[CONTA],$F200)</f>
        <v>67.28</v>
      </c>
      <c r="N200" s="4">
        <f>SUMIFS(Tab_07.Jul[MOVIMENTO],Tab_07.Jul[CONTA],$F200)</f>
        <v>67.28</v>
      </c>
      <c r="O200" s="4">
        <f>SUMIFS(Tab_08.Ago[MOVIMENTO],Tab_08.Ago[CONTA],$F200)</f>
        <v>67.28</v>
      </c>
      <c r="P200" s="4">
        <f>SUMIFS(Tab_09.Set[MOVIMENTO],Tab_09.Set[CONTA],$F200)</f>
        <v>-99.47</v>
      </c>
      <c r="Q200" s="4">
        <f>SUMIFS(Tab_10.Out[MOVIMENTO],Tab_10.Out[CONTA],$F200)</f>
        <v>0</v>
      </c>
      <c r="R200" s="4">
        <f>SUMIFS(Tab_11.Nov[MOVIMENTO],Tab_11.Nov[CONTA],$F200)</f>
        <v>0</v>
      </c>
      <c r="S200" s="4">
        <f>SUMIFS(Tab_12.Dez[MOVIMENTO],Tab_12.Dez[CONTA],$F200)</f>
        <v>0</v>
      </c>
    </row>
    <row r="201" spans="2:19" x14ac:dyDescent="0.3">
      <c r="B201" s="3" t="s">
        <v>104</v>
      </c>
      <c r="C201" s="2" t="str">
        <f t="shared" si="21"/>
        <v>C</v>
      </c>
      <c r="D201" s="2" t="str">
        <f t="shared" si="22"/>
        <v>A</v>
      </c>
      <c r="E201" s="2">
        <f t="shared" si="23"/>
        <v>5</v>
      </c>
      <c r="F201" s="3" t="s">
        <v>802</v>
      </c>
      <c r="G201" s="3" t="s">
        <v>803</v>
      </c>
      <c r="H201" s="4">
        <f>SUMIFS(Tab_01.Jan[MOVIMENTO],Tab_01.Jan[CONTA],$F201)</f>
        <v>1352.06</v>
      </c>
      <c r="I201" s="4">
        <f>SUMIFS(Tab_02.Fev[MOVIMENTO],Tab_02.Fev[CONTA],$F201)</f>
        <v>0</v>
      </c>
      <c r="J201" s="4">
        <f>SUMIFS(Tab_03.Mar[MOVIMENTO],Tab_03.Mar[CONTA],$F201)</f>
        <v>1352.06</v>
      </c>
      <c r="K201" s="4">
        <f>SUMIFS(Tab_04.Abr[MOVIMENTO],Tab_04.Abr[CONTA],$F201)</f>
        <v>1352.07</v>
      </c>
      <c r="L201" s="4">
        <f>SUMIFS(Tab_05.Mai[MOVIMENTO],Tab_05.Mai[CONTA],$F201)</f>
        <v>1352.1</v>
      </c>
      <c r="M201" s="4">
        <f>SUMIFS(Tab_06.Jun[MOVIMENTO],Tab_06.Jun[CONTA],$F201)</f>
        <v>1695.5</v>
      </c>
      <c r="N201" s="4">
        <f>SUMIFS(Tab_07.Jul[MOVIMENTO],Tab_07.Jul[CONTA],$F201)</f>
        <v>1695.5</v>
      </c>
      <c r="O201" s="4">
        <f>SUMIFS(Tab_08.Ago[MOVIMENTO],Tab_08.Ago[CONTA],$F201)</f>
        <v>1695.5</v>
      </c>
      <c r="P201" s="4">
        <f>SUMIFS(Tab_09.Set[MOVIMENTO],Tab_09.Set[CONTA],$F201)</f>
        <v>1783.72</v>
      </c>
      <c r="Q201" s="4">
        <f>SUMIFS(Tab_10.Out[MOVIMENTO],Tab_10.Out[CONTA],$F201)</f>
        <v>0</v>
      </c>
      <c r="R201" s="4">
        <f>SUMIFS(Tab_11.Nov[MOVIMENTO],Tab_11.Nov[CONTA],$F201)</f>
        <v>0</v>
      </c>
      <c r="S201" s="4">
        <f>SUMIFS(Tab_12.Dez[MOVIMENTO],Tab_12.Dez[CONTA],$F201)</f>
        <v>989.74</v>
      </c>
    </row>
    <row r="202" spans="2:19" x14ac:dyDescent="0.3">
      <c r="B202" s="3" t="s">
        <v>104</v>
      </c>
      <c r="C202" s="2" t="str">
        <f t="shared" si="21"/>
        <v>C</v>
      </c>
      <c r="D202" s="2" t="str">
        <f t="shared" si="22"/>
        <v>A</v>
      </c>
      <c r="E202" s="2">
        <f t="shared" si="23"/>
        <v>5</v>
      </c>
      <c r="F202" s="3" t="s">
        <v>804</v>
      </c>
      <c r="G202" s="3" t="s">
        <v>805</v>
      </c>
      <c r="H202" s="4">
        <f>SUMIFS(Tab_01.Jan[MOVIMENTO],Tab_01.Jan[CONTA],$F202)</f>
        <v>403.57</v>
      </c>
      <c r="I202" s="4">
        <f>SUMIFS(Tab_02.Fev[MOVIMENTO],Tab_02.Fev[CONTA],$F202)</f>
        <v>0</v>
      </c>
      <c r="J202" s="4">
        <f>SUMIFS(Tab_03.Mar[MOVIMENTO],Tab_03.Mar[CONTA],$F202)</f>
        <v>403.6</v>
      </c>
      <c r="K202" s="4">
        <f>SUMIFS(Tab_04.Abr[MOVIMENTO],Tab_04.Abr[CONTA],$F202)</f>
        <v>403.59</v>
      </c>
      <c r="L202" s="4">
        <f>SUMIFS(Tab_05.Mai[MOVIMENTO],Tab_05.Mai[CONTA],$F202)</f>
        <v>403.61</v>
      </c>
      <c r="M202" s="4">
        <f>SUMIFS(Tab_06.Jun[MOVIMENTO],Tab_06.Jun[CONTA],$F202)</f>
        <v>506.41</v>
      </c>
      <c r="N202" s="4">
        <f>SUMIFS(Tab_07.Jul[MOVIMENTO],Tab_07.Jul[CONTA],$F202)</f>
        <v>506.41</v>
      </c>
      <c r="O202" s="4">
        <f>SUMIFS(Tab_08.Ago[MOVIMENTO],Tab_08.Ago[CONTA],$F202)</f>
        <v>506.41</v>
      </c>
      <c r="P202" s="4">
        <f>SUMIFS(Tab_09.Set[MOVIMENTO],Tab_09.Set[CONTA],$F202)</f>
        <v>581.41</v>
      </c>
      <c r="Q202" s="4">
        <f>SUMIFS(Tab_10.Out[MOVIMENTO],Tab_10.Out[CONTA],$F202)</f>
        <v>0</v>
      </c>
      <c r="R202" s="4">
        <f>SUMIFS(Tab_11.Nov[MOVIMENTO],Tab_11.Nov[CONTA],$F202)</f>
        <v>0</v>
      </c>
      <c r="S202" s="4">
        <f>SUMIFS(Tab_12.Dez[MOVIMENTO],Tab_12.Dez[CONTA],$F202)</f>
        <v>303.47000000000003</v>
      </c>
    </row>
    <row r="203" spans="2:19" x14ac:dyDescent="0.3">
      <c r="B203" s="3" t="s">
        <v>104</v>
      </c>
      <c r="C203" s="2" t="str">
        <f t="shared" si="21"/>
        <v>C</v>
      </c>
      <c r="D203" s="2" t="str">
        <f t="shared" si="22"/>
        <v>A</v>
      </c>
      <c r="E203" s="2">
        <f t="shared" si="23"/>
        <v>5</v>
      </c>
      <c r="F203" s="3" t="s">
        <v>806</v>
      </c>
      <c r="G203" s="3" t="s">
        <v>807</v>
      </c>
      <c r="H203" s="4">
        <f>SUMIFS(Tab_01.Jan[MOVIMENTO],Tab_01.Jan[CONTA],$F203)</f>
        <v>50.45</v>
      </c>
      <c r="I203" s="4">
        <f>SUMIFS(Tab_02.Fev[MOVIMENTO],Tab_02.Fev[CONTA],$F203)</f>
        <v>0</v>
      </c>
      <c r="J203" s="4">
        <f>SUMIFS(Tab_03.Mar[MOVIMENTO],Tab_03.Mar[CONTA],$F203)</f>
        <v>50.44</v>
      </c>
      <c r="K203" s="4">
        <f>SUMIFS(Tab_04.Abr[MOVIMENTO],Tab_04.Abr[CONTA],$F203)</f>
        <v>50.46</v>
      </c>
      <c r="L203" s="4">
        <f>SUMIFS(Tab_05.Mai[MOVIMENTO],Tab_05.Mai[CONTA],$F203)</f>
        <v>50.43</v>
      </c>
      <c r="M203" s="4">
        <f>SUMIFS(Tab_06.Jun[MOVIMENTO],Tab_06.Jun[CONTA],$F203)</f>
        <v>50.45</v>
      </c>
      <c r="N203" s="4">
        <f>SUMIFS(Tab_07.Jul[MOVIMENTO],Tab_07.Jul[CONTA],$F203)</f>
        <v>50.45</v>
      </c>
      <c r="O203" s="4">
        <f>SUMIFS(Tab_08.Ago[MOVIMENTO],Tab_08.Ago[CONTA],$F203)</f>
        <v>50.45</v>
      </c>
      <c r="P203" s="4">
        <f>SUMIFS(Tab_09.Set[MOVIMENTO],Tab_09.Set[CONTA],$F203)</f>
        <v>-138.96</v>
      </c>
      <c r="Q203" s="4">
        <f>SUMIFS(Tab_10.Out[MOVIMENTO],Tab_10.Out[CONTA],$F203)</f>
        <v>125.39</v>
      </c>
      <c r="R203" s="4">
        <f>SUMIFS(Tab_11.Nov[MOVIMENTO],Tab_11.Nov[CONTA],$F203)</f>
        <v>125.41</v>
      </c>
      <c r="S203" s="4">
        <f>SUMIFS(Tab_12.Dez[MOVIMENTO],Tab_12.Dez[CONTA],$F203)</f>
        <v>152.31</v>
      </c>
    </row>
    <row r="204" spans="2:19" x14ac:dyDescent="0.3">
      <c r="B204" s="3"/>
      <c r="C204" s="2" t="str">
        <f t="shared" si="21"/>
        <v>C</v>
      </c>
      <c r="D204" s="2" t="str">
        <f t="shared" si="22"/>
        <v>S</v>
      </c>
      <c r="E204" s="2">
        <f t="shared" si="23"/>
        <v>5</v>
      </c>
      <c r="F204" s="3" t="s">
        <v>590</v>
      </c>
      <c r="G204" s="3" t="s">
        <v>697</v>
      </c>
      <c r="H204" s="4">
        <f>SUMIFS(Tab_01.Jan[MOVIMENTO],Tab_01.Jan[CONTA],$F204)</f>
        <v>16378.13</v>
      </c>
      <c r="I204" s="4">
        <f>SUMIFS(Tab_02.Fev[MOVIMENTO],Tab_02.Fev[CONTA],$F204)</f>
        <v>19325.21</v>
      </c>
      <c r="J204" s="4">
        <f>SUMIFS(Tab_03.Mar[MOVIMENTO],Tab_03.Mar[CONTA],$F204)</f>
        <v>44933.53</v>
      </c>
      <c r="K204" s="4">
        <f>SUMIFS(Tab_04.Abr[MOVIMENTO],Tab_04.Abr[CONTA],$F204)</f>
        <v>26109</v>
      </c>
      <c r="L204" s="4">
        <f>SUMIFS(Tab_05.Mai[MOVIMENTO],Tab_05.Mai[CONTA],$F204)</f>
        <v>20731.580000000002</v>
      </c>
      <c r="M204" s="4">
        <f>SUMIFS(Tab_06.Jun[MOVIMENTO],Tab_06.Jun[CONTA],$F204)</f>
        <v>23277.599999999999</v>
      </c>
      <c r="N204" s="4">
        <f>SUMIFS(Tab_07.Jul[MOVIMENTO],Tab_07.Jul[CONTA],$F204)</f>
        <v>23277.599999999999</v>
      </c>
      <c r="O204" s="4">
        <f>SUMIFS(Tab_08.Ago[MOVIMENTO],Tab_08.Ago[CONTA],$F204)</f>
        <v>23277.599999999999</v>
      </c>
      <c r="P204" s="4">
        <f>SUMIFS(Tab_09.Set[MOVIMENTO],Tab_09.Set[CONTA],$F204)</f>
        <v>26860.84</v>
      </c>
      <c r="Q204" s="4">
        <f>SUMIFS(Tab_10.Out[MOVIMENTO],Tab_10.Out[CONTA],$F204)</f>
        <v>21619.25</v>
      </c>
      <c r="R204" s="4">
        <f>SUMIFS(Tab_11.Nov[MOVIMENTO],Tab_11.Nov[CONTA],$F204)</f>
        <v>21623.47</v>
      </c>
      <c r="S204" s="4">
        <f>SUMIFS(Tab_12.Dez[MOVIMENTO],Tab_12.Dez[CONTA],$F204)</f>
        <v>21492.9</v>
      </c>
    </row>
    <row r="205" spans="2:19" x14ac:dyDescent="0.3">
      <c r="B205" s="3" t="s">
        <v>104</v>
      </c>
      <c r="C205" s="2" t="str">
        <f t="shared" si="21"/>
        <v>C</v>
      </c>
      <c r="D205" s="2" t="str">
        <f t="shared" si="22"/>
        <v>A</v>
      </c>
      <c r="E205" s="2">
        <f t="shared" si="23"/>
        <v>5</v>
      </c>
      <c r="F205" s="3" t="s">
        <v>434</v>
      </c>
      <c r="G205" s="3" t="s">
        <v>435</v>
      </c>
      <c r="H205" s="4">
        <f>SUMIFS(Tab_01.Jan[MOVIMENTO],Tab_01.Jan[CONTA],$F205)</f>
        <v>15206.61</v>
      </c>
      <c r="I205" s="4">
        <f>SUMIFS(Tab_02.Fev[MOVIMENTO],Tab_02.Fev[CONTA],$F205)</f>
        <v>17072.71</v>
      </c>
      <c r="J205" s="4">
        <f>SUMIFS(Tab_03.Mar[MOVIMENTO],Tab_03.Mar[CONTA],$F205)</f>
        <v>43481.66</v>
      </c>
      <c r="K205" s="4">
        <f>SUMIFS(Tab_04.Abr[MOVIMENTO],Tab_04.Abr[CONTA],$F205)</f>
        <v>25759.51</v>
      </c>
      <c r="L205" s="4">
        <f>SUMIFS(Tab_05.Mai[MOVIMENTO],Tab_05.Mai[CONTA],$F205)</f>
        <v>20626.18</v>
      </c>
      <c r="M205" s="4">
        <f>SUMIFS(Tab_06.Jun[MOVIMENTO],Tab_06.Jun[CONTA],$F205)</f>
        <v>23562.880000000001</v>
      </c>
      <c r="N205" s="4">
        <f>SUMIFS(Tab_07.Jul[MOVIMENTO],Tab_07.Jul[CONTA],$F205)</f>
        <v>23562.880000000001</v>
      </c>
      <c r="O205" s="4">
        <f>SUMIFS(Tab_08.Ago[MOVIMENTO],Tab_08.Ago[CONTA],$F205)</f>
        <v>23562.880000000001</v>
      </c>
      <c r="P205" s="4">
        <f>SUMIFS(Tab_09.Set[MOVIMENTO],Tab_09.Set[CONTA],$F205)</f>
        <v>24645.94</v>
      </c>
      <c r="Q205" s="4">
        <f>SUMIFS(Tab_10.Out[MOVIMENTO],Tab_10.Out[CONTA],$F205)</f>
        <v>22808.03</v>
      </c>
      <c r="R205" s="4">
        <f>SUMIFS(Tab_11.Nov[MOVIMENTO],Tab_11.Nov[CONTA],$F205)</f>
        <v>22808.03</v>
      </c>
      <c r="S205" s="4">
        <f>SUMIFS(Tab_12.Dez[MOVIMENTO],Tab_12.Dez[CONTA],$F205)</f>
        <v>22808.03</v>
      </c>
    </row>
    <row r="206" spans="2:19" x14ac:dyDescent="0.3">
      <c r="B206" s="3" t="s">
        <v>104</v>
      </c>
      <c r="C206" s="2" t="str">
        <f t="shared" si="21"/>
        <v>C</v>
      </c>
      <c r="D206" s="2" t="str">
        <f t="shared" si="22"/>
        <v>A</v>
      </c>
      <c r="E206" s="2">
        <f t="shared" si="23"/>
        <v>5</v>
      </c>
      <c r="F206" s="3" t="s">
        <v>750</v>
      </c>
      <c r="G206" s="3" t="s">
        <v>751</v>
      </c>
      <c r="H206" s="4">
        <f>SUMIFS(Tab_01.Jan[MOVIMENTO],Tab_01.Jan[CONTA],$F206)</f>
        <v>1171.52</v>
      </c>
      <c r="I206" s="4">
        <f>SUMIFS(Tab_02.Fev[MOVIMENTO],Tab_02.Fev[CONTA],$F206)</f>
        <v>2252.5</v>
      </c>
      <c r="J206" s="4">
        <f>SUMIFS(Tab_03.Mar[MOVIMENTO],Tab_03.Mar[CONTA],$F206)</f>
        <v>1451.87</v>
      </c>
      <c r="K206" s="4">
        <f>SUMIFS(Tab_04.Abr[MOVIMENTO],Tab_04.Abr[CONTA],$F206)</f>
        <v>349.49</v>
      </c>
      <c r="L206" s="4">
        <f>SUMIFS(Tab_05.Mai[MOVIMENTO],Tab_05.Mai[CONTA],$F206)</f>
        <v>105.4</v>
      </c>
      <c r="M206" s="4">
        <f>SUMIFS(Tab_06.Jun[MOVIMENTO],Tab_06.Jun[CONTA],$F206)</f>
        <v>-285.27999999999997</v>
      </c>
      <c r="N206" s="4">
        <f>SUMIFS(Tab_07.Jul[MOVIMENTO],Tab_07.Jul[CONTA],$F206)</f>
        <v>-285.27999999999997</v>
      </c>
      <c r="O206" s="4">
        <f>SUMIFS(Tab_08.Ago[MOVIMENTO],Tab_08.Ago[CONTA],$F206)</f>
        <v>-285.27999999999997</v>
      </c>
      <c r="P206" s="4">
        <f>SUMIFS(Tab_09.Set[MOVIMENTO],Tab_09.Set[CONTA],$F206)</f>
        <v>2214.9</v>
      </c>
      <c r="Q206" s="4">
        <f>SUMIFS(Tab_10.Out[MOVIMENTO],Tab_10.Out[CONTA],$F206)</f>
        <v>-1188.78</v>
      </c>
      <c r="R206" s="4">
        <f>SUMIFS(Tab_11.Nov[MOVIMENTO],Tab_11.Nov[CONTA],$F206)</f>
        <v>-1184.56</v>
      </c>
      <c r="S206" s="4">
        <f>SUMIFS(Tab_12.Dez[MOVIMENTO],Tab_12.Dez[CONTA],$F206)</f>
        <v>-1315.13</v>
      </c>
    </row>
    <row r="207" spans="2:19" x14ac:dyDescent="0.3">
      <c r="B207" s="3"/>
      <c r="C207" s="2" t="str">
        <f t="shared" si="21"/>
        <v>C</v>
      </c>
      <c r="D207" s="2" t="str">
        <f t="shared" si="22"/>
        <v>S</v>
      </c>
      <c r="E207" s="2">
        <f t="shared" si="23"/>
        <v>5</v>
      </c>
      <c r="F207" s="3" t="s">
        <v>591</v>
      </c>
      <c r="G207" s="3" t="s">
        <v>698</v>
      </c>
      <c r="H207" s="4">
        <f>SUMIFS(Tab_01.Jan[MOVIMENTO],Tab_01.Jan[CONTA],$F207)</f>
        <v>16434.849999999999</v>
      </c>
      <c r="I207" s="4">
        <f>SUMIFS(Tab_02.Fev[MOVIMENTO],Tab_02.Fev[CONTA],$F207)</f>
        <v>0</v>
      </c>
      <c r="J207" s="4">
        <f>SUMIFS(Tab_03.Mar[MOVIMENTO],Tab_03.Mar[CONTA],$F207)</f>
        <v>24794.48</v>
      </c>
      <c r="K207" s="4">
        <f>SUMIFS(Tab_04.Abr[MOVIMENTO],Tab_04.Abr[CONTA],$F207)</f>
        <v>23974.02</v>
      </c>
      <c r="L207" s="4">
        <f>SUMIFS(Tab_05.Mai[MOVIMENTO],Tab_05.Mai[CONTA],$F207)</f>
        <v>25756.09</v>
      </c>
      <c r="M207" s="4">
        <f>SUMIFS(Tab_06.Jun[MOVIMENTO],Tab_06.Jun[CONTA],$F207)</f>
        <v>13151.63</v>
      </c>
      <c r="N207" s="4">
        <f>SUMIFS(Tab_07.Jul[MOVIMENTO],Tab_07.Jul[CONTA],$F207)</f>
        <v>13151.63</v>
      </c>
      <c r="O207" s="4">
        <f>SUMIFS(Tab_08.Ago[MOVIMENTO],Tab_08.Ago[CONTA],$F207)</f>
        <v>13151.63</v>
      </c>
      <c r="P207" s="4">
        <f>SUMIFS(Tab_09.Set[MOVIMENTO],Tab_09.Set[CONTA],$F207)</f>
        <v>29019.18</v>
      </c>
      <c r="Q207" s="4">
        <f>SUMIFS(Tab_10.Out[MOVIMENTO],Tab_10.Out[CONTA],$F207)</f>
        <v>14958.23</v>
      </c>
      <c r="R207" s="4">
        <f>SUMIFS(Tab_11.Nov[MOVIMENTO],Tab_11.Nov[CONTA],$F207)</f>
        <v>20357.560000000001</v>
      </c>
      <c r="S207" s="4">
        <f>SUMIFS(Tab_12.Dez[MOVIMENTO],Tab_12.Dez[CONTA],$F207)</f>
        <v>21657.37</v>
      </c>
    </row>
    <row r="208" spans="2:19" x14ac:dyDescent="0.3">
      <c r="B208" s="3" t="s">
        <v>104</v>
      </c>
      <c r="C208" s="2" t="str">
        <f t="shared" si="21"/>
        <v>C</v>
      </c>
      <c r="D208" s="2" t="str">
        <f t="shared" si="22"/>
        <v>A</v>
      </c>
      <c r="E208" s="2">
        <f t="shared" si="23"/>
        <v>5</v>
      </c>
      <c r="F208" s="3" t="s">
        <v>436</v>
      </c>
      <c r="G208" s="3" t="s">
        <v>437</v>
      </c>
      <c r="H208" s="4">
        <f>SUMIFS(Tab_01.Jan[MOVIMENTO],Tab_01.Jan[CONTA],$F208)</f>
        <v>13434.9</v>
      </c>
      <c r="I208" s="4">
        <f>SUMIFS(Tab_02.Fev[MOVIMENTO],Tab_02.Fev[CONTA],$F208)</f>
        <v>0</v>
      </c>
      <c r="J208" s="4">
        <f>SUMIFS(Tab_03.Mar[MOVIMENTO],Tab_03.Mar[CONTA],$F208)</f>
        <v>19888.310000000001</v>
      </c>
      <c r="K208" s="4">
        <f>SUMIFS(Tab_04.Abr[MOVIMENTO],Tab_04.Abr[CONTA],$F208)</f>
        <v>18989.13</v>
      </c>
      <c r="L208" s="4">
        <f>SUMIFS(Tab_05.Mai[MOVIMENTO],Tab_05.Mai[CONTA],$F208)</f>
        <v>20549.78</v>
      </c>
      <c r="M208" s="4">
        <f>SUMIFS(Tab_06.Jun[MOVIMENTO],Tab_06.Jun[CONTA],$F208)</f>
        <v>9936.44</v>
      </c>
      <c r="N208" s="4">
        <f>SUMIFS(Tab_07.Jul[MOVIMENTO],Tab_07.Jul[CONTA],$F208)</f>
        <v>9936.44</v>
      </c>
      <c r="O208" s="4">
        <f>SUMIFS(Tab_08.Ago[MOVIMENTO],Tab_08.Ago[CONTA],$F208)</f>
        <v>9936.44</v>
      </c>
      <c r="P208" s="4">
        <f>SUMIFS(Tab_09.Set[MOVIMENTO],Tab_09.Set[CONTA],$F208)</f>
        <v>21881.74</v>
      </c>
      <c r="Q208" s="4">
        <f>SUMIFS(Tab_10.Out[MOVIMENTO],Tab_10.Out[CONTA],$F208)</f>
        <v>10875.9</v>
      </c>
      <c r="R208" s="4">
        <f>SUMIFS(Tab_11.Nov[MOVIMENTO],Tab_11.Nov[CONTA],$F208)</f>
        <v>15239.75</v>
      </c>
      <c r="S208" s="4">
        <f>SUMIFS(Tab_12.Dez[MOVIMENTO],Tab_12.Dez[CONTA],$F208)</f>
        <v>16267.6</v>
      </c>
    </row>
    <row r="209" spans="2:19" x14ac:dyDescent="0.3">
      <c r="B209" s="3" t="s">
        <v>104</v>
      </c>
      <c r="C209" s="2" t="str">
        <f t="shared" si="21"/>
        <v>C</v>
      </c>
      <c r="D209" s="2" t="str">
        <f t="shared" si="22"/>
        <v>A</v>
      </c>
      <c r="E209" s="2">
        <f t="shared" si="23"/>
        <v>5</v>
      </c>
      <c r="F209" s="3" t="s">
        <v>438</v>
      </c>
      <c r="G209" s="3" t="s">
        <v>196</v>
      </c>
      <c r="H209" s="4">
        <f>SUMIFS(Tab_01.Jan[MOVIMENTO],Tab_01.Jan[CONTA],$F209)</f>
        <v>2354.0700000000002</v>
      </c>
      <c r="I209" s="4">
        <f>SUMIFS(Tab_02.Fev[MOVIMENTO],Tab_02.Fev[CONTA],$F209)</f>
        <v>0</v>
      </c>
      <c r="J209" s="4">
        <f>SUMIFS(Tab_03.Mar[MOVIMENTO],Tab_03.Mar[CONTA],$F209)</f>
        <v>4191.8999999999996</v>
      </c>
      <c r="K209" s="4">
        <f>SUMIFS(Tab_04.Abr[MOVIMENTO],Tab_04.Abr[CONTA],$F209)</f>
        <v>4298.72</v>
      </c>
      <c r="L209" s="4">
        <f>SUMIFS(Tab_05.Mai[MOVIMENTO],Tab_05.Mai[CONTA],$F209)</f>
        <v>4443.78</v>
      </c>
      <c r="M209" s="4">
        <f>SUMIFS(Tab_06.Jun[MOVIMENTO],Tab_06.Jun[CONTA],$F209)</f>
        <v>2844.42</v>
      </c>
      <c r="N209" s="4">
        <f>SUMIFS(Tab_07.Jul[MOVIMENTO],Tab_07.Jul[CONTA],$F209)</f>
        <v>2844.42</v>
      </c>
      <c r="O209" s="4">
        <f>SUMIFS(Tab_08.Ago[MOVIMENTO],Tab_08.Ago[CONTA],$F209)</f>
        <v>2844.42</v>
      </c>
      <c r="P209" s="4">
        <f>SUMIFS(Tab_09.Set[MOVIMENTO],Tab_09.Set[CONTA],$F209)</f>
        <v>6484.71</v>
      </c>
      <c r="Q209" s="4">
        <f>SUMIFS(Tab_10.Out[MOVIMENTO],Tab_10.Out[CONTA],$F209)</f>
        <v>3628.72</v>
      </c>
      <c r="R209" s="4">
        <f>SUMIFS(Tab_11.Nov[MOVIMENTO],Tab_11.Nov[CONTA],$F209)</f>
        <v>4549.16</v>
      </c>
      <c r="S209" s="4">
        <f>SUMIFS(Tab_12.Dez[MOVIMENTO],Tab_12.Dez[CONTA],$F209)</f>
        <v>4855.9799999999996</v>
      </c>
    </row>
    <row r="210" spans="2:19" x14ac:dyDescent="0.3">
      <c r="B210" s="3" t="s">
        <v>104</v>
      </c>
      <c r="C210" s="2" t="str">
        <f t="shared" si="21"/>
        <v>C</v>
      </c>
      <c r="D210" s="2" t="str">
        <f t="shared" si="22"/>
        <v>A</v>
      </c>
      <c r="E210" s="2">
        <f t="shared" si="23"/>
        <v>5</v>
      </c>
      <c r="F210" s="3" t="s">
        <v>439</v>
      </c>
      <c r="G210" s="3" t="s">
        <v>440</v>
      </c>
      <c r="H210" s="4">
        <f>SUMIFS(Tab_01.Jan[MOVIMENTO],Tab_01.Jan[CONTA],$F210)</f>
        <v>645.88</v>
      </c>
      <c r="I210" s="4">
        <f>SUMIFS(Tab_02.Fev[MOVIMENTO],Tab_02.Fev[CONTA],$F210)</f>
        <v>0</v>
      </c>
      <c r="J210" s="4">
        <f>SUMIFS(Tab_03.Mar[MOVIMENTO],Tab_03.Mar[CONTA],$F210)</f>
        <v>714.27</v>
      </c>
      <c r="K210" s="4">
        <f>SUMIFS(Tab_04.Abr[MOVIMENTO],Tab_04.Abr[CONTA],$F210)</f>
        <v>686.17</v>
      </c>
      <c r="L210" s="4">
        <f>SUMIFS(Tab_05.Mai[MOVIMENTO],Tab_05.Mai[CONTA],$F210)</f>
        <v>762.53</v>
      </c>
      <c r="M210" s="4">
        <f>SUMIFS(Tab_06.Jun[MOVIMENTO],Tab_06.Jun[CONTA],$F210)</f>
        <v>370.77</v>
      </c>
      <c r="N210" s="4">
        <f>SUMIFS(Tab_07.Jul[MOVIMENTO],Tab_07.Jul[CONTA],$F210)</f>
        <v>370.77</v>
      </c>
      <c r="O210" s="4">
        <f>SUMIFS(Tab_08.Ago[MOVIMENTO],Tab_08.Ago[CONTA],$F210)</f>
        <v>370.77</v>
      </c>
      <c r="P210" s="4">
        <f>SUMIFS(Tab_09.Set[MOVIMENTO],Tab_09.Set[CONTA],$F210)</f>
        <v>652.73</v>
      </c>
      <c r="Q210" s="4">
        <f>SUMIFS(Tab_10.Out[MOVIMENTO],Tab_10.Out[CONTA],$F210)</f>
        <v>453.61</v>
      </c>
      <c r="R210" s="4">
        <f>SUMIFS(Tab_11.Nov[MOVIMENTO],Tab_11.Nov[CONTA],$F210)</f>
        <v>568.65</v>
      </c>
      <c r="S210" s="4">
        <f>SUMIFS(Tab_12.Dez[MOVIMENTO],Tab_12.Dez[CONTA],$F210)</f>
        <v>533.79</v>
      </c>
    </row>
    <row r="211" spans="2:19" x14ac:dyDescent="0.3">
      <c r="B211" s="3"/>
      <c r="C211" s="2" t="str">
        <f t="shared" si="21"/>
        <v>C</v>
      </c>
      <c r="D211" s="2" t="str">
        <f t="shared" si="22"/>
        <v>S</v>
      </c>
      <c r="E211" s="2">
        <f t="shared" si="23"/>
        <v>5</v>
      </c>
      <c r="F211" s="3" t="s">
        <v>592</v>
      </c>
      <c r="G211" s="3" t="s">
        <v>699</v>
      </c>
      <c r="H211" s="4">
        <f>SUMIFS(Tab_01.Jan[MOVIMENTO],Tab_01.Jan[CONTA],$F211)</f>
        <v>2235.4699999999998</v>
      </c>
      <c r="I211" s="4">
        <f>SUMIFS(Tab_02.Fev[MOVIMENTO],Tab_02.Fev[CONTA],$F211)</f>
        <v>0</v>
      </c>
      <c r="J211" s="4">
        <f>SUMIFS(Tab_03.Mar[MOVIMENTO],Tab_03.Mar[CONTA],$F211)</f>
        <v>3552.79</v>
      </c>
      <c r="K211" s="4">
        <f>SUMIFS(Tab_04.Abr[MOVIMENTO],Tab_04.Abr[CONTA],$F211)</f>
        <v>590.51</v>
      </c>
      <c r="L211" s="4">
        <f>SUMIFS(Tab_05.Mai[MOVIMENTO],Tab_05.Mai[CONTA],$F211)</f>
        <v>0</v>
      </c>
      <c r="M211" s="4">
        <f>SUMIFS(Tab_06.Jun[MOVIMENTO],Tab_06.Jun[CONTA],$F211)</f>
        <v>1711.6</v>
      </c>
      <c r="N211" s="4">
        <f>SUMIFS(Tab_07.Jul[MOVIMENTO],Tab_07.Jul[CONTA],$F211)</f>
        <v>1711.6</v>
      </c>
      <c r="O211" s="4">
        <f>SUMIFS(Tab_08.Ago[MOVIMENTO],Tab_08.Ago[CONTA],$F211)</f>
        <v>1711.6</v>
      </c>
      <c r="P211" s="4">
        <f>SUMIFS(Tab_09.Set[MOVIMENTO],Tab_09.Set[CONTA],$F211)</f>
        <v>619.32000000000005</v>
      </c>
      <c r="Q211" s="4">
        <f>SUMIFS(Tab_10.Out[MOVIMENTO],Tab_10.Out[CONTA],$F211)</f>
        <v>2186.0500000000002</v>
      </c>
      <c r="R211" s="4">
        <f>SUMIFS(Tab_11.Nov[MOVIMENTO],Tab_11.Nov[CONTA],$F211)</f>
        <v>0</v>
      </c>
      <c r="S211" s="4">
        <f>SUMIFS(Tab_12.Dez[MOVIMENTO],Tab_12.Dez[CONTA],$F211)</f>
        <v>1359.52</v>
      </c>
    </row>
    <row r="212" spans="2:19" x14ac:dyDescent="0.3">
      <c r="B212" s="3" t="s">
        <v>103</v>
      </c>
      <c r="C212" s="2" t="str">
        <f t="shared" si="21"/>
        <v>C</v>
      </c>
      <c r="D212" s="2" t="str">
        <f t="shared" si="22"/>
        <v>A</v>
      </c>
      <c r="E212" s="2">
        <f t="shared" si="23"/>
        <v>5</v>
      </c>
      <c r="F212" s="3" t="s">
        <v>397</v>
      </c>
      <c r="G212" s="3" t="s">
        <v>398</v>
      </c>
      <c r="H212" s="4">
        <f>SUMIFS(Tab_01.Jan[MOVIMENTO],Tab_01.Jan[CONTA],$F212)</f>
        <v>2235.4699999999998</v>
      </c>
      <c r="I212" s="4">
        <f>SUMIFS(Tab_02.Fev[MOVIMENTO],Tab_02.Fev[CONTA],$F212)</f>
        <v>0</v>
      </c>
      <c r="J212" s="4">
        <f>SUMIFS(Tab_03.Mar[MOVIMENTO],Tab_03.Mar[CONTA],$F212)</f>
        <v>3552.79</v>
      </c>
      <c r="K212" s="4">
        <f>SUMIFS(Tab_04.Abr[MOVIMENTO],Tab_04.Abr[CONTA],$F212)</f>
        <v>590.51</v>
      </c>
      <c r="L212" s="4">
        <f>SUMIFS(Tab_05.Mai[MOVIMENTO],Tab_05.Mai[CONTA],$F212)</f>
        <v>0</v>
      </c>
      <c r="M212" s="4">
        <f>SUMIFS(Tab_06.Jun[MOVIMENTO],Tab_06.Jun[CONTA],$F212)</f>
        <v>1711.6</v>
      </c>
      <c r="N212" s="4">
        <f>SUMIFS(Tab_07.Jul[MOVIMENTO],Tab_07.Jul[CONTA],$F212)</f>
        <v>1711.6</v>
      </c>
      <c r="O212" s="4">
        <f>SUMIFS(Tab_08.Ago[MOVIMENTO],Tab_08.Ago[CONTA],$F212)</f>
        <v>1711.6</v>
      </c>
      <c r="P212" s="4">
        <f>SUMIFS(Tab_09.Set[MOVIMENTO],Tab_09.Set[CONTA],$F212)</f>
        <v>25.49</v>
      </c>
      <c r="Q212" s="4">
        <f>SUMIFS(Tab_10.Out[MOVIMENTO],Tab_10.Out[CONTA],$F212)</f>
        <v>1148.25</v>
      </c>
      <c r="R212" s="4">
        <f>SUMIFS(Tab_11.Nov[MOVIMENTO],Tab_11.Nov[CONTA],$F212)</f>
        <v>0</v>
      </c>
      <c r="S212" s="4">
        <f>SUMIFS(Tab_12.Dez[MOVIMENTO],Tab_12.Dez[CONTA],$F212)</f>
        <v>1359.52</v>
      </c>
    </row>
    <row r="213" spans="2:19" x14ac:dyDescent="0.3">
      <c r="B213" s="3" t="s">
        <v>103</v>
      </c>
      <c r="C213" s="2" t="str">
        <f t="shared" si="21"/>
        <v>C</v>
      </c>
      <c r="D213" s="2" t="str">
        <f t="shared" si="22"/>
        <v>A</v>
      </c>
      <c r="E213" s="2">
        <f t="shared" si="23"/>
        <v>5</v>
      </c>
      <c r="F213" s="3" t="s">
        <v>399</v>
      </c>
      <c r="G213" s="3" t="s">
        <v>400</v>
      </c>
      <c r="H213" s="4">
        <f>SUMIFS(Tab_01.Jan[MOVIMENTO],Tab_01.Jan[CONTA],$F213)</f>
        <v>0</v>
      </c>
      <c r="I213" s="4">
        <f>SUMIFS(Tab_02.Fev[MOVIMENTO],Tab_02.Fev[CONTA],$F213)</f>
        <v>0</v>
      </c>
      <c r="J213" s="4">
        <f>SUMIFS(Tab_03.Mar[MOVIMENTO],Tab_03.Mar[CONTA],$F213)</f>
        <v>0</v>
      </c>
      <c r="K213" s="4">
        <f>SUMIFS(Tab_04.Abr[MOVIMENTO],Tab_04.Abr[CONTA],$F213)</f>
        <v>0</v>
      </c>
      <c r="L213" s="4">
        <f>SUMIFS(Tab_05.Mai[MOVIMENTO],Tab_05.Mai[CONTA],$F213)</f>
        <v>0</v>
      </c>
      <c r="M213" s="4">
        <f>SUMIFS(Tab_06.Jun[MOVIMENTO],Tab_06.Jun[CONTA],$F213)</f>
        <v>0</v>
      </c>
      <c r="N213" s="4">
        <f>SUMIFS(Tab_07.Jul[MOVIMENTO],Tab_07.Jul[CONTA],$F213)</f>
        <v>0</v>
      </c>
      <c r="O213" s="4">
        <f>SUMIFS(Tab_08.Ago[MOVIMENTO],Tab_08.Ago[CONTA],$F213)</f>
        <v>0</v>
      </c>
      <c r="P213" s="4">
        <f>SUMIFS(Tab_09.Set[MOVIMENTO],Tab_09.Set[CONTA],$F213)</f>
        <v>593.83000000000004</v>
      </c>
      <c r="Q213" s="4">
        <f>SUMIFS(Tab_10.Out[MOVIMENTO],Tab_10.Out[CONTA],$F213)</f>
        <v>1037.8</v>
      </c>
      <c r="R213" s="4">
        <f>SUMIFS(Tab_11.Nov[MOVIMENTO],Tab_11.Nov[CONTA],$F213)</f>
        <v>0</v>
      </c>
      <c r="S213" s="4">
        <f>SUMIFS(Tab_12.Dez[MOVIMENTO],Tab_12.Dez[CONTA],$F213)</f>
        <v>0</v>
      </c>
    </row>
    <row r="214" spans="2:19" x14ac:dyDescent="0.3">
      <c r="B214" s="3" t="s">
        <v>103</v>
      </c>
      <c r="C214" s="2" t="str">
        <f t="shared" si="21"/>
        <v>C</v>
      </c>
      <c r="D214" s="2" t="str">
        <f t="shared" si="22"/>
        <v>A</v>
      </c>
      <c r="E214" s="2">
        <f t="shared" si="23"/>
        <v>5</v>
      </c>
      <c r="F214" s="3" t="s">
        <v>401</v>
      </c>
      <c r="G214" s="3" t="s">
        <v>402</v>
      </c>
      <c r="H214" s="4">
        <f>SUMIFS(Tab_01.Jan[MOVIMENTO],Tab_01.Jan[CONTA],$F214)</f>
        <v>0</v>
      </c>
      <c r="I214" s="4">
        <f>SUMIFS(Tab_02.Fev[MOVIMENTO],Tab_02.Fev[CONTA],$F214)</f>
        <v>0</v>
      </c>
      <c r="J214" s="4">
        <f>SUMIFS(Tab_03.Mar[MOVIMENTO],Tab_03.Mar[CONTA],$F214)</f>
        <v>0</v>
      </c>
      <c r="K214" s="4">
        <f>SUMIFS(Tab_04.Abr[MOVIMENTO],Tab_04.Abr[CONTA],$F214)</f>
        <v>0</v>
      </c>
      <c r="L214" s="4">
        <f>SUMIFS(Tab_05.Mai[MOVIMENTO],Tab_05.Mai[CONTA],$F214)</f>
        <v>0</v>
      </c>
      <c r="M214" s="4">
        <f>SUMIFS(Tab_06.Jun[MOVIMENTO],Tab_06.Jun[CONTA],$F214)</f>
        <v>0</v>
      </c>
      <c r="N214" s="4">
        <f>SUMIFS(Tab_07.Jul[MOVIMENTO],Tab_07.Jul[CONTA],$F214)</f>
        <v>0</v>
      </c>
      <c r="O214" s="4">
        <f>SUMIFS(Tab_08.Ago[MOVIMENTO],Tab_08.Ago[CONTA],$F214)</f>
        <v>0</v>
      </c>
      <c r="P214" s="4">
        <f>SUMIFS(Tab_09.Set[MOVIMENTO],Tab_09.Set[CONTA],$F214)</f>
        <v>0</v>
      </c>
      <c r="Q214" s="4">
        <f>SUMIFS(Tab_10.Out[MOVIMENTO],Tab_10.Out[CONTA],$F214)</f>
        <v>0</v>
      </c>
      <c r="R214" s="4">
        <f>SUMIFS(Tab_11.Nov[MOVIMENTO],Tab_11.Nov[CONTA],$F214)</f>
        <v>0</v>
      </c>
      <c r="S214" s="4">
        <f>SUMIFS(Tab_12.Dez[MOVIMENTO],Tab_12.Dez[CONTA],$F214)</f>
        <v>0</v>
      </c>
    </row>
    <row r="215" spans="2:19" x14ac:dyDescent="0.3">
      <c r="B215" s="3"/>
      <c r="C215" s="2" t="str">
        <f t="shared" si="21"/>
        <v>C</v>
      </c>
      <c r="D215" s="2" t="str">
        <f t="shared" si="22"/>
        <v>S</v>
      </c>
      <c r="E215" s="2">
        <f t="shared" si="23"/>
        <v>5</v>
      </c>
      <c r="F215" s="3" t="s">
        <v>593</v>
      </c>
      <c r="G215" s="3" t="s">
        <v>700</v>
      </c>
      <c r="H215" s="4">
        <f>SUMIFS(Tab_01.Jan[MOVIMENTO],Tab_01.Jan[CONTA],$F215)</f>
        <v>34180.15</v>
      </c>
      <c r="I215" s="4">
        <f>SUMIFS(Tab_02.Fev[MOVIMENTO],Tab_02.Fev[CONTA],$F215)</f>
        <v>29475.96</v>
      </c>
      <c r="J215" s="4">
        <f>SUMIFS(Tab_03.Mar[MOVIMENTO],Tab_03.Mar[CONTA],$F215)</f>
        <v>31176.29</v>
      </c>
      <c r="K215" s="4">
        <f>SUMIFS(Tab_04.Abr[MOVIMENTO],Tab_04.Abr[CONTA],$F215)</f>
        <v>38505.96</v>
      </c>
      <c r="L215" s="4">
        <f>SUMIFS(Tab_05.Mai[MOVIMENTO],Tab_05.Mai[CONTA],$F215)</f>
        <v>41455.96</v>
      </c>
      <c r="M215" s="4">
        <f>SUMIFS(Tab_06.Jun[MOVIMENTO],Tab_06.Jun[CONTA],$F215)</f>
        <v>31975.96</v>
      </c>
      <c r="N215" s="4">
        <f>SUMIFS(Tab_07.Jul[MOVIMENTO],Tab_07.Jul[CONTA],$F215)</f>
        <v>31975.96</v>
      </c>
      <c r="O215" s="4">
        <f>SUMIFS(Tab_08.Ago[MOVIMENTO],Tab_08.Ago[CONTA],$F215)</f>
        <v>31975.96</v>
      </c>
      <c r="P215" s="4">
        <f>SUMIFS(Tab_09.Set[MOVIMENTO],Tab_09.Set[CONTA],$F215)</f>
        <v>37460.76</v>
      </c>
      <c r="Q215" s="4">
        <f>SUMIFS(Tab_10.Out[MOVIMENTO],Tab_10.Out[CONTA],$F215)</f>
        <v>32165.96</v>
      </c>
      <c r="R215" s="4">
        <f>SUMIFS(Tab_11.Nov[MOVIMENTO],Tab_11.Nov[CONTA],$F215)</f>
        <v>44875.55</v>
      </c>
      <c r="S215" s="4">
        <f>SUMIFS(Tab_12.Dez[MOVIMENTO],Tab_12.Dez[CONTA],$F215)</f>
        <v>27305.96</v>
      </c>
    </row>
    <row r="216" spans="2:19" x14ac:dyDescent="0.3">
      <c r="B216" s="3" t="s">
        <v>103</v>
      </c>
      <c r="C216" s="2" t="str">
        <f>IF($F216="","",IF(LEFT($F216,1)*1=1,"A",IF(LEFT($F216,1)*1=2,"P",IF(LEFT($F216,1)*1=3,"R",IF(LEFT($F216,1)*1=4,"C",IF(LEFT($F216,1)*1=5,"C",IF(LEFT($F216,1)*1=6,"C","")))))))</f>
        <v>C</v>
      </c>
      <c r="D216" s="2" t="str">
        <f>IF($F216="","",IF(LEN($F216)=13,"A","S"))</f>
        <v>A</v>
      </c>
      <c r="E216" s="2">
        <f>IF($F216="","",IF(LEN($F216)=1,1,IF(LEN($F216)=3,2,IF(LEN($F216)=5,3,IF(LEN($F216)=8,4,5)))))</f>
        <v>5</v>
      </c>
      <c r="F216" s="3" t="s">
        <v>403</v>
      </c>
      <c r="G216" s="3" t="s">
        <v>404</v>
      </c>
      <c r="H216" s="4">
        <f>SUMIFS(Tab_01.Jan[MOVIMENTO],Tab_01.Jan[CONTA],$F216)</f>
        <v>4135.96</v>
      </c>
      <c r="I216" s="4">
        <f>SUMIFS(Tab_02.Fev[MOVIMENTO],Tab_02.Fev[CONTA],$F216)</f>
        <v>4135.96</v>
      </c>
      <c r="J216" s="4">
        <f>SUMIFS(Tab_03.Mar[MOVIMENTO],Tab_03.Mar[CONTA],$F216)</f>
        <v>4135.96</v>
      </c>
      <c r="K216" s="4">
        <f>SUMIFS(Tab_04.Abr[MOVIMENTO],Tab_04.Abr[CONTA],$F216)</f>
        <v>4135.96</v>
      </c>
      <c r="L216" s="4">
        <f>SUMIFS(Tab_05.Mai[MOVIMENTO],Tab_05.Mai[CONTA],$F216)</f>
        <v>4135.96</v>
      </c>
      <c r="M216" s="4">
        <f>SUMIFS(Tab_06.Jun[MOVIMENTO],Tab_06.Jun[CONTA],$F216)</f>
        <v>4135.96</v>
      </c>
      <c r="N216" s="4">
        <f>SUMIFS(Tab_07.Jul[MOVIMENTO],Tab_07.Jul[CONTA],$F216)</f>
        <v>4135.96</v>
      </c>
      <c r="O216" s="4">
        <f>SUMIFS(Tab_08.Ago[MOVIMENTO],Tab_08.Ago[CONTA],$F216)</f>
        <v>4135.96</v>
      </c>
      <c r="P216" s="4">
        <f>SUMIFS(Tab_09.Set[MOVIMENTO],Tab_09.Set[CONTA],$F216)</f>
        <v>5400.76</v>
      </c>
      <c r="Q216" s="4">
        <f>SUMIFS(Tab_10.Out[MOVIMENTO],Tab_10.Out[CONTA],$F216)</f>
        <v>4415.96</v>
      </c>
      <c r="R216" s="4">
        <f>SUMIFS(Tab_11.Nov[MOVIMENTO],Tab_11.Nov[CONTA],$F216)</f>
        <v>4665.55</v>
      </c>
      <c r="S216" s="4">
        <f>SUMIFS(Tab_12.Dez[MOVIMENTO],Tab_12.Dez[CONTA],$F216)</f>
        <v>4585.96</v>
      </c>
    </row>
    <row r="217" spans="2:19" x14ac:dyDescent="0.3">
      <c r="B217" s="3" t="s">
        <v>103</v>
      </c>
      <c r="C217" s="2" t="str">
        <f>IF($F217="","",IF(LEFT($F217,1)*1=1,"A",IF(LEFT($F217,1)*1=2,"P",IF(LEFT($F217,1)*1=3,"R",IF(LEFT($F217,1)*1=4,"C",IF(LEFT($F217,1)*1=5,"C",IF(LEFT($F217,1)*1=6,"C","")))))))</f>
        <v>C</v>
      </c>
      <c r="D217" s="2" t="str">
        <f>IF($F217="","",IF(LEN($F217)=13,"A","S"))</f>
        <v>A</v>
      </c>
      <c r="E217" s="2">
        <f>IF($F217="","",IF(LEN($F217)=1,1,IF(LEN($F217)=3,2,IF(LEN($F217)=5,3,IF(LEN($F217)=8,4,5)))))</f>
        <v>5</v>
      </c>
      <c r="F217" s="3" t="s">
        <v>405</v>
      </c>
      <c r="G217" s="3" t="s">
        <v>406</v>
      </c>
      <c r="H217" s="4">
        <f>SUMIFS(Tab_01.Jan[MOVIMENTO],Tab_01.Jan[CONTA],$F217)</f>
        <v>27797</v>
      </c>
      <c r="I217" s="4">
        <f>SUMIFS(Tab_02.Fev[MOVIMENTO],Tab_02.Fev[CONTA],$F217)</f>
        <v>25340</v>
      </c>
      <c r="J217" s="4">
        <f>SUMIFS(Tab_03.Mar[MOVIMENTO],Tab_03.Mar[CONTA],$F217)</f>
        <v>23310</v>
      </c>
      <c r="K217" s="4">
        <f>SUMIFS(Tab_04.Abr[MOVIMENTO],Tab_04.Abr[CONTA],$F217)</f>
        <v>31370</v>
      </c>
      <c r="L217" s="4">
        <f>SUMIFS(Tab_05.Mai[MOVIMENTO],Tab_05.Mai[CONTA],$F217)</f>
        <v>31320</v>
      </c>
      <c r="M217" s="4">
        <f>SUMIFS(Tab_06.Jun[MOVIMENTO],Tab_06.Jun[CONTA],$F217)</f>
        <v>27840</v>
      </c>
      <c r="N217" s="4">
        <f>SUMIFS(Tab_07.Jul[MOVIMENTO],Tab_07.Jul[CONTA],$F217)</f>
        <v>27840</v>
      </c>
      <c r="O217" s="4">
        <f>SUMIFS(Tab_08.Ago[MOVIMENTO],Tab_08.Ago[CONTA],$F217)</f>
        <v>27840</v>
      </c>
      <c r="P217" s="4">
        <f>SUMIFS(Tab_09.Set[MOVIMENTO],Tab_09.Set[CONTA],$F217)</f>
        <v>32060</v>
      </c>
      <c r="Q217" s="4">
        <f>SUMIFS(Tab_10.Out[MOVIMENTO],Tab_10.Out[CONTA],$F217)</f>
        <v>27750</v>
      </c>
      <c r="R217" s="4">
        <f>SUMIFS(Tab_11.Nov[MOVIMENTO],Tab_11.Nov[CONTA],$F217)</f>
        <v>40210</v>
      </c>
      <c r="S217" s="4">
        <f>SUMIFS(Tab_12.Dez[MOVIMENTO],Tab_12.Dez[CONTA],$F217)</f>
        <v>22720</v>
      </c>
    </row>
    <row r="218" spans="2:19" x14ac:dyDescent="0.3">
      <c r="B218" s="3" t="s">
        <v>103</v>
      </c>
      <c r="C218" s="2" t="str">
        <f t="shared" ref="C218:C219" si="24">IF($F218="","",IF(LEFT($F218,1)*1=1,"A",IF(LEFT($F218,1)*1=2,"P",IF(LEFT($F218,1)*1=3,"R",IF(LEFT($F218,1)*1=4,"C",IF(LEFT($F218,1)*1=5,"C",IF(LEFT($F218,1)*1=6,"C","")))))))</f>
        <v>C</v>
      </c>
      <c r="D218" s="2" t="str">
        <f t="shared" ref="D218:D219" si="25">IF($F218="","",IF(LEN($F218)=13,"A","S"))</f>
        <v>A</v>
      </c>
      <c r="E218" s="2">
        <f t="shared" ref="E218:E219" si="26">IF($F218="","",IF(LEN($F218)=1,1,IF(LEN($F218)=3,2,IF(LEN($F218)=5,3,IF(LEN($F218)=8,4,5)))))</f>
        <v>5</v>
      </c>
      <c r="F218" s="3" t="s">
        <v>407</v>
      </c>
      <c r="G218" s="3" t="s">
        <v>408</v>
      </c>
      <c r="H218" s="4">
        <f>SUMIFS(Tab_01.Jan[MOVIMENTO],Tab_01.Jan[CONTA],$F218)</f>
        <v>2247.19</v>
      </c>
      <c r="I218" s="4">
        <f>SUMIFS(Tab_02.Fev[MOVIMENTO],Tab_02.Fev[CONTA],$F218)</f>
        <v>0</v>
      </c>
      <c r="J218" s="4">
        <f>SUMIFS(Tab_03.Mar[MOVIMENTO],Tab_03.Mar[CONTA],$F218)</f>
        <v>3730.33</v>
      </c>
      <c r="K218" s="4">
        <f>SUMIFS(Tab_04.Abr[MOVIMENTO],Tab_04.Abr[CONTA],$F218)</f>
        <v>3000</v>
      </c>
      <c r="L218" s="4">
        <f>SUMIFS(Tab_05.Mai[MOVIMENTO],Tab_05.Mai[CONTA],$F218)</f>
        <v>6000</v>
      </c>
      <c r="M218" s="4">
        <f>SUMIFS(Tab_06.Jun[MOVIMENTO],Tab_06.Jun[CONTA],$F218)</f>
        <v>0</v>
      </c>
      <c r="N218" s="4">
        <f>SUMIFS(Tab_07.Jul[MOVIMENTO],Tab_07.Jul[CONTA],$F218)</f>
        <v>0</v>
      </c>
      <c r="O218" s="4">
        <f>SUMIFS(Tab_08.Ago[MOVIMENTO],Tab_08.Ago[CONTA],$F218)</f>
        <v>0</v>
      </c>
      <c r="P218" s="4">
        <f>SUMIFS(Tab_09.Set[MOVIMENTO],Tab_09.Set[CONTA],$F218)</f>
        <v>0</v>
      </c>
      <c r="Q218" s="4">
        <f>SUMIFS(Tab_10.Out[MOVIMENTO],Tab_10.Out[CONTA],$F218)</f>
        <v>0</v>
      </c>
      <c r="R218" s="4">
        <f>SUMIFS(Tab_11.Nov[MOVIMENTO],Tab_11.Nov[CONTA],$F218)</f>
        <v>0</v>
      </c>
      <c r="S218" s="4">
        <f>SUMIFS(Tab_12.Dez[MOVIMENTO],Tab_12.Dez[CONTA],$F218)</f>
        <v>0</v>
      </c>
    </row>
    <row r="219" spans="2:19" x14ac:dyDescent="0.3">
      <c r="B219" s="3" t="s">
        <v>103</v>
      </c>
      <c r="C219" s="2" t="str">
        <f t="shared" si="24"/>
        <v>C</v>
      </c>
      <c r="D219" s="2" t="str">
        <f t="shared" si="25"/>
        <v>A</v>
      </c>
      <c r="E219" s="2">
        <f t="shared" si="26"/>
        <v>5</v>
      </c>
      <c r="F219" s="3" t="s">
        <v>409</v>
      </c>
      <c r="G219" s="3" t="s">
        <v>410</v>
      </c>
      <c r="H219" s="4">
        <f>SUMIFS(Tab_01.Jan[MOVIMENTO],Tab_01.Jan[CONTA],$F219)</f>
        <v>0</v>
      </c>
      <c r="I219" s="4">
        <f>SUMIFS(Tab_02.Fev[MOVIMENTO],Tab_02.Fev[CONTA],$F219)</f>
        <v>0</v>
      </c>
      <c r="J219" s="4">
        <f>SUMIFS(Tab_03.Mar[MOVIMENTO],Tab_03.Mar[CONTA],$F219)</f>
        <v>0</v>
      </c>
      <c r="K219" s="4">
        <f>SUMIFS(Tab_04.Abr[MOVIMENTO],Tab_04.Abr[CONTA],$F219)</f>
        <v>0</v>
      </c>
      <c r="L219" s="4">
        <f>SUMIFS(Tab_05.Mai[MOVIMENTO],Tab_05.Mai[CONTA],$F219)</f>
        <v>0</v>
      </c>
      <c r="M219" s="4">
        <f>SUMIFS(Tab_06.Jun[MOVIMENTO],Tab_06.Jun[CONTA],$F219)</f>
        <v>0</v>
      </c>
      <c r="N219" s="4">
        <f>SUMIFS(Tab_07.Jul[MOVIMENTO],Tab_07.Jul[CONTA],$F219)</f>
        <v>0</v>
      </c>
      <c r="O219" s="4">
        <f>SUMIFS(Tab_08.Ago[MOVIMENTO],Tab_08.Ago[CONTA],$F219)</f>
        <v>0</v>
      </c>
      <c r="P219" s="4">
        <f>SUMIFS(Tab_09.Set[MOVIMENTO],Tab_09.Set[CONTA],$F219)</f>
        <v>0</v>
      </c>
      <c r="Q219" s="4">
        <f>SUMIFS(Tab_10.Out[MOVIMENTO],Tab_10.Out[CONTA],$F219)</f>
        <v>0</v>
      </c>
      <c r="R219" s="4">
        <f>SUMIFS(Tab_11.Nov[MOVIMENTO],Tab_11.Nov[CONTA],$F219)</f>
        <v>0</v>
      </c>
      <c r="S219" s="4">
        <f>SUMIFS(Tab_12.Dez[MOVIMENTO],Tab_12.Dez[CONTA],$F219)</f>
        <v>0</v>
      </c>
    </row>
    <row r="220" spans="2:19" x14ac:dyDescent="0.3">
      <c r="B220" s="3"/>
      <c r="C220" s="2" t="str">
        <f t="shared" ref="C220:C221" si="27">IF($F220="","",IF(LEFT($F220,1)*1=1,"A",IF(LEFT($F220,1)*1=2,"P",IF(LEFT($F220,1)*1=3,"R",IF(LEFT($F220,1)*1=4,"C",IF(LEFT($F220,1)*1=5,"C",IF(LEFT($F220,1)*1=6,"C","")))))))</f>
        <v>C</v>
      </c>
      <c r="D220" s="2" t="str">
        <f t="shared" ref="D220:D221" si="28">IF($F220="","",IF(LEN($F220)=13,"A","S"))</f>
        <v>S</v>
      </c>
      <c r="E220" s="2">
        <f t="shared" ref="E220:E221" si="29">IF($F220="","",IF(LEN($F220)=1,1,IF(LEN($F220)=3,2,IF(LEN($F220)=5,3,IF(LEN($F220)=8,4,5)))))</f>
        <v>5</v>
      </c>
      <c r="F220" s="3" t="s">
        <v>594</v>
      </c>
      <c r="G220" s="3" t="s">
        <v>701</v>
      </c>
      <c r="H220" s="4">
        <f>SUMIFS(Tab_01.Jan[MOVIMENTO],Tab_01.Jan[CONTA],$F220)</f>
        <v>1590.84</v>
      </c>
      <c r="I220" s="4">
        <f>SUMIFS(Tab_02.Fev[MOVIMENTO],Tab_02.Fev[CONTA],$F220)</f>
        <v>0</v>
      </c>
      <c r="J220" s="4">
        <f>SUMIFS(Tab_03.Mar[MOVIMENTO],Tab_03.Mar[CONTA],$F220)</f>
        <v>832.04</v>
      </c>
      <c r="K220" s="4">
        <f>SUMIFS(Tab_04.Abr[MOVIMENTO],Tab_04.Abr[CONTA],$F220)</f>
        <v>583.45000000000005</v>
      </c>
      <c r="L220" s="4">
        <f>SUMIFS(Tab_05.Mai[MOVIMENTO],Tab_05.Mai[CONTA],$F220)</f>
        <v>888.37</v>
      </c>
      <c r="M220" s="4">
        <f>SUMIFS(Tab_06.Jun[MOVIMENTO],Tab_06.Jun[CONTA],$F220)</f>
        <v>599.41999999999996</v>
      </c>
      <c r="N220" s="4">
        <f>SUMIFS(Tab_07.Jul[MOVIMENTO],Tab_07.Jul[CONTA],$F220)</f>
        <v>599.41999999999996</v>
      </c>
      <c r="O220" s="4">
        <f>SUMIFS(Tab_08.Ago[MOVIMENTO],Tab_08.Ago[CONTA],$F220)</f>
        <v>599.41999999999996</v>
      </c>
      <c r="P220" s="4">
        <f>SUMIFS(Tab_09.Set[MOVIMENTO],Tab_09.Set[CONTA],$F220)</f>
        <v>52.46</v>
      </c>
      <c r="Q220" s="4">
        <f>SUMIFS(Tab_10.Out[MOVIMENTO],Tab_10.Out[CONTA],$F220)</f>
        <v>1130.6099999999999</v>
      </c>
      <c r="R220" s="4">
        <f>SUMIFS(Tab_11.Nov[MOVIMENTO],Tab_11.Nov[CONTA],$F220)</f>
        <v>908.66</v>
      </c>
      <c r="S220" s="4">
        <f>SUMIFS(Tab_12.Dez[MOVIMENTO],Tab_12.Dez[CONTA],$F220)</f>
        <v>951.45</v>
      </c>
    </row>
    <row r="221" spans="2:19" x14ac:dyDescent="0.3">
      <c r="B221" s="3" t="s">
        <v>103</v>
      </c>
      <c r="C221" s="2" t="str">
        <f t="shared" si="27"/>
        <v>C</v>
      </c>
      <c r="D221" s="2" t="str">
        <f t="shared" si="28"/>
        <v>A</v>
      </c>
      <c r="E221" s="2">
        <f t="shared" si="29"/>
        <v>5</v>
      </c>
      <c r="F221" s="3" t="s">
        <v>411</v>
      </c>
      <c r="G221" s="3" t="s">
        <v>412</v>
      </c>
      <c r="H221" s="4">
        <f>SUMIFS(Tab_01.Jan[MOVIMENTO],Tab_01.Jan[CONTA],$F221)</f>
        <v>300</v>
      </c>
      <c r="I221" s="4">
        <f>SUMIFS(Tab_02.Fev[MOVIMENTO],Tab_02.Fev[CONTA],$F221)</f>
        <v>0</v>
      </c>
      <c r="J221" s="4">
        <f>SUMIFS(Tab_03.Mar[MOVIMENTO],Tab_03.Mar[CONTA],$F221)</f>
        <v>0</v>
      </c>
      <c r="K221" s="4">
        <f>SUMIFS(Tab_04.Abr[MOVIMENTO],Tab_04.Abr[CONTA],$F221)</f>
        <v>0</v>
      </c>
      <c r="L221" s="4">
        <f>SUMIFS(Tab_05.Mai[MOVIMENTO],Tab_05.Mai[CONTA],$F221)</f>
        <v>0</v>
      </c>
      <c r="M221" s="4">
        <f>SUMIFS(Tab_06.Jun[MOVIMENTO],Tab_06.Jun[CONTA],$F221)</f>
        <v>0</v>
      </c>
      <c r="N221" s="4">
        <f>SUMIFS(Tab_07.Jul[MOVIMENTO],Tab_07.Jul[CONTA],$F221)</f>
        <v>0</v>
      </c>
      <c r="O221" s="4">
        <f>SUMIFS(Tab_08.Ago[MOVIMENTO],Tab_08.Ago[CONTA],$F221)</f>
        <v>0</v>
      </c>
      <c r="P221" s="4">
        <f>SUMIFS(Tab_09.Set[MOVIMENTO],Tab_09.Set[CONTA],$F221)</f>
        <v>0</v>
      </c>
      <c r="Q221" s="4">
        <f>SUMIFS(Tab_10.Out[MOVIMENTO],Tab_10.Out[CONTA],$F221)</f>
        <v>0</v>
      </c>
      <c r="R221" s="4">
        <f>SUMIFS(Tab_11.Nov[MOVIMENTO],Tab_11.Nov[CONTA],$F221)</f>
        <v>0</v>
      </c>
      <c r="S221" s="4">
        <f>SUMIFS(Tab_12.Dez[MOVIMENTO],Tab_12.Dez[CONTA],$F221)</f>
        <v>0</v>
      </c>
    </row>
    <row r="222" spans="2:19" x14ac:dyDescent="0.3">
      <c r="B222" s="3" t="s">
        <v>103</v>
      </c>
      <c r="C222" s="2" t="str">
        <f t="shared" ref="C222:C225" si="30">IF($F222="","",IF(LEFT($F222,1)*1=1,"A",IF(LEFT($F222,1)*1=2,"P",IF(LEFT($F222,1)*1=3,"R",IF(LEFT($F222,1)*1=4,"C",IF(LEFT($F222,1)*1=5,"C",IF(LEFT($F222,1)*1=6,"C","")))))))</f>
        <v>C</v>
      </c>
      <c r="D222" s="2" t="str">
        <f t="shared" ref="D222:D225" si="31">IF($F222="","",IF(LEN($F222)=13,"A","S"))</f>
        <v>A</v>
      </c>
      <c r="E222" s="2">
        <f t="shared" ref="E222:E225" si="32">IF($F222="","",IF(LEN($F222)=1,1,IF(LEN($F222)=3,2,IF(LEN($F222)=5,3,IF(LEN($F222)=8,4,5)))))</f>
        <v>5</v>
      </c>
      <c r="F222" s="3" t="s">
        <v>413</v>
      </c>
      <c r="G222" s="3" t="s">
        <v>414</v>
      </c>
      <c r="H222" s="4">
        <f>SUMIFS(Tab_01.Jan[MOVIMENTO],Tab_01.Jan[CONTA],$F222)</f>
        <v>1290.8399999999999</v>
      </c>
      <c r="I222" s="4">
        <f>SUMIFS(Tab_02.Fev[MOVIMENTO],Tab_02.Fev[CONTA],$F222)</f>
        <v>0</v>
      </c>
      <c r="J222" s="4">
        <f>SUMIFS(Tab_03.Mar[MOVIMENTO],Tab_03.Mar[CONTA],$F222)</f>
        <v>832.04</v>
      </c>
      <c r="K222" s="4">
        <f>SUMIFS(Tab_04.Abr[MOVIMENTO],Tab_04.Abr[CONTA],$F222)</f>
        <v>583.45000000000005</v>
      </c>
      <c r="L222" s="4">
        <f>SUMIFS(Tab_05.Mai[MOVIMENTO],Tab_05.Mai[CONTA],$F222)</f>
        <v>888.37</v>
      </c>
      <c r="M222" s="4">
        <f>SUMIFS(Tab_06.Jun[MOVIMENTO],Tab_06.Jun[CONTA],$F222)</f>
        <v>599.41999999999996</v>
      </c>
      <c r="N222" s="4">
        <f>SUMIFS(Tab_07.Jul[MOVIMENTO],Tab_07.Jul[CONTA],$F222)</f>
        <v>599.41999999999996</v>
      </c>
      <c r="O222" s="4">
        <f>SUMIFS(Tab_08.Ago[MOVIMENTO],Tab_08.Ago[CONTA],$F222)</f>
        <v>599.41999999999996</v>
      </c>
      <c r="P222" s="4">
        <f>SUMIFS(Tab_09.Set[MOVIMENTO],Tab_09.Set[CONTA],$F222)</f>
        <v>0</v>
      </c>
      <c r="Q222" s="4">
        <f>SUMIFS(Tab_10.Out[MOVIMENTO],Tab_10.Out[CONTA],$F222)</f>
        <v>1130.6099999999999</v>
      </c>
      <c r="R222" s="4">
        <f>SUMIFS(Tab_11.Nov[MOVIMENTO],Tab_11.Nov[CONTA],$F222)</f>
        <v>908.66</v>
      </c>
      <c r="S222" s="4">
        <f>SUMIFS(Tab_12.Dez[MOVIMENTO],Tab_12.Dez[CONTA],$F222)</f>
        <v>951.45</v>
      </c>
    </row>
    <row r="223" spans="2:19" x14ac:dyDescent="0.3">
      <c r="B223" s="3" t="s">
        <v>103</v>
      </c>
      <c r="C223" s="2" t="str">
        <f t="shared" si="30"/>
        <v>C</v>
      </c>
      <c r="D223" s="2" t="str">
        <f t="shared" si="31"/>
        <v>A</v>
      </c>
      <c r="E223" s="2">
        <f t="shared" si="32"/>
        <v>5</v>
      </c>
      <c r="F223" s="3" t="s">
        <v>415</v>
      </c>
      <c r="G223" s="3" t="s">
        <v>416</v>
      </c>
      <c r="H223" s="4">
        <f>SUMIFS(Tab_01.Jan[MOVIMENTO],Tab_01.Jan[CONTA],$F223)</f>
        <v>0</v>
      </c>
      <c r="I223" s="4">
        <f>SUMIFS(Tab_02.Fev[MOVIMENTO],Tab_02.Fev[CONTA],$F223)</f>
        <v>0</v>
      </c>
      <c r="J223" s="4">
        <f>SUMIFS(Tab_03.Mar[MOVIMENTO],Tab_03.Mar[CONTA],$F223)</f>
        <v>0</v>
      </c>
      <c r="K223" s="4">
        <f>SUMIFS(Tab_04.Abr[MOVIMENTO],Tab_04.Abr[CONTA],$F223)</f>
        <v>0</v>
      </c>
      <c r="L223" s="4">
        <f>SUMIFS(Tab_05.Mai[MOVIMENTO],Tab_05.Mai[CONTA],$F223)</f>
        <v>0</v>
      </c>
      <c r="M223" s="4">
        <f>SUMIFS(Tab_06.Jun[MOVIMENTO],Tab_06.Jun[CONTA],$F223)</f>
        <v>0</v>
      </c>
      <c r="N223" s="4">
        <f>SUMIFS(Tab_07.Jul[MOVIMENTO],Tab_07.Jul[CONTA],$F223)</f>
        <v>0</v>
      </c>
      <c r="O223" s="4">
        <f>SUMIFS(Tab_08.Ago[MOVIMENTO],Tab_08.Ago[CONTA],$F223)</f>
        <v>0</v>
      </c>
      <c r="P223" s="4">
        <f>SUMIFS(Tab_09.Set[MOVIMENTO],Tab_09.Set[CONTA],$F223)</f>
        <v>0</v>
      </c>
      <c r="Q223" s="4">
        <f>SUMIFS(Tab_10.Out[MOVIMENTO],Tab_10.Out[CONTA],$F223)</f>
        <v>0</v>
      </c>
      <c r="R223" s="4">
        <f>SUMIFS(Tab_11.Nov[MOVIMENTO],Tab_11.Nov[CONTA],$F223)</f>
        <v>0</v>
      </c>
      <c r="S223" s="4">
        <f>SUMIFS(Tab_12.Dez[MOVIMENTO],Tab_12.Dez[CONTA],$F223)</f>
        <v>0</v>
      </c>
    </row>
    <row r="224" spans="2:19" x14ac:dyDescent="0.3">
      <c r="B224" s="3" t="s">
        <v>103</v>
      </c>
      <c r="C224" s="2" t="str">
        <f t="shared" si="30"/>
        <v>C</v>
      </c>
      <c r="D224" s="2" t="str">
        <f t="shared" si="31"/>
        <v>A</v>
      </c>
      <c r="E224" s="2">
        <f t="shared" si="32"/>
        <v>5</v>
      </c>
      <c r="F224" s="3" t="s">
        <v>417</v>
      </c>
      <c r="G224" s="3" t="s">
        <v>418</v>
      </c>
      <c r="H224" s="4">
        <f>SUMIFS(Tab_01.Jan[MOVIMENTO],Tab_01.Jan[CONTA],$F224)</f>
        <v>0</v>
      </c>
      <c r="I224" s="4">
        <f>SUMIFS(Tab_02.Fev[MOVIMENTO],Tab_02.Fev[CONTA],$F224)</f>
        <v>0</v>
      </c>
      <c r="J224" s="4">
        <f>SUMIFS(Tab_03.Mar[MOVIMENTO],Tab_03.Mar[CONTA],$F224)</f>
        <v>0</v>
      </c>
      <c r="K224" s="4">
        <f>SUMIFS(Tab_04.Abr[MOVIMENTO],Tab_04.Abr[CONTA],$F224)</f>
        <v>0</v>
      </c>
      <c r="L224" s="4">
        <f>SUMIFS(Tab_05.Mai[MOVIMENTO],Tab_05.Mai[CONTA],$F224)</f>
        <v>0</v>
      </c>
      <c r="M224" s="4">
        <f>SUMIFS(Tab_06.Jun[MOVIMENTO],Tab_06.Jun[CONTA],$F224)</f>
        <v>0</v>
      </c>
      <c r="N224" s="4">
        <f>SUMIFS(Tab_07.Jul[MOVIMENTO],Tab_07.Jul[CONTA],$F224)</f>
        <v>0</v>
      </c>
      <c r="O224" s="4">
        <f>SUMIFS(Tab_08.Ago[MOVIMENTO],Tab_08.Ago[CONTA],$F224)</f>
        <v>0</v>
      </c>
      <c r="P224" s="4">
        <f>SUMIFS(Tab_09.Set[MOVIMENTO],Tab_09.Set[CONTA],$F224)</f>
        <v>52.46</v>
      </c>
      <c r="Q224" s="4">
        <f>SUMIFS(Tab_10.Out[MOVIMENTO],Tab_10.Out[CONTA],$F224)</f>
        <v>0</v>
      </c>
      <c r="R224" s="4">
        <f>SUMIFS(Tab_11.Nov[MOVIMENTO],Tab_11.Nov[CONTA],$F224)</f>
        <v>0</v>
      </c>
      <c r="S224" s="4">
        <f>SUMIFS(Tab_12.Dez[MOVIMENTO],Tab_12.Dez[CONTA],$F224)</f>
        <v>0</v>
      </c>
    </row>
    <row r="225" spans="2:19" x14ac:dyDescent="0.3">
      <c r="B225" s="3"/>
      <c r="C225" s="2" t="str">
        <f t="shared" si="30"/>
        <v>C</v>
      </c>
      <c r="D225" s="2" t="str">
        <f t="shared" si="31"/>
        <v>S</v>
      </c>
      <c r="E225" s="2">
        <f t="shared" si="32"/>
        <v>5</v>
      </c>
      <c r="F225" s="3" t="s">
        <v>595</v>
      </c>
      <c r="G225" s="3" t="s">
        <v>420</v>
      </c>
      <c r="H225" s="4">
        <f>SUMIFS(Tab_01.Jan[MOVIMENTO],Tab_01.Jan[CONTA],$F225)</f>
        <v>427.26</v>
      </c>
      <c r="I225" s="4">
        <f>SUMIFS(Tab_02.Fev[MOVIMENTO],Tab_02.Fev[CONTA],$F225)</f>
        <v>427.26</v>
      </c>
      <c r="J225" s="4">
        <f>SUMIFS(Tab_03.Mar[MOVIMENTO],Tab_03.Mar[CONTA],$F225)</f>
        <v>427.26</v>
      </c>
      <c r="K225" s="4">
        <f>SUMIFS(Tab_04.Abr[MOVIMENTO],Tab_04.Abr[CONTA],$F225)</f>
        <v>427.26</v>
      </c>
      <c r="L225" s="4">
        <f>SUMIFS(Tab_05.Mai[MOVIMENTO],Tab_05.Mai[CONTA],$F225)</f>
        <v>1266.58</v>
      </c>
      <c r="M225" s="4">
        <f>SUMIFS(Tab_06.Jun[MOVIMENTO],Tab_06.Jun[CONTA],$F225)</f>
        <v>427.26</v>
      </c>
      <c r="N225" s="4">
        <f>SUMIFS(Tab_07.Jul[MOVIMENTO],Tab_07.Jul[CONTA],$F225)</f>
        <v>427.26</v>
      </c>
      <c r="O225" s="4">
        <f>SUMIFS(Tab_08.Ago[MOVIMENTO],Tab_08.Ago[CONTA],$F225)</f>
        <v>427.26</v>
      </c>
      <c r="P225" s="4">
        <f>SUMIFS(Tab_09.Set[MOVIMENTO],Tab_09.Set[CONTA],$F225)</f>
        <v>1683.21</v>
      </c>
      <c r="Q225" s="4">
        <f>SUMIFS(Tab_10.Out[MOVIMENTO],Tab_10.Out[CONTA],$F225)</f>
        <v>427.26</v>
      </c>
      <c r="R225" s="4">
        <f>SUMIFS(Tab_11.Nov[MOVIMENTO],Tab_11.Nov[CONTA],$F225)</f>
        <v>427.26</v>
      </c>
      <c r="S225" s="4">
        <f>SUMIFS(Tab_12.Dez[MOVIMENTO],Tab_12.Dez[CONTA],$F225)</f>
        <v>427.26</v>
      </c>
    </row>
    <row r="226" spans="2:19" x14ac:dyDescent="0.3">
      <c r="B226" s="3" t="s">
        <v>103</v>
      </c>
      <c r="C226" s="2" t="str">
        <f t="shared" ref="C226:C230" si="33">IF($F226="","",IF(LEFT($F226,1)*1=1,"A",IF(LEFT($F226,1)*1=2,"P",IF(LEFT($F226,1)*1=3,"R",IF(LEFT($F226,1)*1=4,"C",IF(LEFT($F226,1)*1=5,"C",IF(LEFT($F226,1)*1=6,"C","")))))))</f>
        <v>C</v>
      </c>
      <c r="D226" s="2" t="str">
        <f t="shared" ref="D226:D230" si="34">IF($F226="","",IF(LEN($F226)=13,"A","S"))</f>
        <v>A</v>
      </c>
      <c r="E226" s="2">
        <f t="shared" ref="E226:E230" si="35">IF($F226="","",IF(LEN($F226)=1,1,IF(LEN($F226)=3,2,IF(LEN($F226)=5,3,IF(LEN($F226)=8,4,5)))))</f>
        <v>5</v>
      </c>
      <c r="F226" s="3" t="s">
        <v>419</v>
      </c>
      <c r="G226" s="3" t="s">
        <v>420</v>
      </c>
      <c r="H226" s="4">
        <f>SUMIFS(Tab_01.Jan[MOVIMENTO],Tab_01.Jan[CONTA],$F226)</f>
        <v>427.26</v>
      </c>
      <c r="I226" s="4">
        <f>SUMIFS(Tab_02.Fev[MOVIMENTO],Tab_02.Fev[CONTA],$F226)</f>
        <v>427.26</v>
      </c>
      <c r="J226" s="4">
        <f>SUMIFS(Tab_03.Mar[MOVIMENTO],Tab_03.Mar[CONTA],$F226)</f>
        <v>427.26</v>
      </c>
      <c r="K226" s="4">
        <f>SUMIFS(Tab_04.Abr[MOVIMENTO],Tab_04.Abr[CONTA],$F226)</f>
        <v>427.26</v>
      </c>
      <c r="L226" s="4">
        <f>SUMIFS(Tab_05.Mai[MOVIMENTO],Tab_05.Mai[CONTA],$F226)</f>
        <v>1266.58</v>
      </c>
      <c r="M226" s="4">
        <f>SUMIFS(Tab_06.Jun[MOVIMENTO],Tab_06.Jun[CONTA],$F226)</f>
        <v>427.26</v>
      </c>
      <c r="N226" s="4">
        <f>SUMIFS(Tab_07.Jul[MOVIMENTO],Tab_07.Jul[CONTA],$F226)</f>
        <v>427.26</v>
      </c>
      <c r="O226" s="4">
        <f>SUMIFS(Tab_08.Ago[MOVIMENTO],Tab_08.Ago[CONTA],$F226)</f>
        <v>427.26</v>
      </c>
      <c r="P226" s="4">
        <f>SUMIFS(Tab_09.Set[MOVIMENTO],Tab_09.Set[CONTA],$F226)</f>
        <v>1683.21</v>
      </c>
      <c r="Q226" s="4">
        <f>SUMIFS(Tab_10.Out[MOVIMENTO],Tab_10.Out[CONTA],$F226)</f>
        <v>427.26</v>
      </c>
      <c r="R226" s="4">
        <f>SUMIFS(Tab_11.Nov[MOVIMENTO],Tab_11.Nov[CONTA],$F226)</f>
        <v>427.26</v>
      </c>
      <c r="S226" s="4">
        <f>SUMIFS(Tab_12.Dez[MOVIMENTO],Tab_12.Dez[CONTA],$F226)</f>
        <v>427.26</v>
      </c>
    </row>
    <row r="227" spans="2:19" x14ac:dyDescent="0.3">
      <c r="B227" s="3"/>
      <c r="C227" s="2" t="str">
        <f t="shared" si="33"/>
        <v>C</v>
      </c>
      <c r="D227" s="2" t="str">
        <f t="shared" si="34"/>
        <v>S</v>
      </c>
      <c r="E227" s="2">
        <f t="shared" si="35"/>
        <v>5</v>
      </c>
      <c r="F227" s="3" t="s">
        <v>237</v>
      </c>
      <c r="G227" s="3" t="s">
        <v>702</v>
      </c>
      <c r="H227" s="4">
        <f>SUMIFS(Tab_01.Jan[MOVIMENTO],Tab_01.Jan[CONTA],$F227)</f>
        <v>852439.19</v>
      </c>
      <c r="I227" s="4">
        <f>SUMIFS(Tab_02.Fev[MOVIMENTO],Tab_02.Fev[CONTA],$F227)</f>
        <v>177379.06</v>
      </c>
      <c r="J227" s="4">
        <f>SUMIFS(Tab_03.Mar[MOVIMENTO],Tab_03.Mar[CONTA],$F227)</f>
        <v>402105.77</v>
      </c>
      <c r="K227" s="4">
        <f>SUMIFS(Tab_04.Abr[MOVIMENTO],Tab_04.Abr[CONTA],$F227)</f>
        <v>659036.97</v>
      </c>
      <c r="L227" s="4">
        <f>SUMIFS(Tab_05.Mai[MOVIMENTO],Tab_05.Mai[CONTA],$F227)</f>
        <v>677488.52</v>
      </c>
      <c r="M227" s="4">
        <f>SUMIFS(Tab_06.Jun[MOVIMENTO],Tab_06.Jun[CONTA],$F227)</f>
        <v>701996.59</v>
      </c>
      <c r="N227" s="4">
        <f>SUMIFS(Tab_07.Jul[MOVIMENTO],Tab_07.Jul[CONTA],$F227)</f>
        <v>701996.59</v>
      </c>
      <c r="O227" s="4">
        <f>SUMIFS(Tab_08.Ago[MOVIMENTO],Tab_08.Ago[CONTA],$F227)</f>
        <v>701996.59</v>
      </c>
      <c r="P227" s="4">
        <f>SUMIFS(Tab_09.Set[MOVIMENTO],Tab_09.Set[CONTA],$F227)</f>
        <v>571301.5</v>
      </c>
      <c r="Q227" s="4">
        <f>SUMIFS(Tab_10.Out[MOVIMENTO],Tab_10.Out[CONTA],$F227)</f>
        <v>804164.96</v>
      </c>
      <c r="R227" s="4">
        <f>SUMIFS(Tab_11.Nov[MOVIMENTO],Tab_11.Nov[CONTA],$F227)</f>
        <v>297490.43</v>
      </c>
      <c r="S227" s="4">
        <f>SUMIFS(Tab_12.Dez[MOVIMENTO],Tab_12.Dez[CONTA],$F227)</f>
        <v>1454631.39</v>
      </c>
    </row>
    <row r="228" spans="2:19" x14ac:dyDescent="0.3">
      <c r="B228" s="3"/>
      <c r="C228" s="2" t="str">
        <f t="shared" si="33"/>
        <v>C</v>
      </c>
      <c r="D228" s="2" t="str">
        <f t="shared" si="34"/>
        <v>S</v>
      </c>
      <c r="E228" s="2">
        <f t="shared" si="35"/>
        <v>5</v>
      </c>
      <c r="F228" s="3" t="s">
        <v>238</v>
      </c>
      <c r="G228" s="3" t="s">
        <v>702</v>
      </c>
      <c r="H228" s="4">
        <f>SUMIFS(Tab_01.Jan[MOVIMENTO],Tab_01.Jan[CONTA],$F228)</f>
        <v>852439.19</v>
      </c>
      <c r="I228" s="4">
        <f>SUMIFS(Tab_02.Fev[MOVIMENTO],Tab_02.Fev[CONTA],$F228)</f>
        <v>177379.06</v>
      </c>
      <c r="J228" s="4">
        <f>SUMIFS(Tab_03.Mar[MOVIMENTO],Tab_03.Mar[CONTA],$F228)</f>
        <v>402105.77</v>
      </c>
      <c r="K228" s="4">
        <f>SUMIFS(Tab_04.Abr[MOVIMENTO],Tab_04.Abr[CONTA],$F228)</f>
        <v>659036.97</v>
      </c>
      <c r="L228" s="4">
        <f>SUMIFS(Tab_05.Mai[MOVIMENTO],Tab_05.Mai[CONTA],$F228)</f>
        <v>677488.52</v>
      </c>
      <c r="M228" s="4">
        <f>SUMIFS(Tab_06.Jun[MOVIMENTO],Tab_06.Jun[CONTA],$F228)</f>
        <v>701996.59</v>
      </c>
      <c r="N228" s="4">
        <f>SUMIFS(Tab_07.Jul[MOVIMENTO],Tab_07.Jul[CONTA],$F228)</f>
        <v>701996.59</v>
      </c>
      <c r="O228" s="4">
        <f>SUMIFS(Tab_08.Ago[MOVIMENTO],Tab_08.Ago[CONTA],$F228)</f>
        <v>701996.59</v>
      </c>
      <c r="P228" s="4">
        <f>SUMIFS(Tab_09.Set[MOVIMENTO],Tab_09.Set[CONTA],$F228)</f>
        <v>571301.5</v>
      </c>
      <c r="Q228" s="4">
        <f>SUMIFS(Tab_10.Out[MOVIMENTO],Tab_10.Out[CONTA],$F228)</f>
        <v>804164.96</v>
      </c>
      <c r="R228" s="4">
        <f>SUMIFS(Tab_11.Nov[MOVIMENTO],Tab_11.Nov[CONTA],$F228)</f>
        <v>297490.43</v>
      </c>
      <c r="S228" s="4">
        <f>SUMIFS(Tab_12.Dez[MOVIMENTO],Tab_12.Dez[CONTA],$F228)</f>
        <v>1454631.39</v>
      </c>
    </row>
    <row r="229" spans="2:19" x14ac:dyDescent="0.3">
      <c r="B229" s="3" t="s">
        <v>103</v>
      </c>
      <c r="C229" s="2" t="str">
        <f t="shared" si="33"/>
        <v>C</v>
      </c>
      <c r="D229" s="2" t="str">
        <f t="shared" si="34"/>
        <v>A</v>
      </c>
      <c r="E229" s="2">
        <f t="shared" si="35"/>
        <v>5</v>
      </c>
      <c r="F229" s="3" t="s">
        <v>421</v>
      </c>
      <c r="G229" s="3" t="s">
        <v>422</v>
      </c>
      <c r="H229" s="4">
        <f>SUMIFS(Tab_01.Jan[MOVIMENTO],Tab_01.Jan[CONTA],$F229)</f>
        <v>187419.37</v>
      </c>
      <c r="I229" s="4">
        <f>SUMIFS(Tab_02.Fev[MOVIMENTO],Tab_02.Fev[CONTA],$F229)</f>
        <v>0</v>
      </c>
      <c r="J229" s="4">
        <f>SUMIFS(Tab_03.Mar[MOVIMENTO],Tab_03.Mar[CONTA],$F229)</f>
        <v>247414.93</v>
      </c>
      <c r="K229" s="4">
        <f>SUMIFS(Tab_04.Abr[MOVIMENTO],Tab_04.Abr[CONTA],$F229)</f>
        <v>180215.42</v>
      </c>
      <c r="L229" s="4">
        <f>SUMIFS(Tab_05.Mai[MOVIMENTO],Tab_05.Mai[CONTA],$F229)</f>
        <v>332680.82</v>
      </c>
      <c r="M229" s="4">
        <f>SUMIFS(Tab_06.Jun[MOVIMENTO],Tab_06.Jun[CONTA],$F229)</f>
        <v>323149.34999999998</v>
      </c>
      <c r="N229" s="4">
        <f>SUMIFS(Tab_07.Jul[MOVIMENTO],Tab_07.Jul[CONTA],$F229)</f>
        <v>323149.34999999998</v>
      </c>
      <c r="O229" s="4">
        <f>SUMIFS(Tab_08.Ago[MOVIMENTO],Tab_08.Ago[CONTA],$F229)</f>
        <v>323149.34999999998</v>
      </c>
      <c r="P229" s="4">
        <f>SUMIFS(Tab_09.Set[MOVIMENTO],Tab_09.Set[CONTA],$F229)</f>
        <v>198337.07</v>
      </c>
      <c r="Q229" s="4">
        <f>SUMIFS(Tab_10.Out[MOVIMENTO],Tab_10.Out[CONTA],$F229)</f>
        <v>429781.84</v>
      </c>
      <c r="R229" s="4">
        <f>SUMIFS(Tab_11.Nov[MOVIMENTO],Tab_11.Nov[CONTA],$F229)</f>
        <v>188073.31</v>
      </c>
      <c r="S229" s="4">
        <f>SUMIFS(Tab_12.Dez[MOVIMENTO],Tab_12.Dez[CONTA],$F229)</f>
        <v>442629.02</v>
      </c>
    </row>
    <row r="230" spans="2:19" x14ac:dyDescent="0.3">
      <c r="B230" s="3" t="s">
        <v>103</v>
      </c>
      <c r="C230" s="2" t="str">
        <f t="shared" si="33"/>
        <v>C</v>
      </c>
      <c r="D230" s="2" t="str">
        <f t="shared" si="34"/>
        <v>A</v>
      </c>
      <c r="E230" s="2">
        <f t="shared" si="35"/>
        <v>5</v>
      </c>
      <c r="F230" s="3" t="s">
        <v>738</v>
      </c>
      <c r="G230" s="3" t="s">
        <v>367</v>
      </c>
      <c r="H230" s="4">
        <f>SUMIFS(Tab_01.Jan[MOVIMENTO],Tab_01.Jan[CONTA],$F230)</f>
        <v>122569.24</v>
      </c>
      <c r="I230" s="4">
        <f>SUMIFS(Tab_02.Fev[MOVIMENTO],Tab_02.Fev[CONTA],$F230)</f>
        <v>0</v>
      </c>
      <c r="J230" s="4">
        <f>SUMIFS(Tab_03.Mar[MOVIMENTO],Tab_03.Mar[CONTA],$F230)</f>
        <v>154690.84</v>
      </c>
      <c r="K230" s="4">
        <f>SUMIFS(Tab_04.Abr[MOVIMENTO],Tab_04.Abr[CONTA],$F230)</f>
        <v>132289.44</v>
      </c>
      <c r="L230" s="4">
        <f>SUMIFS(Tab_05.Mai[MOVIMENTO],Tab_05.Mai[CONTA],$F230)</f>
        <v>137859.68</v>
      </c>
      <c r="M230" s="4">
        <f>SUMIFS(Tab_06.Jun[MOVIMENTO],Tab_06.Jun[CONTA],$F230)</f>
        <v>133881.88</v>
      </c>
      <c r="N230" s="4">
        <f>SUMIFS(Tab_07.Jul[MOVIMENTO],Tab_07.Jul[CONTA],$F230)</f>
        <v>133881.88</v>
      </c>
      <c r="O230" s="4">
        <f>SUMIFS(Tab_08.Ago[MOVIMENTO],Tab_08.Ago[CONTA],$F230)</f>
        <v>133881.88</v>
      </c>
      <c r="P230" s="4">
        <f>SUMIFS(Tab_09.Set[MOVIMENTO],Tab_09.Set[CONTA],$F230)</f>
        <v>128578.44</v>
      </c>
      <c r="Q230" s="4">
        <f>SUMIFS(Tab_10.Out[MOVIMENTO],Tab_10.Out[CONTA],$F230)</f>
        <v>148911.84</v>
      </c>
      <c r="R230" s="4">
        <f>SUMIFS(Tab_11.Nov[MOVIMENTO],Tab_11.Nov[CONTA],$F230)</f>
        <v>109417.12</v>
      </c>
      <c r="S230" s="4">
        <f>SUMIFS(Tab_12.Dez[MOVIMENTO],Tab_12.Dez[CONTA],$F230)</f>
        <v>112795.04</v>
      </c>
    </row>
    <row r="231" spans="2:19" x14ac:dyDescent="0.3">
      <c r="B231" s="3" t="s">
        <v>103</v>
      </c>
      <c r="C231" s="2" t="str">
        <f t="shared" ref="C231:C235" si="36">IF($F231="","",IF(LEFT($F231,1)*1=1,"A",IF(LEFT($F231,1)*1=2,"P",IF(LEFT($F231,1)*1=3,"R",IF(LEFT($F231,1)*1=4,"C",IF(LEFT($F231,1)*1=5,"C",IF(LEFT($F231,1)*1=6,"C","")))))))</f>
        <v>C</v>
      </c>
      <c r="D231" s="2" t="str">
        <f t="shared" ref="D231:D235" si="37">IF($F231="","",IF(LEN($F231)=13,"A","S"))</f>
        <v>A</v>
      </c>
      <c r="E231" s="2">
        <f t="shared" ref="E231:E235" si="38">IF($F231="","",IF(LEN($F231)=1,1,IF(LEN($F231)=3,2,IF(LEN($F231)=5,3,IF(LEN($F231)=8,4,5)))))</f>
        <v>5</v>
      </c>
      <c r="F231" s="3" t="s">
        <v>423</v>
      </c>
      <c r="G231" s="3" t="s">
        <v>424</v>
      </c>
      <c r="H231" s="4">
        <f>SUMIFS(Tab_01.Jan[MOVIMENTO],Tab_01.Jan[CONTA],$F231)</f>
        <v>542450.57999999996</v>
      </c>
      <c r="I231" s="4">
        <f>SUMIFS(Tab_02.Fev[MOVIMENTO],Tab_02.Fev[CONTA],$F231)</f>
        <v>177379.06</v>
      </c>
      <c r="J231" s="4">
        <f>SUMIFS(Tab_03.Mar[MOVIMENTO],Tab_03.Mar[CONTA],$F231)</f>
        <v>0</v>
      </c>
      <c r="K231" s="4">
        <f>SUMIFS(Tab_04.Abr[MOVIMENTO],Tab_04.Abr[CONTA],$F231)</f>
        <v>346532.11</v>
      </c>
      <c r="L231" s="4">
        <f>SUMIFS(Tab_05.Mai[MOVIMENTO],Tab_05.Mai[CONTA],$F231)</f>
        <v>206948.02</v>
      </c>
      <c r="M231" s="4">
        <f>SUMIFS(Tab_06.Jun[MOVIMENTO],Tab_06.Jun[CONTA],$F231)</f>
        <v>244965.36</v>
      </c>
      <c r="N231" s="4">
        <f>SUMIFS(Tab_07.Jul[MOVIMENTO],Tab_07.Jul[CONTA],$F231)</f>
        <v>244965.36</v>
      </c>
      <c r="O231" s="4">
        <f>SUMIFS(Tab_08.Ago[MOVIMENTO],Tab_08.Ago[CONTA],$F231)</f>
        <v>244965.36</v>
      </c>
      <c r="P231" s="4">
        <f>SUMIFS(Tab_09.Set[MOVIMENTO],Tab_09.Set[CONTA],$F231)</f>
        <v>244385.99</v>
      </c>
      <c r="Q231" s="4">
        <f>SUMIFS(Tab_10.Out[MOVIMENTO],Tab_10.Out[CONTA],$F231)</f>
        <v>225471.28</v>
      </c>
      <c r="R231" s="4">
        <f>SUMIFS(Tab_11.Nov[MOVIMENTO],Tab_11.Nov[CONTA],$F231)</f>
        <v>0</v>
      </c>
      <c r="S231" s="4">
        <f>SUMIFS(Tab_12.Dez[MOVIMENTO],Tab_12.Dez[CONTA],$F231)</f>
        <v>899207.33</v>
      </c>
    </row>
    <row r="232" spans="2:19" x14ac:dyDescent="0.3">
      <c r="B232" s="3"/>
      <c r="C232" s="2" t="str">
        <f t="shared" si="36"/>
        <v>C</v>
      </c>
      <c r="D232" s="2" t="str">
        <f t="shared" si="37"/>
        <v>S</v>
      </c>
      <c r="E232" s="2">
        <f t="shared" si="38"/>
        <v>2</v>
      </c>
      <c r="F232" s="3" t="s">
        <v>596</v>
      </c>
      <c r="G232" s="3" t="s">
        <v>680</v>
      </c>
      <c r="H232" s="4">
        <f>SUMIFS(Tab_01.Jan[MOVIMENTO],Tab_01.Jan[CONTA],$F232)</f>
        <v>0</v>
      </c>
      <c r="I232" s="4">
        <f>SUMIFS(Tab_02.Fev[MOVIMENTO],Tab_02.Fev[CONTA],$F232)</f>
        <v>0</v>
      </c>
      <c r="J232" s="4">
        <f>SUMIFS(Tab_03.Mar[MOVIMENTO],Tab_03.Mar[CONTA],$F232)</f>
        <v>0</v>
      </c>
      <c r="K232" s="4">
        <f>SUMIFS(Tab_04.Abr[MOVIMENTO],Tab_04.Abr[CONTA],$F232)</f>
        <v>0</v>
      </c>
      <c r="L232" s="4">
        <f>SUMIFS(Tab_05.Mai[MOVIMENTO],Tab_05.Mai[CONTA],$F232)</f>
        <v>0</v>
      </c>
      <c r="M232" s="4">
        <f>SUMIFS(Tab_06.Jun[MOVIMENTO],Tab_06.Jun[CONTA],$F232)</f>
        <v>0</v>
      </c>
      <c r="N232" s="4">
        <f>SUMIFS(Tab_07.Jul[MOVIMENTO],Tab_07.Jul[CONTA],$F232)</f>
        <v>0</v>
      </c>
      <c r="O232" s="4">
        <f>SUMIFS(Tab_08.Ago[MOVIMENTO],Tab_08.Ago[CONTA],$F232)</f>
        <v>0</v>
      </c>
      <c r="P232" s="4">
        <f>SUMIFS(Tab_09.Set[MOVIMENTO],Tab_09.Set[CONTA],$F232)</f>
        <v>0</v>
      </c>
      <c r="Q232" s="4">
        <f>SUMIFS(Tab_10.Out[MOVIMENTO],Tab_10.Out[CONTA],$F232)</f>
        <v>0</v>
      </c>
      <c r="R232" s="4">
        <f>SUMIFS(Tab_11.Nov[MOVIMENTO],Tab_11.Nov[CONTA],$F232)</f>
        <v>0</v>
      </c>
      <c r="S232" s="4">
        <f>SUMIFS(Tab_12.Dez[MOVIMENTO],Tab_12.Dez[CONTA],$F232)</f>
        <v>0</v>
      </c>
    </row>
    <row r="233" spans="2:19" x14ac:dyDescent="0.3">
      <c r="B233" s="3"/>
      <c r="C233" s="2" t="str">
        <f t="shared" si="36"/>
        <v>C</v>
      </c>
      <c r="D233" s="2" t="str">
        <f t="shared" si="37"/>
        <v>S</v>
      </c>
      <c r="E233" s="2">
        <f t="shared" si="38"/>
        <v>5</v>
      </c>
      <c r="F233" s="3" t="s">
        <v>597</v>
      </c>
      <c r="G233" s="3" t="s">
        <v>703</v>
      </c>
      <c r="H233" s="4">
        <f>SUMIFS(Tab_01.Jan[MOVIMENTO],Tab_01.Jan[CONTA],$F233)</f>
        <v>0</v>
      </c>
      <c r="I233" s="4">
        <f>SUMIFS(Tab_02.Fev[MOVIMENTO],Tab_02.Fev[CONTA],$F233)</f>
        <v>0</v>
      </c>
      <c r="J233" s="4">
        <f>SUMIFS(Tab_03.Mar[MOVIMENTO],Tab_03.Mar[CONTA],$F233)</f>
        <v>0</v>
      </c>
      <c r="K233" s="4">
        <f>SUMIFS(Tab_04.Abr[MOVIMENTO],Tab_04.Abr[CONTA],$F233)</f>
        <v>0</v>
      </c>
      <c r="L233" s="4">
        <f>SUMIFS(Tab_05.Mai[MOVIMENTO],Tab_05.Mai[CONTA],$F233)</f>
        <v>0</v>
      </c>
      <c r="M233" s="4">
        <f>SUMIFS(Tab_06.Jun[MOVIMENTO],Tab_06.Jun[CONTA],$F233)</f>
        <v>0</v>
      </c>
      <c r="N233" s="4">
        <f>SUMIFS(Tab_07.Jul[MOVIMENTO],Tab_07.Jul[CONTA],$F233)</f>
        <v>0</v>
      </c>
      <c r="O233" s="4">
        <f>SUMIFS(Tab_08.Ago[MOVIMENTO],Tab_08.Ago[CONTA],$F233)</f>
        <v>0</v>
      </c>
      <c r="P233" s="4">
        <f>SUMIFS(Tab_09.Set[MOVIMENTO],Tab_09.Set[CONTA],$F233)</f>
        <v>0</v>
      </c>
      <c r="Q233" s="4">
        <f>SUMIFS(Tab_10.Out[MOVIMENTO],Tab_10.Out[CONTA],$F233)</f>
        <v>0</v>
      </c>
      <c r="R233" s="4">
        <f>SUMIFS(Tab_11.Nov[MOVIMENTO],Tab_11.Nov[CONTA],$F233)</f>
        <v>0</v>
      </c>
      <c r="S233" s="4">
        <f>SUMIFS(Tab_12.Dez[MOVIMENTO],Tab_12.Dez[CONTA],$F233)</f>
        <v>0</v>
      </c>
    </row>
    <row r="234" spans="2:19" x14ac:dyDescent="0.3">
      <c r="B234" s="3"/>
      <c r="C234" s="2" t="str">
        <f t="shared" si="36"/>
        <v>C</v>
      </c>
      <c r="D234" s="2" t="str">
        <f t="shared" si="37"/>
        <v>S</v>
      </c>
      <c r="E234" s="2">
        <f t="shared" si="38"/>
        <v>5</v>
      </c>
      <c r="F234" s="3" t="s">
        <v>598</v>
      </c>
      <c r="G234" s="3" t="s">
        <v>704</v>
      </c>
      <c r="H234" s="4">
        <f>SUMIFS(Tab_01.Jan[MOVIMENTO],Tab_01.Jan[CONTA],$F234)</f>
        <v>0</v>
      </c>
      <c r="I234" s="4">
        <f>SUMIFS(Tab_02.Fev[MOVIMENTO],Tab_02.Fev[CONTA],$F234)</f>
        <v>0</v>
      </c>
      <c r="J234" s="4">
        <f>SUMIFS(Tab_03.Mar[MOVIMENTO],Tab_03.Mar[CONTA],$F234)</f>
        <v>0</v>
      </c>
      <c r="K234" s="4">
        <f>SUMIFS(Tab_04.Abr[MOVIMENTO],Tab_04.Abr[CONTA],$F234)</f>
        <v>0</v>
      </c>
      <c r="L234" s="4">
        <f>SUMIFS(Tab_05.Mai[MOVIMENTO],Tab_05.Mai[CONTA],$F234)</f>
        <v>0</v>
      </c>
      <c r="M234" s="4">
        <f>SUMIFS(Tab_06.Jun[MOVIMENTO],Tab_06.Jun[CONTA],$F234)</f>
        <v>0</v>
      </c>
      <c r="N234" s="4">
        <f>SUMIFS(Tab_07.Jul[MOVIMENTO],Tab_07.Jul[CONTA],$F234)</f>
        <v>0</v>
      </c>
      <c r="O234" s="4">
        <f>SUMIFS(Tab_08.Ago[MOVIMENTO],Tab_08.Ago[CONTA],$F234)</f>
        <v>0</v>
      </c>
      <c r="P234" s="4">
        <f>SUMIFS(Tab_09.Set[MOVIMENTO],Tab_09.Set[CONTA],$F234)</f>
        <v>0</v>
      </c>
      <c r="Q234" s="4">
        <f>SUMIFS(Tab_10.Out[MOVIMENTO],Tab_10.Out[CONTA],$F234)</f>
        <v>0</v>
      </c>
      <c r="R234" s="4">
        <f>SUMIFS(Tab_11.Nov[MOVIMENTO],Tab_11.Nov[CONTA],$F234)</f>
        <v>0</v>
      </c>
      <c r="S234" s="4">
        <f>SUMIFS(Tab_12.Dez[MOVIMENTO],Tab_12.Dez[CONTA],$F234)</f>
        <v>0</v>
      </c>
    </row>
    <row r="235" spans="2:19" x14ac:dyDescent="0.3">
      <c r="B235" s="3" t="s">
        <v>103</v>
      </c>
      <c r="C235" s="2" t="str">
        <f t="shared" si="36"/>
        <v>C</v>
      </c>
      <c r="D235" s="2" t="str">
        <f t="shared" si="37"/>
        <v>A</v>
      </c>
      <c r="E235" s="2">
        <f t="shared" si="38"/>
        <v>5</v>
      </c>
      <c r="F235" s="3" t="s">
        <v>425</v>
      </c>
      <c r="G235" s="3" t="s">
        <v>426</v>
      </c>
      <c r="H235" s="4">
        <f>SUMIFS(Tab_01.Jan[MOVIMENTO],Tab_01.Jan[CONTA],$F235)</f>
        <v>0</v>
      </c>
      <c r="I235" s="4">
        <f>SUMIFS(Tab_02.Fev[MOVIMENTO],Tab_02.Fev[CONTA],$F235)</f>
        <v>0</v>
      </c>
      <c r="J235" s="4">
        <f>SUMIFS(Tab_03.Mar[MOVIMENTO],Tab_03.Mar[CONTA],$F235)</f>
        <v>0</v>
      </c>
      <c r="K235" s="4">
        <f>SUMIFS(Tab_04.Abr[MOVIMENTO],Tab_04.Abr[CONTA],$F235)</f>
        <v>0</v>
      </c>
      <c r="L235" s="4">
        <f>SUMIFS(Tab_05.Mai[MOVIMENTO],Tab_05.Mai[CONTA],$F235)</f>
        <v>0</v>
      </c>
      <c r="M235" s="4">
        <f>SUMIFS(Tab_06.Jun[MOVIMENTO],Tab_06.Jun[CONTA],$F235)</f>
        <v>0</v>
      </c>
      <c r="N235" s="4">
        <f>SUMIFS(Tab_07.Jul[MOVIMENTO],Tab_07.Jul[CONTA],$F235)</f>
        <v>0</v>
      </c>
      <c r="O235" s="4">
        <f>SUMIFS(Tab_08.Ago[MOVIMENTO],Tab_08.Ago[CONTA],$F235)</f>
        <v>0</v>
      </c>
      <c r="P235" s="4">
        <f>SUMIFS(Tab_09.Set[MOVIMENTO],Tab_09.Set[CONTA],$F235)</f>
        <v>0</v>
      </c>
      <c r="Q235" s="4">
        <f>SUMIFS(Tab_10.Out[MOVIMENTO],Tab_10.Out[CONTA],$F235)</f>
        <v>0</v>
      </c>
      <c r="R235" s="4">
        <f>SUMIFS(Tab_11.Nov[MOVIMENTO],Tab_11.Nov[CONTA],$F235)</f>
        <v>0</v>
      </c>
      <c r="S235" s="4">
        <f>SUMIFS(Tab_12.Dez[MOVIMENTO],Tab_12.Dez[CONTA],$F235)</f>
        <v>0</v>
      </c>
    </row>
    <row r="236" spans="2:19" x14ac:dyDescent="0.3">
      <c r="B236" s="3"/>
      <c r="C236" s="2" t="str">
        <f t="shared" ref="C236:C242" si="39">IF($F236="","",IF(LEFT($F236,1)*1=1,"A",IF(LEFT($F236,1)*1=2,"P",IF(LEFT($F236,1)*1=3,"R",IF(LEFT($F236,1)*1=4,"C",IF(LEFT($F236,1)*1=5,"C",IF(LEFT($F236,1)*1=6,"C","")))))))</f>
        <v>C</v>
      </c>
      <c r="D236" s="2" t="str">
        <f t="shared" ref="D236:D242" si="40">IF($F236="","",IF(LEN($F236)=13,"A","S"))</f>
        <v>S</v>
      </c>
      <c r="E236" s="2">
        <f t="shared" ref="E236:E242" si="41">IF($F236="","",IF(LEN($F236)=1,1,IF(LEN($F236)=3,2,IF(LEN($F236)=5,3,IF(LEN($F236)=8,4,5)))))</f>
        <v>1</v>
      </c>
      <c r="F236" s="3">
        <v>5</v>
      </c>
      <c r="G236" s="3" t="s">
        <v>705</v>
      </c>
      <c r="H236" s="4">
        <f>SUMIFS(Tab_01.Jan[MOVIMENTO],Tab_01.Jan[CONTA],$F236)</f>
        <v>269324.59000000003</v>
      </c>
      <c r="I236" s="4">
        <f>SUMIFS(Tab_02.Fev[MOVIMENTO],Tab_02.Fev[CONTA],$F236)</f>
        <v>248287.22</v>
      </c>
      <c r="J236" s="4">
        <f>SUMIFS(Tab_03.Mar[MOVIMENTO],Tab_03.Mar[CONTA],$F236)</f>
        <v>230055.84</v>
      </c>
      <c r="K236" s="4">
        <f>SUMIFS(Tab_04.Abr[MOVIMENTO],Tab_04.Abr[CONTA],$F236)</f>
        <v>229970.99</v>
      </c>
      <c r="L236" s="4">
        <f>SUMIFS(Tab_05.Mai[MOVIMENTO],Tab_05.Mai[CONTA],$F236)</f>
        <v>214207.31</v>
      </c>
      <c r="M236" s="4">
        <f>SUMIFS(Tab_06.Jun[MOVIMENTO],Tab_06.Jun[CONTA],$F236)</f>
        <v>257854.63</v>
      </c>
      <c r="N236" s="4">
        <f>SUMIFS(Tab_07.Jul[MOVIMENTO],Tab_07.Jul[CONTA],$F236)</f>
        <v>257854.63</v>
      </c>
      <c r="O236" s="4">
        <f>SUMIFS(Tab_08.Ago[MOVIMENTO],Tab_08.Ago[CONTA],$F236)</f>
        <v>257854.63</v>
      </c>
      <c r="P236" s="4">
        <f>SUMIFS(Tab_09.Set[MOVIMENTO],Tab_09.Set[CONTA],$F236)</f>
        <v>257368.92</v>
      </c>
      <c r="Q236" s="4">
        <f>SUMIFS(Tab_10.Out[MOVIMENTO],Tab_10.Out[CONTA],$F236)</f>
        <v>270649.2</v>
      </c>
      <c r="R236" s="4">
        <f>SUMIFS(Tab_11.Nov[MOVIMENTO],Tab_11.Nov[CONTA],$F236)</f>
        <v>272368.46000000002</v>
      </c>
      <c r="S236" s="4">
        <f>SUMIFS(Tab_12.Dez[MOVIMENTO],Tab_12.Dez[CONTA],$F236)</f>
        <v>259299.97</v>
      </c>
    </row>
    <row r="237" spans="2:19" x14ac:dyDescent="0.3">
      <c r="B237" s="3"/>
      <c r="C237" s="2" t="str">
        <f t="shared" si="39"/>
        <v>C</v>
      </c>
      <c r="D237" s="2" t="str">
        <f t="shared" si="40"/>
        <v>S</v>
      </c>
      <c r="E237" s="2">
        <f t="shared" si="41"/>
        <v>2</v>
      </c>
      <c r="F237" s="3" t="s">
        <v>599</v>
      </c>
      <c r="G237" s="3" t="s">
        <v>694</v>
      </c>
      <c r="H237" s="4">
        <f>SUMIFS(Tab_01.Jan[MOVIMENTO],Tab_01.Jan[CONTA],$F237)</f>
        <v>269513.59000000003</v>
      </c>
      <c r="I237" s="4">
        <f>SUMIFS(Tab_02.Fev[MOVIMENTO],Tab_02.Fev[CONTA],$F237)</f>
        <v>248017.22</v>
      </c>
      <c r="J237" s="4">
        <f>SUMIFS(Tab_03.Mar[MOVIMENTO],Tab_03.Mar[CONTA],$F237)</f>
        <v>230055.84</v>
      </c>
      <c r="K237" s="4">
        <f>SUMIFS(Tab_04.Abr[MOVIMENTO],Tab_04.Abr[CONTA],$F237)</f>
        <v>229970.99</v>
      </c>
      <c r="L237" s="4">
        <f>SUMIFS(Tab_05.Mai[MOVIMENTO],Tab_05.Mai[CONTA],$F237)</f>
        <v>214207.31</v>
      </c>
      <c r="M237" s="4">
        <f>SUMIFS(Tab_06.Jun[MOVIMENTO],Tab_06.Jun[CONTA],$F237)</f>
        <v>257854.63</v>
      </c>
      <c r="N237" s="4">
        <f>SUMIFS(Tab_07.Jul[MOVIMENTO],Tab_07.Jul[CONTA],$F237)</f>
        <v>257854.63</v>
      </c>
      <c r="O237" s="4">
        <f>SUMIFS(Tab_08.Ago[MOVIMENTO],Tab_08.Ago[CONTA],$F237)</f>
        <v>257854.63</v>
      </c>
      <c r="P237" s="4">
        <f>SUMIFS(Tab_09.Set[MOVIMENTO],Tab_09.Set[CONTA],$F237)</f>
        <v>257368.92</v>
      </c>
      <c r="Q237" s="4">
        <f>SUMIFS(Tab_10.Out[MOVIMENTO],Tab_10.Out[CONTA],$F237)</f>
        <v>270649.2</v>
      </c>
      <c r="R237" s="4">
        <f>SUMIFS(Tab_11.Nov[MOVIMENTO],Tab_11.Nov[CONTA],$F237)</f>
        <v>272368.46000000002</v>
      </c>
      <c r="S237" s="4">
        <f>SUMIFS(Tab_12.Dez[MOVIMENTO],Tab_12.Dez[CONTA],$F237)</f>
        <v>259299.97</v>
      </c>
    </row>
    <row r="238" spans="2:19" x14ac:dyDescent="0.3">
      <c r="B238" s="3"/>
      <c r="C238" s="2" t="str">
        <f t="shared" si="39"/>
        <v>C</v>
      </c>
      <c r="D238" s="2" t="str">
        <f t="shared" si="40"/>
        <v>S</v>
      </c>
      <c r="E238" s="2">
        <f t="shared" si="41"/>
        <v>5</v>
      </c>
      <c r="F238" s="3" t="s">
        <v>600</v>
      </c>
      <c r="G238" s="3" t="s">
        <v>706</v>
      </c>
      <c r="H238" s="4">
        <f>SUMIFS(Tab_01.Jan[MOVIMENTO],Tab_01.Jan[CONTA],$F238)</f>
        <v>114421.35</v>
      </c>
      <c r="I238" s="4">
        <f>SUMIFS(Tab_02.Fev[MOVIMENTO],Tab_02.Fev[CONTA],$F238)</f>
        <v>188899.95</v>
      </c>
      <c r="J238" s="4">
        <f>SUMIFS(Tab_03.Mar[MOVIMENTO],Tab_03.Mar[CONTA],$F238)</f>
        <v>66478.58</v>
      </c>
      <c r="K238" s="4">
        <f>SUMIFS(Tab_04.Abr[MOVIMENTO],Tab_04.Abr[CONTA],$F238)</f>
        <v>51808.42</v>
      </c>
      <c r="L238" s="4">
        <f>SUMIFS(Tab_05.Mai[MOVIMENTO],Tab_05.Mai[CONTA],$F238)</f>
        <v>51775.96</v>
      </c>
      <c r="M238" s="4">
        <f>SUMIFS(Tab_06.Jun[MOVIMENTO],Tab_06.Jun[CONTA],$F238)</f>
        <v>68029.08</v>
      </c>
      <c r="N238" s="4">
        <f>SUMIFS(Tab_07.Jul[MOVIMENTO],Tab_07.Jul[CONTA],$F238)</f>
        <v>68029.08</v>
      </c>
      <c r="O238" s="4">
        <f>SUMIFS(Tab_08.Ago[MOVIMENTO],Tab_08.Ago[CONTA],$F238)</f>
        <v>68029.08</v>
      </c>
      <c r="P238" s="4">
        <f>SUMIFS(Tab_09.Set[MOVIMENTO],Tab_09.Set[CONTA],$F238)</f>
        <v>59896.72</v>
      </c>
      <c r="Q238" s="4">
        <f>SUMIFS(Tab_10.Out[MOVIMENTO],Tab_10.Out[CONTA],$F238)</f>
        <v>73125.89</v>
      </c>
      <c r="R238" s="4">
        <f>SUMIFS(Tab_11.Nov[MOVIMENTO],Tab_11.Nov[CONTA],$F238)</f>
        <v>71422.64</v>
      </c>
      <c r="S238" s="4">
        <f>SUMIFS(Tab_12.Dez[MOVIMENTO],Tab_12.Dez[CONTA],$F238)</f>
        <v>48629.29</v>
      </c>
    </row>
    <row r="239" spans="2:19" x14ac:dyDescent="0.3">
      <c r="B239" s="3"/>
      <c r="C239" s="2" t="str">
        <f t="shared" si="39"/>
        <v>C</v>
      </c>
      <c r="D239" s="2" t="str">
        <f t="shared" si="40"/>
        <v>S</v>
      </c>
      <c r="E239" s="2">
        <f t="shared" si="41"/>
        <v>5</v>
      </c>
      <c r="F239" s="3" t="s">
        <v>601</v>
      </c>
      <c r="G239" s="3" t="s">
        <v>707</v>
      </c>
      <c r="H239" s="4">
        <f>SUMIFS(Tab_01.Jan[MOVIMENTO],Tab_01.Jan[CONTA],$F239)</f>
        <v>88515.91</v>
      </c>
      <c r="I239" s="4">
        <f>SUMIFS(Tab_02.Fev[MOVIMENTO],Tab_02.Fev[CONTA],$F239)</f>
        <v>0</v>
      </c>
      <c r="J239" s="4">
        <f>SUMIFS(Tab_03.Mar[MOVIMENTO],Tab_03.Mar[CONTA],$F239)</f>
        <v>55048.32</v>
      </c>
      <c r="K239" s="4">
        <f>SUMIFS(Tab_04.Abr[MOVIMENTO],Tab_04.Abr[CONTA],$F239)</f>
        <v>40383.160000000003</v>
      </c>
      <c r="L239" s="4">
        <f>SUMIFS(Tab_05.Mai[MOVIMENTO],Tab_05.Mai[CONTA],$F239)</f>
        <v>40390.699999999997</v>
      </c>
      <c r="M239" s="4">
        <f>SUMIFS(Tab_06.Jun[MOVIMENTO],Tab_06.Jun[CONTA],$F239)</f>
        <v>52426.37</v>
      </c>
      <c r="N239" s="4">
        <f>SUMIFS(Tab_07.Jul[MOVIMENTO],Tab_07.Jul[CONTA],$F239)</f>
        <v>52426.37</v>
      </c>
      <c r="O239" s="4">
        <f>SUMIFS(Tab_08.Ago[MOVIMENTO],Tab_08.Ago[CONTA],$F239)</f>
        <v>52426.37</v>
      </c>
      <c r="P239" s="4">
        <f>SUMIFS(Tab_09.Set[MOVIMENTO],Tab_09.Set[CONTA],$F239)</f>
        <v>49265.33</v>
      </c>
      <c r="Q239" s="4">
        <f>SUMIFS(Tab_10.Out[MOVIMENTO],Tab_10.Out[CONTA],$F239)</f>
        <v>57366.32</v>
      </c>
      <c r="R239" s="4">
        <f>SUMIFS(Tab_11.Nov[MOVIMENTO],Tab_11.Nov[CONTA],$F239)</f>
        <v>55935.46</v>
      </c>
      <c r="S239" s="4">
        <f>SUMIFS(Tab_12.Dez[MOVIMENTO],Tab_12.Dez[CONTA],$F239)</f>
        <v>27557.35</v>
      </c>
    </row>
    <row r="240" spans="2:19" x14ac:dyDescent="0.3">
      <c r="B240" s="3" t="s">
        <v>104</v>
      </c>
      <c r="C240" s="2" t="str">
        <f t="shared" si="39"/>
        <v>C</v>
      </c>
      <c r="D240" s="2" t="str">
        <f t="shared" si="40"/>
        <v>A</v>
      </c>
      <c r="E240" s="2">
        <f t="shared" si="41"/>
        <v>5</v>
      </c>
      <c r="F240" s="3" t="s">
        <v>441</v>
      </c>
      <c r="G240" s="3" t="s">
        <v>427</v>
      </c>
      <c r="H240" s="4">
        <f>SUMIFS(Tab_01.Jan[MOVIMENTO],Tab_01.Jan[CONTA],$F240)</f>
        <v>54518.48</v>
      </c>
      <c r="I240" s="4">
        <f>SUMIFS(Tab_02.Fev[MOVIMENTO],Tab_02.Fev[CONTA],$F240)</f>
        <v>0</v>
      </c>
      <c r="J240" s="4">
        <f>SUMIFS(Tab_03.Mar[MOVIMENTO],Tab_03.Mar[CONTA],$F240)</f>
        <v>45873.4</v>
      </c>
      <c r="K240" s="4">
        <f>SUMIFS(Tab_04.Abr[MOVIMENTO],Tab_04.Abr[CONTA],$F240)</f>
        <v>31271.81</v>
      </c>
      <c r="L240" s="4">
        <f>SUMIFS(Tab_05.Mai[MOVIMENTO],Tab_05.Mai[CONTA],$F240)</f>
        <v>31271.81</v>
      </c>
      <c r="M240" s="4">
        <f>SUMIFS(Tab_06.Jun[MOVIMENTO],Tab_06.Jun[CONTA],$F240)</f>
        <v>43052.47</v>
      </c>
      <c r="N240" s="4">
        <f>SUMIFS(Tab_07.Jul[MOVIMENTO],Tab_07.Jul[CONTA],$F240)</f>
        <v>43052.47</v>
      </c>
      <c r="O240" s="4">
        <f>SUMIFS(Tab_08.Ago[MOVIMENTO],Tab_08.Ago[CONTA],$F240)</f>
        <v>43052.47</v>
      </c>
      <c r="P240" s="4">
        <f>SUMIFS(Tab_09.Set[MOVIMENTO],Tab_09.Set[CONTA],$F240)</f>
        <v>38251.360000000001</v>
      </c>
      <c r="Q240" s="4">
        <f>SUMIFS(Tab_10.Out[MOVIMENTO],Tab_10.Out[CONTA],$F240)</f>
        <v>45619.59</v>
      </c>
      <c r="R240" s="4">
        <f>SUMIFS(Tab_11.Nov[MOVIMENTO],Tab_11.Nov[CONTA],$F240)</f>
        <v>44188.5</v>
      </c>
      <c r="S240" s="4">
        <f>SUMIFS(Tab_12.Dez[MOVIMENTO],Tab_12.Dez[CONTA],$F240)</f>
        <v>44697.96</v>
      </c>
    </row>
    <row r="241" spans="2:19" x14ac:dyDescent="0.3">
      <c r="B241" s="3" t="s">
        <v>104</v>
      </c>
      <c r="C241" s="2" t="str">
        <f t="shared" si="39"/>
        <v>C</v>
      </c>
      <c r="D241" s="2" t="str">
        <f t="shared" si="40"/>
        <v>A</v>
      </c>
      <c r="E241" s="2">
        <f t="shared" si="41"/>
        <v>5</v>
      </c>
      <c r="F241" s="3" t="s">
        <v>442</v>
      </c>
      <c r="G241" s="3" t="s">
        <v>429</v>
      </c>
      <c r="H241" s="4">
        <f>SUMIFS(Tab_01.Jan[MOVIMENTO],Tab_01.Jan[CONTA],$F241)</f>
        <v>0</v>
      </c>
      <c r="I241" s="4">
        <f>SUMIFS(Tab_02.Fev[MOVIMENTO],Tab_02.Fev[CONTA],$F241)</f>
        <v>0</v>
      </c>
      <c r="J241" s="4">
        <f>SUMIFS(Tab_03.Mar[MOVIMENTO],Tab_03.Mar[CONTA],$F241)</f>
        <v>0</v>
      </c>
      <c r="K241" s="4">
        <f>SUMIFS(Tab_04.Abr[MOVIMENTO],Tab_04.Abr[CONTA],$F241)</f>
        <v>0</v>
      </c>
      <c r="L241" s="4">
        <f>SUMIFS(Tab_05.Mai[MOVIMENTO],Tab_05.Mai[CONTA],$F241)</f>
        <v>0</v>
      </c>
      <c r="M241" s="4">
        <f>SUMIFS(Tab_06.Jun[MOVIMENTO],Tab_06.Jun[CONTA],$F241)</f>
        <v>0</v>
      </c>
      <c r="N241" s="4">
        <f>SUMIFS(Tab_07.Jul[MOVIMENTO],Tab_07.Jul[CONTA],$F241)</f>
        <v>0</v>
      </c>
      <c r="O241" s="4">
        <f>SUMIFS(Tab_08.Ago[MOVIMENTO],Tab_08.Ago[CONTA],$F241)</f>
        <v>0</v>
      </c>
      <c r="P241" s="4">
        <f>SUMIFS(Tab_09.Set[MOVIMENTO],Tab_09.Set[CONTA],$F241)</f>
        <v>0</v>
      </c>
      <c r="Q241" s="4">
        <f>SUMIFS(Tab_10.Out[MOVIMENTO],Tab_10.Out[CONTA],$F241)</f>
        <v>0</v>
      </c>
      <c r="R241" s="4">
        <f>SUMIFS(Tab_11.Nov[MOVIMENTO],Tab_11.Nov[CONTA],$F241)</f>
        <v>0</v>
      </c>
      <c r="S241" s="4">
        <f>SUMIFS(Tab_12.Dez[MOVIMENTO],Tab_12.Dez[CONTA],$F241)</f>
        <v>0</v>
      </c>
    </row>
    <row r="242" spans="2:19" x14ac:dyDescent="0.3">
      <c r="B242" s="3" t="s">
        <v>104</v>
      </c>
      <c r="C242" s="2" t="str">
        <f t="shared" si="39"/>
        <v>C</v>
      </c>
      <c r="D242" s="2" t="str">
        <f t="shared" si="40"/>
        <v>A</v>
      </c>
      <c r="E242" s="2">
        <f t="shared" si="41"/>
        <v>5</v>
      </c>
      <c r="F242" s="3" t="s">
        <v>443</v>
      </c>
      <c r="G242" s="3" t="s">
        <v>431</v>
      </c>
      <c r="H242" s="4">
        <f>SUMIFS(Tab_01.Jan[MOVIMENTO],Tab_01.Jan[CONTA],$F242)</f>
        <v>10254.450000000001</v>
      </c>
      <c r="I242" s="4">
        <f>SUMIFS(Tab_02.Fev[MOVIMENTO],Tab_02.Fev[CONTA],$F242)</f>
        <v>0</v>
      </c>
      <c r="J242" s="4">
        <f>SUMIFS(Tab_03.Mar[MOVIMENTO],Tab_03.Mar[CONTA],$F242)</f>
        <v>4442.91</v>
      </c>
      <c r="K242" s="4">
        <f>SUMIFS(Tab_04.Abr[MOVIMENTO],Tab_04.Abr[CONTA],$F242)</f>
        <v>2959.89</v>
      </c>
      <c r="L242" s="4">
        <f>SUMIFS(Tab_05.Mai[MOVIMENTO],Tab_05.Mai[CONTA],$F242)</f>
        <v>2226.54</v>
      </c>
      <c r="M242" s="4">
        <f>SUMIFS(Tab_06.Jun[MOVIMENTO],Tab_06.Jun[CONTA],$F242)</f>
        <v>4673.3599999999997</v>
      </c>
      <c r="N242" s="4">
        <f>SUMIFS(Tab_07.Jul[MOVIMENTO],Tab_07.Jul[CONTA],$F242)</f>
        <v>4673.3599999999997</v>
      </c>
      <c r="O242" s="4">
        <f>SUMIFS(Tab_08.Ago[MOVIMENTO],Tab_08.Ago[CONTA],$F242)</f>
        <v>4673.3599999999997</v>
      </c>
      <c r="P242" s="4">
        <f>SUMIFS(Tab_09.Set[MOVIMENTO],Tab_09.Set[CONTA],$F242)</f>
        <v>4813.3599999999997</v>
      </c>
      <c r="Q242" s="4">
        <f>SUMIFS(Tab_10.Out[MOVIMENTO],Tab_10.Out[CONTA],$F242)</f>
        <v>0</v>
      </c>
      <c r="R242" s="4">
        <f>SUMIFS(Tab_11.Nov[MOVIMENTO],Tab_11.Nov[CONTA],$F242)</f>
        <v>0</v>
      </c>
      <c r="S242" s="4">
        <f>SUMIFS(Tab_12.Dez[MOVIMENTO],Tab_12.Dez[CONTA],$F242)</f>
        <v>0</v>
      </c>
    </row>
    <row r="243" spans="2:19" x14ac:dyDescent="0.3">
      <c r="B243" s="3" t="s">
        <v>104</v>
      </c>
      <c r="C243" s="2" t="str">
        <f>IF($F243="","",IF(LEFT($F243,1)*1=1,"A",IF(LEFT($F243,1)*1=2,"P",IF(LEFT($F243,1)*1=3,"R",IF(LEFT($F243,1)*1=4,"C",IF(LEFT($F243,1)*1=5,"C",IF(LEFT($F243,1)*1=6,"C","")))))))</f>
        <v>C</v>
      </c>
      <c r="D243" s="2" t="str">
        <f>IF($F243="","",IF(LEN($F243)=13,"A","S"))</f>
        <v>A</v>
      </c>
      <c r="E243" s="2">
        <f>IF($F243="","",IF(LEN($F243)=1,1,IF(LEN($F243)=3,2,IF(LEN($F243)=5,3,IF(LEN($F243)=8,4,5)))))</f>
        <v>5</v>
      </c>
      <c r="F243" s="3" t="s">
        <v>444</v>
      </c>
      <c r="G243" s="3" t="s">
        <v>433</v>
      </c>
      <c r="H243" s="4">
        <f>SUMIFS(Tab_01.Jan[MOVIMENTO],Tab_01.Jan[CONTA],$F243)</f>
        <v>6223.05</v>
      </c>
      <c r="I243" s="4">
        <f>SUMIFS(Tab_02.Fev[MOVIMENTO],Tab_02.Fev[CONTA],$F243)</f>
        <v>0</v>
      </c>
      <c r="J243" s="4">
        <f>SUMIFS(Tab_03.Mar[MOVIMENTO],Tab_03.Mar[CONTA],$F243)</f>
        <v>3238.34</v>
      </c>
      <c r="K243" s="4">
        <f>SUMIFS(Tab_04.Abr[MOVIMENTO],Tab_04.Abr[CONTA],$F243)</f>
        <v>3238.34</v>
      </c>
      <c r="L243" s="4">
        <f>SUMIFS(Tab_05.Mai[MOVIMENTO],Tab_05.Mai[CONTA],$F243)</f>
        <v>3505.01</v>
      </c>
      <c r="M243" s="4">
        <f>SUMIFS(Tab_06.Jun[MOVIMENTO],Tab_06.Jun[CONTA],$F243)</f>
        <v>2219.91</v>
      </c>
      <c r="N243" s="4">
        <f>SUMIFS(Tab_07.Jul[MOVIMENTO],Tab_07.Jul[CONTA],$F243)</f>
        <v>2219.91</v>
      </c>
      <c r="O243" s="4">
        <f>SUMIFS(Tab_08.Ago[MOVIMENTO],Tab_08.Ago[CONTA],$F243)</f>
        <v>2219.91</v>
      </c>
      <c r="P243" s="4">
        <f>SUMIFS(Tab_09.Set[MOVIMENTO],Tab_09.Set[CONTA],$F243)</f>
        <v>2829.22</v>
      </c>
      <c r="Q243" s="4">
        <f>SUMIFS(Tab_10.Out[MOVIMENTO],Tab_10.Out[CONTA],$F243)</f>
        <v>8651.6</v>
      </c>
      <c r="R243" s="4">
        <f>SUMIFS(Tab_11.Nov[MOVIMENTO],Tab_11.Nov[CONTA],$F243)</f>
        <v>8651.6200000000008</v>
      </c>
      <c r="S243" s="4">
        <f>SUMIFS(Tab_12.Dez[MOVIMENTO],Tab_12.Dez[CONTA],$F243)</f>
        <v>-18430.560000000001</v>
      </c>
    </row>
    <row r="244" spans="2:19" x14ac:dyDescent="0.3">
      <c r="B244" s="3" t="s">
        <v>104</v>
      </c>
      <c r="C244" s="2" t="str">
        <f>IF($F244="","",IF(LEFT($F244,1)*1=1,"A",IF(LEFT($F244,1)*1=2,"P",IF(LEFT($F244,1)*1=3,"R",IF(LEFT($F244,1)*1=4,"C",IF(LEFT($F244,1)*1=5,"C",IF(LEFT($F244,1)*1=6,"C","")))))))</f>
        <v>C</v>
      </c>
      <c r="D244" s="2" t="str">
        <f>IF($F244="","",IF(LEN($F244)=13,"A","S"))</f>
        <v>A</v>
      </c>
      <c r="E244" s="2">
        <f>IF($F244="","",IF(LEN($F244)=1,1,IF(LEN($F244)=3,2,IF(LEN($F244)=5,3,IF(LEN($F244)=8,4,5)))))</f>
        <v>5</v>
      </c>
      <c r="F244" s="3" t="s">
        <v>777</v>
      </c>
      <c r="G244" s="3" t="s">
        <v>749</v>
      </c>
      <c r="H244" s="4">
        <f>SUMIFS(Tab_01.Jan[MOVIMENTO],Tab_01.Jan[CONTA],$F244)</f>
        <v>0</v>
      </c>
      <c r="I244" s="4">
        <f>SUMIFS(Tab_02.Fev[MOVIMENTO],Tab_02.Fev[CONTA],$F244)</f>
        <v>0</v>
      </c>
      <c r="J244" s="4">
        <f>SUMIFS(Tab_03.Mar[MOVIMENTO],Tab_03.Mar[CONTA],$F244)</f>
        <v>0</v>
      </c>
      <c r="K244" s="4">
        <f>SUMIFS(Tab_04.Abr[MOVIMENTO],Tab_04.Abr[CONTA],$F244)</f>
        <v>0</v>
      </c>
      <c r="L244" s="4">
        <f>SUMIFS(Tab_05.Mai[MOVIMENTO],Tab_05.Mai[CONTA],$F244)</f>
        <v>0</v>
      </c>
      <c r="M244" s="4">
        <f>SUMIFS(Tab_06.Jun[MOVIMENTO],Tab_06.Jun[CONTA],$F244)</f>
        <v>0</v>
      </c>
      <c r="N244" s="4">
        <f>SUMIFS(Tab_07.Jul[MOVIMENTO],Tab_07.Jul[CONTA],$F244)</f>
        <v>0</v>
      </c>
      <c r="O244" s="4">
        <f>SUMIFS(Tab_08.Ago[MOVIMENTO],Tab_08.Ago[CONTA],$F244)</f>
        <v>0</v>
      </c>
      <c r="P244" s="4">
        <f>SUMIFS(Tab_09.Set[MOVIMENTO],Tab_09.Set[CONTA],$F244)</f>
        <v>0</v>
      </c>
      <c r="Q244" s="4">
        <f>SUMIFS(Tab_10.Out[MOVIMENTO],Tab_10.Out[CONTA],$F244)</f>
        <v>0</v>
      </c>
      <c r="R244" s="4">
        <f>SUMIFS(Tab_11.Nov[MOVIMENTO],Tab_11.Nov[CONTA],$F244)</f>
        <v>0</v>
      </c>
      <c r="S244" s="4">
        <f>SUMIFS(Tab_12.Dez[MOVIMENTO],Tab_12.Dez[CONTA],$F244)</f>
        <v>0</v>
      </c>
    </row>
    <row r="245" spans="2:19" x14ac:dyDescent="0.3">
      <c r="B245" s="3" t="s">
        <v>104</v>
      </c>
      <c r="C245" s="2" t="str">
        <f t="shared" ref="C245:C259" si="42">IF($F245="","",IF(LEFT($F245,1)*1=1,"A",IF(LEFT($F245,1)*1=2,"P",IF(LEFT($F245,1)*1=3,"R",IF(LEFT($F245,1)*1=4,"C",IF(LEFT($F245,1)*1=5,"C",IF(LEFT($F245,1)*1=6,"C","")))))))</f>
        <v>C</v>
      </c>
      <c r="D245" s="2" t="str">
        <f t="shared" ref="D245:D259" si="43">IF($F245="","",IF(LEN($F245)=13,"A","S"))</f>
        <v>A</v>
      </c>
      <c r="E245" s="2">
        <f t="shared" ref="E245:E259" si="44">IF($F245="","",IF(LEN($F245)=1,1,IF(LEN($F245)=3,2,IF(LEN($F245)=5,3,IF(LEN($F245)=8,4,5)))))</f>
        <v>5</v>
      </c>
      <c r="F245" s="3" t="s">
        <v>445</v>
      </c>
      <c r="G245" s="3" t="s">
        <v>446</v>
      </c>
      <c r="H245" s="4">
        <f>SUMIFS(Tab_01.Jan[MOVIMENTO],Tab_01.Jan[CONTA],$F245)</f>
        <v>0</v>
      </c>
      <c r="I245" s="4">
        <f>SUMIFS(Tab_02.Fev[MOVIMENTO],Tab_02.Fev[CONTA],$F245)</f>
        <v>0</v>
      </c>
      <c r="J245" s="4">
        <f>SUMIFS(Tab_03.Mar[MOVIMENTO],Tab_03.Mar[CONTA],$F245)</f>
        <v>0</v>
      </c>
      <c r="K245" s="4">
        <f>SUMIFS(Tab_04.Abr[MOVIMENTO],Tab_04.Abr[CONTA],$F245)</f>
        <v>0</v>
      </c>
      <c r="L245" s="4">
        <f>SUMIFS(Tab_05.Mai[MOVIMENTO],Tab_05.Mai[CONTA],$F245)</f>
        <v>0</v>
      </c>
      <c r="M245" s="4">
        <f>SUMIFS(Tab_06.Jun[MOVIMENTO],Tab_06.Jun[CONTA],$F245)</f>
        <v>0</v>
      </c>
      <c r="N245" s="4">
        <f>SUMIFS(Tab_07.Jul[MOVIMENTO],Tab_07.Jul[CONTA],$F245)</f>
        <v>0</v>
      </c>
      <c r="O245" s="4">
        <f>SUMIFS(Tab_08.Ago[MOVIMENTO],Tab_08.Ago[CONTA],$F245)</f>
        <v>0</v>
      </c>
      <c r="P245" s="4">
        <f>SUMIFS(Tab_09.Set[MOVIMENTO],Tab_09.Set[CONTA],$F245)</f>
        <v>0</v>
      </c>
      <c r="Q245" s="4">
        <f>SUMIFS(Tab_10.Out[MOVIMENTO],Tab_10.Out[CONTA],$F245)</f>
        <v>0</v>
      </c>
      <c r="R245" s="4">
        <f>SUMIFS(Tab_11.Nov[MOVIMENTO],Tab_11.Nov[CONTA],$F245)</f>
        <v>0</v>
      </c>
      <c r="S245" s="4">
        <f>SUMIFS(Tab_12.Dez[MOVIMENTO],Tab_12.Dez[CONTA],$F245)</f>
        <v>0</v>
      </c>
    </row>
    <row r="246" spans="2:19" x14ac:dyDescent="0.3">
      <c r="B246" s="3" t="s">
        <v>104</v>
      </c>
      <c r="C246" s="2" t="str">
        <f t="shared" si="42"/>
        <v>C</v>
      </c>
      <c r="D246" s="2" t="str">
        <f t="shared" si="43"/>
        <v>A</v>
      </c>
      <c r="E246" s="2">
        <f t="shared" si="44"/>
        <v>5</v>
      </c>
      <c r="F246" s="3" t="s">
        <v>447</v>
      </c>
      <c r="G246" s="3" t="s">
        <v>448</v>
      </c>
      <c r="H246" s="4">
        <f>SUMIFS(Tab_01.Jan[MOVIMENTO],Tab_01.Jan[CONTA],$F246)</f>
        <v>0</v>
      </c>
      <c r="I246" s="4">
        <f>SUMIFS(Tab_02.Fev[MOVIMENTO],Tab_02.Fev[CONTA],$F246)</f>
        <v>0</v>
      </c>
      <c r="J246" s="4">
        <f>SUMIFS(Tab_03.Mar[MOVIMENTO],Tab_03.Mar[CONTA],$F246)</f>
        <v>0</v>
      </c>
      <c r="K246" s="4">
        <f>SUMIFS(Tab_04.Abr[MOVIMENTO],Tab_04.Abr[CONTA],$F246)</f>
        <v>0</v>
      </c>
      <c r="L246" s="4">
        <f>SUMIFS(Tab_05.Mai[MOVIMENTO],Tab_05.Mai[CONTA],$F246)</f>
        <v>476.67</v>
      </c>
      <c r="M246" s="4">
        <f>SUMIFS(Tab_06.Jun[MOVIMENTO],Tab_06.Jun[CONTA],$F246)</f>
        <v>0</v>
      </c>
      <c r="N246" s="4">
        <f>SUMIFS(Tab_07.Jul[MOVIMENTO],Tab_07.Jul[CONTA],$F246)</f>
        <v>0</v>
      </c>
      <c r="O246" s="4">
        <f>SUMIFS(Tab_08.Ago[MOVIMENTO],Tab_08.Ago[CONTA],$F246)</f>
        <v>0</v>
      </c>
      <c r="P246" s="4">
        <f>SUMIFS(Tab_09.Set[MOVIMENTO],Tab_09.Set[CONTA],$F246)</f>
        <v>1100</v>
      </c>
      <c r="Q246" s="4">
        <f>SUMIFS(Tab_10.Out[MOVIMENTO],Tab_10.Out[CONTA],$F246)</f>
        <v>0</v>
      </c>
      <c r="R246" s="4">
        <f>SUMIFS(Tab_11.Nov[MOVIMENTO],Tab_11.Nov[CONTA],$F246)</f>
        <v>0</v>
      </c>
      <c r="S246" s="4">
        <f>SUMIFS(Tab_12.Dez[MOVIMENTO],Tab_12.Dez[CONTA],$F246)</f>
        <v>0</v>
      </c>
    </row>
    <row r="247" spans="2:19" x14ac:dyDescent="0.3">
      <c r="B247" s="3" t="s">
        <v>104</v>
      </c>
      <c r="C247" s="2" t="str">
        <f t="shared" si="42"/>
        <v>C</v>
      </c>
      <c r="D247" s="2" t="str">
        <f t="shared" si="43"/>
        <v>A</v>
      </c>
      <c r="E247" s="2">
        <f t="shared" si="44"/>
        <v>5</v>
      </c>
      <c r="F247" s="3" t="s">
        <v>449</v>
      </c>
      <c r="G247" s="3" t="s">
        <v>450</v>
      </c>
      <c r="H247" s="4">
        <f>SUMIFS(Tab_01.Jan[MOVIMENTO],Tab_01.Jan[CONTA],$F247)</f>
        <v>0</v>
      </c>
      <c r="I247" s="4">
        <f>SUMIFS(Tab_02.Fev[MOVIMENTO],Tab_02.Fev[CONTA],$F247)</f>
        <v>0</v>
      </c>
      <c r="J247" s="4">
        <f>SUMIFS(Tab_03.Mar[MOVIMENTO],Tab_03.Mar[CONTA],$F247)</f>
        <v>0</v>
      </c>
      <c r="K247" s="4">
        <f>SUMIFS(Tab_04.Abr[MOVIMENTO],Tab_04.Abr[CONTA],$F247)</f>
        <v>0</v>
      </c>
      <c r="L247" s="4">
        <f>SUMIFS(Tab_05.Mai[MOVIMENTO],Tab_05.Mai[CONTA],$F247)</f>
        <v>0</v>
      </c>
      <c r="M247" s="4">
        <f>SUMIFS(Tab_06.Jun[MOVIMENTO],Tab_06.Jun[CONTA],$F247)</f>
        <v>0</v>
      </c>
      <c r="N247" s="4">
        <f>SUMIFS(Tab_07.Jul[MOVIMENTO],Tab_07.Jul[CONTA],$F247)</f>
        <v>0</v>
      </c>
      <c r="O247" s="4">
        <f>SUMIFS(Tab_08.Ago[MOVIMENTO],Tab_08.Ago[CONTA],$F247)</f>
        <v>0</v>
      </c>
      <c r="P247" s="4">
        <f>SUMIFS(Tab_09.Set[MOVIMENTO],Tab_09.Set[CONTA],$F247)</f>
        <v>0</v>
      </c>
      <c r="Q247" s="4">
        <f>SUMIFS(Tab_10.Out[MOVIMENTO],Tab_10.Out[CONTA],$F247)</f>
        <v>0</v>
      </c>
      <c r="R247" s="4">
        <f>SUMIFS(Tab_11.Nov[MOVIMENTO],Tab_11.Nov[CONTA],$F247)</f>
        <v>0</v>
      </c>
      <c r="S247" s="4">
        <f>SUMIFS(Tab_12.Dez[MOVIMENTO],Tab_12.Dez[CONTA],$F247)</f>
        <v>0</v>
      </c>
    </row>
    <row r="248" spans="2:19" x14ac:dyDescent="0.3">
      <c r="B248" s="3" t="s">
        <v>104</v>
      </c>
      <c r="C248" s="2" t="str">
        <f t="shared" si="42"/>
        <v>C</v>
      </c>
      <c r="D248" s="2" t="str">
        <f t="shared" si="43"/>
        <v>A</v>
      </c>
      <c r="E248" s="2">
        <f t="shared" si="44"/>
        <v>5</v>
      </c>
      <c r="F248" s="3" t="s">
        <v>808</v>
      </c>
      <c r="G248" s="3" t="s">
        <v>797</v>
      </c>
      <c r="H248" s="4">
        <f>SUMIFS(Tab_01.Jan[MOVIMENTO],Tab_01.Jan[CONTA],$F248)</f>
        <v>862.74</v>
      </c>
      <c r="I248" s="4">
        <f>SUMIFS(Tab_02.Fev[MOVIMENTO],Tab_02.Fev[CONTA],$F248)</f>
        <v>0</v>
      </c>
      <c r="J248" s="4">
        <f>SUMIFS(Tab_03.Mar[MOVIMENTO],Tab_03.Mar[CONTA],$F248)</f>
        <v>0</v>
      </c>
      <c r="K248" s="4">
        <f>SUMIFS(Tab_04.Abr[MOVIMENTO],Tab_04.Abr[CONTA],$F248)</f>
        <v>1157.1500000000001</v>
      </c>
      <c r="L248" s="4">
        <f>SUMIFS(Tab_05.Mai[MOVIMENTO],Tab_05.Mai[CONTA],$F248)</f>
        <v>1252.44</v>
      </c>
      <c r="M248" s="4">
        <f>SUMIFS(Tab_06.Jun[MOVIMENTO],Tab_06.Jun[CONTA],$F248)</f>
        <v>1252.46</v>
      </c>
      <c r="N248" s="4">
        <f>SUMIFS(Tab_07.Jul[MOVIMENTO],Tab_07.Jul[CONTA],$F248)</f>
        <v>1252.46</v>
      </c>
      <c r="O248" s="4">
        <f>SUMIFS(Tab_08.Ago[MOVIMENTO],Tab_08.Ago[CONTA],$F248)</f>
        <v>1252.46</v>
      </c>
      <c r="P248" s="4">
        <f>SUMIFS(Tab_09.Set[MOVIMENTO],Tab_09.Set[CONTA],$F248)</f>
        <v>932.15</v>
      </c>
      <c r="Q248" s="4">
        <f>SUMIFS(Tab_10.Out[MOVIMENTO],Tab_10.Out[CONTA],$F248)</f>
        <v>0</v>
      </c>
      <c r="R248" s="4">
        <f>SUMIFS(Tab_11.Nov[MOVIMENTO],Tab_11.Nov[CONTA],$F248)</f>
        <v>0</v>
      </c>
      <c r="S248" s="4">
        <f>SUMIFS(Tab_12.Dez[MOVIMENTO],Tab_12.Dez[CONTA],$F248)</f>
        <v>0</v>
      </c>
    </row>
    <row r="249" spans="2:19" x14ac:dyDescent="0.3">
      <c r="B249" s="3" t="s">
        <v>104</v>
      </c>
      <c r="C249" s="2" t="str">
        <f t="shared" si="42"/>
        <v>C</v>
      </c>
      <c r="D249" s="2" t="str">
        <f t="shared" si="43"/>
        <v>A</v>
      </c>
      <c r="E249" s="2">
        <f t="shared" si="44"/>
        <v>5</v>
      </c>
      <c r="F249" s="3" t="s">
        <v>809</v>
      </c>
      <c r="G249" s="3" t="s">
        <v>799</v>
      </c>
      <c r="H249" s="4">
        <f>SUMIFS(Tab_01.Jan[MOVIMENTO],Tab_01.Jan[CONTA],$F249)</f>
        <v>14346.41</v>
      </c>
      <c r="I249" s="4">
        <f>SUMIFS(Tab_02.Fev[MOVIMENTO],Tab_02.Fev[CONTA],$F249)</f>
        <v>0</v>
      </c>
      <c r="J249" s="4">
        <f>SUMIFS(Tab_03.Mar[MOVIMENTO],Tab_03.Mar[CONTA],$F249)</f>
        <v>345.44</v>
      </c>
      <c r="K249" s="4">
        <f>SUMIFS(Tab_04.Abr[MOVIMENTO],Tab_04.Abr[CONTA],$F249)</f>
        <v>567.08000000000004</v>
      </c>
      <c r="L249" s="4">
        <f>SUMIFS(Tab_05.Mai[MOVIMENTO],Tab_05.Mai[CONTA],$F249)</f>
        <v>373.86</v>
      </c>
      <c r="M249" s="4">
        <f>SUMIFS(Tab_06.Jun[MOVIMENTO],Tab_06.Jun[CONTA],$F249)</f>
        <v>373.87</v>
      </c>
      <c r="N249" s="4">
        <f>SUMIFS(Tab_07.Jul[MOVIMENTO],Tab_07.Jul[CONTA],$F249)</f>
        <v>373.87</v>
      </c>
      <c r="O249" s="4">
        <f>SUMIFS(Tab_08.Ago[MOVIMENTO],Tab_08.Ago[CONTA],$F249)</f>
        <v>373.87</v>
      </c>
      <c r="P249" s="4">
        <f>SUMIFS(Tab_09.Set[MOVIMENTO],Tab_09.Set[CONTA],$F249)</f>
        <v>278.25</v>
      </c>
      <c r="Q249" s="4">
        <f>SUMIFS(Tab_10.Out[MOVIMENTO],Tab_10.Out[CONTA],$F249)</f>
        <v>0</v>
      </c>
      <c r="R249" s="4">
        <f>SUMIFS(Tab_11.Nov[MOVIMENTO],Tab_11.Nov[CONTA],$F249)</f>
        <v>0</v>
      </c>
      <c r="S249" s="4">
        <f>SUMIFS(Tab_12.Dez[MOVIMENTO],Tab_12.Dez[CONTA],$F249)</f>
        <v>0</v>
      </c>
    </row>
    <row r="250" spans="2:19" x14ac:dyDescent="0.3">
      <c r="B250" s="3" t="s">
        <v>104</v>
      </c>
      <c r="C250" s="2" t="str">
        <f t="shared" si="42"/>
        <v>C</v>
      </c>
      <c r="D250" s="2" t="str">
        <f t="shared" si="43"/>
        <v>A</v>
      </c>
      <c r="E250" s="2">
        <f t="shared" si="44"/>
        <v>5</v>
      </c>
      <c r="F250" s="3" t="s">
        <v>810</v>
      </c>
      <c r="G250" s="3" t="s">
        <v>801</v>
      </c>
      <c r="H250" s="4">
        <f>SUMIFS(Tab_01.Jan[MOVIMENTO],Tab_01.Jan[CONTA],$F250)</f>
        <v>82.97</v>
      </c>
      <c r="I250" s="4">
        <f>SUMIFS(Tab_02.Fev[MOVIMENTO],Tab_02.Fev[CONTA],$F250)</f>
        <v>0</v>
      </c>
      <c r="J250" s="4">
        <f>SUMIFS(Tab_03.Mar[MOVIMENTO],Tab_03.Mar[CONTA],$F250)</f>
        <v>-11.13</v>
      </c>
      <c r="K250" s="4">
        <f>SUMIFS(Tab_04.Abr[MOVIMENTO],Tab_04.Abr[CONTA],$F250)</f>
        <v>29.6</v>
      </c>
      <c r="L250" s="4">
        <f>SUMIFS(Tab_05.Mai[MOVIMENTO],Tab_05.Mai[CONTA],$F250)</f>
        <v>29.59</v>
      </c>
      <c r="M250" s="4">
        <f>SUMIFS(Tab_06.Jun[MOVIMENTO],Tab_06.Jun[CONTA],$F250)</f>
        <v>46.74</v>
      </c>
      <c r="N250" s="4">
        <f>SUMIFS(Tab_07.Jul[MOVIMENTO],Tab_07.Jul[CONTA],$F250)</f>
        <v>46.74</v>
      </c>
      <c r="O250" s="4">
        <f>SUMIFS(Tab_08.Ago[MOVIMENTO],Tab_08.Ago[CONTA],$F250)</f>
        <v>46.74</v>
      </c>
      <c r="P250" s="4">
        <f>SUMIFS(Tab_09.Set[MOVIMENTO],Tab_09.Set[CONTA],$F250)</f>
        <v>48.14</v>
      </c>
      <c r="Q250" s="4">
        <f>SUMIFS(Tab_10.Out[MOVIMENTO],Tab_10.Out[CONTA],$F250)</f>
        <v>0</v>
      </c>
      <c r="R250" s="4">
        <f>SUMIFS(Tab_11.Nov[MOVIMENTO],Tab_11.Nov[CONTA],$F250)</f>
        <v>0</v>
      </c>
      <c r="S250" s="4">
        <f>SUMIFS(Tab_12.Dez[MOVIMENTO],Tab_12.Dez[CONTA],$F250)</f>
        <v>0</v>
      </c>
    </row>
    <row r="251" spans="2:19" x14ac:dyDescent="0.3">
      <c r="B251" s="3" t="s">
        <v>104</v>
      </c>
      <c r="C251" s="2" t="str">
        <f t="shared" si="42"/>
        <v>C</v>
      </c>
      <c r="D251" s="2" t="str">
        <f t="shared" si="43"/>
        <v>A</v>
      </c>
      <c r="E251" s="2">
        <f t="shared" si="44"/>
        <v>5</v>
      </c>
      <c r="F251" s="3" t="s">
        <v>811</v>
      </c>
      <c r="G251" s="3" t="s">
        <v>803</v>
      </c>
      <c r="H251" s="4">
        <f>SUMIFS(Tab_01.Jan[MOVIMENTO],Tab_01.Jan[CONTA],$F251)</f>
        <v>1667.78</v>
      </c>
      <c r="I251" s="4">
        <f>SUMIFS(Tab_02.Fev[MOVIMENTO],Tab_02.Fev[CONTA],$F251)</f>
        <v>0</v>
      </c>
      <c r="J251" s="4">
        <f>SUMIFS(Tab_03.Mar[MOVIMENTO],Tab_03.Mar[CONTA],$F251)</f>
        <v>867.9</v>
      </c>
      <c r="K251" s="4">
        <f>SUMIFS(Tab_04.Abr[MOVIMENTO],Tab_04.Abr[CONTA],$F251)</f>
        <v>867.85</v>
      </c>
      <c r="L251" s="4">
        <f>SUMIFS(Tab_05.Mai[MOVIMENTO],Tab_05.Mai[CONTA],$F251)</f>
        <v>939.31</v>
      </c>
      <c r="M251" s="4">
        <f>SUMIFS(Tab_06.Jun[MOVIMENTO],Tab_06.Jun[CONTA],$F251)</f>
        <v>594.92999999999995</v>
      </c>
      <c r="N251" s="4">
        <f>SUMIFS(Tab_07.Jul[MOVIMENTO],Tab_07.Jul[CONTA],$F251)</f>
        <v>594.92999999999995</v>
      </c>
      <c r="O251" s="4">
        <f>SUMIFS(Tab_08.Ago[MOVIMENTO],Tab_08.Ago[CONTA],$F251)</f>
        <v>594.92999999999995</v>
      </c>
      <c r="P251" s="4">
        <f>SUMIFS(Tab_09.Set[MOVIMENTO],Tab_09.Set[CONTA],$F251)</f>
        <v>758.23</v>
      </c>
      <c r="Q251" s="4">
        <f>SUMIFS(Tab_10.Out[MOVIMENTO],Tab_10.Out[CONTA],$F251)</f>
        <v>2316.54</v>
      </c>
      <c r="R251" s="4">
        <f>SUMIFS(Tab_11.Nov[MOVIMENTO],Tab_11.Nov[CONTA],$F251)</f>
        <v>2316.7800000000002</v>
      </c>
      <c r="S251" s="4">
        <f>SUMIFS(Tab_12.Dez[MOVIMENTO],Tab_12.Dez[CONTA],$F251)</f>
        <v>965.67</v>
      </c>
    </row>
    <row r="252" spans="2:19" x14ac:dyDescent="0.3">
      <c r="B252" s="3" t="s">
        <v>104</v>
      </c>
      <c r="C252" s="2" t="str">
        <f t="shared" si="42"/>
        <v>C</v>
      </c>
      <c r="D252" s="2" t="str">
        <f t="shared" si="43"/>
        <v>A</v>
      </c>
      <c r="E252" s="2">
        <f t="shared" si="44"/>
        <v>5</v>
      </c>
      <c r="F252" s="3" t="s">
        <v>812</v>
      </c>
      <c r="G252" s="3" t="s">
        <v>805</v>
      </c>
      <c r="H252" s="4">
        <f>SUMIFS(Tab_01.Jan[MOVIMENTO],Tab_01.Jan[CONTA],$F252)</f>
        <v>497.81</v>
      </c>
      <c r="I252" s="4">
        <f>SUMIFS(Tab_02.Fev[MOVIMENTO],Tab_02.Fev[CONTA],$F252)</f>
        <v>0</v>
      </c>
      <c r="J252" s="4">
        <f>SUMIFS(Tab_03.Mar[MOVIMENTO],Tab_03.Mar[CONTA],$F252)</f>
        <v>259.08</v>
      </c>
      <c r="K252" s="4">
        <f>SUMIFS(Tab_04.Abr[MOVIMENTO],Tab_04.Abr[CONTA],$F252)</f>
        <v>259.06</v>
      </c>
      <c r="L252" s="4">
        <f>SUMIFS(Tab_05.Mai[MOVIMENTO],Tab_05.Mai[CONTA],$F252)</f>
        <v>280.41000000000003</v>
      </c>
      <c r="M252" s="4">
        <f>SUMIFS(Tab_06.Jun[MOVIMENTO],Tab_06.Jun[CONTA],$F252)</f>
        <v>177.59</v>
      </c>
      <c r="N252" s="4">
        <f>SUMIFS(Tab_07.Jul[MOVIMENTO],Tab_07.Jul[CONTA],$F252)</f>
        <v>177.59</v>
      </c>
      <c r="O252" s="4">
        <f>SUMIFS(Tab_08.Ago[MOVIMENTO],Tab_08.Ago[CONTA],$F252)</f>
        <v>177.59</v>
      </c>
      <c r="P252" s="4">
        <f>SUMIFS(Tab_09.Set[MOVIMENTO],Tab_09.Set[CONTA],$F252)</f>
        <v>226.33</v>
      </c>
      <c r="Q252" s="4">
        <f>SUMIFS(Tab_10.Out[MOVIMENTO],Tab_10.Out[CONTA],$F252)</f>
        <v>692.14</v>
      </c>
      <c r="R252" s="4">
        <f>SUMIFS(Tab_11.Nov[MOVIMENTO],Tab_11.Nov[CONTA],$F252)</f>
        <v>692.11</v>
      </c>
      <c r="S252" s="4">
        <f>SUMIFS(Tab_12.Dez[MOVIMENTO],Tab_12.Dez[CONTA],$F252)</f>
        <v>288.26</v>
      </c>
    </row>
    <row r="253" spans="2:19" x14ac:dyDescent="0.3">
      <c r="B253" s="3" t="s">
        <v>104</v>
      </c>
      <c r="C253" s="2" t="str">
        <f t="shared" si="42"/>
        <v>C</v>
      </c>
      <c r="D253" s="2" t="str">
        <f t="shared" si="43"/>
        <v>A</v>
      </c>
      <c r="E253" s="2">
        <f t="shared" si="44"/>
        <v>5</v>
      </c>
      <c r="F253" s="3" t="s">
        <v>813</v>
      </c>
      <c r="G253" s="3" t="s">
        <v>807</v>
      </c>
      <c r="H253" s="4">
        <f>SUMIFS(Tab_01.Jan[MOVIMENTO],Tab_01.Jan[CONTA],$F253)</f>
        <v>62.22</v>
      </c>
      <c r="I253" s="4">
        <f>SUMIFS(Tab_02.Fev[MOVIMENTO],Tab_02.Fev[CONTA],$F253)</f>
        <v>0</v>
      </c>
      <c r="J253" s="4">
        <f>SUMIFS(Tab_03.Mar[MOVIMENTO],Tab_03.Mar[CONTA],$F253)</f>
        <v>32.380000000000003</v>
      </c>
      <c r="K253" s="4">
        <f>SUMIFS(Tab_04.Abr[MOVIMENTO],Tab_04.Abr[CONTA],$F253)</f>
        <v>32.380000000000003</v>
      </c>
      <c r="L253" s="4">
        <f>SUMIFS(Tab_05.Mai[MOVIMENTO],Tab_05.Mai[CONTA],$F253)</f>
        <v>35.06</v>
      </c>
      <c r="M253" s="4">
        <f>SUMIFS(Tab_06.Jun[MOVIMENTO],Tab_06.Jun[CONTA],$F253)</f>
        <v>35.04</v>
      </c>
      <c r="N253" s="4">
        <f>SUMIFS(Tab_07.Jul[MOVIMENTO],Tab_07.Jul[CONTA],$F253)</f>
        <v>35.04</v>
      </c>
      <c r="O253" s="4">
        <f>SUMIFS(Tab_08.Ago[MOVIMENTO],Tab_08.Ago[CONTA],$F253)</f>
        <v>35.04</v>
      </c>
      <c r="P253" s="4">
        <f>SUMIFS(Tab_09.Set[MOVIMENTO],Tab_09.Set[CONTA],$F253)</f>
        <v>28.29</v>
      </c>
      <c r="Q253" s="4">
        <f>SUMIFS(Tab_10.Out[MOVIMENTO],Tab_10.Out[CONTA],$F253)</f>
        <v>86.45</v>
      </c>
      <c r="R253" s="4">
        <f>SUMIFS(Tab_11.Nov[MOVIMENTO],Tab_11.Nov[CONTA],$F253)</f>
        <v>86.45</v>
      </c>
      <c r="S253" s="4">
        <f>SUMIFS(Tab_12.Dez[MOVIMENTO],Tab_12.Dez[CONTA],$F253)</f>
        <v>36.020000000000003</v>
      </c>
    </row>
    <row r="254" spans="2:19" x14ac:dyDescent="0.3">
      <c r="B254" s="3"/>
      <c r="C254" s="2" t="str">
        <f t="shared" si="42"/>
        <v>C</v>
      </c>
      <c r="D254" s="2" t="str">
        <f t="shared" si="43"/>
        <v>S</v>
      </c>
      <c r="E254" s="2">
        <f t="shared" si="44"/>
        <v>5</v>
      </c>
      <c r="F254" s="3" t="s">
        <v>602</v>
      </c>
      <c r="G254" s="3" t="s">
        <v>708</v>
      </c>
      <c r="H254" s="4">
        <f>SUMIFS(Tab_01.Jan[MOVIMENTO],Tab_01.Jan[CONTA],$F254)</f>
        <v>1014</v>
      </c>
      <c r="I254" s="4">
        <f>SUMIFS(Tab_02.Fev[MOVIMENTO],Tab_02.Fev[CONTA],$F254)</f>
        <v>0</v>
      </c>
      <c r="J254" s="4">
        <f>SUMIFS(Tab_03.Mar[MOVIMENTO],Tab_03.Mar[CONTA],$F254)</f>
        <v>0</v>
      </c>
      <c r="K254" s="4">
        <f>SUMIFS(Tab_04.Abr[MOVIMENTO],Tab_04.Abr[CONTA],$F254)</f>
        <v>0</v>
      </c>
      <c r="L254" s="4">
        <f>SUMIFS(Tab_05.Mai[MOVIMENTO],Tab_05.Mai[CONTA],$F254)</f>
        <v>0</v>
      </c>
      <c r="M254" s="4">
        <f>SUMIFS(Tab_06.Jun[MOVIMENTO],Tab_06.Jun[CONTA],$F254)</f>
        <v>0</v>
      </c>
      <c r="N254" s="4">
        <f>SUMIFS(Tab_07.Jul[MOVIMENTO],Tab_07.Jul[CONTA],$F254)</f>
        <v>0</v>
      </c>
      <c r="O254" s="4">
        <f>SUMIFS(Tab_08.Ago[MOVIMENTO],Tab_08.Ago[CONTA],$F254)</f>
        <v>0</v>
      </c>
      <c r="P254" s="4">
        <f>SUMIFS(Tab_09.Set[MOVIMENTO],Tab_09.Set[CONTA],$F254)</f>
        <v>-386.16</v>
      </c>
      <c r="Q254" s="4">
        <f>SUMIFS(Tab_10.Out[MOVIMENTO],Tab_10.Out[CONTA],$F254)</f>
        <v>0</v>
      </c>
      <c r="R254" s="4">
        <f>SUMIFS(Tab_11.Nov[MOVIMENTO],Tab_11.Nov[CONTA],$F254)</f>
        <v>0</v>
      </c>
      <c r="S254" s="4">
        <f>SUMIFS(Tab_12.Dez[MOVIMENTO],Tab_12.Dez[CONTA],$F254)</f>
        <v>119.61</v>
      </c>
    </row>
    <row r="255" spans="2:19" x14ac:dyDescent="0.3">
      <c r="B255" s="3" t="s">
        <v>105</v>
      </c>
      <c r="C255" s="2" t="str">
        <f t="shared" si="42"/>
        <v>C</v>
      </c>
      <c r="D255" s="2" t="str">
        <f t="shared" si="43"/>
        <v>A</v>
      </c>
      <c r="E255" s="2">
        <f t="shared" si="44"/>
        <v>5</v>
      </c>
      <c r="F255" s="3" t="s">
        <v>774</v>
      </c>
      <c r="G255" s="3" t="s">
        <v>435</v>
      </c>
      <c r="H255" s="4">
        <f>SUMIFS(Tab_01.Jan[MOVIMENTO],Tab_01.Jan[CONTA],$F255)</f>
        <v>0</v>
      </c>
      <c r="I255" s="4">
        <f>SUMIFS(Tab_02.Fev[MOVIMENTO],Tab_02.Fev[CONTA],$F255)</f>
        <v>0</v>
      </c>
      <c r="J255" s="4">
        <f>SUMIFS(Tab_03.Mar[MOVIMENTO],Tab_03.Mar[CONTA],$F255)</f>
        <v>0</v>
      </c>
      <c r="K255" s="4">
        <f>SUMIFS(Tab_04.Abr[MOVIMENTO],Tab_04.Abr[CONTA],$F255)</f>
        <v>0</v>
      </c>
      <c r="L255" s="4">
        <f>SUMIFS(Tab_05.Mai[MOVIMENTO],Tab_05.Mai[CONTA],$F255)</f>
        <v>0</v>
      </c>
      <c r="M255" s="4">
        <f>SUMIFS(Tab_06.Jun[MOVIMENTO],Tab_06.Jun[CONTA],$F255)</f>
        <v>0</v>
      </c>
      <c r="N255" s="4">
        <f>SUMIFS(Tab_07.Jul[MOVIMENTO],Tab_07.Jul[CONTA],$F255)</f>
        <v>0</v>
      </c>
      <c r="O255" s="4">
        <f>SUMIFS(Tab_08.Ago[MOVIMENTO],Tab_08.Ago[CONTA],$F255)</f>
        <v>0</v>
      </c>
      <c r="P255" s="4">
        <f>SUMIFS(Tab_09.Set[MOVIMENTO],Tab_09.Set[CONTA],$F255)</f>
        <v>0</v>
      </c>
      <c r="Q255" s="4">
        <f>SUMIFS(Tab_10.Out[MOVIMENTO],Tab_10.Out[CONTA],$F255)</f>
        <v>0</v>
      </c>
      <c r="R255" s="4">
        <f>SUMIFS(Tab_11.Nov[MOVIMENTO],Tab_11.Nov[CONTA],$F255)</f>
        <v>0</v>
      </c>
      <c r="S255" s="4">
        <f>SUMIFS(Tab_12.Dez[MOVIMENTO],Tab_12.Dez[CONTA],$F255)</f>
        <v>0</v>
      </c>
    </row>
    <row r="256" spans="2:19" x14ac:dyDescent="0.3">
      <c r="B256" s="3" t="s">
        <v>105</v>
      </c>
      <c r="C256" s="2" t="str">
        <f t="shared" si="42"/>
        <v>C</v>
      </c>
      <c r="D256" s="2" t="str">
        <f t="shared" si="43"/>
        <v>A</v>
      </c>
      <c r="E256" s="2">
        <f t="shared" si="44"/>
        <v>5</v>
      </c>
      <c r="F256" s="3" t="s">
        <v>775</v>
      </c>
      <c r="G256" s="3" t="s">
        <v>751</v>
      </c>
      <c r="H256" s="4">
        <f>SUMIFS(Tab_01.Jan[MOVIMENTO],Tab_01.Jan[CONTA],$F256)</f>
        <v>0</v>
      </c>
      <c r="I256" s="4">
        <f>SUMIFS(Tab_02.Fev[MOVIMENTO],Tab_02.Fev[CONTA],$F256)</f>
        <v>0</v>
      </c>
      <c r="J256" s="4">
        <f>SUMIFS(Tab_03.Mar[MOVIMENTO],Tab_03.Mar[CONTA],$F256)</f>
        <v>0</v>
      </c>
      <c r="K256" s="4">
        <f>SUMIFS(Tab_04.Abr[MOVIMENTO],Tab_04.Abr[CONTA],$F256)</f>
        <v>0</v>
      </c>
      <c r="L256" s="4">
        <f>SUMIFS(Tab_05.Mai[MOVIMENTO],Tab_05.Mai[CONTA],$F256)</f>
        <v>0</v>
      </c>
      <c r="M256" s="4">
        <f>SUMIFS(Tab_06.Jun[MOVIMENTO],Tab_06.Jun[CONTA],$F256)</f>
        <v>0</v>
      </c>
      <c r="N256" s="4">
        <f>SUMIFS(Tab_07.Jul[MOVIMENTO],Tab_07.Jul[CONTA],$F256)</f>
        <v>0</v>
      </c>
      <c r="O256" s="4">
        <f>SUMIFS(Tab_08.Ago[MOVIMENTO],Tab_08.Ago[CONTA],$F256)</f>
        <v>0</v>
      </c>
      <c r="P256" s="4">
        <f>SUMIFS(Tab_09.Set[MOVIMENTO],Tab_09.Set[CONTA],$F256)</f>
        <v>-386.16</v>
      </c>
      <c r="Q256" s="4">
        <f>SUMIFS(Tab_10.Out[MOVIMENTO],Tab_10.Out[CONTA],$F256)</f>
        <v>0</v>
      </c>
      <c r="R256" s="4">
        <f>SUMIFS(Tab_11.Nov[MOVIMENTO],Tab_11.Nov[CONTA],$F256)</f>
        <v>0</v>
      </c>
      <c r="S256" s="4">
        <f>SUMIFS(Tab_12.Dez[MOVIMENTO],Tab_12.Dez[CONTA],$F256)</f>
        <v>0</v>
      </c>
    </row>
    <row r="257" spans="2:19" x14ac:dyDescent="0.3">
      <c r="B257" s="3" t="s">
        <v>105</v>
      </c>
      <c r="C257" s="2" t="str">
        <f t="shared" si="42"/>
        <v>C</v>
      </c>
      <c r="D257" s="2" t="str">
        <f t="shared" si="43"/>
        <v>A</v>
      </c>
      <c r="E257" s="2">
        <f t="shared" si="44"/>
        <v>5</v>
      </c>
      <c r="F257" s="3" t="s">
        <v>455</v>
      </c>
      <c r="G257" s="3" t="s">
        <v>456</v>
      </c>
      <c r="H257" s="4">
        <f>SUMIFS(Tab_01.Jan[MOVIMENTO],Tab_01.Jan[CONTA],$F257)</f>
        <v>1014</v>
      </c>
      <c r="I257" s="4">
        <f>SUMIFS(Tab_02.Fev[MOVIMENTO],Tab_02.Fev[CONTA],$F257)</f>
        <v>0</v>
      </c>
      <c r="J257" s="4">
        <f>SUMIFS(Tab_03.Mar[MOVIMENTO],Tab_03.Mar[CONTA],$F257)</f>
        <v>0</v>
      </c>
      <c r="K257" s="4">
        <f>SUMIFS(Tab_04.Abr[MOVIMENTO],Tab_04.Abr[CONTA],$F257)</f>
        <v>0</v>
      </c>
      <c r="L257" s="4">
        <f>SUMIFS(Tab_05.Mai[MOVIMENTO],Tab_05.Mai[CONTA],$F257)</f>
        <v>0</v>
      </c>
      <c r="M257" s="4">
        <f>SUMIFS(Tab_06.Jun[MOVIMENTO],Tab_06.Jun[CONTA],$F257)</f>
        <v>0</v>
      </c>
      <c r="N257" s="4">
        <f>SUMIFS(Tab_07.Jul[MOVIMENTO],Tab_07.Jul[CONTA],$F257)</f>
        <v>0</v>
      </c>
      <c r="O257" s="4">
        <f>SUMIFS(Tab_08.Ago[MOVIMENTO],Tab_08.Ago[CONTA],$F257)</f>
        <v>0</v>
      </c>
      <c r="P257" s="4">
        <f>SUMIFS(Tab_09.Set[MOVIMENTO],Tab_09.Set[CONTA],$F257)</f>
        <v>0</v>
      </c>
      <c r="Q257" s="4">
        <f>SUMIFS(Tab_10.Out[MOVIMENTO],Tab_10.Out[CONTA],$F257)</f>
        <v>0</v>
      </c>
      <c r="R257" s="4">
        <f>SUMIFS(Tab_11.Nov[MOVIMENTO],Tab_11.Nov[CONTA],$F257)</f>
        <v>0</v>
      </c>
      <c r="S257" s="4">
        <f>SUMIFS(Tab_12.Dez[MOVIMENTO],Tab_12.Dez[CONTA],$F257)</f>
        <v>119.61</v>
      </c>
    </row>
    <row r="258" spans="2:19" x14ac:dyDescent="0.3">
      <c r="B258" s="3"/>
      <c r="C258" s="2" t="str">
        <f t="shared" si="42"/>
        <v>C</v>
      </c>
      <c r="D258" s="2" t="str">
        <f t="shared" si="43"/>
        <v>S</v>
      </c>
      <c r="E258" s="2">
        <f t="shared" si="44"/>
        <v>5</v>
      </c>
      <c r="F258" s="3" t="s">
        <v>603</v>
      </c>
      <c r="G258" s="3" t="s">
        <v>709</v>
      </c>
      <c r="H258" s="4">
        <f>SUMIFS(Tab_01.Jan[MOVIMENTO],Tab_01.Jan[CONTA],$F258)</f>
        <v>24701.439999999999</v>
      </c>
      <c r="I258" s="4">
        <f>SUMIFS(Tab_02.Fev[MOVIMENTO],Tab_02.Fev[CONTA],$F258)</f>
        <v>188664.95</v>
      </c>
      <c r="J258" s="4">
        <f>SUMIFS(Tab_03.Mar[MOVIMENTO],Tab_03.Mar[CONTA],$F258)</f>
        <v>11195.26</v>
      </c>
      <c r="K258" s="4">
        <f>SUMIFS(Tab_04.Abr[MOVIMENTO],Tab_04.Abr[CONTA],$F258)</f>
        <v>11195.26</v>
      </c>
      <c r="L258" s="4">
        <f>SUMIFS(Tab_05.Mai[MOVIMENTO],Tab_05.Mai[CONTA],$F258)</f>
        <v>11195.26</v>
      </c>
      <c r="M258" s="4">
        <f>SUMIFS(Tab_06.Jun[MOVIMENTO],Tab_06.Jun[CONTA],$F258)</f>
        <v>15412.71</v>
      </c>
      <c r="N258" s="4">
        <f>SUMIFS(Tab_07.Jul[MOVIMENTO],Tab_07.Jul[CONTA],$F258)</f>
        <v>15412.71</v>
      </c>
      <c r="O258" s="4">
        <f>SUMIFS(Tab_08.Ago[MOVIMENTO],Tab_08.Ago[CONTA],$F258)</f>
        <v>15412.71</v>
      </c>
      <c r="P258" s="4">
        <f>SUMIFS(Tab_09.Set[MOVIMENTO],Tab_09.Set[CONTA],$F258)</f>
        <v>9827.5499999999993</v>
      </c>
      <c r="Q258" s="4">
        <f>SUMIFS(Tab_10.Out[MOVIMENTO],Tab_10.Out[CONTA],$F258)</f>
        <v>15479.57</v>
      </c>
      <c r="R258" s="4">
        <f>SUMIFS(Tab_11.Nov[MOVIMENTO],Tab_11.Nov[CONTA],$F258)</f>
        <v>15297.18</v>
      </c>
      <c r="S258" s="4">
        <f>SUMIFS(Tab_12.Dez[MOVIMENTO],Tab_12.Dez[CONTA],$F258)</f>
        <v>20722.330000000002</v>
      </c>
    </row>
    <row r="259" spans="2:19" x14ac:dyDescent="0.3">
      <c r="B259" s="3" t="s">
        <v>104</v>
      </c>
      <c r="C259" s="2" t="str">
        <f t="shared" si="42"/>
        <v>C</v>
      </c>
      <c r="D259" s="2" t="str">
        <f t="shared" si="43"/>
        <v>A</v>
      </c>
      <c r="E259" s="2">
        <f t="shared" si="44"/>
        <v>5</v>
      </c>
      <c r="F259" s="3" t="s">
        <v>451</v>
      </c>
      <c r="G259" s="3" t="s">
        <v>437</v>
      </c>
      <c r="H259" s="4">
        <f>SUMIFS(Tab_01.Jan[MOVIMENTO],Tab_01.Jan[CONTA],$F259)</f>
        <v>18491.599999999999</v>
      </c>
      <c r="I259" s="4">
        <f>SUMIFS(Tab_02.Fev[MOVIMENTO],Tab_02.Fev[CONTA],$F259)</f>
        <v>0</v>
      </c>
      <c r="J259" s="4">
        <f>SUMIFS(Tab_03.Mar[MOVIMENTO],Tab_03.Mar[CONTA],$F259)</f>
        <v>8380.82</v>
      </c>
      <c r="K259" s="4">
        <f>SUMIFS(Tab_04.Abr[MOVIMENTO],Tab_04.Abr[CONTA],$F259)</f>
        <v>8380.82</v>
      </c>
      <c r="L259" s="4">
        <f>SUMIFS(Tab_05.Mai[MOVIMENTO],Tab_05.Mai[CONTA],$F259)</f>
        <v>8380.82</v>
      </c>
      <c r="M259" s="4">
        <f>SUMIFS(Tab_06.Jun[MOVIMENTO],Tab_06.Jun[CONTA],$F259)</f>
        <v>11538.01</v>
      </c>
      <c r="N259" s="4">
        <f>SUMIFS(Tab_07.Jul[MOVIMENTO],Tab_07.Jul[CONTA],$F259)</f>
        <v>11538.01</v>
      </c>
      <c r="O259" s="4">
        <f>SUMIFS(Tab_08.Ago[MOVIMENTO],Tab_08.Ago[CONTA],$F259)</f>
        <v>11538.01</v>
      </c>
      <c r="P259" s="4">
        <f>SUMIFS(Tab_09.Set[MOVIMENTO],Tab_09.Set[CONTA],$F259)</f>
        <v>7356.94</v>
      </c>
      <c r="Q259" s="4">
        <f>SUMIFS(Tab_10.Out[MOVIMENTO],Tab_10.Out[CONTA],$F259)</f>
        <v>11588.06</v>
      </c>
      <c r="R259" s="4">
        <f>SUMIFS(Tab_11.Nov[MOVIMENTO],Tab_11.Nov[CONTA],$F259)</f>
        <v>11451.52</v>
      </c>
      <c r="S259" s="4">
        <f>SUMIFS(Tab_12.Dez[MOVIMENTO],Tab_12.Dez[CONTA],$F259)</f>
        <v>16830.82</v>
      </c>
    </row>
    <row r="260" spans="2:19" x14ac:dyDescent="0.3">
      <c r="B260" s="3" t="s">
        <v>104</v>
      </c>
      <c r="C260" s="2" t="str">
        <f t="shared" ref="C260:C261" si="45">IF($F260="","",IF(LEFT($F260,1)*1=1,"A",IF(LEFT($F260,1)*1=2,"P",IF(LEFT($F260,1)*1=3,"R",IF(LEFT($F260,1)*1=4,"C",IF(LEFT($F260,1)*1=5,"C",IF(LEFT($F260,1)*1=6,"C","")))))))</f>
        <v>C</v>
      </c>
      <c r="D260" s="2" t="str">
        <f t="shared" ref="D260:D261" si="46">IF($F260="","",IF(LEN($F260)=13,"A","S"))</f>
        <v>A</v>
      </c>
      <c r="E260" s="2">
        <f t="shared" ref="E260:E261" si="47">IF($F260="","",IF(LEN($F260)=1,1,IF(LEN($F260)=3,2,IF(LEN($F260)=5,3,IF(LEN($F260)=8,4,5)))))</f>
        <v>5</v>
      </c>
      <c r="F260" s="3" t="s">
        <v>452</v>
      </c>
      <c r="G260" s="3" t="s">
        <v>196</v>
      </c>
      <c r="H260" s="4">
        <f>SUMIFS(Tab_01.Jan[MOVIMENTO],Tab_01.Jan[CONTA],$F260)</f>
        <v>5519.86</v>
      </c>
      <c r="I260" s="4">
        <f>SUMIFS(Tab_02.Fev[MOVIMENTO],Tab_02.Fev[CONTA],$F260)</f>
        <v>188664.95</v>
      </c>
      <c r="J260" s="4">
        <f>SUMIFS(Tab_03.Mar[MOVIMENTO],Tab_03.Mar[CONTA],$F260)</f>
        <v>2501.7199999999998</v>
      </c>
      <c r="K260" s="4">
        <f>SUMIFS(Tab_04.Abr[MOVIMENTO],Tab_04.Abr[CONTA],$F260)</f>
        <v>2501.7199999999998</v>
      </c>
      <c r="L260" s="4">
        <f>SUMIFS(Tab_05.Mai[MOVIMENTO],Tab_05.Mai[CONTA],$F260)</f>
        <v>2501.7199999999998</v>
      </c>
      <c r="M260" s="4">
        <f>SUMIFS(Tab_06.Jun[MOVIMENTO],Tab_06.Jun[CONTA],$F260)</f>
        <v>3444.18</v>
      </c>
      <c r="N260" s="4">
        <f>SUMIFS(Tab_07.Jul[MOVIMENTO],Tab_07.Jul[CONTA],$F260)</f>
        <v>3444.18</v>
      </c>
      <c r="O260" s="4">
        <f>SUMIFS(Tab_08.Ago[MOVIMENTO],Tab_08.Ago[CONTA],$F260)</f>
        <v>3444.18</v>
      </c>
      <c r="P260" s="4">
        <f>SUMIFS(Tab_09.Set[MOVIMENTO],Tab_09.Set[CONTA],$F260)</f>
        <v>2196.1</v>
      </c>
      <c r="Q260" s="4">
        <f>SUMIFS(Tab_10.Out[MOVIMENTO],Tab_10.Out[CONTA],$F260)</f>
        <v>3459.12</v>
      </c>
      <c r="R260" s="4">
        <f>SUMIFS(Tab_11.Nov[MOVIMENTO],Tab_11.Nov[CONTA],$F260)</f>
        <v>3418.36</v>
      </c>
      <c r="S260" s="4">
        <f>SUMIFS(Tab_12.Dez[MOVIMENTO],Tab_12.Dez[CONTA],$F260)</f>
        <v>3459.12</v>
      </c>
    </row>
    <row r="261" spans="2:19" x14ac:dyDescent="0.3">
      <c r="B261" s="3" t="s">
        <v>104</v>
      </c>
      <c r="C261" s="2" t="str">
        <f t="shared" si="45"/>
        <v>C</v>
      </c>
      <c r="D261" s="2" t="str">
        <f t="shared" si="46"/>
        <v>A</v>
      </c>
      <c r="E261" s="2">
        <f t="shared" si="47"/>
        <v>5</v>
      </c>
      <c r="F261" s="3" t="s">
        <v>453</v>
      </c>
      <c r="G261" s="3" t="s">
        <v>454</v>
      </c>
      <c r="H261" s="4">
        <f>SUMIFS(Tab_01.Jan[MOVIMENTO],Tab_01.Jan[CONTA],$F261)</f>
        <v>689.98</v>
      </c>
      <c r="I261" s="4">
        <f>SUMIFS(Tab_02.Fev[MOVIMENTO],Tab_02.Fev[CONTA],$F261)</f>
        <v>0</v>
      </c>
      <c r="J261" s="4">
        <f>SUMIFS(Tab_03.Mar[MOVIMENTO],Tab_03.Mar[CONTA],$F261)</f>
        <v>312.72000000000003</v>
      </c>
      <c r="K261" s="4">
        <f>SUMIFS(Tab_04.Abr[MOVIMENTO],Tab_04.Abr[CONTA],$F261)</f>
        <v>312.72000000000003</v>
      </c>
      <c r="L261" s="4">
        <f>SUMIFS(Tab_05.Mai[MOVIMENTO],Tab_05.Mai[CONTA],$F261)</f>
        <v>312.72000000000003</v>
      </c>
      <c r="M261" s="4">
        <f>SUMIFS(Tab_06.Jun[MOVIMENTO],Tab_06.Jun[CONTA],$F261)</f>
        <v>430.52</v>
      </c>
      <c r="N261" s="4">
        <f>SUMIFS(Tab_07.Jul[MOVIMENTO],Tab_07.Jul[CONTA],$F261)</f>
        <v>430.52</v>
      </c>
      <c r="O261" s="4">
        <f>SUMIFS(Tab_08.Ago[MOVIMENTO],Tab_08.Ago[CONTA],$F261)</f>
        <v>430.52</v>
      </c>
      <c r="P261" s="4">
        <f>SUMIFS(Tab_09.Set[MOVIMENTO],Tab_09.Set[CONTA],$F261)</f>
        <v>274.51</v>
      </c>
      <c r="Q261" s="4">
        <f>SUMIFS(Tab_10.Out[MOVIMENTO],Tab_10.Out[CONTA],$F261)</f>
        <v>432.39</v>
      </c>
      <c r="R261" s="4">
        <f>SUMIFS(Tab_11.Nov[MOVIMENTO],Tab_11.Nov[CONTA],$F261)</f>
        <v>427.3</v>
      </c>
      <c r="S261" s="4">
        <f>SUMIFS(Tab_12.Dez[MOVIMENTO],Tab_12.Dez[CONTA],$F261)</f>
        <v>432.39</v>
      </c>
    </row>
    <row r="262" spans="2:19" x14ac:dyDescent="0.3">
      <c r="B262" s="3"/>
      <c r="C262" s="2" t="str">
        <f t="shared" ref="C262:C315" si="48">IF($F262="","",IF(LEFT($F262,1)*1=1,"A",IF(LEFT($F262,1)*1=2,"P",IF(LEFT($F262,1)*1=3,"R",IF(LEFT($F262,1)*1=4,"C",IF(LEFT($F262,1)*1=5,"C",IF(LEFT($F262,1)*1=6,"C","")))))))</f>
        <v>C</v>
      </c>
      <c r="D262" s="2" t="str">
        <f t="shared" ref="D262:D315" si="49">IF($F262="","",IF(LEN($F262)=13,"A","S"))</f>
        <v>S</v>
      </c>
      <c r="E262" s="2">
        <f t="shared" ref="E262:E315" si="50">IF($F262="","",IF(LEN($F262)=1,1,IF(LEN($F262)=3,2,IF(LEN($F262)=5,3,IF(LEN($F262)=8,4,5)))))</f>
        <v>5</v>
      </c>
      <c r="F262" s="3" t="s">
        <v>604</v>
      </c>
      <c r="G262" s="3" t="s">
        <v>710</v>
      </c>
      <c r="H262" s="4">
        <f>SUMIFS(Tab_01.Jan[MOVIMENTO],Tab_01.Jan[CONTA],$F262)</f>
        <v>190</v>
      </c>
      <c r="I262" s="4">
        <f>SUMIFS(Tab_02.Fev[MOVIMENTO],Tab_02.Fev[CONTA],$F262)</f>
        <v>235</v>
      </c>
      <c r="J262" s="4">
        <f>SUMIFS(Tab_03.Mar[MOVIMENTO],Tab_03.Mar[CONTA],$F262)</f>
        <v>235</v>
      </c>
      <c r="K262" s="4">
        <f>SUMIFS(Tab_04.Abr[MOVIMENTO],Tab_04.Abr[CONTA],$F262)</f>
        <v>230</v>
      </c>
      <c r="L262" s="4">
        <f>SUMIFS(Tab_05.Mai[MOVIMENTO],Tab_05.Mai[CONTA],$F262)</f>
        <v>190</v>
      </c>
      <c r="M262" s="4">
        <f>SUMIFS(Tab_06.Jun[MOVIMENTO],Tab_06.Jun[CONTA],$F262)</f>
        <v>190</v>
      </c>
      <c r="N262" s="4">
        <f>SUMIFS(Tab_07.Jul[MOVIMENTO],Tab_07.Jul[CONTA],$F262)</f>
        <v>190</v>
      </c>
      <c r="O262" s="4">
        <f>SUMIFS(Tab_08.Ago[MOVIMENTO],Tab_08.Ago[CONTA],$F262)</f>
        <v>190</v>
      </c>
      <c r="P262" s="4">
        <f>SUMIFS(Tab_09.Set[MOVIMENTO],Tab_09.Set[CONTA],$F262)</f>
        <v>1190</v>
      </c>
      <c r="Q262" s="4">
        <f>SUMIFS(Tab_10.Out[MOVIMENTO],Tab_10.Out[CONTA],$F262)</f>
        <v>280</v>
      </c>
      <c r="R262" s="4">
        <f>SUMIFS(Tab_11.Nov[MOVIMENTO],Tab_11.Nov[CONTA],$F262)</f>
        <v>190</v>
      </c>
      <c r="S262" s="4">
        <f>SUMIFS(Tab_12.Dez[MOVIMENTO],Tab_12.Dez[CONTA],$F262)</f>
        <v>230</v>
      </c>
    </row>
    <row r="263" spans="2:19" x14ac:dyDescent="0.3">
      <c r="B263" s="3" t="s">
        <v>105</v>
      </c>
      <c r="C263" s="2" t="str">
        <f t="shared" si="48"/>
        <v>C</v>
      </c>
      <c r="D263" s="2" t="str">
        <f t="shared" si="49"/>
        <v>A</v>
      </c>
      <c r="E263" s="2">
        <f t="shared" si="50"/>
        <v>5</v>
      </c>
      <c r="F263" s="3" t="s">
        <v>457</v>
      </c>
      <c r="G263" s="3" t="s">
        <v>458</v>
      </c>
      <c r="H263" s="4">
        <f>SUMIFS(Tab_01.Jan[MOVIMENTO],Tab_01.Jan[CONTA],$F263)</f>
        <v>190</v>
      </c>
      <c r="I263" s="4">
        <f>SUMIFS(Tab_02.Fev[MOVIMENTO],Tab_02.Fev[CONTA],$F263)</f>
        <v>235</v>
      </c>
      <c r="J263" s="4">
        <f>SUMIFS(Tab_03.Mar[MOVIMENTO],Tab_03.Mar[CONTA],$F263)</f>
        <v>235</v>
      </c>
      <c r="K263" s="4">
        <f>SUMIFS(Tab_04.Abr[MOVIMENTO],Tab_04.Abr[CONTA],$F263)</f>
        <v>230</v>
      </c>
      <c r="L263" s="4">
        <f>SUMIFS(Tab_05.Mai[MOVIMENTO],Tab_05.Mai[CONTA],$F263)</f>
        <v>190</v>
      </c>
      <c r="M263" s="4">
        <f>SUMIFS(Tab_06.Jun[MOVIMENTO],Tab_06.Jun[CONTA],$F263)</f>
        <v>190</v>
      </c>
      <c r="N263" s="4">
        <f>SUMIFS(Tab_07.Jul[MOVIMENTO],Tab_07.Jul[CONTA],$F263)</f>
        <v>190</v>
      </c>
      <c r="O263" s="4">
        <f>SUMIFS(Tab_08.Ago[MOVIMENTO],Tab_08.Ago[CONTA],$F263)</f>
        <v>190</v>
      </c>
      <c r="P263" s="4">
        <f>SUMIFS(Tab_09.Set[MOVIMENTO],Tab_09.Set[CONTA],$F263)</f>
        <v>1190</v>
      </c>
      <c r="Q263" s="4">
        <f>SUMIFS(Tab_10.Out[MOVIMENTO],Tab_10.Out[CONTA],$F263)</f>
        <v>280</v>
      </c>
      <c r="R263" s="4">
        <f>SUMIFS(Tab_11.Nov[MOVIMENTO],Tab_11.Nov[CONTA],$F263)</f>
        <v>190</v>
      </c>
      <c r="S263" s="4">
        <f>SUMIFS(Tab_12.Dez[MOVIMENTO],Tab_12.Dez[CONTA],$F263)</f>
        <v>230</v>
      </c>
    </row>
    <row r="264" spans="2:19" x14ac:dyDescent="0.3">
      <c r="B264" s="3"/>
      <c r="C264" s="2" t="str">
        <f t="shared" si="48"/>
        <v>C</v>
      </c>
      <c r="D264" s="2" t="str">
        <f t="shared" si="49"/>
        <v>S</v>
      </c>
      <c r="E264" s="2">
        <f t="shared" si="50"/>
        <v>5</v>
      </c>
      <c r="F264" s="3" t="s">
        <v>605</v>
      </c>
      <c r="G264" s="3" t="s">
        <v>711</v>
      </c>
      <c r="H264" s="4">
        <f>SUMIFS(Tab_01.Jan[MOVIMENTO],Tab_01.Jan[CONTA],$F264)</f>
        <v>128411.32</v>
      </c>
      <c r="I264" s="4">
        <f>SUMIFS(Tab_02.Fev[MOVIMENTO],Tab_02.Fev[CONTA],$F264)</f>
        <v>41863.51</v>
      </c>
      <c r="J264" s="4">
        <f>SUMIFS(Tab_03.Mar[MOVIMENTO],Tab_03.Mar[CONTA],$F264)</f>
        <v>124829.59</v>
      </c>
      <c r="K264" s="4">
        <f>SUMIFS(Tab_04.Abr[MOVIMENTO],Tab_04.Abr[CONTA],$F264)</f>
        <v>133340.35999999999</v>
      </c>
      <c r="L264" s="4">
        <f>SUMIFS(Tab_05.Mai[MOVIMENTO],Tab_05.Mai[CONTA],$F264)</f>
        <v>139724.43</v>
      </c>
      <c r="M264" s="4">
        <f>SUMIFS(Tab_06.Jun[MOVIMENTO],Tab_06.Jun[CONTA],$F264)</f>
        <v>167870.49</v>
      </c>
      <c r="N264" s="4">
        <f>SUMIFS(Tab_07.Jul[MOVIMENTO],Tab_07.Jul[CONTA],$F264)</f>
        <v>167870.49</v>
      </c>
      <c r="O264" s="4">
        <f>SUMIFS(Tab_08.Ago[MOVIMENTO],Tab_08.Ago[CONTA],$F264)</f>
        <v>167870.49</v>
      </c>
      <c r="P264" s="4">
        <f>SUMIFS(Tab_09.Set[MOVIMENTO],Tab_09.Set[CONTA],$F264)</f>
        <v>162984.39000000001</v>
      </c>
      <c r="Q264" s="4">
        <f>SUMIFS(Tab_10.Out[MOVIMENTO],Tab_10.Out[CONTA],$F264)</f>
        <v>161531.21</v>
      </c>
      <c r="R264" s="4">
        <f>SUMIFS(Tab_11.Nov[MOVIMENTO],Tab_11.Nov[CONTA],$F264)</f>
        <v>170953.71</v>
      </c>
      <c r="S264" s="4">
        <f>SUMIFS(Tab_12.Dez[MOVIMENTO],Tab_12.Dez[CONTA],$F264)</f>
        <v>161172.53</v>
      </c>
    </row>
    <row r="265" spans="2:19" x14ac:dyDescent="0.3">
      <c r="B265" s="3"/>
      <c r="C265" s="2" t="str">
        <f t="shared" si="48"/>
        <v>C</v>
      </c>
      <c r="D265" s="2" t="str">
        <f t="shared" si="49"/>
        <v>S</v>
      </c>
      <c r="E265" s="2">
        <f t="shared" si="50"/>
        <v>5</v>
      </c>
      <c r="F265" s="3" t="s">
        <v>606</v>
      </c>
      <c r="G265" s="3" t="s">
        <v>712</v>
      </c>
      <c r="H265" s="4">
        <f>SUMIFS(Tab_01.Jan[MOVIMENTO],Tab_01.Jan[CONTA],$F265)</f>
        <v>45445.24</v>
      </c>
      <c r="I265" s="4">
        <f>SUMIFS(Tab_02.Fev[MOVIMENTO],Tab_02.Fev[CONTA],$F265)</f>
        <v>41863.51</v>
      </c>
      <c r="J265" s="4">
        <f>SUMIFS(Tab_03.Mar[MOVIMENTO],Tab_03.Mar[CONTA],$F265)</f>
        <v>41863.51</v>
      </c>
      <c r="K265" s="4">
        <f>SUMIFS(Tab_04.Abr[MOVIMENTO],Tab_04.Abr[CONTA],$F265)</f>
        <v>50374.28</v>
      </c>
      <c r="L265" s="4">
        <f>SUMIFS(Tab_05.Mai[MOVIMENTO],Tab_05.Mai[CONTA],$F265)</f>
        <v>56758.35</v>
      </c>
      <c r="M265" s="4">
        <f>SUMIFS(Tab_06.Jun[MOVIMENTO],Tab_06.Jun[CONTA],$F265)</f>
        <v>84904.41</v>
      </c>
      <c r="N265" s="4">
        <f>SUMIFS(Tab_07.Jul[MOVIMENTO],Tab_07.Jul[CONTA],$F265)</f>
        <v>84904.41</v>
      </c>
      <c r="O265" s="4">
        <f>SUMIFS(Tab_08.Ago[MOVIMENTO],Tab_08.Ago[CONTA],$F265)</f>
        <v>84904.41</v>
      </c>
      <c r="P265" s="4">
        <f>SUMIFS(Tab_09.Set[MOVIMENTO],Tab_09.Set[CONTA],$F265)</f>
        <v>80018.3</v>
      </c>
      <c r="Q265" s="4">
        <f>SUMIFS(Tab_10.Out[MOVIMENTO],Tab_10.Out[CONTA],$F265)</f>
        <v>78565.13</v>
      </c>
      <c r="R265" s="4">
        <f>SUMIFS(Tab_11.Nov[MOVIMENTO],Tab_11.Nov[CONTA],$F265)</f>
        <v>87987.63</v>
      </c>
      <c r="S265" s="4">
        <f>SUMIFS(Tab_12.Dez[MOVIMENTO],Tab_12.Dez[CONTA],$F265)</f>
        <v>78206.45</v>
      </c>
    </row>
    <row r="266" spans="2:19" x14ac:dyDescent="0.3">
      <c r="B266" s="3" t="s">
        <v>106</v>
      </c>
      <c r="C266" s="2" t="str">
        <f t="shared" si="48"/>
        <v>C</v>
      </c>
      <c r="D266" s="2" t="str">
        <f t="shared" si="49"/>
        <v>A</v>
      </c>
      <c r="E266" s="2">
        <f t="shared" si="50"/>
        <v>5</v>
      </c>
      <c r="F266" s="3" t="s">
        <v>459</v>
      </c>
      <c r="G266" s="3" t="s">
        <v>460</v>
      </c>
      <c r="H266" s="4">
        <f>SUMIFS(Tab_01.Jan[MOVIMENTO],Tab_01.Jan[CONTA],$F266)</f>
        <v>7634.62</v>
      </c>
      <c r="I266" s="4">
        <f>SUMIFS(Tab_02.Fev[MOVIMENTO],Tab_02.Fev[CONTA],$F266)</f>
        <v>7634.62</v>
      </c>
      <c r="J266" s="4">
        <f>SUMIFS(Tab_03.Mar[MOVIMENTO],Tab_03.Mar[CONTA],$F266)</f>
        <v>7634.62</v>
      </c>
      <c r="K266" s="4">
        <f>SUMIFS(Tab_04.Abr[MOVIMENTO],Tab_04.Abr[CONTA],$F266)</f>
        <v>7678.72</v>
      </c>
      <c r="L266" s="4">
        <f>SUMIFS(Tab_05.Mai[MOVIMENTO],Tab_05.Mai[CONTA],$F266)</f>
        <v>7634.62</v>
      </c>
      <c r="M266" s="4">
        <f>SUMIFS(Tab_06.Jun[MOVIMENTO],Tab_06.Jun[CONTA],$F266)</f>
        <v>7634.62</v>
      </c>
      <c r="N266" s="4">
        <f>SUMIFS(Tab_07.Jul[MOVIMENTO],Tab_07.Jul[CONTA],$F266)</f>
        <v>7634.62</v>
      </c>
      <c r="O266" s="4">
        <f>SUMIFS(Tab_08.Ago[MOVIMENTO],Tab_08.Ago[CONTA],$F266)</f>
        <v>7634.62</v>
      </c>
      <c r="P266" s="4">
        <f>SUMIFS(Tab_09.Set[MOVIMENTO],Tab_09.Set[CONTA],$F266)</f>
        <v>9157.56</v>
      </c>
      <c r="Q266" s="4">
        <f>SUMIFS(Tab_10.Out[MOVIMENTO],Tab_10.Out[CONTA],$F266)</f>
        <v>9157.56</v>
      </c>
      <c r="R266" s="4">
        <f>SUMIFS(Tab_11.Nov[MOVIMENTO],Tab_11.Nov[CONTA],$F266)</f>
        <v>17115.12</v>
      </c>
      <c r="S266" s="4">
        <f>SUMIFS(Tab_12.Dez[MOVIMENTO],Tab_12.Dez[CONTA],$F266)</f>
        <v>9157.56</v>
      </c>
    </row>
    <row r="267" spans="2:19" x14ac:dyDescent="0.3">
      <c r="B267" s="3" t="s">
        <v>106</v>
      </c>
      <c r="C267" s="2" t="str">
        <f t="shared" si="48"/>
        <v>C</v>
      </c>
      <c r="D267" s="2" t="str">
        <f t="shared" si="49"/>
        <v>A</v>
      </c>
      <c r="E267" s="2">
        <f t="shared" si="50"/>
        <v>5</v>
      </c>
      <c r="F267" s="3" t="s">
        <v>461</v>
      </c>
      <c r="G267" s="3" t="s">
        <v>462</v>
      </c>
      <c r="H267" s="4">
        <f>SUMIFS(Tab_01.Jan[MOVIMENTO],Tab_01.Jan[CONTA],$F267)</f>
        <v>17299.38</v>
      </c>
      <c r="I267" s="4">
        <f>SUMIFS(Tab_02.Fev[MOVIMENTO],Tab_02.Fev[CONTA],$F267)</f>
        <v>13807.65</v>
      </c>
      <c r="J267" s="4">
        <f>SUMIFS(Tab_03.Mar[MOVIMENTO],Tab_03.Mar[CONTA],$F267)</f>
        <v>13807.65</v>
      </c>
      <c r="K267" s="4">
        <f>SUMIFS(Tab_04.Abr[MOVIMENTO],Tab_04.Abr[CONTA],$F267)</f>
        <v>13657.65</v>
      </c>
      <c r="L267" s="4">
        <f>SUMIFS(Tab_05.Mai[MOVIMENTO],Tab_05.Mai[CONTA],$F267)</f>
        <v>20954.43</v>
      </c>
      <c r="M267" s="4">
        <f>SUMIFS(Tab_06.Jun[MOVIMENTO],Tab_06.Jun[CONTA],$F267)</f>
        <v>11469.72</v>
      </c>
      <c r="N267" s="4">
        <f>SUMIFS(Tab_07.Jul[MOVIMENTO],Tab_07.Jul[CONTA],$F267)</f>
        <v>11469.72</v>
      </c>
      <c r="O267" s="4">
        <f>SUMIFS(Tab_08.Ago[MOVIMENTO],Tab_08.Ago[CONTA],$F267)</f>
        <v>11469.72</v>
      </c>
      <c r="P267" s="4">
        <f>SUMIFS(Tab_09.Set[MOVIMENTO],Tab_09.Set[CONTA],$F267)</f>
        <v>12350</v>
      </c>
      <c r="Q267" s="4">
        <f>SUMIFS(Tab_10.Out[MOVIMENTO],Tab_10.Out[CONTA],$F267)</f>
        <v>12350</v>
      </c>
      <c r="R267" s="4">
        <f>SUMIFS(Tab_11.Nov[MOVIMENTO],Tab_11.Nov[CONTA],$F267)</f>
        <v>12200</v>
      </c>
      <c r="S267" s="4">
        <f>SUMIFS(Tab_12.Dez[MOVIMENTO],Tab_12.Dez[CONTA],$F267)</f>
        <v>12350</v>
      </c>
    </row>
    <row r="268" spans="2:19" x14ac:dyDescent="0.3">
      <c r="B268" s="3" t="s">
        <v>106</v>
      </c>
      <c r="C268" s="2" t="str">
        <f t="shared" si="48"/>
        <v>C</v>
      </c>
      <c r="D268" s="2" t="str">
        <f t="shared" si="49"/>
        <v>A</v>
      </c>
      <c r="E268" s="2">
        <f t="shared" si="50"/>
        <v>5</v>
      </c>
      <c r="F268" s="3" t="s">
        <v>463</v>
      </c>
      <c r="G268" s="3" t="s">
        <v>464</v>
      </c>
      <c r="H268" s="4">
        <f>SUMIFS(Tab_01.Jan[MOVIMENTO],Tab_01.Jan[CONTA],$F268)</f>
        <v>0</v>
      </c>
      <c r="I268" s="4">
        <f>SUMIFS(Tab_02.Fev[MOVIMENTO],Tab_02.Fev[CONTA],$F268)</f>
        <v>0</v>
      </c>
      <c r="J268" s="4">
        <f>SUMIFS(Tab_03.Mar[MOVIMENTO],Tab_03.Mar[CONTA],$F268)</f>
        <v>0</v>
      </c>
      <c r="K268" s="4">
        <f>SUMIFS(Tab_04.Abr[MOVIMENTO],Tab_04.Abr[CONTA],$F268)</f>
        <v>7166.67</v>
      </c>
      <c r="L268" s="4">
        <f>SUMIFS(Tab_05.Mai[MOVIMENTO],Tab_05.Mai[CONTA],$F268)</f>
        <v>7166.67</v>
      </c>
      <c r="M268" s="4">
        <f>SUMIFS(Tab_06.Jun[MOVIMENTO],Tab_06.Jun[CONTA],$F268)</f>
        <v>0</v>
      </c>
      <c r="N268" s="4">
        <f>SUMIFS(Tab_07.Jul[MOVIMENTO],Tab_07.Jul[CONTA],$F268)</f>
        <v>0</v>
      </c>
      <c r="O268" s="4">
        <f>SUMIFS(Tab_08.Ago[MOVIMENTO],Tab_08.Ago[CONTA],$F268)</f>
        <v>0</v>
      </c>
      <c r="P268" s="4">
        <f>SUMIFS(Tab_09.Set[MOVIMENTO],Tab_09.Set[CONTA],$F268)</f>
        <v>0</v>
      </c>
      <c r="Q268" s="4">
        <f>SUMIFS(Tab_10.Out[MOVIMENTO],Tab_10.Out[CONTA],$F268)</f>
        <v>0</v>
      </c>
      <c r="R268" s="4">
        <f>SUMIFS(Tab_11.Nov[MOVIMENTO],Tab_11.Nov[CONTA],$F268)</f>
        <v>0</v>
      </c>
      <c r="S268" s="4">
        <f>SUMIFS(Tab_12.Dez[MOVIMENTO],Tab_12.Dez[CONTA],$F268)</f>
        <v>0</v>
      </c>
    </row>
    <row r="269" spans="2:19" x14ac:dyDescent="0.3">
      <c r="B269" s="3" t="s">
        <v>106</v>
      </c>
      <c r="C269" s="2" t="str">
        <f t="shared" si="48"/>
        <v>C</v>
      </c>
      <c r="D269" s="2" t="str">
        <f t="shared" si="49"/>
        <v>A</v>
      </c>
      <c r="E269" s="2">
        <f t="shared" si="50"/>
        <v>5</v>
      </c>
      <c r="F269" s="3" t="s">
        <v>465</v>
      </c>
      <c r="G269" s="3" t="s">
        <v>466</v>
      </c>
      <c r="H269" s="4">
        <f>SUMIFS(Tab_01.Jan[MOVIMENTO],Tab_01.Jan[CONTA],$F269)</f>
        <v>4524.45</v>
      </c>
      <c r="I269" s="4">
        <f>SUMIFS(Tab_02.Fev[MOVIMENTO],Tab_02.Fev[CONTA],$F269)</f>
        <v>4434.45</v>
      </c>
      <c r="J269" s="4">
        <f>SUMIFS(Tab_03.Mar[MOVIMENTO],Tab_03.Mar[CONTA],$F269)</f>
        <v>4434.45</v>
      </c>
      <c r="K269" s="4">
        <f>SUMIFS(Tab_04.Abr[MOVIMENTO],Tab_04.Abr[CONTA],$F269)</f>
        <v>5884.45</v>
      </c>
      <c r="L269" s="4">
        <f>SUMIFS(Tab_05.Mai[MOVIMENTO],Tab_05.Mai[CONTA],$F269)</f>
        <v>5015.84</v>
      </c>
      <c r="M269" s="4">
        <f>SUMIFS(Tab_06.Jun[MOVIMENTO],Tab_06.Jun[CONTA],$F269)</f>
        <v>49166.95</v>
      </c>
      <c r="N269" s="4">
        <f>SUMIFS(Tab_07.Jul[MOVIMENTO],Tab_07.Jul[CONTA],$F269)</f>
        <v>49166.95</v>
      </c>
      <c r="O269" s="4">
        <f>SUMIFS(Tab_08.Ago[MOVIMENTO],Tab_08.Ago[CONTA],$F269)</f>
        <v>49166.95</v>
      </c>
      <c r="P269" s="4">
        <f>SUMIFS(Tab_09.Set[MOVIMENTO],Tab_09.Set[CONTA],$F269)</f>
        <v>43896.77</v>
      </c>
      <c r="Q269" s="4">
        <f>SUMIFS(Tab_10.Out[MOVIMENTO],Tab_10.Out[CONTA],$F269)</f>
        <v>42074.27</v>
      </c>
      <c r="R269" s="4">
        <f>SUMIFS(Tab_11.Nov[MOVIMENTO],Tab_11.Nov[CONTA],$F269)</f>
        <v>44058.54</v>
      </c>
      <c r="S269" s="4">
        <f>SUMIFS(Tab_12.Dez[MOVIMENTO],Tab_12.Dez[CONTA],$F269)</f>
        <v>42074.27</v>
      </c>
    </row>
    <row r="270" spans="2:19" x14ac:dyDescent="0.3">
      <c r="B270" s="3" t="s">
        <v>105</v>
      </c>
      <c r="C270" s="2" t="str">
        <f t="shared" si="48"/>
        <v>C</v>
      </c>
      <c r="D270" s="2" t="str">
        <f t="shared" si="49"/>
        <v>A</v>
      </c>
      <c r="E270" s="2">
        <f t="shared" si="50"/>
        <v>5</v>
      </c>
      <c r="F270" s="3" t="s">
        <v>473</v>
      </c>
      <c r="G270" s="3" t="s">
        <v>474</v>
      </c>
      <c r="H270" s="4">
        <f>SUMIFS(Tab_01.Jan[MOVIMENTO],Tab_01.Jan[CONTA],$F270)</f>
        <v>4500</v>
      </c>
      <c r="I270" s="4">
        <f>SUMIFS(Tab_02.Fev[MOVIMENTO],Tab_02.Fev[CONTA],$F270)</f>
        <v>4500</v>
      </c>
      <c r="J270" s="4">
        <f>SUMIFS(Tab_03.Mar[MOVIMENTO],Tab_03.Mar[CONTA],$F270)</f>
        <v>4500</v>
      </c>
      <c r="K270" s="4">
        <f>SUMIFS(Tab_04.Abr[MOVIMENTO],Tab_04.Abr[CONTA],$F270)</f>
        <v>4500</v>
      </c>
      <c r="L270" s="4">
        <f>SUMIFS(Tab_05.Mai[MOVIMENTO],Tab_05.Mai[CONTA],$F270)</f>
        <v>4500</v>
      </c>
      <c r="M270" s="4">
        <f>SUMIFS(Tab_06.Jun[MOVIMENTO],Tab_06.Jun[CONTA],$F270)</f>
        <v>4500</v>
      </c>
      <c r="N270" s="4">
        <f>SUMIFS(Tab_07.Jul[MOVIMENTO],Tab_07.Jul[CONTA],$F270)</f>
        <v>4500</v>
      </c>
      <c r="O270" s="4">
        <f>SUMIFS(Tab_08.Ago[MOVIMENTO],Tab_08.Ago[CONTA],$F270)</f>
        <v>4500</v>
      </c>
      <c r="P270" s="4">
        <f>SUMIFS(Tab_09.Set[MOVIMENTO],Tab_09.Set[CONTA],$F270)</f>
        <v>4500</v>
      </c>
      <c r="Q270" s="4">
        <f>SUMIFS(Tab_10.Out[MOVIMENTO],Tab_10.Out[CONTA],$F270)</f>
        <v>4500</v>
      </c>
      <c r="R270" s="4">
        <f>SUMIFS(Tab_11.Nov[MOVIMENTO],Tab_11.Nov[CONTA],$F270)</f>
        <v>4500</v>
      </c>
      <c r="S270" s="4">
        <f>SUMIFS(Tab_12.Dez[MOVIMENTO],Tab_12.Dez[CONTA],$F270)</f>
        <v>4500</v>
      </c>
    </row>
    <row r="271" spans="2:19" x14ac:dyDescent="0.3">
      <c r="B271" s="3" t="s">
        <v>106</v>
      </c>
      <c r="C271" s="2" t="str">
        <f t="shared" si="48"/>
        <v>C</v>
      </c>
      <c r="D271" s="2" t="str">
        <f t="shared" si="49"/>
        <v>A</v>
      </c>
      <c r="E271" s="2">
        <f t="shared" si="50"/>
        <v>5</v>
      </c>
      <c r="F271" s="3" t="s">
        <v>467</v>
      </c>
      <c r="G271" s="3" t="s">
        <v>468</v>
      </c>
      <c r="H271" s="4">
        <f>SUMIFS(Tab_01.Jan[MOVIMENTO],Tab_01.Jan[CONTA],$F271)</f>
        <v>223.56</v>
      </c>
      <c r="I271" s="4">
        <f>SUMIFS(Tab_02.Fev[MOVIMENTO],Tab_02.Fev[CONTA],$F271)</f>
        <v>223.56</v>
      </c>
      <c r="J271" s="4">
        <f>SUMIFS(Tab_03.Mar[MOVIMENTO],Tab_03.Mar[CONTA],$F271)</f>
        <v>223.56</v>
      </c>
      <c r="K271" s="4">
        <f>SUMIFS(Tab_04.Abr[MOVIMENTO],Tab_04.Abr[CONTA],$F271)</f>
        <v>223.56</v>
      </c>
      <c r="L271" s="4">
        <f>SUMIFS(Tab_05.Mai[MOVIMENTO],Tab_05.Mai[CONTA],$F271)</f>
        <v>223.56</v>
      </c>
      <c r="M271" s="4">
        <f>SUMIFS(Tab_06.Jun[MOVIMENTO],Tab_06.Jun[CONTA],$F271)</f>
        <v>223.56</v>
      </c>
      <c r="N271" s="4">
        <f>SUMIFS(Tab_07.Jul[MOVIMENTO],Tab_07.Jul[CONTA],$F271)</f>
        <v>223.56</v>
      </c>
      <c r="O271" s="4">
        <f>SUMIFS(Tab_08.Ago[MOVIMENTO],Tab_08.Ago[CONTA],$F271)</f>
        <v>223.56</v>
      </c>
      <c r="P271" s="4">
        <f>SUMIFS(Tab_09.Set[MOVIMENTO],Tab_09.Set[CONTA],$F271)</f>
        <v>223.56</v>
      </c>
      <c r="Q271" s="4">
        <f>SUMIFS(Tab_10.Out[MOVIMENTO],Tab_10.Out[CONTA],$F271)</f>
        <v>223.56</v>
      </c>
      <c r="R271" s="4">
        <f>SUMIFS(Tab_11.Nov[MOVIMENTO],Tab_11.Nov[CONTA],$F271)</f>
        <v>223.56</v>
      </c>
      <c r="S271" s="4">
        <f>SUMIFS(Tab_12.Dez[MOVIMENTO],Tab_12.Dez[CONTA],$F271)</f>
        <v>234.21</v>
      </c>
    </row>
    <row r="272" spans="2:19" x14ac:dyDescent="0.3">
      <c r="B272" s="3" t="s">
        <v>105</v>
      </c>
      <c r="C272" s="2" t="str">
        <f t="shared" si="48"/>
        <v>C</v>
      </c>
      <c r="D272" s="2" t="str">
        <f t="shared" si="49"/>
        <v>A</v>
      </c>
      <c r="E272" s="2">
        <f t="shared" si="50"/>
        <v>5</v>
      </c>
      <c r="F272" s="3" t="s">
        <v>475</v>
      </c>
      <c r="G272" s="3" t="s">
        <v>476</v>
      </c>
      <c r="H272" s="4">
        <f>SUMIFS(Tab_01.Jan[MOVIMENTO],Tab_01.Jan[CONTA],$F272)</f>
        <v>0</v>
      </c>
      <c r="I272" s="4">
        <f>SUMIFS(Tab_02.Fev[MOVIMENTO],Tab_02.Fev[CONTA],$F272)</f>
        <v>0</v>
      </c>
      <c r="J272" s="4">
        <f>SUMIFS(Tab_03.Mar[MOVIMENTO],Tab_03.Mar[CONTA],$F272)</f>
        <v>0</v>
      </c>
      <c r="K272" s="4">
        <f>SUMIFS(Tab_04.Abr[MOVIMENTO],Tab_04.Abr[CONTA],$F272)</f>
        <v>0</v>
      </c>
      <c r="L272" s="4">
        <f>SUMIFS(Tab_05.Mai[MOVIMENTO],Tab_05.Mai[CONTA],$F272)</f>
        <v>0</v>
      </c>
      <c r="M272" s="4">
        <f>SUMIFS(Tab_06.Jun[MOVIMENTO],Tab_06.Jun[CONTA],$F272)</f>
        <v>0</v>
      </c>
      <c r="N272" s="4">
        <f>SUMIFS(Tab_07.Jul[MOVIMENTO],Tab_07.Jul[CONTA],$F272)</f>
        <v>0</v>
      </c>
      <c r="O272" s="4">
        <f>SUMIFS(Tab_08.Ago[MOVIMENTO],Tab_08.Ago[CONTA],$F272)</f>
        <v>0</v>
      </c>
      <c r="P272" s="4">
        <f>SUMIFS(Tab_09.Set[MOVIMENTO],Tab_09.Set[CONTA],$F272)</f>
        <v>0</v>
      </c>
      <c r="Q272" s="4">
        <f>SUMIFS(Tab_10.Out[MOVIMENTO],Tab_10.Out[CONTA],$F272)</f>
        <v>0</v>
      </c>
      <c r="R272" s="4">
        <f>SUMIFS(Tab_11.Nov[MOVIMENTO],Tab_11.Nov[CONTA],$F272)</f>
        <v>0</v>
      </c>
      <c r="S272" s="4">
        <f>SUMIFS(Tab_12.Dez[MOVIMENTO],Tab_12.Dez[CONTA],$F272)</f>
        <v>0</v>
      </c>
    </row>
    <row r="273" spans="2:19" x14ac:dyDescent="0.3">
      <c r="B273" s="3" t="s">
        <v>106</v>
      </c>
      <c r="C273" s="2" t="str">
        <f t="shared" si="48"/>
        <v>C</v>
      </c>
      <c r="D273" s="2" t="str">
        <f t="shared" si="49"/>
        <v>A</v>
      </c>
      <c r="E273" s="2">
        <f t="shared" si="50"/>
        <v>5</v>
      </c>
      <c r="F273" s="3" t="s">
        <v>469</v>
      </c>
      <c r="G273" s="3" t="s">
        <v>470</v>
      </c>
      <c r="H273" s="4">
        <f>SUMIFS(Tab_01.Jan[MOVIMENTO],Tab_01.Jan[CONTA],$F273)</f>
        <v>6599.82</v>
      </c>
      <c r="I273" s="4">
        <f>SUMIFS(Tab_02.Fev[MOVIMENTO],Tab_02.Fev[CONTA],$F273)</f>
        <v>6599.82</v>
      </c>
      <c r="J273" s="4">
        <f>SUMIFS(Tab_03.Mar[MOVIMENTO],Tab_03.Mar[CONTA],$F273)</f>
        <v>6599.82</v>
      </c>
      <c r="K273" s="4">
        <f>SUMIFS(Tab_04.Abr[MOVIMENTO],Tab_04.Abr[CONTA],$F273)</f>
        <v>6599.82</v>
      </c>
      <c r="L273" s="4">
        <f>SUMIFS(Tab_05.Mai[MOVIMENTO],Tab_05.Mai[CONTA],$F273)</f>
        <v>6599.82</v>
      </c>
      <c r="M273" s="4">
        <f>SUMIFS(Tab_06.Jun[MOVIMENTO],Tab_06.Jun[CONTA],$F273)</f>
        <v>6599.82</v>
      </c>
      <c r="N273" s="4">
        <f>SUMIFS(Tab_07.Jul[MOVIMENTO],Tab_07.Jul[CONTA],$F273)</f>
        <v>6599.82</v>
      </c>
      <c r="O273" s="4">
        <f>SUMIFS(Tab_08.Ago[MOVIMENTO],Tab_08.Ago[CONTA],$F273)</f>
        <v>6599.82</v>
      </c>
      <c r="P273" s="4">
        <f>SUMIFS(Tab_09.Set[MOVIMENTO],Tab_09.Set[CONTA],$F273)</f>
        <v>4950</v>
      </c>
      <c r="Q273" s="4">
        <f>SUMIFS(Tab_10.Out[MOVIMENTO],Tab_10.Out[CONTA],$F273)</f>
        <v>4950</v>
      </c>
      <c r="R273" s="4">
        <f>SUMIFS(Tab_11.Nov[MOVIMENTO],Tab_11.Nov[CONTA],$F273)</f>
        <v>4950</v>
      </c>
      <c r="S273" s="4">
        <f>SUMIFS(Tab_12.Dez[MOVIMENTO],Tab_12.Dez[CONTA],$F273)</f>
        <v>4950</v>
      </c>
    </row>
    <row r="274" spans="2:19" x14ac:dyDescent="0.3">
      <c r="B274" s="3" t="s">
        <v>106</v>
      </c>
      <c r="C274" s="2" t="str">
        <f t="shared" si="48"/>
        <v>C</v>
      </c>
      <c r="D274" s="2" t="str">
        <f t="shared" si="49"/>
        <v>A</v>
      </c>
      <c r="E274" s="2">
        <f t="shared" si="50"/>
        <v>5</v>
      </c>
      <c r="F274" s="3" t="s">
        <v>471</v>
      </c>
      <c r="G274" s="3" t="s">
        <v>472</v>
      </c>
      <c r="H274" s="4">
        <f>SUMIFS(Tab_01.Jan[MOVIMENTO],Tab_01.Jan[CONTA],$F274)</f>
        <v>4663.41</v>
      </c>
      <c r="I274" s="4">
        <f>SUMIFS(Tab_02.Fev[MOVIMENTO],Tab_02.Fev[CONTA],$F274)</f>
        <v>4663.41</v>
      </c>
      <c r="J274" s="4">
        <f>SUMIFS(Tab_03.Mar[MOVIMENTO],Tab_03.Mar[CONTA],$F274)</f>
        <v>4663.41</v>
      </c>
      <c r="K274" s="4">
        <f>SUMIFS(Tab_04.Abr[MOVIMENTO],Tab_04.Abr[CONTA],$F274)</f>
        <v>4663.41</v>
      </c>
      <c r="L274" s="4">
        <f>SUMIFS(Tab_05.Mai[MOVIMENTO],Tab_05.Mai[CONTA],$F274)</f>
        <v>4663.41</v>
      </c>
      <c r="M274" s="4">
        <f>SUMIFS(Tab_06.Jun[MOVIMENTO],Tab_06.Jun[CONTA],$F274)</f>
        <v>5309.74</v>
      </c>
      <c r="N274" s="4">
        <f>SUMIFS(Tab_07.Jul[MOVIMENTO],Tab_07.Jul[CONTA],$F274)</f>
        <v>5309.74</v>
      </c>
      <c r="O274" s="4">
        <f>SUMIFS(Tab_08.Ago[MOVIMENTO],Tab_08.Ago[CONTA],$F274)</f>
        <v>5309.74</v>
      </c>
      <c r="P274" s="4">
        <f>SUMIFS(Tab_09.Set[MOVIMENTO],Tab_09.Set[CONTA],$F274)</f>
        <v>4940.41</v>
      </c>
      <c r="Q274" s="4">
        <f>SUMIFS(Tab_10.Out[MOVIMENTO],Tab_10.Out[CONTA],$F274)</f>
        <v>5309.74</v>
      </c>
      <c r="R274" s="4">
        <f>SUMIFS(Tab_11.Nov[MOVIMENTO],Tab_11.Nov[CONTA],$F274)</f>
        <v>4940.41</v>
      </c>
      <c r="S274" s="4">
        <f>SUMIFS(Tab_12.Dez[MOVIMENTO],Tab_12.Dez[CONTA],$F274)</f>
        <v>4940.41</v>
      </c>
    </row>
    <row r="275" spans="2:19" x14ac:dyDescent="0.3">
      <c r="B275" s="3" t="s">
        <v>105</v>
      </c>
      <c r="C275" s="2" t="str">
        <f t="shared" si="48"/>
        <v>C</v>
      </c>
      <c r="D275" s="2" t="str">
        <f t="shared" si="49"/>
        <v>A</v>
      </c>
      <c r="E275" s="2">
        <f t="shared" si="50"/>
        <v>5</v>
      </c>
      <c r="F275" s="3" t="s">
        <v>477</v>
      </c>
      <c r="G275" s="3" t="s">
        <v>478</v>
      </c>
      <c r="H275" s="4">
        <f>SUMIFS(Tab_01.Jan[MOVIMENTO],Tab_01.Jan[CONTA],$F275)</f>
        <v>0</v>
      </c>
      <c r="I275" s="4">
        <f>SUMIFS(Tab_02.Fev[MOVIMENTO],Tab_02.Fev[CONTA],$F275)</f>
        <v>0</v>
      </c>
      <c r="J275" s="4">
        <f>SUMIFS(Tab_03.Mar[MOVIMENTO],Tab_03.Mar[CONTA],$F275)</f>
        <v>0</v>
      </c>
      <c r="K275" s="4">
        <f>SUMIFS(Tab_04.Abr[MOVIMENTO],Tab_04.Abr[CONTA],$F275)</f>
        <v>0</v>
      </c>
      <c r="L275" s="4">
        <f>SUMIFS(Tab_05.Mai[MOVIMENTO],Tab_05.Mai[CONTA],$F275)</f>
        <v>0</v>
      </c>
      <c r="M275" s="4">
        <f>SUMIFS(Tab_06.Jun[MOVIMENTO],Tab_06.Jun[CONTA],$F275)</f>
        <v>0</v>
      </c>
      <c r="N275" s="4">
        <f>SUMIFS(Tab_07.Jul[MOVIMENTO],Tab_07.Jul[CONTA],$F275)</f>
        <v>0</v>
      </c>
      <c r="O275" s="4">
        <f>SUMIFS(Tab_08.Ago[MOVIMENTO],Tab_08.Ago[CONTA],$F275)</f>
        <v>0</v>
      </c>
      <c r="P275" s="4">
        <f>SUMIFS(Tab_09.Set[MOVIMENTO],Tab_09.Set[CONTA],$F275)</f>
        <v>0</v>
      </c>
      <c r="Q275" s="4">
        <f>SUMIFS(Tab_10.Out[MOVIMENTO],Tab_10.Out[CONTA],$F275)</f>
        <v>0</v>
      </c>
      <c r="R275" s="4">
        <f>SUMIFS(Tab_11.Nov[MOVIMENTO],Tab_11.Nov[CONTA],$F275)</f>
        <v>0</v>
      </c>
      <c r="S275" s="4">
        <f>SUMIFS(Tab_12.Dez[MOVIMENTO],Tab_12.Dez[CONTA],$F275)</f>
        <v>0</v>
      </c>
    </row>
    <row r="276" spans="2:19" x14ac:dyDescent="0.3">
      <c r="B276" s="3"/>
      <c r="C276" s="2" t="str">
        <f t="shared" si="48"/>
        <v>C</v>
      </c>
      <c r="D276" s="2" t="str">
        <f t="shared" si="49"/>
        <v>S</v>
      </c>
      <c r="E276" s="2">
        <f t="shared" si="50"/>
        <v>5</v>
      </c>
      <c r="F276" s="3" t="s">
        <v>607</v>
      </c>
      <c r="G276" s="3" t="s">
        <v>408</v>
      </c>
      <c r="H276" s="4">
        <f>SUMIFS(Tab_01.Jan[MOVIMENTO],Tab_01.Jan[CONTA],$F276)</f>
        <v>0</v>
      </c>
      <c r="I276" s="4">
        <f>SUMIFS(Tab_02.Fev[MOVIMENTO],Tab_02.Fev[CONTA],$F276)</f>
        <v>0</v>
      </c>
      <c r="J276" s="4">
        <f>SUMIFS(Tab_03.Mar[MOVIMENTO],Tab_03.Mar[CONTA],$F276)</f>
        <v>0</v>
      </c>
      <c r="K276" s="4">
        <f>SUMIFS(Tab_04.Abr[MOVIMENTO],Tab_04.Abr[CONTA],$F276)</f>
        <v>0</v>
      </c>
      <c r="L276" s="4">
        <f>SUMIFS(Tab_05.Mai[MOVIMENTO],Tab_05.Mai[CONTA],$F276)</f>
        <v>0</v>
      </c>
      <c r="M276" s="4">
        <f>SUMIFS(Tab_06.Jun[MOVIMENTO],Tab_06.Jun[CONTA],$F276)</f>
        <v>0</v>
      </c>
      <c r="N276" s="4">
        <f>SUMIFS(Tab_07.Jul[MOVIMENTO],Tab_07.Jul[CONTA],$F276)</f>
        <v>0</v>
      </c>
      <c r="O276" s="4">
        <f>SUMIFS(Tab_08.Ago[MOVIMENTO],Tab_08.Ago[CONTA],$F276)</f>
        <v>0</v>
      </c>
      <c r="P276" s="4">
        <f>SUMIFS(Tab_09.Set[MOVIMENTO],Tab_09.Set[CONTA],$F276)</f>
        <v>0</v>
      </c>
      <c r="Q276" s="4">
        <f>SUMIFS(Tab_10.Out[MOVIMENTO],Tab_10.Out[CONTA],$F276)</f>
        <v>0</v>
      </c>
      <c r="R276" s="4">
        <f>SUMIFS(Tab_11.Nov[MOVIMENTO],Tab_11.Nov[CONTA],$F276)</f>
        <v>0</v>
      </c>
      <c r="S276" s="4">
        <f>SUMIFS(Tab_12.Dez[MOVIMENTO],Tab_12.Dez[CONTA],$F276)</f>
        <v>0</v>
      </c>
    </row>
    <row r="277" spans="2:19" x14ac:dyDescent="0.3">
      <c r="B277" s="3" t="s">
        <v>106</v>
      </c>
      <c r="C277" s="2" t="str">
        <f t="shared" si="48"/>
        <v>C</v>
      </c>
      <c r="D277" s="2" t="str">
        <f t="shared" si="49"/>
        <v>A</v>
      </c>
      <c r="E277" s="2">
        <f t="shared" si="50"/>
        <v>5</v>
      </c>
      <c r="F277" s="3" t="s">
        <v>479</v>
      </c>
      <c r="G277" s="3" t="s">
        <v>408</v>
      </c>
      <c r="H277" s="4">
        <f>SUMIFS(Tab_01.Jan[MOVIMENTO],Tab_01.Jan[CONTA],$F277)</f>
        <v>0</v>
      </c>
      <c r="I277" s="4">
        <f>SUMIFS(Tab_02.Fev[MOVIMENTO],Tab_02.Fev[CONTA],$F277)</f>
        <v>0</v>
      </c>
      <c r="J277" s="4">
        <f>SUMIFS(Tab_03.Mar[MOVIMENTO],Tab_03.Mar[CONTA],$F277)</f>
        <v>0</v>
      </c>
      <c r="K277" s="4">
        <f>SUMIFS(Tab_04.Abr[MOVIMENTO],Tab_04.Abr[CONTA],$F277)</f>
        <v>0</v>
      </c>
      <c r="L277" s="4">
        <f>SUMIFS(Tab_05.Mai[MOVIMENTO],Tab_05.Mai[CONTA],$F277)</f>
        <v>0</v>
      </c>
      <c r="M277" s="4">
        <f>SUMIFS(Tab_06.Jun[MOVIMENTO],Tab_06.Jun[CONTA],$F277)</f>
        <v>0</v>
      </c>
      <c r="N277" s="4">
        <f>SUMIFS(Tab_07.Jul[MOVIMENTO],Tab_07.Jul[CONTA],$F277)</f>
        <v>0</v>
      </c>
      <c r="O277" s="4">
        <f>SUMIFS(Tab_08.Ago[MOVIMENTO],Tab_08.Ago[CONTA],$F277)</f>
        <v>0</v>
      </c>
      <c r="P277" s="4">
        <f>SUMIFS(Tab_09.Set[MOVIMENTO],Tab_09.Set[CONTA],$F277)</f>
        <v>0</v>
      </c>
      <c r="Q277" s="4">
        <f>SUMIFS(Tab_10.Out[MOVIMENTO],Tab_10.Out[CONTA],$F277)</f>
        <v>0</v>
      </c>
      <c r="R277" s="4">
        <f>SUMIFS(Tab_11.Nov[MOVIMENTO],Tab_11.Nov[CONTA],$F277)</f>
        <v>0</v>
      </c>
      <c r="S277" s="4">
        <f>SUMIFS(Tab_12.Dez[MOVIMENTO],Tab_12.Dez[CONTA],$F277)</f>
        <v>0</v>
      </c>
    </row>
    <row r="278" spans="2:19" x14ac:dyDescent="0.3">
      <c r="B278" s="3"/>
      <c r="C278" s="2" t="str">
        <f t="shared" si="48"/>
        <v>C</v>
      </c>
      <c r="D278" s="2" t="str">
        <f t="shared" si="49"/>
        <v>S</v>
      </c>
      <c r="E278" s="2">
        <f t="shared" si="50"/>
        <v>5</v>
      </c>
      <c r="F278" s="3" t="s">
        <v>608</v>
      </c>
      <c r="G278" s="3" t="s">
        <v>713</v>
      </c>
      <c r="H278" s="4">
        <f>SUMIFS(Tab_01.Jan[MOVIMENTO],Tab_01.Jan[CONTA],$F278)</f>
        <v>82966.080000000002</v>
      </c>
      <c r="I278" s="4">
        <f>SUMIFS(Tab_02.Fev[MOVIMENTO],Tab_02.Fev[CONTA],$F278)</f>
        <v>0</v>
      </c>
      <c r="J278" s="4">
        <f>SUMIFS(Tab_03.Mar[MOVIMENTO],Tab_03.Mar[CONTA],$F278)</f>
        <v>82966.080000000002</v>
      </c>
      <c r="K278" s="4">
        <f>SUMIFS(Tab_04.Abr[MOVIMENTO],Tab_04.Abr[CONTA],$F278)</f>
        <v>82966.080000000002</v>
      </c>
      <c r="L278" s="4">
        <f>SUMIFS(Tab_05.Mai[MOVIMENTO],Tab_05.Mai[CONTA],$F278)</f>
        <v>82966.080000000002</v>
      </c>
      <c r="M278" s="4">
        <f>SUMIFS(Tab_06.Jun[MOVIMENTO],Tab_06.Jun[CONTA],$F278)</f>
        <v>82966.080000000002</v>
      </c>
      <c r="N278" s="4">
        <f>SUMIFS(Tab_07.Jul[MOVIMENTO],Tab_07.Jul[CONTA],$F278)</f>
        <v>82966.080000000002</v>
      </c>
      <c r="O278" s="4">
        <f>SUMIFS(Tab_08.Ago[MOVIMENTO],Tab_08.Ago[CONTA],$F278)</f>
        <v>82966.080000000002</v>
      </c>
      <c r="P278" s="4">
        <f>SUMIFS(Tab_09.Set[MOVIMENTO],Tab_09.Set[CONTA],$F278)</f>
        <v>82966.09</v>
      </c>
      <c r="Q278" s="4">
        <f>SUMIFS(Tab_10.Out[MOVIMENTO],Tab_10.Out[CONTA],$F278)</f>
        <v>82966.080000000002</v>
      </c>
      <c r="R278" s="4">
        <f>SUMIFS(Tab_11.Nov[MOVIMENTO],Tab_11.Nov[CONTA],$F278)</f>
        <v>82966.080000000002</v>
      </c>
      <c r="S278" s="4">
        <f>SUMIFS(Tab_12.Dez[MOVIMENTO],Tab_12.Dez[CONTA],$F278)</f>
        <v>82966.080000000002</v>
      </c>
    </row>
    <row r="279" spans="2:19" x14ac:dyDescent="0.3">
      <c r="B279" s="3" t="s">
        <v>105</v>
      </c>
      <c r="C279" s="2" t="str">
        <f t="shared" si="48"/>
        <v>C</v>
      </c>
      <c r="D279" s="2" t="str">
        <f t="shared" si="49"/>
        <v>A</v>
      </c>
      <c r="E279" s="2">
        <f t="shared" si="50"/>
        <v>5</v>
      </c>
      <c r="F279" s="3" t="s">
        <v>480</v>
      </c>
      <c r="G279" s="3" t="s">
        <v>481</v>
      </c>
      <c r="H279" s="4">
        <f>SUMIFS(Tab_01.Jan[MOVIMENTO],Tab_01.Jan[CONTA],$F279)</f>
        <v>57486</v>
      </c>
      <c r="I279" s="4">
        <f>SUMIFS(Tab_02.Fev[MOVIMENTO],Tab_02.Fev[CONTA],$F279)</f>
        <v>0</v>
      </c>
      <c r="J279" s="4">
        <f>SUMIFS(Tab_03.Mar[MOVIMENTO],Tab_03.Mar[CONTA],$F279)</f>
        <v>57486</v>
      </c>
      <c r="K279" s="4">
        <f>SUMIFS(Tab_04.Abr[MOVIMENTO],Tab_04.Abr[CONTA],$F279)</f>
        <v>57486</v>
      </c>
      <c r="L279" s="4">
        <f>SUMIFS(Tab_05.Mai[MOVIMENTO],Tab_05.Mai[CONTA],$F279)</f>
        <v>57486</v>
      </c>
      <c r="M279" s="4">
        <f>SUMIFS(Tab_06.Jun[MOVIMENTO],Tab_06.Jun[CONTA],$F279)</f>
        <v>57486</v>
      </c>
      <c r="N279" s="4">
        <f>SUMIFS(Tab_07.Jul[MOVIMENTO],Tab_07.Jul[CONTA],$F279)</f>
        <v>57486</v>
      </c>
      <c r="O279" s="4">
        <f>SUMIFS(Tab_08.Ago[MOVIMENTO],Tab_08.Ago[CONTA],$F279)</f>
        <v>57486</v>
      </c>
      <c r="P279" s="4">
        <f>SUMIFS(Tab_09.Set[MOVIMENTO],Tab_09.Set[CONTA],$F279)</f>
        <v>57486</v>
      </c>
      <c r="Q279" s="4">
        <f>SUMIFS(Tab_10.Out[MOVIMENTO],Tab_10.Out[CONTA],$F279)</f>
        <v>57486</v>
      </c>
      <c r="R279" s="4">
        <f>SUMIFS(Tab_11.Nov[MOVIMENTO],Tab_11.Nov[CONTA],$F279)</f>
        <v>57486</v>
      </c>
      <c r="S279" s="4">
        <f>SUMIFS(Tab_12.Dez[MOVIMENTO],Tab_12.Dez[CONTA],$F279)</f>
        <v>57486</v>
      </c>
    </row>
    <row r="280" spans="2:19" x14ac:dyDescent="0.3">
      <c r="B280" s="3" t="s">
        <v>105</v>
      </c>
      <c r="C280" s="2" t="str">
        <f t="shared" si="48"/>
        <v>C</v>
      </c>
      <c r="D280" s="2" t="str">
        <f t="shared" si="49"/>
        <v>A</v>
      </c>
      <c r="E280" s="2">
        <f t="shared" si="50"/>
        <v>5</v>
      </c>
      <c r="F280" s="3" t="s">
        <v>741</v>
      </c>
      <c r="G280" s="3" t="s">
        <v>742</v>
      </c>
      <c r="H280" s="4">
        <f>SUMIFS(Tab_01.Jan[MOVIMENTO],Tab_01.Jan[CONTA],$F280)</f>
        <v>17980.080000000002</v>
      </c>
      <c r="I280" s="4">
        <f>SUMIFS(Tab_02.Fev[MOVIMENTO],Tab_02.Fev[CONTA],$F280)</f>
        <v>0</v>
      </c>
      <c r="J280" s="4">
        <f>SUMIFS(Tab_03.Mar[MOVIMENTO],Tab_03.Mar[CONTA],$F280)</f>
        <v>17980.080000000002</v>
      </c>
      <c r="K280" s="4">
        <f>SUMIFS(Tab_04.Abr[MOVIMENTO],Tab_04.Abr[CONTA],$F280)</f>
        <v>17980.080000000002</v>
      </c>
      <c r="L280" s="4">
        <f>SUMIFS(Tab_05.Mai[MOVIMENTO],Tab_05.Mai[CONTA],$F280)</f>
        <v>17980.080000000002</v>
      </c>
      <c r="M280" s="4">
        <f>SUMIFS(Tab_06.Jun[MOVIMENTO],Tab_06.Jun[CONTA],$F280)</f>
        <v>17980.080000000002</v>
      </c>
      <c r="N280" s="4">
        <f>SUMIFS(Tab_07.Jul[MOVIMENTO],Tab_07.Jul[CONTA],$F280)</f>
        <v>17980.080000000002</v>
      </c>
      <c r="O280" s="4">
        <f>SUMIFS(Tab_08.Ago[MOVIMENTO],Tab_08.Ago[CONTA],$F280)</f>
        <v>17980.080000000002</v>
      </c>
      <c r="P280" s="4">
        <f>SUMIFS(Tab_09.Set[MOVIMENTO],Tab_09.Set[CONTA],$F280)</f>
        <v>17980.09</v>
      </c>
      <c r="Q280" s="4">
        <f>SUMIFS(Tab_10.Out[MOVIMENTO],Tab_10.Out[CONTA],$F280)</f>
        <v>17980.080000000002</v>
      </c>
      <c r="R280" s="4">
        <f>SUMIFS(Tab_11.Nov[MOVIMENTO],Tab_11.Nov[CONTA],$F280)</f>
        <v>17980.080000000002</v>
      </c>
      <c r="S280" s="4">
        <f>SUMIFS(Tab_12.Dez[MOVIMENTO],Tab_12.Dez[CONTA],$F280)</f>
        <v>17980.080000000002</v>
      </c>
    </row>
    <row r="281" spans="2:19" x14ac:dyDescent="0.3">
      <c r="B281" s="3" t="s">
        <v>105</v>
      </c>
      <c r="C281" s="2" t="str">
        <f>IF($F281="","",IF(LEFT($F281,1)*1=1,"A",IF(LEFT($F281,1)*1=2,"P",IF(LEFT($F281,1)*1=3,"R",IF(LEFT($F281,1)*1=4,"C",IF(LEFT($F281,1)*1=5,"C",IF(LEFT($F281,1)*1=6,"C","")))))))</f>
        <v>C</v>
      </c>
      <c r="D281" s="2" t="str">
        <f>IF($F281="","",IF(LEN($F281)=13,"A","S"))</f>
        <v>A</v>
      </c>
      <c r="E281" s="2">
        <f>IF($F281="","",IF(LEN($F281)=1,1,IF(LEN($F281)=3,2,IF(LEN($F281)=5,3,IF(LEN($F281)=8,4,5)))))</f>
        <v>5</v>
      </c>
      <c r="F281" s="3" t="s">
        <v>839</v>
      </c>
      <c r="G281" s="3" t="s">
        <v>840</v>
      </c>
      <c r="H281" s="4">
        <f>SUMIFS(Tab_01.Jan[MOVIMENTO],Tab_01.Jan[CONTA],$F281)</f>
        <v>7500</v>
      </c>
      <c r="I281" s="4">
        <f>SUMIFS(Tab_02.Fev[MOVIMENTO],Tab_02.Fev[CONTA],$F281)</f>
        <v>0</v>
      </c>
      <c r="J281" s="4">
        <f>SUMIFS(Tab_03.Mar[MOVIMENTO],Tab_03.Mar[CONTA],$F281)</f>
        <v>7500</v>
      </c>
      <c r="K281" s="4">
        <f>SUMIFS(Tab_04.Abr[MOVIMENTO],Tab_04.Abr[CONTA],$F281)</f>
        <v>7500</v>
      </c>
      <c r="L281" s="4">
        <f>SUMIFS(Tab_05.Mai[MOVIMENTO],Tab_05.Mai[CONTA],$F281)</f>
        <v>7500</v>
      </c>
      <c r="M281" s="4">
        <f>SUMIFS(Tab_06.Jun[MOVIMENTO],Tab_06.Jun[CONTA],$F281)</f>
        <v>7500</v>
      </c>
      <c r="N281" s="4">
        <f>SUMIFS(Tab_07.Jul[MOVIMENTO],Tab_07.Jul[CONTA],$F281)</f>
        <v>7500</v>
      </c>
      <c r="O281" s="4">
        <f>SUMIFS(Tab_08.Ago[MOVIMENTO],Tab_08.Ago[CONTA],$F281)</f>
        <v>7500</v>
      </c>
      <c r="P281" s="4">
        <f>SUMIFS(Tab_09.Set[MOVIMENTO],Tab_09.Set[CONTA],$F281)</f>
        <v>7500</v>
      </c>
      <c r="Q281" s="4">
        <f>SUMIFS(Tab_10.Out[MOVIMENTO],Tab_10.Out[CONTA],$F281)</f>
        <v>7500</v>
      </c>
      <c r="R281" s="4">
        <f>SUMIFS(Tab_11.Nov[MOVIMENTO],Tab_11.Nov[CONTA],$F281)</f>
        <v>7500</v>
      </c>
      <c r="S281" s="4">
        <f>SUMIFS(Tab_12.Dez[MOVIMENTO],Tab_12.Dez[CONTA],$F281)</f>
        <v>7500</v>
      </c>
    </row>
    <row r="282" spans="2:19" x14ac:dyDescent="0.3">
      <c r="B282" s="3"/>
      <c r="C282" s="2" t="str">
        <f t="shared" si="48"/>
        <v>C</v>
      </c>
      <c r="D282" s="2" t="str">
        <f t="shared" si="49"/>
        <v>S</v>
      </c>
      <c r="E282" s="2">
        <f t="shared" si="50"/>
        <v>5</v>
      </c>
      <c r="F282" s="3" t="s">
        <v>609</v>
      </c>
      <c r="G282" s="3" t="s">
        <v>714</v>
      </c>
      <c r="H282" s="4">
        <f>SUMIFS(Tab_01.Jan[MOVIMENTO],Tab_01.Jan[CONTA],$F282)</f>
        <v>1438.95</v>
      </c>
      <c r="I282" s="4">
        <f>SUMIFS(Tab_02.Fev[MOVIMENTO],Tab_02.Fev[CONTA],$F282)</f>
        <v>811.67</v>
      </c>
      <c r="J282" s="4">
        <f>SUMIFS(Tab_03.Mar[MOVIMENTO],Tab_03.Mar[CONTA],$F282)</f>
        <v>2391.23</v>
      </c>
      <c r="K282" s="4">
        <f>SUMIFS(Tab_04.Abr[MOVIMENTO],Tab_04.Abr[CONTA],$F282)</f>
        <v>6518.03</v>
      </c>
      <c r="L282" s="4">
        <f>SUMIFS(Tab_05.Mai[MOVIMENTO],Tab_05.Mai[CONTA],$F282)</f>
        <v>517.5</v>
      </c>
      <c r="M282" s="4">
        <f>SUMIFS(Tab_06.Jun[MOVIMENTO],Tab_06.Jun[CONTA],$F282)</f>
        <v>1813.26</v>
      </c>
      <c r="N282" s="4">
        <f>SUMIFS(Tab_07.Jul[MOVIMENTO],Tab_07.Jul[CONTA],$F282)</f>
        <v>1813.26</v>
      </c>
      <c r="O282" s="4">
        <f>SUMIFS(Tab_08.Ago[MOVIMENTO],Tab_08.Ago[CONTA],$F282)</f>
        <v>1813.26</v>
      </c>
      <c r="P282" s="4">
        <f>SUMIFS(Tab_09.Set[MOVIMENTO],Tab_09.Set[CONTA],$F282)</f>
        <v>1087.81</v>
      </c>
      <c r="Q282" s="4">
        <f>SUMIFS(Tab_10.Out[MOVIMENTO],Tab_10.Out[CONTA],$F282)</f>
        <v>1300.33</v>
      </c>
      <c r="R282" s="4">
        <f>SUMIFS(Tab_11.Nov[MOVIMENTO],Tab_11.Nov[CONTA],$F282)</f>
        <v>2926.36</v>
      </c>
      <c r="S282" s="4">
        <f>SUMIFS(Tab_12.Dez[MOVIMENTO],Tab_12.Dez[CONTA],$F282)</f>
        <v>168</v>
      </c>
    </row>
    <row r="283" spans="2:19" x14ac:dyDescent="0.3">
      <c r="B283" s="3"/>
      <c r="C283" s="2" t="str">
        <f t="shared" si="48"/>
        <v>C</v>
      </c>
      <c r="D283" s="2" t="str">
        <f t="shared" si="49"/>
        <v>S</v>
      </c>
      <c r="E283" s="2">
        <f t="shared" si="50"/>
        <v>5</v>
      </c>
      <c r="F283" s="3" t="s">
        <v>610</v>
      </c>
      <c r="G283" s="3" t="s">
        <v>714</v>
      </c>
      <c r="H283" s="4">
        <f>SUMIFS(Tab_01.Jan[MOVIMENTO],Tab_01.Jan[CONTA],$F283)</f>
        <v>1438.95</v>
      </c>
      <c r="I283" s="4">
        <f>SUMIFS(Tab_02.Fev[MOVIMENTO],Tab_02.Fev[CONTA],$F283)</f>
        <v>811.67</v>
      </c>
      <c r="J283" s="4">
        <f>SUMIFS(Tab_03.Mar[MOVIMENTO],Tab_03.Mar[CONTA],$F283)</f>
        <v>2391.23</v>
      </c>
      <c r="K283" s="4">
        <f>SUMIFS(Tab_04.Abr[MOVIMENTO],Tab_04.Abr[CONTA],$F283)</f>
        <v>6518.03</v>
      </c>
      <c r="L283" s="4">
        <f>SUMIFS(Tab_05.Mai[MOVIMENTO],Tab_05.Mai[CONTA],$F283)</f>
        <v>517.5</v>
      </c>
      <c r="M283" s="4">
        <f>SUMIFS(Tab_06.Jun[MOVIMENTO],Tab_06.Jun[CONTA],$F283)</f>
        <v>1813.26</v>
      </c>
      <c r="N283" s="4">
        <f>SUMIFS(Tab_07.Jul[MOVIMENTO],Tab_07.Jul[CONTA],$F283)</f>
        <v>1813.26</v>
      </c>
      <c r="O283" s="4">
        <f>SUMIFS(Tab_08.Ago[MOVIMENTO],Tab_08.Ago[CONTA],$F283)</f>
        <v>1813.26</v>
      </c>
      <c r="P283" s="4">
        <f>SUMIFS(Tab_09.Set[MOVIMENTO],Tab_09.Set[CONTA],$F283)</f>
        <v>859.81</v>
      </c>
      <c r="Q283" s="4">
        <f>SUMIFS(Tab_10.Out[MOVIMENTO],Tab_10.Out[CONTA],$F283)</f>
        <v>1300.33</v>
      </c>
      <c r="R283" s="4">
        <f>SUMIFS(Tab_11.Nov[MOVIMENTO],Tab_11.Nov[CONTA],$F283)</f>
        <v>2926.36</v>
      </c>
      <c r="S283" s="4">
        <f>SUMIFS(Tab_12.Dez[MOVIMENTO],Tab_12.Dez[CONTA],$F283)</f>
        <v>168</v>
      </c>
    </row>
    <row r="284" spans="2:19" x14ac:dyDescent="0.3">
      <c r="B284" s="3" t="s">
        <v>105</v>
      </c>
      <c r="C284" s="2" t="str">
        <f t="shared" si="48"/>
        <v>C</v>
      </c>
      <c r="D284" s="2" t="str">
        <f t="shared" si="49"/>
        <v>A</v>
      </c>
      <c r="E284" s="2">
        <f t="shared" si="50"/>
        <v>5</v>
      </c>
      <c r="F284" s="3" t="s">
        <v>482</v>
      </c>
      <c r="G284" s="3" t="s">
        <v>483</v>
      </c>
      <c r="H284" s="4">
        <f>SUMIFS(Tab_01.Jan[MOVIMENTO],Tab_01.Jan[CONTA],$F284)</f>
        <v>236.9</v>
      </c>
      <c r="I284" s="4">
        <f>SUMIFS(Tab_02.Fev[MOVIMENTO],Tab_02.Fev[CONTA],$F284)</f>
        <v>811.67</v>
      </c>
      <c r="J284" s="4">
        <f>SUMIFS(Tab_03.Mar[MOVIMENTO],Tab_03.Mar[CONTA],$F284)</f>
        <v>937.8</v>
      </c>
      <c r="K284" s="4">
        <f>SUMIFS(Tab_04.Abr[MOVIMENTO],Tab_04.Abr[CONTA],$F284)</f>
        <v>738.03</v>
      </c>
      <c r="L284" s="4">
        <f>SUMIFS(Tab_05.Mai[MOVIMENTO],Tab_05.Mai[CONTA],$F284)</f>
        <v>463.94</v>
      </c>
      <c r="M284" s="4">
        <f>SUMIFS(Tab_06.Jun[MOVIMENTO],Tab_06.Jun[CONTA],$F284)</f>
        <v>866.32</v>
      </c>
      <c r="N284" s="4">
        <f>SUMIFS(Tab_07.Jul[MOVIMENTO],Tab_07.Jul[CONTA],$F284)</f>
        <v>866.32</v>
      </c>
      <c r="O284" s="4">
        <f>SUMIFS(Tab_08.Ago[MOVIMENTO],Tab_08.Ago[CONTA],$F284)</f>
        <v>866.32</v>
      </c>
      <c r="P284" s="4">
        <f>SUMIFS(Tab_09.Set[MOVIMENTO],Tab_09.Set[CONTA],$F284)</f>
        <v>316.10000000000002</v>
      </c>
      <c r="Q284" s="4">
        <f>SUMIFS(Tab_10.Out[MOVIMENTO],Tab_10.Out[CONTA],$F284)</f>
        <v>456</v>
      </c>
      <c r="R284" s="4">
        <f>SUMIFS(Tab_11.Nov[MOVIMENTO],Tab_11.Nov[CONTA],$F284)</f>
        <v>1743.62</v>
      </c>
      <c r="S284" s="4">
        <f>SUMIFS(Tab_12.Dez[MOVIMENTO],Tab_12.Dez[CONTA],$F284)</f>
        <v>168</v>
      </c>
    </row>
    <row r="285" spans="2:19" x14ac:dyDescent="0.3">
      <c r="B285" s="3" t="s">
        <v>105</v>
      </c>
      <c r="C285" s="2" t="str">
        <f t="shared" si="48"/>
        <v>C</v>
      </c>
      <c r="D285" s="2" t="str">
        <f t="shared" si="49"/>
        <v>A</v>
      </c>
      <c r="E285" s="2">
        <f t="shared" si="50"/>
        <v>5</v>
      </c>
      <c r="F285" s="3" t="s">
        <v>752</v>
      </c>
      <c r="G285" s="3" t="s">
        <v>753</v>
      </c>
      <c r="H285" s="4">
        <f>SUMIFS(Tab_01.Jan[MOVIMENTO],Tab_01.Jan[CONTA],$F285)</f>
        <v>0</v>
      </c>
      <c r="I285" s="4">
        <f>SUMIFS(Tab_02.Fev[MOVIMENTO],Tab_02.Fev[CONTA],$F285)</f>
        <v>0</v>
      </c>
      <c r="J285" s="4">
        <f>SUMIFS(Tab_03.Mar[MOVIMENTO],Tab_03.Mar[CONTA],$F285)</f>
        <v>0</v>
      </c>
      <c r="K285" s="4">
        <f>SUMIFS(Tab_04.Abr[MOVIMENTO],Tab_04.Abr[CONTA],$F285)</f>
        <v>5000</v>
      </c>
      <c r="L285" s="4">
        <f>SUMIFS(Tab_05.Mai[MOVIMENTO],Tab_05.Mai[CONTA],$F285)</f>
        <v>0</v>
      </c>
      <c r="M285" s="4">
        <f>SUMIFS(Tab_06.Jun[MOVIMENTO],Tab_06.Jun[CONTA],$F285)</f>
        <v>0</v>
      </c>
      <c r="N285" s="4">
        <f>SUMIFS(Tab_07.Jul[MOVIMENTO],Tab_07.Jul[CONTA],$F285)</f>
        <v>0</v>
      </c>
      <c r="O285" s="4">
        <f>SUMIFS(Tab_08.Ago[MOVIMENTO],Tab_08.Ago[CONTA],$F285)</f>
        <v>0</v>
      </c>
      <c r="P285" s="4">
        <f>SUMIFS(Tab_09.Set[MOVIMENTO],Tab_09.Set[CONTA],$F285)</f>
        <v>0</v>
      </c>
      <c r="Q285" s="4">
        <f>SUMIFS(Tab_10.Out[MOVIMENTO],Tab_10.Out[CONTA],$F285)</f>
        <v>0</v>
      </c>
      <c r="R285" s="4">
        <f>SUMIFS(Tab_11.Nov[MOVIMENTO],Tab_11.Nov[CONTA],$F285)</f>
        <v>0</v>
      </c>
      <c r="S285" s="4">
        <f>SUMIFS(Tab_12.Dez[MOVIMENTO],Tab_12.Dez[CONTA],$F285)</f>
        <v>0</v>
      </c>
    </row>
    <row r="286" spans="2:19" x14ac:dyDescent="0.3">
      <c r="B286" s="3" t="s">
        <v>105</v>
      </c>
      <c r="C286" s="2" t="str">
        <f t="shared" si="48"/>
        <v>C</v>
      </c>
      <c r="D286" s="2" t="str">
        <f t="shared" si="49"/>
        <v>A</v>
      </c>
      <c r="E286" s="2">
        <f t="shared" si="50"/>
        <v>5</v>
      </c>
      <c r="F286" s="3" t="s">
        <v>484</v>
      </c>
      <c r="G286" s="3" t="s">
        <v>485</v>
      </c>
      <c r="H286" s="4">
        <f>SUMIFS(Tab_01.Jan[MOVIMENTO],Tab_01.Jan[CONTA],$F286)</f>
        <v>1202.05</v>
      </c>
      <c r="I286" s="4">
        <f>SUMIFS(Tab_02.Fev[MOVIMENTO],Tab_02.Fev[CONTA],$F286)</f>
        <v>0</v>
      </c>
      <c r="J286" s="4">
        <f>SUMIFS(Tab_03.Mar[MOVIMENTO],Tab_03.Mar[CONTA],$F286)</f>
        <v>1453.43</v>
      </c>
      <c r="K286" s="4">
        <f>SUMIFS(Tab_04.Abr[MOVIMENTO],Tab_04.Abr[CONTA],$F286)</f>
        <v>780</v>
      </c>
      <c r="L286" s="4">
        <f>SUMIFS(Tab_05.Mai[MOVIMENTO],Tab_05.Mai[CONTA],$F286)</f>
        <v>53.56</v>
      </c>
      <c r="M286" s="4">
        <f>SUMIFS(Tab_06.Jun[MOVIMENTO],Tab_06.Jun[CONTA],$F286)</f>
        <v>946.94</v>
      </c>
      <c r="N286" s="4">
        <f>SUMIFS(Tab_07.Jul[MOVIMENTO],Tab_07.Jul[CONTA],$F286)</f>
        <v>946.94</v>
      </c>
      <c r="O286" s="4">
        <f>SUMIFS(Tab_08.Ago[MOVIMENTO],Tab_08.Ago[CONTA],$F286)</f>
        <v>946.94</v>
      </c>
      <c r="P286" s="4">
        <f>SUMIFS(Tab_09.Set[MOVIMENTO],Tab_09.Set[CONTA],$F286)</f>
        <v>543.71</v>
      </c>
      <c r="Q286" s="4">
        <f>SUMIFS(Tab_10.Out[MOVIMENTO],Tab_10.Out[CONTA],$F286)</f>
        <v>844.33</v>
      </c>
      <c r="R286" s="4">
        <f>SUMIFS(Tab_11.Nov[MOVIMENTO],Tab_11.Nov[CONTA],$F286)</f>
        <v>1182.74</v>
      </c>
      <c r="S286" s="4">
        <f>SUMIFS(Tab_12.Dez[MOVIMENTO],Tab_12.Dez[CONTA],$F286)</f>
        <v>0</v>
      </c>
    </row>
    <row r="287" spans="2:19" x14ac:dyDescent="0.3">
      <c r="B287" s="3" t="s">
        <v>105</v>
      </c>
      <c r="C287" s="2" t="str">
        <f t="shared" si="48"/>
        <v>C</v>
      </c>
      <c r="D287" s="2" t="str">
        <f t="shared" si="49"/>
        <v>A</v>
      </c>
      <c r="E287" s="2">
        <f t="shared" si="50"/>
        <v>5</v>
      </c>
      <c r="F287" s="3" t="s">
        <v>486</v>
      </c>
      <c r="G287" s="3" t="s">
        <v>487</v>
      </c>
      <c r="H287" s="4">
        <f>SUMIFS(Tab_01.Jan[MOVIMENTO],Tab_01.Jan[CONTA],$F287)</f>
        <v>0</v>
      </c>
      <c r="I287" s="4">
        <f>SUMIFS(Tab_02.Fev[MOVIMENTO],Tab_02.Fev[CONTA],$F287)</f>
        <v>0</v>
      </c>
      <c r="J287" s="4">
        <f>SUMIFS(Tab_03.Mar[MOVIMENTO],Tab_03.Mar[CONTA],$F287)</f>
        <v>0</v>
      </c>
      <c r="K287" s="4">
        <f>SUMIFS(Tab_04.Abr[MOVIMENTO],Tab_04.Abr[CONTA],$F287)</f>
        <v>0</v>
      </c>
      <c r="L287" s="4">
        <f>SUMIFS(Tab_05.Mai[MOVIMENTO],Tab_05.Mai[CONTA],$F287)</f>
        <v>0</v>
      </c>
      <c r="M287" s="4">
        <f>SUMIFS(Tab_06.Jun[MOVIMENTO],Tab_06.Jun[CONTA],$F287)</f>
        <v>0</v>
      </c>
      <c r="N287" s="4">
        <f>SUMIFS(Tab_07.Jul[MOVIMENTO],Tab_07.Jul[CONTA],$F287)</f>
        <v>0</v>
      </c>
      <c r="O287" s="4">
        <f>SUMIFS(Tab_08.Ago[MOVIMENTO],Tab_08.Ago[CONTA],$F287)</f>
        <v>0</v>
      </c>
      <c r="P287" s="4">
        <f>SUMIFS(Tab_09.Set[MOVIMENTO],Tab_09.Set[CONTA],$F287)</f>
        <v>0</v>
      </c>
      <c r="Q287" s="4">
        <f>SUMIFS(Tab_10.Out[MOVIMENTO],Tab_10.Out[CONTA],$F287)</f>
        <v>0</v>
      </c>
      <c r="R287" s="4">
        <f>SUMIFS(Tab_11.Nov[MOVIMENTO],Tab_11.Nov[CONTA],$F287)</f>
        <v>0</v>
      </c>
      <c r="S287" s="4">
        <f>SUMIFS(Tab_12.Dez[MOVIMENTO],Tab_12.Dez[CONTA],$F287)</f>
        <v>0</v>
      </c>
    </row>
    <row r="288" spans="2:19" x14ac:dyDescent="0.3">
      <c r="B288" s="3" t="s">
        <v>105</v>
      </c>
      <c r="C288" s="2" t="str">
        <f t="shared" si="48"/>
        <v>C</v>
      </c>
      <c r="D288" s="2" t="str">
        <f t="shared" si="49"/>
        <v>A</v>
      </c>
      <c r="E288" s="2">
        <f t="shared" si="50"/>
        <v>5</v>
      </c>
      <c r="F288" s="3" t="s">
        <v>488</v>
      </c>
      <c r="G288" s="3" t="s">
        <v>414</v>
      </c>
      <c r="H288" s="4">
        <f>SUMIFS(Tab_01.Jan[MOVIMENTO],Tab_01.Jan[CONTA],$F288)</f>
        <v>0</v>
      </c>
      <c r="I288" s="4">
        <f>SUMIFS(Tab_02.Fev[MOVIMENTO],Tab_02.Fev[CONTA],$F288)</f>
        <v>0</v>
      </c>
      <c r="J288" s="4">
        <f>SUMIFS(Tab_03.Mar[MOVIMENTO],Tab_03.Mar[CONTA],$F288)</f>
        <v>0</v>
      </c>
      <c r="K288" s="4">
        <f>SUMIFS(Tab_04.Abr[MOVIMENTO],Tab_04.Abr[CONTA],$F288)</f>
        <v>0</v>
      </c>
      <c r="L288" s="4">
        <f>SUMIFS(Tab_05.Mai[MOVIMENTO],Tab_05.Mai[CONTA],$F288)</f>
        <v>0</v>
      </c>
      <c r="M288" s="4">
        <f>SUMIFS(Tab_06.Jun[MOVIMENTO],Tab_06.Jun[CONTA],$F288)</f>
        <v>0</v>
      </c>
      <c r="N288" s="4">
        <f>SUMIFS(Tab_07.Jul[MOVIMENTO],Tab_07.Jul[CONTA],$F288)</f>
        <v>0</v>
      </c>
      <c r="O288" s="4">
        <f>SUMIFS(Tab_08.Ago[MOVIMENTO],Tab_08.Ago[CONTA],$F288)</f>
        <v>0</v>
      </c>
      <c r="P288" s="4">
        <f>SUMIFS(Tab_09.Set[MOVIMENTO],Tab_09.Set[CONTA],$F288)</f>
        <v>0</v>
      </c>
      <c r="Q288" s="4">
        <f>SUMIFS(Tab_10.Out[MOVIMENTO],Tab_10.Out[CONTA],$F288)</f>
        <v>0</v>
      </c>
      <c r="R288" s="4">
        <f>SUMIFS(Tab_11.Nov[MOVIMENTO],Tab_11.Nov[CONTA],$F288)</f>
        <v>0</v>
      </c>
      <c r="S288" s="4">
        <f>SUMIFS(Tab_12.Dez[MOVIMENTO],Tab_12.Dez[CONTA],$F288)</f>
        <v>0</v>
      </c>
    </row>
    <row r="289" spans="2:19" x14ac:dyDescent="0.3">
      <c r="B289" s="3"/>
      <c r="C289" s="2" t="str">
        <f t="shared" si="48"/>
        <v>C</v>
      </c>
      <c r="D289" s="2" t="str">
        <f t="shared" si="49"/>
        <v>S</v>
      </c>
      <c r="E289" s="2">
        <f t="shared" si="50"/>
        <v>5</v>
      </c>
      <c r="F289" s="3" t="s">
        <v>611</v>
      </c>
      <c r="G289" s="3" t="s">
        <v>715</v>
      </c>
      <c r="H289" s="4">
        <f>SUMIFS(Tab_01.Jan[MOVIMENTO],Tab_01.Jan[CONTA],$F289)</f>
        <v>0</v>
      </c>
      <c r="I289" s="4">
        <f>SUMIFS(Tab_02.Fev[MOVIMENTO],Tab_02.Fev[CONTA],$F289)</f>
        <v>0</v>
      </c>
      <c r="J289" s="4">
        <f>SUMIFS(Tab_03.Mar[MOVIMENTO],Tab_03.Mar[CONTA],$F289)</f>
        <v>0</v>
      </c>
      <c r="K289" s="4">
        <f>SUMIFS(Tab_04.Abr[MOVIMENTO],Tab_04.Abr[CONTA],$F289)</f>
        <v>0</v>
      </c>
      <c r="L289" s="4">
        <f>SUMIFS(Tab_05.Mai[MOVIMENTO],Tab_05.Mai[CONTA],$F289)</f>
        <v>0</v>
      </c>
      <c r="M289" s="4">
        <f>SUMIFS(Tab_06.Jun[MOVIMENTO],Tab_06.Jun[CONTA],$F289)</f>
        <v>0</v>
      </c>
      <c r="N289" s="4">
        <f>SUMIFS(Tab_07.Jul[MOVIMENTO],Tab_07.Jul[CONTA],$F289)</f>
        <v>0</v>
      </c>
      <c r="O289" s="4">
        <f>SUMIFS(Tab_08.Ago[MOVIMENTO],Tab_08.Ago[CONTA],$F289)</f>
        <v>0</v>
      </c>
      <c r="P289" s="4">
        <f>SUMIFS(Tab_09.Set[MOVIMENTO],Tab_09.Set[CONTA],$F289)</f>
        <v>228</v>
      </c>
      <c r="Q289" s="4">
        <f>SUMIFS(Tab_10.Out[MOVIMENTO],Tab_10.Out[CONTA],$F289)</f>
        <v>0</v>
      </c>
      <c r="R289" s="4">
        <f>SUMIFS(Tab_11.Nov[MOVIMENTO],Tab_11.Nov[CONTA],$F289)</f>
        <v>0</v>
      </c>
      <c r="S289" s="4">
        <f>SUMIFS(Tab_12.Dez[MOVIMENTO],Tab_12.Dez[CONTA],$F289)</f>
        <v>0</v>
      </c>
    </row>
    <row r="290" spans="2:19" x14ac:dyDescent="0.3">
      <c r="B290" s="3" t="s">
        <v>105</v>
      </c>
      <c r="C290" s="2" t="str">
        <f t="shared" si="48"/>
        <v>C</v>
      </c>
      <c r="D290" s="2" t="str">
        <f t="shared" si="49"/>
        <v>A</v>
      </c>
      <c r="E290" s="2">
        <f t="shared" si="50"/>
        <v>5</v>
      </c>
      <c r="F290" s="3" t="s">
        <v>489</v>
      </c>
      <c r="G290" s="3" t="s">
        <v>490</v>
      </c>
      <c r="H290" s="4">
        <f>SUMIFS(Tab_01.Jan[MOVIMENTO],Tab_01.Jan[CONTA],$F290)</f>
        <v>0</v>
      </c>
      <c r="I290" s="4">
        <f>SUMIFS(Tab_02.Fev[MOVIMENTO],Tab_02.Fev[CONTA],$F290)</f>
        <v>0</v>
      </c>
      <c r="J290" s="4">
        <f>SUMIFS(Tab_03.Mar[MOVIMENTO],Tab_03.Mar[CONTA],$F290)</f>
        <v>0</v>
      </c>
      <c r="K290" s="4">
        <f>SUMIFS(Tab_04.Abr[MOVIMENTO],Tab_04.Abr[CONTA],$F290)</f>
        <v>0</v>
      </c>
      <c r="L290" s="4">
        <f>SUMIFS(Tab_05.Mai[MOVIMENTO],Tab_05.Mai[CONTA],$F290)</f>
        <v>0</v>
      </c>
      <c r="M290" s="4">
        <f>SUMIFS(Tab_06.Jun[MOVIMENTO],Tab_06.Jun[CONTA],$F290)</f>
        <v>0</v>
      </c>
      <c r="N290" s="4">
        <f>SUMIFS(Tab_07.Jul[MOVIMENTO],Tab_07.Jul[CONTA],$F290)</f>
        <v>0</v>
      </c>
      <c r="O290" s="4">
        <f>SUMIFS(Tab_08.Ago[MOVIMENTO],Tab_08.Ago[CONTA],$F290)</f>
        <v>0</v>
      </c>
      <c r="P290" s="4">
        <f>SUMIFS(Tab_09.Set[MOVIMENTO],Tab_09.Set[CONTA],$F290)</f>
        <v>228</v>
      </c>
      <c r="Q290" s="4">
        <f>SUMIFS(Tab_10.Out[MOVIMENTO],Tab_10.Out[CONTA],$F290)</f>
        <v>0</v>
      </c>
      <c r="R290" s="4">
        <f>SUMIFS(Tab_11.Nov[MOVIMENTO],Tab_11.Nov[CONTA],$F290)</f>
        <v>0</v>
      </c>
      <c r="S290" s="4">
        <f>SUMIFS(Tab_12.Dez[MOVIMENTO],Tab_12.Dez[CONTA],$F290)</f>
        <v>0</v>
      </c>
    </row>
    <row r="291" spans="2:19" x14ac:dyDescent="0.3">
      <c r="B291" s="3"/>
      <c r="C291" s="2" t="str">
        <f t="shared" si="48"/>
        <v>C</v>
      </c>
      <c r="D291" s="2" t="str">
        <f t="shared" si="49"/>
        <v>S</v>
      </c>
      <c r="E291" s="2">
        <f t="shared" si="50"/>
        <v>5</v>
      </c>
      <c r="F291" s="3" t="s">
        <v>612</v>
      </c>
      <c r="G291" s="3" t="s">
        <v>716</v>
      </c>
      <c r="H291" s="4">
        <f>SUMIFS(Tab_01.Jan[MOVIMENTO],Tab_01.Jan[CONTA],$F291)</f>
        <v>11083.2</v>
      </c>
      <c r="I291" s="4">
        <f>SUMIFS(Tab_02.Fev[MOVIMENTO],Tab_02.Fev[CONTA],$F291)</f>
        <v>6250.63</v>
      </c>
      <c r="J291" s="4">
        <f>SUMIFS(Tab_03.Mar[MOVIMENTO],Tab_03.Mar[CONTA],$F291)</f>
        <v>8160.13</v>
      </c>
      <c r="K291" s="4">
        <f>SUMIFS(Tab_04.Abr[MOVIMENTO],Tab_04.Abr[CONTA],$F291)</f>
        <v>14288.74</v>
      </c>
      <c r="L291" s="4">
        <f>SUMIFS(Tab_05.Mai[MOVIMENTO],Tab_05.Mai[CONTA],$F291)</f>
        <v>8854.3700000000008</v>
      </c>
      <c r="M291" s="4">
        <f>SUMIFS(Tab_06.Jun[MOVIMENTO],Tab_06.Jun[CONTA],$F291)</f>
        <v>7586.35</v>
      </c>
      <c r="N291" s="4">
        <f>SUMIFS(Tab_07.Jul[MOVIMENTO],Tab_07.Jul[CONTA],$F291)</f>
        <v>7586.35</v>
      </c>
      <c r="O291" s="4">
        <f>SUMIFS(Tab_08.Ago[MOVIMENTO],Tab_08.Ago[CONTA],$F291)</f>
        <v>7586.35</v>
      </c>
      <c r="P291" s="4">
        <f>SUMIFS(Tab_09.Set[MOVIMENTO],Tab_09.Set[CONTA],$F291)</f>
        <v>20252.41</v>
      </c>
      <c r="Q291" s="4">
        <f>SUMIFS(Tab_10.Out[MOVIMENTO],Tab_10.Out[CONTA],$F291)</f>
        <v>7085.09</v>
      </c>
      <c r="R291" s="4">
        <f>SUMIFS(Tab_11.Nov[MOVIMENTO],Tab_11.Nov[CONTA],$F291)</f>
        <v>12576.33</v>
      </c>
      <c r="S291" s="4">
        <f>SUMIFS(Tab_12.Dez[MOVIMENTO],Tab_12.Dez[CONTA],$F291)</f>
        <v>29974.2</v>
      </c>
    </row>
    <row r="292" spans="2:19" x14ac:dyDescent="0.3">
      <c r="B292" s="3"/>
      <c r="C292" s="2" t="str">
        <f t="shared" si="48"/>
        <v>C</v>
      </c>
      <c r="D292" s="2" t="str">
        <f t="shared" si="49"/>
        <v>S</v>
      </c>
      <c r="E292" s="2">
        <f t="shared" si="50"/>
        <v>5</v>
      </c>
      <c r="F292" s="3" t="s">
        <v>613</v>
      </c>
      <c r="G292" s="3" t="s">
        <v>717</v>
      </c>
      <c r="H292" s="4">
        <f>SUMIFS(Tab_01.Jan[MOVIMENTO],Tab_01.Jan[CONTA],$F292)</f>
        <v>8031.73</v>
      </c>
      <c r="I292" s="4">
        <f>SUMIFS(Tab_02.Fev[MOVIMENTO],Tab_02.Fev[CONTA],$F292)</f>
        <v>5570.63</v>
      </c>
      <c r="J292" s="4">
        <f>SUMIFS(Tab_03.Mar[MOVIMENTO],Tab_03.Mar[CONTA],$F292)</f>
        <v>6259.83</v>
      </c>
      <c r="K292" s="4">
        <f>SUMIFS(Tab_04.Abr[MOVIMENTO],Tab_04.Abr[CONTA],$F292)</f>
        <v>6494.45</v>
      </c>
      <c r="L292" s="4">
        <f>SUMIFS(Tab_05.Mai[MOVIMENTO],Tab_05.Mai[CONTA],$F292)</f>
        <v>6202.26</v>
      </c>
      <c r="M292" s="4">
        <f>SUMIFS(Tab_06.Jun[MOVIMENTO],Tab_06.Jun[CONTA],$F292)</f>
        <v>5018.91</v>
      </c>
      <c r="N292" s="4">
        <f>SUMIFS(Tab_07.Jul[MOVIMENTO],Tab_07.Jul[CONTA],$F292)</f>
        <v>5018.91</v>
      </c>
      <c r="O292" s="4">
        <f>SUMIFS(Tab_08.Ago[MOVIMENTO],Tab_08.Ago[CONTA],$F292)</f>
        <v>5018.91</v>
      </c>
      <c r="P292" s="4">
        <f>SUMIFS(Tab_09.Set[MOVIMENTO],Tab_09.Set[CONTA],$F292)</f>
        <v>2901.92</v>
      </c>
      <c r="Q292" s="4">
        <f>SUMIFS(Tab_10.Out[MOVIMENTO],Tab_10.Out[CONTA],$F292)</f>
        <v>3567.61</v>
      </c>
      <c r="R292" s="4">
        <f>SUMIFS(Tab_11.Nov[MOVIMENTO],Tab_11.Nov[CONTA],$F292)</f>
        <v>8192.7000000000007</v>
      </c>
      <c r="S292" s="4">
        <f>SUMIFS(Tab_12.Dez[MOVIMENTO],Tab_12.Dez[CONTA],$F292)</f>
        <v>2833.93</v>
      </c>
    </row>
    <row r="293" spans="2:19" x14ac:dyDescent="0.3">
      <c r="B293" s="3" t="s">
        <v>105</v>
      </c>
      <c r="C293" s="2" t="str">
        <f t="shared" si="48"/>
        <v>C</v>
      </c>
      <c r="D293" s="2" t="str">
        <f t="shared" si="49"/>
        <v>A</v>
      </c>
      <c r="E293" s="2">
        <f t="shared" si="50"/>
        <v>5</v>
      </c>
      <c r="F293" s="3" t="s">
        <v>491</v>
      </c>
      <c r="G293" s="3" t="s">
        <v>492</v>
      </c>
      <c r="H293" s="4">
        <f>SUMIFS(Tab_01.Jan[MOVIMENTO],Tab_01.Jan[CONTA],$F293)</f>
        <v>3476.84</v>
      </c>
      <c r="I293" s="4">
        <f>SUMIFS(Tab_02.Fev[MOVIMENTO],Tab_02.Fev[CONTA],$F293)</f>
        <v>3315.03</v>
      </c>
      <c r="J293" s="4">
        <f>SUMIFS(Tab_03.Mar[MOVIMENTO],Tab_03.Mar[CONTA],$F293)</f>
        <v>3703.93</v>
      </c>
      <c r="K293" s="4">
        <f>SUMIFS(Tab_04.Abr[MOVIMENTO],Tab_04.Abr[CONTA],$F293)</f>
        <v>2664.43</v>
      </c>
      <c r="L293" s="4">
        <f>SUMIFS(Tab_05.Mai[MOVIMENTO],Tab_05.Mai[CONTA],$F293)</f>
        <v>3313.41</v>
      </c>
      <c r="M293" s="4">
        <f>SUMIFS(Tab_06.Jun[MOVIMENTO],Tab_06.Jun[CONTA],$F293)</f>
        <v>1918.54</v>
      </c>
      <c r="N293" s="4">
        <f>SUMIFS(Tab_07.Jul[MOVIMENTO],Tab_07.Jul[CONTA],$F293)</f>
        <v>1918.54</v>
      </c>
      <c r="O293" s="4">
        <f>SUMIFS(Tab_08.Ago[MOVIMENTO],Tab_08.Ago[CONTA],$F293)</f>
        <v>1918.54</v>
      </c>
      <c r="P293" s="4">
        <f>SUMIFS(Tab_09.Set[MOVIMENTO],Tab_09.Set[CONTA],$F293)</f>
        <v>0</v>
      </c>
      <c r="Q293" s="4">
        <f>SUMIFS(Tab_10.Out[MOVIMENTO],Tab_10.Out[CONTA],$F293)</f>
        <v>1970.55</v>
      </c>
      <c r="R293" s="4">
        <f>SUMIFS(Tab_11.Nov[MOVIMENTO],Tab_11.Nov[CONTA],$F293)</f>
        <v>5054.1499999999996</v>
      </c>
      <c r="S293" s="4">
        <f>SUMIFS(Tab_12.Dez[MOVIMENTO],Tab_12.Dez[CONTA],$F293)</f>
        <v>0</v>
      </c>
    </row>
    <row r="294" spans="2:19" x14ac:dyDescent="0.3">
      <c r="B294" s="3" t="s">
        <v>105</v>
      </c>
      <c r="C294" s="2" t="str">
        <f t="shared" si="48"/>
        <v>C</v>
      </c>
      <c r="D294" s="2" t="str">
        <f t="shared" si="49"/>
        <v>A</v>
      </c>
      <c r="E294" s="2">
        <f t="shared" si="50"/>
        <v>5</v>
      </c>
      <c r="F294" s="3" t="s">
        <v>493</v>
      </c>
      <c r="G294" s="3" t="s">
        <v>494</v>
      </c>
      <c r="H294" s="4">
        <f>SUMIFS(Tab_01.Jan[MOVIMENTO],Tab_01.Jan[CONTA],$F294)</f>
        <v>3157.37</v>
      </c>
      <c r="I294" s="4">
        <f>SUMIFS(Tab_02.Fev[MOVIMENTO],Tab_02.Fev[CONTA],$F294)</f>
        <v>846.95</v>
      </c>
      <c r="J294" s="4">
        <f>SUMIFS(Tab_03.Mar[MOVIMENTO],Tab_03.Mar[CONTA],$F294)</f>
        <v>1145.3800000000001</v>
      </c>
      <c r="K294" s="4">
        <f>SUMIFS(Tab_04.Abr[MOVIMENTO],Tab_04.Abr[CONTA],$F294)</f>
        <v>2390.13</v>
      </c>
      <c r="L294" s="4">
        <f>SUMIFS(Tab_05.Mai[MOVIMENTO],Tab_05.Mai[CONTA],$F294)</f>
        <v>1448.96</v>
      </c>
      <c r="M294" s="4">
        <f>SUMIFS(Tab_06.Jun[MOVIMENTO],Tab_06.Jun[CONTA],$F294)</f>
        <v>1523.82</v>
      </c>
      <c r="N294" s="4">
        <f>SUMIFS(Tab_07.Jul[MOVIMENTO],Tab_07.Jul[CONTA],$F294)</f>
        <v>1523.82</v>
      </c>
      <c r="O294" s="4">
        <f>SUMIFS(Tab_08.Ago[MOVIMENTO],Tab_08.Ago[CONTA],$F294)</f>
        <v>1523.82</v>
      </c>
      <c r="P294" s="4">
        <f>SUMIFS(Tab_09.Set[MOVIMENTO],Tab_09.Set[CONTA],$F294)</f>
        <v>1598.69</v>
      </c>
      <c r="Q294" s="4">
        <f>SUMIFS(Tab_10.Out[MOVIMENTO],Tab_10.Out[CONTA],$F294)</f>
        <v>0</v>
      </c>
      <c r="R294" s="4">
        <f>SUMIFS(Tab_11.Nov[MOVIMENTO],Tab_11.Nov[CONTA],$F294)</f>
        <v>1678.69</v>
      </c>
      <c r="S294" s="4">
        <f>SUMIFS(Tab_12.Dez[MOVIMENTO],Tab_12.Dez[CONTA],$F294)</f>
        <v>1374.07</v>
      </c>
    </row>
    <row r="295" spans="2:19" x14ac:dyDescent="0.3">
      <c r="B295" s="3" t="s">
        <v>105</v>
      </c>
      <c r="C295" s="2" t="str">
        <f t="shared" si="48"/>
        <v>C</v>
      </c>
      <c r="D295" s="2" t="str">
        <f t="shared" si="49"/>
        <v>A</v>
      </c>
      <c r="E295" s="2">
        <f t="shared" si="50"/>
        <v>5</v>
      </c>
      <c r="F295" s="3" t="s">
        <v>495</v>
      </c>
      <c r="G295" s="3" t="s">
        <v>496</v>
      </c>
      <c r="H295" s="4">
        <f>SUMIFS(Tab_01.Jan[MOVIMENTO],Tab_01.Jan[CONTA],$F295)</f>
        <v>1397.52</v>
      </c>
      <c r="I295" s="4">
        <f>SUMIFS(Tab_02.Fev[MOVIMENTO],Tab_02.Fev[CONTA],$F295)</f>
        <v>1408.65</v>
      </c>
      <c r="J295" s="4">
        <f>SUMIFS(Tab_03.Mar[MOVIMENTO],Tab_03.Mar[CONTA],$F295)</f>
        <v>1410.52</v>
      </c>
      <c r="K295" s="4">
        <f>SUMIFS(Tab_04.Abr[MOVIMENTO],Tab_04.Abr[CONTA],$F295)</f>
        <v>1439.89</v>
      </c>
      <c r="L295" s="4">
        <f>SUMIFS(Tab_05.Mai[MOVIMENTO],Tab_05.Mai[CONTA],$F295)</f>
        <v>1439.89</v>
      </c>
      <c r="M295" s="4">
        <f>SUMIFS(Tab_06.Jun[MOVIMENTO],Tab_06.Jun[CONTA],$F295)</f>
        <v>1576.55</v>
      </c>
      <c r="N295" s="4">
        <f>SUMIFS(Tab_07.Jul[MOVIMENTO],Tab_07.Jul[CONTA],$F295)</f>
        <v>1576.55</v>
      </c>
      <c r="O295" s="4">
        <f>SUMIFS(Tab_08.Ago[MOVIMENTO],Tab_08.Ago[CONTA],$F295)</f>
        <v>1576.55</v>
      </c>
      <c r="P295" s="4">
        <f>SUMIFS(Tab_09.Set[MOVIMENTO],Tab_09.Set[CONTA],$F295)</f>
        <v>1303.23</v>
      </c>
      <c r="Q295" s="4">
        <f>SUMIFS(Tab_10.Out[MOVIMENTO],Tab_10.Out[CONTA],$F295)</f>
        <v>1597.06</v>
      </c>
      <c r="R295" s="4">
        <f>SUMIFS(Tab_11.Nov[MOVIMENTO],Tab_11.Nov[CONTA],$F295)</f>
        <v>1459.86</v>
      </c>
      <c r="S295" s="4">
        <f>SUMIFS(Tab_12.Dez[MOVIMENTO],Tab_12.Dez[CONTA],$F295)</f>
        <v>1459.86</v>
      </c>
    </row>
    <row r="296" spans="2:19" x14ac:dyDescent="0.3">
      <c r="B296" s="3"/>
      <c r="C296" s="2" t="str">
        <f t="shared" si="48"/>
        <v>C</v>
      </c>
      <c r="D296" s="2" t="str">
        <f t="shared" si="49"/>
        <v>S</v>
      </c>
      <c r="E296" s="2">
        <f t="shared" si="50"/>
        <v>5</v>
      </c>
      <c r="F296" s="3" t="s">
        <v>614</v>
      </c>
      <c r="G296" s="3" t="s">
        <v>718</v>
      </c>
      <c r="H296" s="4">
        <f>SUMIFS(Tab_01.Jan[MOVIMENTO],Tab_01.Jan[CONTA],$F296)</f>
        <v>3051.47</v>
      </c>
      <c r="I296" s="4">
        <f>SUMIFS(Tab_02.Fev[MOVIMENTO],Tab_02.Fev[CONTA],$F296)</f>
        <v>680</v>
      </c>
      <c r="J296" s="4">
        <f>SUMIFS(Tab_03.Mar[MOVIMENTO],Tab_03.Mar[CONTA],$F296)</f>
        <v>1900.3</v>
      </c>
      <c r="K296" s="4">
        <f>SUMIFS(Tab_04.Abr[MOVIMENTO],Tab_04.Abr[CONTA],$F296)</f>
        <v>7794.29</v>
      </c>
      <c r="L296" s="4">
        <f>SUMIFS(Tab_05.Mai[MOVIMENTO],Tab_05.Mai[CONTA],$F296)</f>
        <v>2652.11</v>
      </c>
      <c r="M296" s="4">
        <f>SUMIFS(Tab_06.Jun[MOVIMENTO],Tab_06.Jun[CONTA],$F296)</f>
        <v>2567.44</v>
      </c>
      <c r="N296" s="4">
        <f>SUMIFS(Tab_07.Jul[MOVIMENTO],Tab_07.Jul[CONTA],$F296)</f>
        <v>2567.44</v>
      </c>
      <c r="O296" s="4">
        <f>SUMIFS(Tab_08.Ago[MOVIMENTO],Tab_08.Ago[CONTA],$F296)</f>
        <v>2567.44</v>
      </c>
      <c r="P296" s="4">
        <f>SUMIFS(Tab_09.Set[MOVIMENTO],Tab_09.Set[CONTA],$F296)</f>
        <v>17350.490000000002</v>
      </c>
      <c r="Q296" s="4">
        <f>SUMIFS(Tab_10.Out[MOVIMENTO],Tab_10.Out[CONTA],$F296)</f>
        <v>3517.48</v>
      </c>
      <c r="R296" s="4">
        <f>SUMIFS(Tab_11.Nov[MOVIMENTO],Tab_11.Nov[CONTA],$F296)</f>
        <v>4383.63</v>
      </c>
      <c r="S296" s="4">
        <f>SUMIFS(Tab_12.Dez[MOVIMENTO],Tab_12.Dez[CONTA],$F296)</f>
        <v>27140.27</v>
      </c>
    </row>
    <row r="297" spans="2:19" x14ac:dyDescent="0.3">
      <c r="B297" s="3" t="s">
        <v>105</v>
      </c>
      <c r="C297" s="2" t="str">
        <f t="shared" si="48"/>
        <v>C</v>
      </c>
      <c r="D297" s="2" t="str">
        <f t="shared" si="49"/>
        <v>A</v>
      </c>
      <c r="E297" s="2">
        <f t="shared" si="50"/>
        <v>5</v>
      </c>
      <c r="F297" s="3" t="s">
        <v>497</v>
      </c>
      <c r="G297" s="3" t="s">
        <v>498</v>
      </c>
      <c r="H297" s="4">
        <f>SUMIFS(Tab_01.Jan[MOVIMENTO],Tab_01.Jan[CONTA],$F297)</f>
        <v>0</v>
      </c>
      <c r="I297" s="4">
        <f>SUMIFS(Tab_02.Fev[MOVIMENTO],Tab_02.Fev[CONTA],$F297)</f>
        <v>0</v>
      </c>
      <c r="J297" s="4">
        <f>SUMIFS(Tab_03.Mar[MOVIMENTO],Tab_03.Mar[CONTA],$F297)</f>
        <v>0</v>
      </c>
      <c r="K297" s="4">
        <f>SUMIFS(Tab_04.Abr[MOVIMENTO],Tab_04.Abr[CONTA],$F297)</f>
        <v>95</v>
      </c>
      <c r="L297" s="4">
        <f>SUMIFS(Tab_05.Mai[MOVIMENTO],Tab_05.Mai[CONTA],$F297)</f>
        <v>0</v>
      </c>
      <c r="M297" s="4">
        <f>SUMIFS(Tab_06.Jun[MOVIMENTO],Tab_06.Jun[CONTA],$F297)</f>
        <v>0</v>
      </c>
      <c r="N297" s="4">
        <f>SUMIFS(Tab_07.Jul[MOVIMENTO],Tab_07.Jul[CONTA],$F297)</f>
        <v>0</v>
      </c>
      <c r="O297" s="4">
        <f>SUMIFS(Tab_08.Ago[MOVIMENTO],Tab_08.Ago[CONTA],$F297)</f>
        <v>0</v>
      </c>
      <c r="P297" s="4">
        <f>SUMIFS(Tab_09.Set[MOVIMENTO],Tab_09.Set[CONTA],$F297)</f>
        <v>0</v>
      </c>
      <c r="Q297" s="4">
        <f>SUMIFS(Tab_10.Out[MOVIMENTO],Tab_10.Out[CONTA],$F297)</f>
        <v>0</v>
      </c>
      <c r="R297" s="4">
        <f>SUMIFS(Tab_11.Nov[MOVIMENTO],Tab_11.Nov[CONTA],$F297)</f>
        <v>0</v>
      </c>
      <c r="S297" s="4">
        <f>SUMIFS(Tab_12.Dez[MOVIMENTO],Tab_12.Dez[CONTA],$F297)</f>
        <v>0</v>
      </c>
    </row>
    <row r="298" spans="2:19" x14ac:dyDescent="0.3">
      <c r="B298" s="3" t="s">
        <v>105</v>
      </c>
      <c r="C298" s="2" t="str">
        <f t="shared" si="48"/>
        <v>C</v>
      </c>
      <c r="D298" s="2" t="str">
        <f t="shared" si="49"/>
        <v>A</v>
      </c>
      <c r="E298" s="2">
        <f t="shared" si="50"/>
        <v>5</v>
      </c>
      <c r="F298" s="3" t="s">
        <v>499</v>
      </c>
      <c r="G298" s="3" t="s">
        <v>500</v>
      </c>
      <c r="H298" s="4">
        <f>SUMIFS(Tab_01.Jan[MOVIMENTO],Tab_01.Jan[CONTA],$F298)</f>
        <v>146.94</v>
      </c>
      <c r="I298" s="4">
        <f>SUMIFS(Tab_02.Fev[MOVIMENTO],Tab_02.Fev[CONTA],$F298)</f>
        <v>0</v>
      </c>
      <c r="J298" s="4">
        <f>SUMIFS(Tab_03.Mar[MOVIMENTO],Tab_03.Mar[CONTA],$F298)</f>
        <v>1215</v>
      </c>
      <c r="K298" s="4">
        <f>SUMIFS(Tab_04.Abr[MOVIMENTO],Tab_04.Abr[CONTA],$F298)</f>
        <v>2247.4</v>
      </c>
      <c r="L298" s="4">
        <f>SUMIFS(Tab_05.Mai[MOVIMENTO],Tab_05.Mai[CONTA],$F298)</f>
        <v>2080</v>
      </c>
      <c r="M298" s="4">
        <f>SUMIFS(Tab_06.Jun[MOVIMENTO],Tab_06.Jun[CONTA],$F298)</f>
        <v>167.4</v>
      </c>
      <c r="N298" s="4">
        <f>SUMIFS(Tab_07.Jul[MOVIMENTO],Tab_07.Jul[CONTA],$F298)</f>
        <v>167.4</v>
      </c>
      <c r="O298" s="4">
        <f>SUMIFS(Tab_08.Ago[MOVIMENTO],Tab_08.Ago[CONTA],$F298)</f>
        <v>167.4</v>
      </c>
      <c r="P298" s="4">
        <f>SUMIFS(Tab_09.Set[MOVIMENTO],Tab_09.Set[CONTA],$F298)</f>
        <v>10487.9</v>
      </c>
      <c r="Q298" s="4">
        <f>SUMIFS(Tab_10.Out[MOVIMENTO],Tab_10.Out[CONTA],$F298)</f>
        <v>334.8</v>
      </c>
      <c r="R298" s="4">
        <f>SUMIFS(Tab_11.Nov[MOVIMENTO],Tab_11.Nov[CONTA],$F298)</f>
        <v>1028</v>
      </c>
      <c r="S298" s="4">
        <f>SUMIFS(Tab_12.Dez[MOVIMENTO],Tab_12.Dez[CONTA],$F298)</f>
        <v>50</v>
      </c>
    </row>
    <row r="299" spans="2:19" x14ac:dyDescent="0.3">
      <c r="B299" s="3" t="s">
        <v>105</v>
      </c>
      <c r="C299" s="2" t="str">
        <f t="shared" si="48"/>
        <v>C</v>
      </c>
      <c r="D299" s="2" t="str">
        <f t="shared" si="49"/>
        <v>A</v>
      </c>
      <c r="E299" s="2">
        <f t="shared" si="50"/>
        <v>5</v>
      </c>
      <c r="F299" s="3" t="s">
        <v>501</v>
      </c>
      <c r="G299" s="3" t="s">
        <v>502</v>
      </c>
      <c r="H299" s="4">
        <f>SUMIFS(Tab_01.Jan[MOVIMENTO],Tab_01.Jan[CONTA],$F299)</f>
        <v>2241.66</v>
      </c>
      <c r="I299" s="4">
        <f>SUMIFS(Tab_02.Fev[MOVIMENTO],Tab_02.Fev[CONTA],$F299)</f>
        <v>75.72</v>
      </c>
      <c r="J299" s="4">
        <f>SUMIFS(Tab_03.Mar[MOVIMENTO],Tab_03.Mar[CONTA],$F299)</f>
        <v>96.29</v>
      </c>
      <c r="K299" s="4">
        <f>SUMIFS(Tab_04.Abr[MOVIMENTO],Tab_04.Abr[CONTA],$F299)</f>
        <v>4810.78</v>
      </c>
      <c r="L299" s="4">
        <f>SUMIFS(Tab_05.Mai[MOVIMENTO],Tab_05.Mai[CONTA],$F299)</f>
        <v>115.5</v>
      </c>
      <c r="M299" s="4">
        <f>SUMIFS(Tab_06.Jun[MOVIMENTO],Tab_06.Jun[CONTA],$F299)</f>
        <v>2024.25</v>
      </c>
      <c r="N299" s="4">
        <f>SUMIFS(Tab_07.Jul[MOVIMENTO],Tab_07.Jul[CONTA],$F299)</f>
        <v>2024.25</v>
      </c>
      <c r="O299" s="4">
        <f>SUMIFS(Tab_08.Ago[MOVIMENTO],Tab_08.Ago[CONTA],$F299)</f>
        <v>2024.25</v>
      </c>
      <c r="P299" s="4">
        <f>SUMIFS(Tab_09.Set[MOVIMENTO],Tab_09.Set[CONTA],$F299)</f>
        <v>3976</v>
      </c>
      <c r="Q299" s="4">
        <f>SUMIFS(Tab_10.Out[MOVIMENTO],Tab_10.Out[CONTA],$F299)</f>
        <v>166</v>
      </c>
      <c r="R299" s="4">
        <f>SUMIFS(Tab_11.Nov[MOVIMENTO],Tab_11.Nov[CONTA],$F299)</f>
        <v>449.18</v>
      </c>
      <c r="S299" s="4">
        <f>SUMIFS(Tab_12.Dez[MOVIMENTO],Tab_12.Dez[CONTA],$F299)</f>
        <v>24298</v>
      </c>
    </row>
    <row r="300" spans="2:19" x14ac:dyDescent="0.3">
      <c r="B300" s="3" t="s">
        <v>67</v>
      </c>
      <c r="C300" s="2" t="str">
        <f t="shared" si="48"/>
        <v>C</v>
      </c>
      <c r="D300" s="2" t="str">
        <f t="shared" si="49"/>
        <v>A</v>
      </c>
      <c r="E300" s="2">
        <f t="shared" si="50"/>
        <v>5</v>
      </c>
      <c r="F300" s="3" t="s">
        <v>503</v>
      </c>
      <c r="G300" s="3" t="s">
        <v>504</v>
      </c>
      <c r="H300" s="4">
        <f>SUMIFS(Tab_01.Jan[MOVIMENTO],Tab_01.Jan[CONTA],$F300)</f>
        <v>662.87</v>
      </c>
      <c r="I300" s="4">
        <f>SUMIFS(Tab_02.Fev[MOVIMENTO],Tab_02.Fev[CONTA],$F300)</f>
        <v>604.28</v>
      </c>
      <c r="J300" s="4">
        <f>SUMIFS(Tab_03.Mar[MOVIMENTO],Tab_03.Mar[CONTA],$F300)</f>
        <v>589.01</v>
      </c>
      <c r="K300" s="4">
        <f>SUMIFS(Tab_04.Abr[MOVIMENTO],Tab_04.Abr[CONTA],$F300)</f>
        <v>641.11</v>
      </c>
      <c r="L300" s="4">
        <f>SUMIFS(Tab_05.Mai[MOVIMENTO],Tab_05.Mai[CONTA],$F300)</f>
        <v>456.61</v>
      </c>
      <c r="M300" s="4">
        <f>SUMIFS(Tab_06.Jun[MOVIMENTO],Tab_06.Jun[CONTA],$F300)</f>
        <v>375.79</v>
      </c>
      <c r="N300" s="4">
        <f>SUMIFS(Tab_07.Jul[MOVIMENTO],Tab_07.Jul[CONTA],$F300)</f>
        <v>375.79</v>
      </c>
      <c r="O300" s="4">
        <f>SUMIFS(Tab_08.Ago[MOVIMENTO],Tab_08.Ago[CONTA],$F300)</f>
        <v>375.79</v>
      </c>
      <c r="P300" s="4">
        <f>SUMIFS(Tab_09.Set[MOVIMENTO],Tab_09.Set[CONTA],$F300)</f>
        <v>2886.59</v>
      </c>
      <c r="Q300" s="4">
        <f>SUMIFS(Tab_10.Out[MOVIMENTO],Tab_10.Out[CONTA],$F300)</f>
        <v>3016.68</v>
      </c>
      <c r="R300" s="4">
        <f>SUMIFS(Tab_11.Nov[MOVIMENTO],Tab_11.Nov[CONTA],$F300)</f>
        <v>2766.91</v>
      </c>
      <c r="S300" s="4">
        <f>SUMIFS(Tab_12.Dez[MOVIMENTO],Tab_12.Dez[CONTA],$F300)</f>
        <v>2792.27</v>
      </c>
    </row>
    <row r="301" spans="2:19" x14ac:dyDescent="0.3">
      <c r="B301" s="3" t="s">
        <v>67</v>
      </c>
      <c r="C301" s="2" t="str">
        <f t="shared" si="48"/>
        <v>C</v>
      </c>
      <c r="D301" s="2" t="str">
        <f t="shared" si="49"/>
        <v>A</v>
      </c>
      <c r="E301" s="2">
        <f t="shared" si="50"/>
        <v>5</v>
      </c>
      <c r="F301" s="3" t="s">
        <v>505</v>
      </c>
      <c r="G301" s="3" t="s">
        <v>506</v>
      </c>
      <c r="H301" s="4">
        <f>SUMIFS(Tab_01.Jan[MOVIMENTO],Tab_01.Jan[CONTA],$F301)</f>
        <v>0</v>
      </c>
      <c r="I301" s="4">
        <f>SUMIFS(Tab_02.Fev[MOVIMENTO],Tab_02.Fev[CONTA],$F301)</f>
        <v>0</v>
      </c>
      <c r="J301" s="4">
        <f>SUMIFS(Tab_03.Mar[MOVIMENTO],Tab_03.Mar[CONTA],$F301)</f>
        <v>0</v>
      </c>
      <c r="K301" s="4">
        <f>SUMIFS(Tab_04.Abr[MOVIMENTO],Tab_04.Abr[CONTA],$F301)</f>
        <v>0</v>
      </c>
      <c r="L301" s="4">
        <f>SUMIFS(Tab_05.Mai[MOVIMENTO],Tab_05.Mai[CONTA],$F301)</f>
        <v>0</v>
      </c>
      <c r="M301" s="4">
        <f>SUMIFS(Tab_06.Jun[MOVIMENTO],Tab_06.Jun[CONTA],$F301)</f>
        <v>0</v>
      </c>
      <c r="N301" s="4">
        <f>SUMIFS(Tab_07.Jul[MOVIMENTO],Tab_07.Jul[CONTA],$F301)</f>
        <v>0</v>
      </c>
      <c r="O301" s="4">
        <f>SUMIFS(Tab_08.Ago[MOVIMENTO],Tab_08.Ago[CONTA],$F301)</f>
        <v>0</v>
      </c>
      <c r="P301" s="4">
        <f>SUMIFS(Tab_09.Set[MOVIMENTO],Tab_09.Set[CONTA],$F301)</f>
        <v>0</v>
      </c>
      <c r="Q301" s="4">
        <f>SUMIFS(Tab_10.Out[MOVIMENTO],Tab_10.Out[CONTA],$F301)</f>
        <v>0</v>
      </c>
      <c r="R301" s="4">
        <f>SUMIFS(Tab_11.Nov[MOVIMENTO],Tab_11.Nov[CONTA],$F301)</f>
        <v>139.54</v>
      </c>
      <c r="S301" s="4">
        <f>SUMIFS(Tab_12.Dez[MOVIMENTO],Tab_12.Dez[CONTA],$F301)</f>
        <v>0</v>
      </c>
    </row>
    <row r="302" spans="2:19" x14ac:dyDescent="0.3">
      <c r="B302" s="3"/>
      <c r="C302" s="2" t="str">
        <f t="shared" si="48"/>
        <v>C</v>
      </c>
      <c r="D302" s="2" t="str">
        <f t="shared" si="49"/>
        <v>S</v>
      </c>
      <c r="E302" s="2">
        <f t="shared" si="50"/>
        <v>5</v>
      </c>
      <c r="F302" s="3" t="s">
        <v>615</v>
      </c>
      <c r="G302" s="3" t="s">
        <v>719</v>
      </c>
      <c r="H302" s="4">
        <f>SUMIFS(Tab_01.Jan[MOVIMENTO],Tab_01.Jan[CONTA],$F302)</f>
        <v>4265.3900000000003</v>
      </c>
      <c r="I302" s="4">
        <f>SUMIFS(Tab_02.Fev[MOVIMENTO],Tab_02.Fev[CONTA],$F302)</f>
        <v>4398.41</v>
      </c>
      <c r="J302" s="4">
        <f>SUMIFS(Tab_03.Mar[MOVIMENTO],Tab_03.Mar[CONTA],$F302)</f>
        <v>4409.2700000000004</v>
      </c>
      <c r="K302" s="4">
        <f>SUMIFS(Tab_04.Abr[MOVIMENTO],Tab_04.Abr[CONTA],$F302)</f>
        <v>15889.19</v>
      </c>
      <c r="L302" s="4">
        <f>SUMIFS(Tab_05.Mai[MOVIMENTO],Tab_05.Mai[CONTA],$F302)</f>
        <v>4504.12</v>
      </c>
      <c r="M302" s="4">
        <f>SUMIFS(Tab_06.Jun[MOVIMENTO],Tab_06.Jun[CONTA],$F302)</f>
        <v>4362.9799999999996</v>
      </c>
      <c r="N302" s="4">
        <f>SUMIFS(Tab_07.Jul[MOVIMENTO],Tab_07.Jul[CONTA],$F302)</f>
        <v>4362.9799999999996</v>
      </c>
      <c r="O302" s="4">
        <f>SUMIFS(Tab_08.Ago[MOVIMENTO],Tab_08.Ago[CONTA],$F302)</f>
        <v>4362.9799999999996</v>
      </c>
      <c r="P302" s="4">
        <f>SUMIFS(Tab_09.Set[MOVIMENTO],Tab_09.Set[CONTA],$F302)</f>
        <v>4701.1400000000003</v>
      </c>
      <c r="Q302" s="4">
        <f>SUMIFS(Tab_10.Out[MOVIMENTO],Tab_10.Out[CONTA],$F302)</f>
        <v>6641.29</v>
      </c>
      <c r="R302" s="4">
        <f>SUMIFS(Tab_11.Nov[MOVIMENTO],Tab_11.Nov[CONTA],$F302)</f>
        <v>4451.76</v>
      </c>
      <c r="S302" s="4">
        <f>SUMIFS(Tab_12.Dez[MOVIMENTO],Tab_12.Dez[CONTA],$F302)</f>
        <v>5375.14</v>
      </c>
    </row>
    <row r="303" spans="2:19" x14ac:dyDescent="0.3">
      <c r="B303" s="3"/>
      <c r="C303" s="2" t="str">
        <f t="shared" si="48"/>
        <v>C</v>
      </c>
      <c r="D303" s="2" t="str">
        <f t="shared" si="49"/>
        <v>S</v>
      </c>
      <c r="E303" s="2">
        <f t="shared" si="50"/>
        <v>5</v>
      </c>
      <c r="F303" s="3" t="s">
        <v>616</v>
      </c>
      <c r="G303" s="3" t="s">
        <v>720</v>
      </c>
      <c r="H303" s="4">
        <f>SUMIFS(Tab_01.Jan[MOVIMENTO],Tab_01.Jan[CONTA],$F303)</f>
        <v>0</v>
      </c>
      <c r="I303" s="4">
        <f>SUMIFS(Tab_02.Fev[MOVIMENTO],Tab_02.Fev[CONTA],$F303)</f>
        <v>0</v>
      </c>
      <c r="J303" s="4">
        <f>SUMIFS(Tab_03.Mar[MOVIMENTO],Tab_03.Mar[CONTA],$F303)</f>
        <v>0</v>
      </c>
      <c r="K303" s="4">
        <f>SUMIFS(Tab_04.Abr[MOVIMENTO],Tab_04.Abr[CONTA],$F303)</f>
        <v>0</v>
      </c>
      <c r="L303" s="4">
        <f>SUMIFS(Tab_05.Mai[MOVIMENTO],Tab_05.Mai[CONTA],$F303)</f>
        <v>0</v>
      </c>
      <c r="M303" s="4">
        <f>SUMIFS(Tab_06.Jun[MOVIMENTO],Tab_06.Jun[CONTA],$F303)</f>
        <v>0</v>
      </c>
      <c r="N303" s="4">
        <f>SUMIFS(Tab_07.Jul[MOVIMENTO],Tab_07.Jul[CONTA],$F303)</f>
        <v>0</v>
      </c>
      <c r="O303" s="4">
        <f>SUMIFS(Tab_08.Ago[MOVIMENTO],Tab_08.Ago[CONTA],$F303)</f>
        <v>0</v>
      </c>
      <c r="P303" s="4">
        <f>SUMIFS(Tab_09.Set[MOVIMENTO],Tab_09.Set[CONTA],$F303)</f>
        <v>0</v>
      </c>
      <c r="Q303" s="4">
        <f>SUMIFS(Tab_10.Out[MOVIMENTO],Tab_10.Out[CONTA],$F303)</f>
        <v>0</v>
      </c>
      <c r="R303" s="4">
        <f>SUMIFS(Tab_11.Nov[MOVIMENTO],Tab_11.Nov[CONTA],$F303)</f>
        <v>0</v>
      </c>
      <c r="S303" s="4">
        <f>SUMIFS(Tab_12.Dez[MOVIMENTO],Tab_12.Dez[CONTA],$F303)</f>
        <v>0</v>
      </c>
    </row>
    <row r="304" spans="2:19" x14ac:dyDescent="0.3">
      <c r="B304" s="3" t="s">
        <v>105</v>
      </c>
      <c r="C304" s="2" t="str">
        <f t="shared" si="48"/>
        <v>C</v>
      </c>
      <c r="D304" s="2" t="str">
        <f t="shared" si="49"/>
        <v>A</v>
      </c>
      <c r="E304" s="2">
        <f t="shared" si="50"/>
        <v>5</v>
      </c>
      <c r="F304" s="3" t="s">
        <v>507</v>
      </c>
      <c r="G304" s="3" t="s">
        <v>508</v>
      </c>
      <c r="H304" s="4">
        <f>SUMIFS(Tab_01.Jan[MOVIMENTO],Tab_01.Jan[CONTA],$F304)</f>
        <v>0</v>
      </c>
      <c r="I304" s="4">
        <f>SUMIFS(Tab_02.Fev[MOVIMENTO],Tab_02.Fev[CONTA],$F304)</f>
        <v>0</v>
      </c>
      <c r="J304" s="4">
        <f>SUMIFS(Tab_03.Mar[MOVIMENTO],Tab_03.Mar[CONTA],$F304)</f>
        <v>0</v>
      </c>
      <c r="K304" s="4">
        <f>SUMIFS(Tab_04.Abr[MOVIMENTO],Tab_04.Abr[CONTA],$F304)</f>
        <v>0</v>
      </c>
      <c r="L304" s="4">
        <f>SUMIFS(Tab_05.Mai[MOVIMENTO],Tab_05.Mai[CONTA],$F304)</f>
        <v>0</v>
      </c>
      <c r="M304" s="4">
        <f>SUMIFS(Tab_06.Jun[MOVIMENTO],Tab_06.Jun[CONTA],$F304)</f>
        <v>0</v>
      </c>
      <c r="N304" s="4">
        <f>SUMIFS(Tab_07.Jul[MOVIMENTO],Tab_07.Jul[CONTA],$F304)</f>
        <v>0</v>
      </c>
      <c r="O304" s="4">
        <f>SUMIFS(Tab_08.Ago[MOVIMENTO],Tab_08.Ago[CONTA],$F304)</f>
        <v>0</v>
      </c>
      <c r="P304" s="4">
        <f>SUMIFS(Tab_09.Set[MOVIMENTO],Tab_09.Set[CONTA],$F304)</f>
        <v>0</v>
      </c>
      <c r="Q304" s="4">
        <f>SUMIFS(Tab_10.Out[MOVIMENTO],Tab_10.Out[CONTA],$F304)</f>
        <v>0</v>
      </c>
      <c r="R304" s="4">
        <f>SUMIFS(Tab_11.Nov[MOVIMENTO],Tab_11.Nov[CONTA],$F304)</f>
        <v>0</v>
      </c>
      <c r="S304" s="4">
        <f>SUMIFS(Tab_12.Dez[MOVIMENTO],Tab_12.Dez[CONTA],$F304)</f>
        <v>0</v>
      </c>
    </row>
    <row r="305" spans="2:19" x14ac:dyDescent="0.3">
      <c r="B305" s="3"/>
      <c r="C305" s="2" t="str">
        <f t="shared" si="48"/>
        <v>C</v>
      </c>
      <c r="D305" s="2" t="str">
        <f t="shared" si="49"/>
        <v>S</v>
      </c>
      <c r="E305" s="2">
        <f t="shared" si="50"/>
        <v>5</v>
      </c>
      <c r="F305" s="3" t="s">
        <v>617</v>
      </c>
      <c r="G305" s="3" t="s">
        <v>721</v>
      </c>
      <c r="H305" s="4">
        <f>SUMIFS(Tab_01.Jan[MOVIMENTO],Tab_01.Jan[CONTA],$F305)</f>
        <v>287.74</v>
      </c>
      <c r="I305" s="4">
        <f>SUMIFS(Tab_02.Fev[MOVIMENTO],Tab_02.Fev[CONTA],$F305)</f>
        <v>0</v>
      </c>
      <c r="J305" s="4">
        <f>SUMIFS(Tab_03.Mar[MOVIMENTO],Tab_03.Mar[CONTA],$F305)</f>
        <v>287.74</v>
      </c>
      <c r="K305" s="4">
        <f>SUMIFS(Tab_04.Abr[MOVIMENTO],Tab_04.Abr[CONTA],$F305)</f>
        <v>287.74</v>
      </c>
      <c r="L305" s="4">
        <f>SUMIFS(Tab_05.Mai[MOVIMENTO],Tab_05.Mai[CONTA],$F305)</f>
        <v>287.74</v>
      </c>
      <c r="M305" s="4">
        <f>SUMIFS(Tab_06.Jun[MOVIMENTO],Tab_06.Jun[CONTA],$F305)</f>
        <v>287.74</v>
      </c>
      <c r="N305" s="4">
        <f>SUMIFS(Tab_07.Jul[MOVIMENTO],Tab_07.Jul[CONTA],$F305)</f>
        <v>287.74</v>
      </c>
      <c r="O305" s="4">
        <f>SUMIFS(Tab_08.Ago[MOVIMENTO],Tab_08.Ago[CONTA],$F305)</f>
        <v>287.74</v>
      </c>
      <c r="P305" s="4">
        <f>SUMIFS(Tab_09.Set[MOVIMENTO],Tab_09.Set[CONTA],$F305)</f>
        <v>275.14999999999998</v>
      </c>
      <c r="Q305" s="4">
        <f>SUMIFS(Tab_10.Out[MOVIMENTO],Tab_10.Out[CONTA],$F305)</f>
        <v>291.76</v>
      </c>
      <c r="R305" s="4">
        <f>SUMIFS(Tab_11.Nov[MOVIMENTO],Tab_11.Nov[CONTA],$F305)</f>
        <v>291.76</v>
      </c>
      <c r="S305" s="4">
        <f>SUMIFS(Tab_12.Dez[MOVIMENTO],Tab_12.Dez[CONTA],$F305)</f>
        <v>291.76</v>
      </c>
    </row>
    <row r="306" spans="2:19" x14ac:dyDescent="0.3">
      <c r="B306" s="3" t="s">
        <v>105</v>
      </c>
      <c r="C306" s="2" t="str">
        <f t="shared" si="48"/>
        <v>C</v>
      </c>
      <c r="D306" s="2" t="str">
        <f t="shared" si="49"/>
        <v>A</v>
      </c>
      <c r="E306" s="2">
        <f t="shared" si="50"/>
        <v>5</v>
      </c>
      <c r="F306" s="3" t="s">
        <v>509</v>
      </c>
      <c r="G306" s="3" t="s">
        <v>510</v>
      </c>
      <c r="H306" s="4">
        <f>SUMIFS(Tab_01.Jan[MOVIMENTO],Tab_01.Jan[CONTA],$F306)</f>
        <v>0</v>
      </c>
      <c r="I306" s="4">
        <f>SUMIFS(Tab_02.Fev[MOVIMENTO],Tab_02.Fev[CONTA],$F306)</f>
        <v>0</v>
      </c>
      <c r="J306" s="4">
        <f>SUMIFS(Tab_03.Mar[MOVIMENTO],Tab_03.Mar[CONTA],$F306)</f>
        <v>0</v>
      </c>
      <c r="K306" s="4">
        <f>SUMIFS(Tab_04.Abr[MOVIMENTO],Tab_04.Abr[CONTA],$F306)</f>
        <v>0</v>
      </c>
      <c r="L306" s="4">
        <f>SUMIFS(Tab_05.Mai[MOVIMENTO],Tab_05.Mai[CONTA],$F306)</f>
        <v>0</v>
      </c>
      <c r="M306" s="4">
        <f>SUMIFS(Tab_06.Jun[MOVIMENTO],Tab_06.Jun[CONTA],$F306)</f>
        <v>0</v>
      </c>
      <c r="N306" s="4">
        <f>SUMIFS(Tab_07.Jul[MOVIMENTO],Tab_07.Jul[CONTA],$F306)</f>
        <v>0</v>
      </c>
      <c r="O306" s="4">
        <f>SUMIFS(Tab_08.Ago[MOVIMENTO],Tab_08.Ago[CONTA],$F306)</f>
        <v>0</v>
      </c>
      <c r="P306" s="4">
        <f>SUMIFS(Tab_09.Set[MOVIMENTO],Tab_09.Set[CONTA],$F306)</f>
        <v>0</v>
      </c>
      <c r="Q306" s="4">
        <f>SUMIFS(Tab_10.Out[MOVIMENTO],Tab_10.Out[CONTA],$F306)</f>
        <v>0</v>
      </c>
      <c r="R306" s="4">
        <f>SUMIFS(Tab_11.Nov[MOVIMENTO],Tab_11.Nov[CONTA],$F306)</f>
        <v>0</v>
      </c>
      <c r="S306" s="4">
        <f>SUMIFS(Tab_12.Dez[MOVIMENTO],Tab_12.Dez[CONTA],$F306)</f>
        <v>0</v>
      </c>
    </row>
    <row r="307" spans="2:19" x14ac:dyDescent="0.3">
      <c r="B307" s="3" t="s">
        <v>105</v>
      </c>
      <c r="C307" s="2" t="str">
        <f t="shared" si="48"/>
        <v>C</v>
      </c>
      <c r="D307" s="2" t="str">
        <f t="shared" si="49"/>
        <v>A</v>
      </c>
      <c r="E307" s="2">
        <f t="shared" si="50"/>
        <v>5</v>
      </c>
      <c r="F307" s="3" t="s">
        <v>739</v>
      </c>
      <c r="G307" s="3" t="s">
        <v>740</v>
      </c>
      <c r="H307" s="4">
        <f>SUMIFS(Tab_01.Jan[MOVIMENTO],Tab_01.Jan[CONTA],$F307)</f>
        <v>287.74</v>
      </c>
      <c r="I307" s="4">
        <f>SUMIFS(Tab_02.Fev[MOVIMENTO],Tab_02.Fev[CONTA],$F307)</f>
        <v>0</v>
      </c>
      <c r="J307" s="4">
        <f>SUMIFS(Tab_03.Mar[MOVIMENTO],Tab_03.Mar[CONTA],$F307)</f>
        <v>287.74</v>
      </c>
      <c r="K307" s="4">
        <f>SUMIFS(Tab_04.Abr[MOVIMENTO],Tab_04.Abr[CONTA],$F307)</f>
        <v>287.74</v>
      </c>
      <c r="L307" s="4">
        <f>SUMIFS(Tab_05.Mai[MOVIMENTO],Tab_05.Mai[CONTA],$F307)</f>
        <v>287.74</v>
      </c>
      <c r="M307" s="4">
        <f>SUMIFS(Tab_06.Jun[MOVIMENTO],Tab_06.Jun[CONTA],$F307)</f>
        <v>287.74</v>
      </c>
      <c r="N307" s="4">
        <f>SUMIFS(Tab_07.Jul[MOVIMENTO],Tab_07.Jul[CONTA],$F307)</f>
        <v>287.74</v>
      </c>
      <c r="O307" s="4">
        <f>SUMIFS(Tab_08.Ago[MOVIMENTO],Tab_08.Ago[CONTA],$F307)</f>
        <v>287.74</v>
      </c>
      <c r="P307" s="4">
        <f>SUMIFS(Tab_09.Set[MOVIMENTO],Tab_09.Set[CONTA],$F307)</f>
        <v>275.14999999999998</v>
      </c>
      <c r="Q307" s="4">
        <f>SUMIFS(Tab_10.Out[MOVIMENTO],Tab_10.Out[CONTA],$F307)</f>
        <v>291.76</v>
      </c>
      <c r="R307" s="4">
        <f>SUMIFS(Tab_11.Nov[MOVIMENTO],Tab_11.Nov[CONTA],$F307)</f>
        <v>291.76</v>
      </c>
      <c r="S307" s="4">
        <f>SUMIFS(Tab_12.Dez[MOVIMENTO],Tab_12.Dez[CONTA],$F307)</f>
        <v>291.76</v>
      </c>
    </row>
    <row r="308" spans="2:19" x14ac:dyDescent="0.3">
      <c r="B308" s="3"/>
      <c r="C308" s="2" t="str">
        <f t="shared" si="48"/>
        <v>C</v>
      </c>
      <c r="D308" s="2" t="str">
        <f t="shared" si="49"/>
        <v>S</v>
      </c>
      <c r="E308" s="2">
        <f t="shared" si="50"/>
        <v>5</v>
      </c>
      <c r="F308" s="3" t="s">
        <v>618</v>
      </c>
      <c r="G308" s="3" t="s">
        <v>722</v>
      </c>
      <c r="H308" s="4">
        <f>SUMIFS(Tab_01.Jan[MOVIMENTO],Tab_01.Jan[CONTA],$F308)</f>
        <v>2260.8200000000002</v>
      </c>
      <c r="I308" s="4">
        <f>SUMIFS(Tab_02.Fev[MOVIMENTO],Tab_02.Fev[CONTA],$F308)</f>
        <v>2755.8</v>
      </c>
      <c r="J308" s="4">
        <f>SUMIFS(Tab_03.Mar[MOVIMENTO],Tab_03.Mar[CONTA],$F308)</f>
        <v>2497.5</v>
      </c>
      <c r="K308" s="4">
        <f>SUMIFS(Tab_04.Abr[MOVIMENTO],Tab_04.Abr[CONTA],$F308)</f>
        <v>2716.14</v>
      </c>
      <c r="L308" s="4">
        <f>SUMIFS(Tab_05.Mai[MOVIMENTO],Tab_05.Mai[CONTA],$F308)</f>
        <v>2582.0300000000002</v>
      </c>
      <c r="M308" s="4">
        <f>SUMIFS(Tab_06.Jun[MOVIMENTO],Tab_06.Jun[CONTA],$F308)</f>
        <v>2592.38</v>
      </c>
      <c r="N308" s="4">
        <f>SUMIFS(Tab_07.Jul[MOVIMENTO],Tab_07.Jul[CONTA],$F308)</f>
        <v>2592.38</v>
      </c>
      <c r="O308" s="4">
        <f>SUMIFS(Tab_08.Ago[MOVIMENTO],Tab_08.Ago[CONTA],$F308)</f>
        <v>2592.38</v>
      </c>
      <c r="P308" s="4">
        <f>SUMIFS(Tab_09.Set[MOVIMENTO],Tab_09.Set[CONTA],$F308)</f>
        <v>2752.18</v>
      </c>
      <c r="Q308" s="4">
        <f>SUMIFS(Tab_10.Out[MOVIMENTO],Tab_10.Out[CONTA],$F308)</f>
        <v>3235.8</v>
      </c>
      <c r="R308" s="4">
        <f>SUMIFS(Tab_11.Nov[MOVIMENTO],Tab_11.Nov[CONTA],$F308)</f>
        <v>2261.4699999999998</v>
      </c>
      <c r="S308" s="4">
        <f>SUMIFS(Tab_12.Dez[MOVIMENTO],Tab_12.Dez[CONTA],$F308)</f>
        <v>2708.67</v>
      </c>
    </row>
    <row r="309" spans="2:19" x14ac:dyDescent="0.3">
      <c r="B309" s="3" t="s">
        <v>105</v>
      </c>
      <c r="C309" s="2" t="str">
        <f t="shared" si="48"/>
        <v>C</v>
      </c>
      <c r="D309" s="2" t="str">
        <f t="shared" si="49"/>
        <v>A</v>
      </c>
      <c r="E309" s="2">
        <f t="shared" si="50"/>
        <v>5</v>
      </c>
      <c r="F309" s="3" t="s">
        <v>511</v>
      </c>
      <c r="G309" s="3" t="s">
        <v>512</v>
      </c>
      <c r="H309" s="4">
        <f>SUMIFS(Tab_01.Jan[MOVIMENTO],Tab_01.Jan[CONTA],$F309)</f>
        <v>2260.8200000000002</v>
      </c>
      <c r="I309" s="4">
        <f>SUMIFS(Tab_02.Fev[MOVIMENTO],Tab_02.Fev[CONTA],$F309)</f>
        <v>2755.8</v>
      </c>
      <c r="J309" s="4">
        <f>SUMIFS(Tab_03.Mar[MOVIMENTO],Tab_03.Mar[CONTA],$F309)</f>
        <v>2497.5</v>
      </c>
      <c r="K309" s="4">
        <f>SUMIFS(Tab_04.Abr[MOVIMENTO],Tab_04.Abr[CONTA],$F309)</f>
        <v>2716.14</v>
      </c>
      <c r="L309" s="4">
        <f>SUMIFS(Tab_05.Mai[MOVIMENTO],Tab_05.Mai[CONTA],$F309)</f>
        <v>2582.0300000000002</v>
      </c>
      <c r="M309" s="4">
        <f>SUMIFS(Tab_06.Jun[MOVIMENTO],Tab_06.Jun[CONTA],$F309)</f>
        <v>2592.38</v>
      </c>
      <c r="N309" s="4">
        <f>SUMIFS(Tab_07.Jul[MOVIMENTO],Tab_07.Jul[CONTA],$F309)</f>
        <v>2592.38</v>
      </c>
      <c r="O309" s="4">
        <f>SUMIFS(Tab_08.Ago[MOVIMENTO],Tab_08.Ago[CONTA],$F309)</f>
        <v>2592.38</v>
      </c>
      <c r="P309" s="4">
        <f>SUMIFS(Tab_09.Set[MOVIMENTO],Tab_09.Set[CONTA],$F309)</f>
        <v>2752.18</v>
      </c>
      <c r="Q309" s="4">
        <f>SUMIFS(Tab_10.Out[MOVIMENTO],Tab_10.Out[CONTA],$F309)</f>
        <v>3235.8</v>
      </c>
      <c r="R309" s="4">
        <f>SUMIFS(Tab_11.Nov[MOVIMENTO],Tab_11.Nov[CONTA],$F309)</f>
        <v>2261.4699999999998</v>
      </c>
      <c r="S309" s="4">
        <f>SUMIFS(Tab_12.Dez[MOVIMENTO],Tab_12.Dez[CONTA],$F309)</f>
        <v>2708.67</v>
      </c>
    </row>
    <row r="310" spans="2:19" x14ac:dyDescent="0.3">
      <c r="B310" s="3" t="s">
        <v>105</v>
      </c>
      <c r="C310" s="2" t="str">
        <f t="shared" si="48"/>
        <v>C</v>
      </c>
      <c r="D310" s="2" t="str">
        <f t="shared" si="49"/>
        <v>A</v>
      </c>
      <c r="E310" s="2">
        <f t="shared" si="50"/>
        <v>5</v>
      </c>
      <c r="F310" s="3" t="s">
        <v>513</v>
      </c>
      <c r="G310" s="3" t="s">
        <v>514</v>
      </c>
      <c r="H310" s="4">
        <f>SUMIFS(Tab_01.Jan[MOVIMENTO],Tab_01.Jan[CONTA],$F310)</f>
        <v>0</v>
      </c>
      <c r="I310" s="4">
        <f>SUMIFS(Tab_02.Fev[MOVIMENTO],Tab_02.Fev[CONTA],$F310)</f>
        <v>0</v>
      </c>
      <c r="J310" s="4">
        <f>SUMIFS(Tab_03.Mar[MOVIMENTO],Tab_03.Mar[CONTA],$F310)</f>
        <v>0</v>
      </c>
      <c r="K310" s="4">
        <f>SUMIFS(Tab_04.Abr[MOVIMENTO],Tab_04.Abr[CONTA],$F310)</f>
        <v>0</v>
      </c>
      <c r="L310" s="4">
        <f>SUMIFS(Tab_05.Mai[MOVIMENTO],Tab_05.Mai[CONTA],$F310)</f>
        <v>0</v>
      </c>
      <c r="M310" s="4">
        <f>SUMIFS(Tab_06.Jun[MOVIMENTO],Tab_06.Jun[CONTA],$F310)</f>
        <v>0</v>
      </c>
      <c r="N310" s="4">
        <f>SUMIFS(Tab_07.Jul[MOVIMENTO],Tab_07.Jul[CONTA],$F310)</f>
        <v>0</v>
      </c>
      <c r="O310" s="4">
        <f>SUMIFS(Tab_08.Ago[MOVIMENTO],Tab_08.Ago[CONTA],$F310)</f>
        <v>0</v>
      </c>
      <c r="P310" s="4">
        <f>SUMIFS(Tab_09.Set[MOVIMENTO],Tab_09.Set[CONTA],$F310)</f>
        <v>0</v>
      </c>
      <c r="Q310" s="4">
        <f>SUMIFS(Tab_10.Out[MOVIMENTO],Tab_10.Out[CONTA],$F310)</f>
        <v>0</v>
      </c>
      <c r="R310" s="4">
        <f>SUMIFS(Tab_11.Nov[MOVIMENTO],Tab_11.Nov[CONTA],$F310)</f>
        <v>0</v>
      </c>
      <c r="S310" s="4">
        <f>SUMIFS(Tab_12.Dez[MOVIMENTO],Tab_12.Dez[CONTA],$F310)</f>
        <v>0</v>
      </c>
    </row>
    <row r="311" spans="2:19" x14ac:dyDescent="0.3">
      <c r="B311" s="3"/>
      <c r="C311" s="2" t="str">
        <f t="shared" si="48"/>
        <v>C</v>
      </c>
      <c r="D311" s="2" t="str">
        <f t="shared" si="49"/>
        <v>S</v>
      </c>
      <c r="E311" s="2">
        <f t="shared" si="50"/>
        <v>5</v>
      </c>
      <c r="F311" s="3" t="s">
        <v>619</v>
      </c>
      <c r="G311" s="3" t="s">
        <v>420</v>
      </c>
      <c r="H311" s="4">
        <f>SUMIFS(Tab_01.Jan[MOVIMENTO],Tab_01.Jan[CONTA],$F311)</f>
        <v>1716.83</v>
      </c>
      <c r="I311" s="4">
        <f>SUMIFS(Tab_02.Fev[MOVIMENTO],Tab_02.Fev[CONTA],$F311)</f>
        <v>1642.61</v>
      </c>
      <c r="J311" s="4">
        <f>SUMIFS(Tab_03.Mar[MOVIMENTO],Tab_03.Mar[CONTA],$F311)</f>
        <v>1624.03</v>
      </c>
      <c r="K311" s="4">
        <f>SUMIFS(Tab_04.Abr[MOVIMENTO],Tab_04.Abr[CONTA],$F311)</f>
        <v>12885.31</v>
      </c>
      <c r="L311" s="4">
        <f>SUMIFS(Tab_05.Mai[MOVIMENTO],Tab_05.Mai[CONTA],$F311)</f>
        <v>1634.35</v>
      </c>
      <c r="M311" s="4">
        <f>SUMIFS(Tab_06.Jun[MOVIMENTO],Tab_06.Jun[CONTA],$F311)</f>
        <v>1482.86</v>
      </c>
      <c r="N311" s="4">
        <f>SUMIFS(Tab_07.Jul[MOVIMENTO],Tab_07.Jul[CONTA],$F311)</f>
        <v>1482.86</v>
      </c>
      <c r="O311" s="4">
        <f>SUMIFS(Tab_08.Ago[MOVIMENTO],Tab_08.Ago[CONTA],$F311)</f>
        <v>1482.86</v>
      </c>
      <c r="P311" s="4">
        <f>SUMIFS(Tab_09.Set[MOVIMENTO],Tab_09.Set[CONTA],$F311)</f>
        <v>1673.81</v>
      </c>
      <c r="Q311" s="4">
        <f>SUMIFS(Tab_10.Out[MOVIMENTO],Tab_10.Out[CONTA],$F311)</f>
        <v>3113.73</v>
      </c>
      <c r="R311" s="4">
        <f>SUMIFS(Tab_11.Nov[MOVIMENTO],Tab_11.Nov[CONTA],$F311)</f>
        <v>1898.53</v>
      </c>
      <c r="S311" s="4">
        <f>SUMIFS(Tab_12.Dez[MOVIMENTO],Tab_12.Dez[CONTA],$F311)</f>
        <v>2374.71</v>
      </c>
    </row>
    <row r="312" spans="2:19" x14ac:dyDescent="0.3">
      <c r="B312" s="3" t="s">
        <v>105</v>
      </c>
      <c r="C312" s="2" t="str">
        <f t="shared" si="48"/>
        <v>C</v>
      </c>
      <c r="D312" s="2" t="str">
        <f t="shared" si="49"/>
        <v>A</v>
      </c>
      <c r="E312" s="2">
        <f t="shared" si="50"/>
        <v>5</v>
      </c>
      <c r="F312" s="3" t="s">
        <v>515</v>
      </c>
      <c r="G312" s="3" t="s">
        <v>420</v>
      </c>
      <c r="H312" s="4">
        <f>SUMIFS(Tab_01.Jan[MOVIMENTO],Tab_01.Jan[CONTA],$F312)</f>
        <v>1716.83</v>
      </c>
      <c r="I312" s="4">
        <f>SUMIFS(Tab_02.Fev[MOVIMENTO],Tab_02.Fev[CONTA],$F312)</f>
        <v>1642.61</v>
      </c>
      <c r="J312" s="4">
        <f>SUMIFS(Tab_03.Mar[MOVIMENTO],Tab_03.Mar[CONTA],$F312)</f>
        <v>1624.03</v>
      </c>
      <c r="K312" s="4">
        <f>SUMIFS(Tab_04.Abr[MOVIMENTO],Tab_04.Abr[CONTA],$F312)</f>
        <v>12885.31</v>
      </c>
      <c r="L312" s="4">
        <f>SUMIFS(Tab_05.Mai[MOVIMENTO],Tab_05.Mai[CONTA],$F312)</f>
        <v>1634.35</v>
      </c>
      <c r="M312" s="4">
        <f>SUMIFS(Tab_06.Jun[MOVIMENTO],Tab_06.Jun[CONTA],$F312)</f>
        <v>1482.86</v>
      </c>
      <c r="N312" s="4">
        <f>SUMIFS(Tab_07.Jul[MOVIMENTO],Tab_07.Jul[CONTA],$F312)</f>
        <v>1482.86</v>
      </c>
      <c r="O312" s="4">
        <f>SUMIFS(Tab_08.Ago[MOVIMENTO],Tab_08.Ago[CONTA],$F312)</f>
        <v>1482.86</v>
      </c>
      <c r="P312" s="4">
        <f>SUMIFS(Tab_09.Set[MOVIMENTO],Tab_09.Set[CONTA],$F312)</f>
        <v>1673.81</v>
      </c>
      <c r="Q312" s="4">
        <f>SUMIFS(Tab_10.Out[MOVIMENTO],Tab_10.Out[CONTA],$F312)</f>
        <v>3113.73</v>
      </c>
      <c r="R312" s="4">
        <f>SUMIFS(Tab_11.Nov[MOVIMENTO],Tab_11.Nov[CONTA],$F312)</f>
        <v>1898.53</v>
      </c>
      <c r="S312" s="4">
        <f>SUMIFS(Tab_12.Dez[MOVIMENTO],Tab_12.Dez[CONTA],$F312)</f>
        <v>2374.71</v>
      </c>
    </row>
    <row r="313" spans="2:19" x14ac:dyDescent="0.3">
      <c r="B313" s="3"/>
      <c r="C313" s="2" t="str">
        <f t="shared" si="48"/>
        <v>C</v>
      </c>
      <c r="D313" s="2" t="str">
        <f t="shared" si="49"/>
        <v>S</v>
      </c>
      <c r="E313" s="2">
        <f t="shared" si="50"/>
        <v>5</v>
      </c>
      <c r="F313" s="3" t="s">
        <v>620</v>
      </c>
      <c r="G313" s="3" t="s">
        <v>517</v>
      </c>
      <c r="H313" s="4">
        <f>SUMIFS(Tab_01.Jan[MOVIMENTO],Tab_01.Jan[CONTA],$F313)</f>
        <v>0</v>
      </c>
      <c r="I313" s="4">
        <f>SUMIFS(Tab_02.Fev[MOVIMENTO],Tab_02.Fev[CONTA],$F313)</f>
        <v>0</v>
      </c>
      <c r="J313" s="4">
        <f>SUMIFS(Tab_03.Mar[MOVIMENTO],Tab_03.Mar[CONTA],$F313)</f>
        <v>0</v>
      </c>
      <c r="K313" s="4">
        <f>SUMIFS(Tab_04.Abr[MOVIMENTO],Tab_04.Abr[CONTA],$F313)</f>
        <v>0</v>
      </c>
      <c r="L313" s="4">
        <f>SUMIFS(Tab_05.Mai[MOVIMENTO],Tab_05.Mai[CONTA],$F313)</f>
        <v>0</v>
      </c>
      <c r="M313" s="4">
        <f>SUMIFS(Tab_06.Jun[MOVIMENTO],Tab_06.Jun[CONTA],$F313)</f>
        <v>0</v>
      </c>
      <c r="N313" s="4">
        <f>SUMIFS(Tab_07.Jul[MOVIMENTO],Tab_07.Jul[CONTA],$F313)</f>
        <v>0</v>
      </c>
      <c r="O313" s="4">
        <f>SUMIFS(Tab_08.Ago[MOVIMENTO],Tab_08.Ago[CONTA],$F313)</f>
        <v>0</v>
      </c>
      <c r="P313" s="4">
        <f>SUMIFS(Tab_09.Set[MOVIMENTO],Tab_09.Set[CONTA],$F313)</f>
        <v>0</v>
      </c>
      <c r="Q313" s="4">
        <f>SUMIFS(Tab_10.Out[MOVIMENTO],Tab_10.Out[CONTA],$F313)</f>
        <v>0</v>
      </c>
      <c r="R313" s="4">
        <f>SUMIFS(Tab_11.Nov[MOVIMENTO],Tab_11.Nov[CONTA],$F313)</f>
        <v>0</v>
      </c>
      <c r="S313" s="4">
        <f>SUMIFS(Tab_12.Dez[MOVIMENTO],Tab_12.Dez[CONTA],$F313)</f>
        <v>0</v>
      </c>
    </row>
    <row r="314" spans="2:19" x14ac:dyDescent="0.3">
      <c r="B314" s="3" t="s">
        <v>105</v>
      </c>
      <c r="C314" s="2" t="str">
        <f t="shared" si="48"/>
        <v>C</v>
      </c>
      <c r="D314" s="2" t="str">
        <f t="shared" si="49"/>
        <v>A</v>
      </c>
      <c r="E314" s="2">
        <f t="shared" si="50"/>
        <v>5</v>
      </c>
      <c r="F314" s="3" t="s">
        <v>516</v>
      </c>
      <c r="G314" s="3" t="s">
        <v>517</v>
      </c>
      <c r="H314" s="4">
        <f>SUMIFS(Tab_01.Jan[MOVIMENTO],Tab_01.Jan[CONTA],$F314)</f>
        <v>0</v>
      </c>
      <c r="I314" s="4">
        <f>SUMIFS(Tab_02.Fev[MOVIMENTO],Tab_02.Fev[CONTA],$F314)</f>
        <v>0</v>
      </c>
      <c r="J314" s="4">
        <f>SUMIFS(Tab_03.Mar[MOVIMENTO],Tab_03.Mar[CONTA],$F314)</f>
        <v>0</v>
      </c>
      <c r="K314" s="4">
        <f>SUMIFS(Tab_04.Abr[MOVIMENTO],Tab_04.Abr[CONTA],$F314)</f>
        <v>0</v>
      </c>
      <c r="L314" s="4">
        <f>SUMIFS(Tab_05.Mai[MOVIMENTO],Tab_05.Mai[CONTA],$F314)</f>
        <v>0</v>
      </c>
      <c r="M314" s="4">
        <f>SUMIFS(Tab_06.Jun[MOVIMENTO],Tab_06.Jun[CONTA],$F314)</f>
        <v>0</v>
      </c>
      <c r="N314" s="4">
        <f>SUMIFS(Tab_07.Jul[MOVIMENTO],Tab_07.Jul[CONTA],$F314)</f>
        <v>0</v>
      </c>
      <c r="O314" s="4">
        <f>SUMIFS(Tab_08.Ago[MOVIMENTO],Tab_08.Ago[CONTA],$F314)</f>
        <v>0</v>
      </c>
      <c r="P314" s="4">
        <f>SUMIFS(Tab_09.Set[MOVIMENTO],Tab_09.Set[CONTA],$F314)</f>
        <v>0</v>
      </c>
      <c r="Q314" s="4">
        <f>SUMIFS(Tab_10.Out[MOVIMENTO],Tab_10.Out[CONTA],$F314)</f>
        <v>0</v>
      </c>
      <c r="R314" s="4">
        <f>SUMIFS(Tab_11.Nov[MOVIMENTO],Tab_11.Nov[CONTA],$F314)</f>
        <v>0</v>
      </c>
      <c r="S314" s="4">
        <f>SUMIFS(Tab_12.Dez[MOVIMENTO],Tab_12.Dez[CONTA],$F314)</f>
        <v>0</v>
      </c>
    </row>
    <row r="315" spans="2:19" x14ac:dyDescent="0.3">
      <c r="B315" s="3"/>
      <c r="C315" s="2" t="str">
        <f t="shared" si="48"/>
        <v>C</v>
      </c>
      <c r="D315" s="2" t="str">
        <f t="shared" si="49"/>
        <v>S</v>
      </c>
      <c r="E315" s="2">
        <f t="shared" si="50"/>
        <v>5</v>
      </c>
      <c r="F315" s="3" t="s">
        <v>621</v>
      </c>
      <c r="G315" s="3" t="s">
        <v>723</v>
      </c>
      <c r="H315" s="4">
        <f>SUMIFS(Tab_01.Jan[MOVIMENTO],Tab_01.Jan[CONTA],$F315)</f>
        <v>1467.2</v>
      </c>
      <c r="I315" s="4">
        <f>SUMIFS(Tab_02.Fev[MOVIMENTO],Tab_02.Fev[CONTA],$F315)</f>
        <v>1901.38</v>
      </c>
      <c r="J315" s="4">
        <f>SUMIFS(Tab_03.Mar[MOVIMENTO],Tab_03.Mar[CONTA],$F315)</f>
        <v>1291.93</v>
      </c>
      <c r="K315" s="4">
        <f>SUMIFS(Tab_04.Abr[MOVIMENTO],Tab_04.Abr[CONTA],$F315)</f>
        <v>2476.92</v>
      </c>
      <c r="L315" s="4">
        <f>SUMIFS(Tab_05.Mai[MOVIMENTO],Tab_05.Mai[CONTA],$F315)</f>
        <v>1451.38</v>
      </c>
      <c r="M315" s="4">
        <f>SUMIFS(Tab_06.Jun[MOVIMENTO],Tab_06.Jun[CONTA],$F315)</f>
        <v>1860.58</v>
      </c>
      <c r="N315" s="4">
        <f>SUMIFS(Tab_07.Jul[MOVIMENTO],Tab_07.Jul[CONTA],$F315)</f>
        <v>1860.58</v>
      </c>
      <c r="O315" s="4">
        <f>SUMIFS(Tab_08.Ago[MOVIMENTO],Tab_08.Ago[CONTA],$F315)</f>
        <v>1860.58</v>
      </c>
      <c r="P315" s="4">
        <f>SUMIFS(Tab_09.Set[MOVIMENTO],Tab_09.Set[CONTA],$F315)</f>
        <v>1263.6300000000001</v>
      </c>
      <c r="Q315" s="4">
        <f>SUMIFS(Tab_10.Out[MOVIMENTO],Tab_10.Out[CONTA],$F315)</f>
        <v>12142.14</v>
      </c>
      <c r="R315" s="4">
        <f>SUMIFS(Tab_11.Nov[MOVIMENTO],Tab_11.Nov[CONTA],$F315)</f>
        <v>1164.04</v>
      </c>
      <c r="S315" s="4">
        <f>SUMIFS(Tab_12.Dez[MOVIMENTO],Tab_12.Dez[CONTA],$F315)</f>
        <v>879.34</v>
      </c>
    </row>
    <row r="316" spans="2:19" x14ac:dyDescent="0.3">
      <c r="B316" s="3"/>
      <c r="C316" s="2" t="str">
        <f t="shared" ref="C316:C320" si="51">IF($F316="","",IF(LEFT($F316,1)*1=1,"A",IF(LEFT($F316,1)*1=2,"P",IF(LEFT($F316,1)*1=3,"R",IF(LEFT($F316,1)*1=4,"C",IF(LEFT($F316,1)*1=5,"C",IF(LEFT($F316,1)*1=6,"C","")))))))</f>
        <v>C</v>
      </c>
      <c r="D316" s="2" t="str">
        <f t="shared" ref="D316:D320" si="52">IF($F316="","",IF(LEN($F316)=13,"A","S"))</f>
        <v>S</v>
      </c>
      <c r="E316" s="2">
        <f t="shared" ref="E316:E320" si="53">IF($F316="","",IF(LEN($F316)=1,1,IF(LEN($F316)=3,2,IF(LEN($F316)=5,3,IF(LEN($F316)=8,4,5)))))</f>
        <v>5</v>
      </c>
      <c r="F316" s="3" t="s">
        <v>622</v>
      </c>
      <c r="G316" s="3" t="s">
        <v>723</v>
      </c>
      <c r="H316" s="4">
        <f>SUMIFS(Tab_01.Jan[MOVIMENTO],Tab_01.Jan[CONTA],$F316)</f>
        <v>1467.2</v>
      </c>
      <c r="I316" s="4">
        <f>SUMIFS(Tab_02.Fev[MOVIMENTO],Tab_02.Fev[CONTA],$F316)</f>
        <v>1901.38</v>
      </c>
      <c r="J316" s="4">
        <f>SUMIFS(Tab_03.Mar[MOVIMENTO],Tab_03.Mar[CONTA],$F316)</f>
        <v>1291.93</v>
      </c>
      <c r="K316" s="4">
        <f>SUMIFS(Tab_04.Abr[MOVIMENTO],Tab_04.Abr[CONTA],$F316)</f>
        <v>2476.92</v>
      </c>
      <c r="L316" s="4">
        <f>SUMIFS(Tab_05.Mai[MOVIMENTO],Tab_05.Mai[CONTA],$F316)</f>
        <v>1451.38</v>
      </c>
      <c r="M316" s="4">
        <f>SUMIFS(Tab_06.Jun[MOVIMENTO],Tab_06.Jun[CONTA],$F316)</f>
        <v>1860.58</v>
      </c>
      <c r="N316" s="4">
        <f>SUMIFS(Tab_07.Jul[MOVIMENTO],Tab_07.Jul[CONTA],$F316)</f>
        <v>1860.58</v>
      </c>
      <c r="O316" s="4">
        <f>SUMIFS(Tab_08.Ago[MOVIMENTO],Tab_08.Ago[CONTA],$F316)</f>
        <v>1860.58</v>
      </c>
      <c r="P316" s="4">
        <f>SUMIFS(Tab_09.Set[MOVIMENTO],Tab_09.Set[CONTA],$F316)</f>
        <v>1263.6300000000001</v>
      </c>
      <c r="Q316" s="4">
        <f>SUMIFS(Tab_10.Out[MOVIMENTO],Tab_10.Out[CONTA],$F316)</f>
        <v>12142.14</v>
      </c>
      <c r="R316" s="4">
        <f>SUMIFS(Tab_11.Nov[MOVIMENTO],Tab_11.Nov[CONTA],$F316)</f>
        <v>1164.04</v>
      </c>
      <c r="S316" s="4">
        <f>SUMIFS(Tab_12.Dez[MOVIMENTO],Tab_12.Dez[CONTA],$F316)</f>
        <v>879.34</v>
      </c>
    </row>
    <row r="317" spans="2:19" x14ac:dyDescent="0.3">
      <c r="B317" s="3" t="s">
        <v>105</v>
      </c>
      <c r="C317" s="2" t="str">
        <f t="shared" si="51"/>
        <v>C</v>
      </c>
      <c r="D317" s="2" t="str">
        <f t="shared" si="52"/>
        <v>A</v>
      </c>
      <c r="E317" s="2">
        <f t="shared" si="53"/>
        <v>5</v>
      </c>
      <c r="F317" s="3" t="s">
        <v>518</v>
      </c>
      <c r="G317" s="3" t="s">
        <v>519</v>
      </c>
      <c r="H317" s="4">
        <f>SUMIFS(Tab_01.Jan[MOVIMENTO],Tab_01.Jan[CONTA],$F317)</f>
        <v>1467.2</v>
      </c>
      <c r="I317" s="4">
        <f>SUMIFS(Tab_02.Fev[MOVIMENTO],Tab_02.Fev[CONTA],$F317)</f>
        <v>1901.38</v>
      </c>
      <c r="J317" s="4">
        <f>SUMIFS(Tab_03.Mar[MOVIMENTO],Tab_03.Mar[CONTA],$F317)</f>
        <v>1291.93</v>
      </c>
      <c r="K317" s="4">
        <f>SUMIFS(Tab_04.Abr[MOVIMENTO],Tab_04.Abr[CONTA],$F317)</f>
        <v>2476.92</v>
      </c>
      <c r="L317" s="4">
        <f>SUMIFS(Tab_05.Mai[MOVIMENTO],Tab_05.Mai[CONTA],$F317)</f>
        <v>1451.38</v>
      </c>
      <c r="M317" s="4">
        <f>SUMIFS(Tab_06.Jun[MOVIMENTO],Tab_06.Jun[CONTA],$F317)</f>
        <v>1860.58</v>
      </c>
      <c r="N317" s="4">
        <f>SUMIFS(Tab_07.Jul[MOVIMENTO],Tab_07.Jul[CONTA],$F317)</f>
        <v>1860.58</v>
      </c>
      <c r="O317" s="4">
        <f>SUMIFS(Tab_08.Ago[MOVIMENTO],Tab_08.Ago[CONTA],$F317)</f>
        <v>1860.58</v>
      </c>
      <c r="P317" s="4">
        <f>SUMIFS(Tab_09.Set[MOVIMENTO],Tab_09.Set[CONTA],$F317)</f>
        <v>1263.6300000000001</v>
      </c>
      <c r="Q317" s="4">
        <f>SUMIFS(Tab_10.Out[MOVIMENTO],Tab_10.Out[CONTA],$F317)</f>
        <v>12142.14</v>
      </c>
      <c r="R317" s="4">
        <f>SUMIFS(Tab_11.Nov[MOVIMENTO],Tab_11.Nov[CONTA],$F317)</f>
        <v>1164.04</v>
      </c>
      <c r="S317" s="4">
        <f>SUMIFS(Tab_12.Dez[MOVIMENTO],Tab_12.Dez[CONTA],$F317)</f>
        <v>879.34</v>
      </c>
    </row>
    <row r="318" spans="2:19" x14ac:dyDescent="0.3">
      <c r="B318" s="3"/>
      <c r="C318" s="2" t="str">
        <f t="shared" si="51"/>
        <v>C</v>
      </c>
      <c r="D318" s="2" t="str">
        <f t="shared" si="52"/>
        <v>S</v>
      </c>
      <c r="E318" s="2">
        <f t="shared" si="53"/>
        <v>5</v>
      </c>
      <c r="F318" s="3" t="s">
        <v>623</v>
      </c>
      <c r="G318" s="3" t="s">
        <v>724</v>
      </c>
      <c r="H318" s="4">
        <f>SUMIFS(Tab_01.Jan[MOVIMENTO],Tab_01.Jan[CONTA],$F318)</f>
        <v>5364.1</v>
      </c>
      <c r="I318" s="4">
        <f>SUMIFS(Tab_02.Fev[MOVIMENTO],Tab_02.Fev[CONTA],$F318)</f>
        <v>0</v>
      </c>
      <c r="J318" s="4">
        <f>SUMIFS(Tab_03.Mar[MOVIMENTO],Tab_03.Mar[CONTA],$F318)</f>
        <v>3667.05</v>
      </c>
      <c r="K318" s="4">
        <f>SUMIFS(Tab_04.Abr[MOVIMENTO],Tab_04.Abr[CONTA],$F318)</f>
        <v>3667.05</v>
      </c>
      <c r="L318" s="4">
        <f>SUMIFS(Tab_05.Mai[MOVIMENTO],Tab_05.Mai[CONTA],$F318)</f>
        <v>3667.05</v>
      </c>
      <c r="M318" s="4">
        <f>SUMIFS(Tab_06.Jun[MOVIMENTO],Tab_06.Jun[CONTA],$F318)</f>
        <v>3666.75</v>
      </c>
      <c r="N318" s="4">
        <f>SUMIFS(Tab_07.Jul[MOVIMENTO],Tab_07.Jul[CONTA],$F318)</f>
        <v>3666.75</v>
      </c>
      <c r="O318" s="4">
        <f>SUMIFS(Tab_08.Ago[MOVIMENTO],Tab_08.Ago[CONTA],$F318)</f>
        <v>3666.75</v>
      </c>
      <c r="P318" s="4">
        <f>SUMIFS(Tab_09.Set[MOVIMENTO],Tab_09.Set[CONTA],$F318)</f>
        <v>3666.75</v>
      </c>
      <c r="Q318" s="4">
        <f>SUMIFS(Tab_10.Out[MOVIMENTO],Tab_10.Out[CONTA],$F318)</f>
        <v>3666.75</v>
      </c>
      <c r="R318" s="4">
        <f>SUMIFS(Tab_11.Nov[MOVIMENTO],Tab_11.Nov[CONTA],$F318)</f>
        <v>3666.75</v>
      </c>
      <c r="S318" s="4">
        <f>SUMIFS(Tab_12.Dez[MOVIMENTO],Tab_12.Dez[CONTA],$F318)</f>
        <v>3666.75</v>
      </c>
    </row>
    <row r="319" spans="2:19" x14ac:dyDescent="0.3">
      <c r="B319" s="3"/>
      <c r="C319" s="2" t="str">
        <f t="shared" si="51"/>
        <v>C</v>
      </c>
      <c r="D319" s="2" t="str">
        <f t="shared" si="52"/>
        <v>S</v>
      </c>
      <c r="E319" s="2">
        <f t="shared" si="53"/>
        <v>5</v>
      </c>
      <c r="F319" s="3" t="s">
        <v>624</v>
      </c>
      <c r="G319" s="3" t="s">
        <v>724</v>
      </c>
      <c r="H319" s="4">
        <f>SUMIFS(Tab_01.Jan[MOVIMENTO],Tab_01.Jan[CONTA],$F319)</f>
        <v>5364.1</v>
      </c>
      <c r="I319" s="4">
        <f>SUMIFS(Tab_02.Fev[MOVIMENTO],Tab_02.Fev[CONTA],$F319)</f>
        <v>0</v>
      </c>
      <c r="J319" s="4">
        <f>SUMIFS(Tab_03.Mar[MOVIMENTO],Tab_03.Mar[CONTA],$F319)</f>
        <v>3667.05</v>
      </c>
      <c r="K319" s="4">
        <f>SUMIFS(Tab_04.Abr[MOVIMENTO],Tab_04.Abr[CONTA],$F319)</f>
        <v>3667.05</v>
      </c>
      <c r="L319" s="4">
        <f>SUMIFS(Tab_05.Mai[MOVIMENTO],Tab_05.Mai[CONTA],$F319)</f>
        <v>3667.05</v>
      </c>
      <c r="M319" s="4">
        <f>SUMIFS(Tab_06.Jun[MOVIMENTO],Tab_06.Jun[CONTA],$F319)</f>
        <v>3666.75</v>
      </c>
      <c r="N319" s="4">
        <f>SUMIFS(Tab_07.Jul[MOVIMENTO],Tab_07.Jul[CONTA],$F319)</f>
        <v>3666.75</v>
      </c>
      <c r="O319" s="4">
        <f>SUMIFS(Tab_08.Ago[MOVIMENTO],Tab_08.Ago[CONTA],$F319)</f>
        <v>3666.75</v>
      </c>
      <c r="P319" s="4">
        <f>SUMIFS(Tab_09.Set[MOVIMENTO],Tab_09.Set[CONTA],$F319)</f>
        <v>3666.75</v>
      </c>
      <c r="Q319" s="4">
        <f>SUMIFS(Tab_10.Out[MOVIMENTO],Tab_10.Out[CONTA],$F319)</f>
        <v>3666.75</v>
      </c>
      <c r="R319" s="4">
        <f>SUMIFS(Tab_11.Nov[MOVIMENTO],Tab_11.Nov[CONTA],$F319)</f>
        <v>3666.75</v>
      </c>
      <c r="S319" s="4">
        <f>SUMIFS(Tab_12.Dez[MOVIMENTO],Tab_12.Dez[CONTA],$F319)</f>
        <v>3666.75</v>
      </c>
    </row>
    <row r="320" spans="2:19" x14ac:dyDescent="0.3">
      <c r="B320" s="3" t="s">
        <v>109</v>
      </c>
      <c r="C320" s="2" t="str">
        <f t="shared" si="51"/>
        <v>C</v>
      </c>
      <c r="D320" s="2" t="str">
        <f t="shared" si="52"/>
        <v>A</v>
      </c>
      <c r="E320" s="2">
        <f t="shared" si="53"/>
        <v>5</v>
      </c>
      <c r="F320" s="3" t="s">
        <v>520</v>
      </c>
      <c r="G320" s="3" t="s">
        <v>521</v>
      </c>
      <c r="H320" s="4">
        <f>SUMIFS(Tab_01.Jan[MOVIMENTO],Tab_01.Jan[CONTA],$F320)</f>
        <v>5364.1</v>
      </c>
      <c r="I320" s="4">
        <f>SUMIFS(Tab_02.Fev[MOVIMENTO],Tab_02.Fev[CONTA],$F320)</f>
        <v>0</v>
      </c>
      <c r="J320" s="4">
        <f>SUMIFS(Tab_03.Mar[MOVIMENTO],Tab_03.Mar[CONTA],$F320)</f>
        <v>3667.05</v>
      </c>
      <c r="K320" s="4">
        <f>SUMIFS(Tab_04.Abr[MOVIMENTO],Tab_04.Abr[CONTA],$F320)</f>
        <v>3667.05</v>
      </c>
      <c r="L320" s="4">
        <f>SUMIFS(Tab_05.Mai[MOVIMENTO],Tab_05.Mai[CONTA],$F320)</f>
        <v>3667.05</v>
      </c>
      <c r="M320" s="4">
        <f>SUMIFS(Tab_06.Jun[MOVIMENTO],Tab_06.Jun[CONTA],$F320)</f>
        <v>3666.75</v>
      </c>
      <c r="N320" s="4">
        <f>SUMIFS(Tab_07.Jul[MOVIMENTO],Tab_07.Jul[CONTA],$F320)</f>
        <v>3666.75</v>
      </c>
      <c r="O320" s="4">
        <f>SUMIFS(Tab_08.Ago[MOVIMENTO],Tab_08.Ago[CONTA],$F320)</f>
        <v>3666.75</v>
      </c>
      <c r="P320" s="4">
        <f>SUMIFS(Tab_09.Set[MOVIMENTO],Tab_09.Set[CONTA],$F320)</f>
        <v>3666.75</v>
      </c>
      <c r="Q320" s="4">
        <f>SUMIFS(Tab_10.Out[MOVIMENTO],Tab_10.Out[CONTA],$F320)</f>
        <v>3666.75</v>
      </c>
      <c r="R320" s="4">
        <f>SUMIFS(Tab_11.Nov[MOVIMENTO],Tab_11.Nov[CONTA],$F320)</f>
        <v>3666.75</v>
      </c>
      <c r="S320" s="4">
        <f>SUMIFS(Tab_12.Dez[MOVIMENTO],Tab_12.Dez[CONTA],$F320)</f>
        <v>3666.75</v>
      </c>
    </row>
    <row r="321" spans="2:19" x14ac:dyDescent="0.3">
      <c r="B321" s="3"/>
      <c r="C321" s="2" t="str">
        <f t="shared" ref="C321:C326" si="54">IF($F321="","",IF(LEFT($F321,1)*1=1,"A",IF(LEFT($F321,1)*1=2,"P",IF(LEFT($F321,1)*1=3,"R",IF(LEFT($F321,1)*1=4,"C",IF(LEFT($F321,1)*1=5,"C",IF(LEFT($F321,1)*1=6,"C","")))))))</f>
        <v>C</v>
      </c>
      <c r="D321" s="2" t="str">
        <f t="shared" ref="D321:D326" si="55">IF($F321="","",IF(LEN($F321)=13,"A","S"))</f>
        <v>S</v>
      </c>
      <c r="E321" s="2">
        <f t="shared" ref="E321:E326" si="56">IF($F321="","",IF(LEN($F321)=1,1,IF(LEN($F321)=3,2,IF(LEN($F321)=5,3,IF(LEN($F321)=8,4,5)))))</f>
        <v>5</v>
      </c>
      <c r="F321" s="3" t="s">
        <v>625</v>
      </c>
      <c r="G321" s="3" t="s">
        <v>542</v>
      </c>
      <c r="H321" s="4">
        <f>SUMIFS(Tab_01.Jan[MOVIMENTO],Tab_01.Jan[CONTA],$F321)</f>
        <v>3062.08</v>
      </c>
      <c r="I321" s="4">
        <f>SUMIFS(Tab_02.Fev[MOVIMENTO],Tab_02.Fev[CONTA],$F321)</f>
        <v>3891.67</v>
      </c>
      <c r="J321" s="4">
        <f>SUMIFS(Tab_03.Mar[MOVIMENTO],Tab_03.Mar[CONTA],$F321)</f>
        <v>18828.060000000001</v>
      </c>
      <c r="K321" s="4">
        <f>SUMIFS(Tab_04.Abr[MOVIMENTO],Tab_04.Abr[CONTA],$F321)</f>
        <v>1982.28</v>
      </c>
      <c r="L321" s="4">
        <f>SUMIFS(Tab_05.Mai[MOVIMENTO],Tab_05.Mai[CONTA],$F321)</f>
        <v>3712.5</v>
      </c>
      <c r="M321" s="4">
        <f>SUMIFS(Tab_06.Jun[MOVIMENTO],Tab_06.Jun[CONTA],$F321)</f>
        <v>2665.14</v>
      </c>
      <c r="N321" s="4">
        <f>SUMIFS(Tab_07.Jul[MOVIMENTO],Tab_07.Jul[CONTA],$F321)</f>
        <v>2665.14</v>
      </c>
      <c r="O321" s="4">
        <f>SUMIFS(Tab_08.Ago[MOVIMENTO],Tab_08.Ago[CONTA],$F321)</f>
        <v>2665.14</v>
      </c>
      <c r="P321" s="4">
        <f>SUMIFS(Tab_09.Set[MOVIMENTO],Tab_09.Set[CONTA],$F321)</f>
        <v>3516.07</v>
      </c>
      <c r="Q321" s="4">
        <f>SUMIFS(Tab_10.Out[MOVIMENTO],Tab_10.Out[CONTA],$F321)</f>
        <v>5156.5</v>
      </c>
      <c r="R321" s="4">
        <f>SUMIFS(Tab_11.Nov[MOVIMENTO],Tab_11.Nov[CONTA],$F321)</f>
        <v>5206.87</v>
      </c>
      <c r="S321" s="4">
        <f>SUMIFS(Tab_12.Dez[MOVIMENTO],Tab_12.Dez[CONTA],$F321)</f>
        <v>9434.7199999999993</v>
      </c>
    </row>
    <row r="322" spans="2:19" x14ac:dyDescent="0.3">
      <c r="B322" s="3"/>
      <c r="C322" s="2" t="str">
        <f t="shared" si="54"/>
        <v>C</v>
      </c>
      <c r="D322" s="2" t="str">
        <f t="shared" si="55"/>
        <v>S</v>
      </c>
      <c r="E322" s="2">
        <f t="shared" si="56"/>
        <v>5</v>
      </c>
      <c r="F322" s="3" t="s">
        <v>626</v>
      </c>
      <c r="G322" s="3" t="s">
        <v>725</v>
      </c>
      <c r="H322" s="4">
        <f>SUMIFS(Tab_01.Jan[MOVIMENTO],Tab_01.Jan[CONTA],$F322)</f>
        <v>1075.6099999999999</v>
      </c>
      <c r="I322" s="4">
        <f>SUMIFS(Tab_02.Fev[MOVIMENTO],Tab_02.Fev[CONTA],$F322)</f>
        <v>1344.3</v>
      </c>
      <c r="J322" s="4">
        <f>SUMIFS(Tab_03.Mar[MOVIMENTO],Tab_03.Mar[CONTA],$F322)</f>
        <v>13022.99</v>
      </c>
      <c r="K322" s="4">
        <f>SUMIFS(Tab_04.Abr[MOVIMENTO],Tab_04.Abr[CONTA],$F322)</f>
        <v>425.45</v>
      </c>
      <c r="L322" s="4">
        <f>SUMIFS(Tab_05.Mai[MOVIMENTO],Tab_05.Mai[CONTA],$F322)</f>
        <v>115.5</v>
      </c>
      <c r="M322" s="4">
        <f>SUMIFS(Tab_06.Jun[MOVIMENTO],Tab_06.Jun[CONTA],$F322)</f>
        <v>99.82</v>
      </c>
      <c r="N322" s="4">
        <f>SUMIFS(Tab_07.Jul[MOVIMENTO],Tab_07.Jul[CONTA],$F322)</f>
        <v>99.82</v>
      </c>
      <c r="O322" s="4">
        <f>SUMIFS(Tab_08.Ago[MOVIMENTO],Tab_08.Ago[CONTA],$F322)</f>
        <v>99.82</v>
      </c>
      <c r="P322" s="4">
        <f>SUMIFS(Tab_09.Set[MOVIMENTO],Tab_09.Set[CONTA],$F322)</f>
        <v>13.14</v>
      </c>
      <c r="Q322" s="4">
        <f>SUMIFS(Tab_10.Out[MOVIMENTO],Tab_10.Out[CONTA],$F322)</f>
        <v>0</v>
      </c>
      <c r="R322" s="4">
        <f>SUMIFS(Tab_11.Nov[MOVIMENTO],Tab_11.Nov[CONTA],$F322)</f>
        <v>1343.24</v>
      </c>
      <c r="S322" s="4">
        <f>SUMIFS(Tab_12.Dez[MOVIMENTO],Tab_12.Dez[CONTA],$F322)</f>
        <v>24.62</v>
      </c>
    </row>
    <row r="323" spans="2:19" x14ac:dyDescent="0.3">
      <c r="B323" s="3" t="s">
        <v>108</v>
      </c>
      <c r="C323" s="2" t="str">
        <f t="shared" si="54"/>
        <v>C</v>
      </c>
      <c r="D323" s="2" t="str">
        <f t="shared" si="55"/>
        <v>A</v>
      </c>
      <c r="E323" s="2">
        <f t="shared" si="56"/>
        <v>5</v>
      </c>
      <c r="F323" s="3" t="s">
        <v>522</v>
      </c>
      <c r="G323" s="3" t="s">
        <v>523</v>
      </c>
      <c r="H323" s="4">
        <f>SUMIFS(Tab_01.Jan[MOVIMENTO],Tab_01.Jan[CONTA],$F323)</f>
        <v>1075.6099999999999</v>
      </c>
      <c r="I323" s="4">
        <f>SUMIFS(Tab_02.Fev[MOVIMENTO],Tab_02.Fev[CONTA],$F323)</f>
        <v>1328.97</v>
      </c>
      <c r="J323" s="4">
        <f>SUMIFS(Tab_03.Mar[MOVIMENTO],Tab_03.Mar[CONTA],$F323)</f>
        <v>13007.66</v>
      </c>
      <c r="K323" s="4">
        <f>SUMIFS(Tab_04.Abr[MOVIMENTO],Tab_04.Abr[CONTA],$F323)</f>
        <v>0</v>
      </c>
      <c r="L323" s="4">
        <f>SUMIFS(Tab_05.Mai[MOVIMENTO],Tab_05.Mai[CONTA],$F323)</f>
        <v>115.5</v>
      </c>
      <c r="M323" s="4">
        <f>SUMIFS(Tab_06.Jun[MOVIMENTO],Tab_06.Jun[CONTA],$F323)</f>
        <v>0</v>
      </c>
      <c r="N323" s="4">
        <f>SUMIFS(Tab_07.Jul[MOVIMENTO],Tab_07.Jul[CONTA],$F323)</f>
        <v>0</v>
      </c>
      <c r="O323" s="4">
        <f>SUMIFS(Tab_08.Ago[MOVIMENTO],Tab_08.Ago[CONTA],$F323)</f>
        <v>0</v>
      </c>
      <c r="P323" s="4">
        <f>SUMIFS(Tab_09.Set[MOVIMENTO],Tab_09.Set[CONTA],$F323)</f>
        <v>0</v>
      </c>
      <c r="Q323" s="4">
        <f>SUMIFS(Tab_10.Out[MOVIMENTO],Tab_10.Out[CONTA],$F323)</f>
        <v>0</v>
      </c>
      <c r="R323" s="4">
        <f>SUMIFS(Tab_11.Nov[MOVIMENTO],Tab_11.Nov[CONTA],$F323)</f>
        <v>1326.6</v>
      </c>
      <c r="S323" s="4">
        <f>SUMIFS(Tab_12.Dez[MOVIMENTO],Tab_12.Dez[CONTA],$F323)</f>
        <v>0</v>
      </c>
    </row>
    <row r="324" spans="2:19" x14ac:dyDescent="0.3">
      <c r="B324" s="3" t="s">
        <v>67</v>
      </c>
      <c r="C324" s="2" t="str">
        <f t="shared" si="54"/>
        <v>C</v>
      </c>
      <c r="D324" s="2" t="str">
        <f t="shared" si="55"/>
        <v>A</v>
      </c>
      <c r="E324" s="2">
        <f t="shared" si="56"/>
        <v>5</v>
      </c>
      <c r="F324" s="3" t="s">
        <v>524</v>
      </c>
      <c r="G324" s="3" t="s">
        <v>525</v>
      </c>
      <c r="H324" s="4">
        <f>SUMIFS(Tab_01.Jan[MOVIMENTO],Tab_01.Jan[CONTA],$F324)</f>
        <v>0</v>
      </c>
      <c r="I324" s="4">
        <f>SUMIFS(Tab_02.Fev[MOVIMENTO],Tab_02.Fev[CONTA],$F324)</f>
        <v>15.33</v>
      </c>
      <c r="J324" s="4">
        <f>SUMIFS(Tab_03.Mar[MOVIMENTO],Tab_03.Mar[CONTA],$F324)</f>
        <v>15.33</v>
      </c>
      <c r="K324" s="4">
        <f>SUMIFS(Tab_04.Abr[MOVIMENTO],Tab_04.Abr[CONTA],$F324)</f>
        <v>425.45</v>
      </c>
      <c r="L324" s="4">
        <f>SUMIFS(Tab_05.Mai[MOVIMENTO],Tab_05.Mai[CONTA],$F324)</f>
        <v>0</v>
      </c>
      <c r="M324" s="4">
        <f>SUMIFS(Tab_06.Jun[MOVIMENTO],Tab_06.Jun[CONTA],$F324)</f>
        <v>99.82</v>
      </c>
      <c r="N324" s="4">
        <f>SUMIFS(Tab_07.Jul[MOVIMENTO],Tab_07.Jul[CONTA],$F324)</f>
        <v>99.82</v>
      </c>
      <c r="O324" s="4">
        <f>SUMIFS(Tab_08.Ago[MOVIMENTO],Tab_08.Ago[CONTA],$F324)</f>
        <v>99.82</v>
      </c>
      <c r="P324" s="4">
        <f>SUMIFS(Tab_09.Set[MOVIMENTO],Tab_09.Set[CONTA],$F324)</f>
        <v>13.14</v>
      </c>
      <c r="Q324" s="4">
        <f>SUMIFS(Tab_10.Out[MOVIMENTO],Tab_10.Out[CONTA],$F324)</f>
        <v>0</v>
      </c>
      <c r="R324" s="4">
        <f>SUMIFS(Tab_11.Nov[MOVIMENTO],Tab_11.Nov[CONTA],$F324)</f>
        <v>16.64</v>
      </c>
      <c r="S324" s="4">
        <f>SUMIFS(Tab_12.Dez[MOVIMENTO],Tab_12.Dez[CONTA],$F324)</f>
        <v>24.62</v>
      </c>
    </row>
    <row r="325" spans="2:19" x14ac:dyDescent="0.3">
      <c r="B325" s="3" t="s">
        <v>108</v>
      </c>
      <c r="C325" s="2" t="str">
        <f t="shared" si="54"/>
        <v>C</v>
      </c>
      <c r="D325" s="2" t="str">
        <f t="shared" si="55"/>
        <v>A</v>
      </c>
      <c r="E325" s="2">
        <f t="shared" si="56"/>
        <v>5</v>
      </c>
      <c r="F325" s="3" t="s">
        <v>526</v>
      </c>
      <c r="G325" s="3" t="s">
        <v>527</v>
      </c>
      <c r="H325" s="4">
        <f>SUMIFS(Tab_01.Jan[MOVIMENTO],Tab_01.Jan[CONTA],$F325)</f>
        <v>0</v>
      </c>
      <c r="I325" s="4">
        <f>SUMIFS(Tab_02.Fev[MOVIMENTO],Tab_02.Fev[CONTA],$F325)</f>
        <v>0</v>
      </c>
      <c r="J325" s="4">
        <f>SUMIFS(Tab_03.Mar[MOVIMENTO],Tab_03.Mar[CONTA],$F325)</f>
        <v>0</v>
      </c>
      <c r="K325" s="4">
        <f>SUMIFS(Tab_04.Abr[MOVIMENTO],Tab_04.Abr[CONTA],$F325)</f>
        <v>0</v>
      </c>
      <c r="L325" s="4">
        <f>SUMIFS(Tab_05.Mai[MOVIMENTO],Tab_05.Mai[CONTA],$F325)</f>
        <v>0</v>
      </c>
      <c r="M325" s="4">
        <f>SUMIFS(Tab_06.Jun[MOVIMENTO],Tab_06.Jun[CONTA],$F325)</f>
        <v>0</v>
      </c>
      <c r="N325" s="4">
        <f>SUMIFS(Tab_07.Jul[MOVIMENTO],Tab_07.Jul[CONTA],$F325)</f>
        <v>0</v>
      </c>
      <c r="O325" s="4">
        <f>SUMIFS(Tab_08.Ago[MOVIMENTO],Tab_08.Ago[CONTA],$F325)</f>
        <v>0</v>
      </c>
      <c r="P325" s="4">
        <f>SUMIFS(Tab_09.Set[MOVIMENTO],Tab_09.Set[CONTA],$F325)</f>
        <v>0</v>
      </c>
      <c r="Q325" s="4">
        <f>SUMIFS(Tab_10.Out[MOVIMENTO],Tab_10.Out[CONTA],$F325)</f>
        <v>0</v>
      </c>
      <c r="R325" s="4">
        <f>SUMIFS(Tab_11.Nov[MOVIMENTO],Tab_11.Nov[CONTA],$F325)</f>
        <v>0</v>
      </c>
      <c r="S325" s="4">
        <f>SUMIFS(Tab_12.Dez[MOVIMENTO],Tab_12.Dez[CONTA],$F325)</f>
        <v>0</v>
      </c>
    </row>
    <row r="326" spans="2:19" x14ac:dyDescent="0.3">
      <c r="B326" s="3"/>
      <c r="C326" s="2" t="str">
        <f t="shared" si="54"/>
        <v>C</v>
      </c>
      <c r="D326" s="2" t="str">
        <f t="shared" si="55"/>
        <v>S</v>
      </c>
      <c r="E326" s="2">
        <f t="shared" si="56"/>
        <v>5</v>
      </c>
      <c r="F326" s="3" t="s">
        <v>627</v>
      </c>
      <c r="G326" s="3" t="s">
        <v>542</v>
      </c>
      <c r="H326" s="4">
        <f>SUMIFS(Tab_01.Jan[MOVIMENTO],Tab_01.Jan[CONTA],$F326)</f>
        <v>1986.47</v>
      </c>
      <c r="I326" s="4">
        <f>SUMIFS(Tab_02.Fev[MOVIMENTO],Tab_02.Fev[CONTA],$F326)</f>
        <v>2547.37</v>
      </c>
      <c r="J326" s="4">
        <f>SUMIFS(Tab_03.Mar[MOVIMENTO],Tab_03.Mar[CONTA],$F326)</f>
        <v>5805.07</v>
      </c>
      <c r="K326" s="4">
        <f>SUMIFS(Tab_04.Abr[MOVIMENTO],Tab_04.Abr[CONTA],$F326)</f>
        <v>1556.83</v>
      </c>
      <c r="L326" s="4">
        <f>SUMIFS(Tab_05.Mai[MOVIMENTO],Tab_05.Mai[CONTA],$F326)</f>
        <v>3597</v>
      </c>
      <c r="M326" s="4">
        <f>SUMIFS(Tab_06.Jun[MOVIMENTO],Tab_06.Jun[CONTA],$F326)</f>
        <v>2565.3200000000002</v>
      </c>
      <c r="N326" s="4">
        <f>SUMIFS(Tab_07.Jul[MOVIMENTO],Tab_07.Jul[CONTA],$F326)</f>
        <v>2565.3200000000002</v>
      </c>
      <c r="O326" s="4">
        <f>SUMIFS(Tab_08.Ago[MOVIMENTO],Tab_08.Ago[CONTA],$F326)</f>
        <v>2565.3200000000002</v>
      </c>
      <c r="P326" s="4">
        <f>SUMIFS(Tab_09.Set[MOVIMENTO],Tab_09.Set[CONTA],$F326)</f>
        <v>3502.93</v>
      </c>
      <c r="Q326" s="4">
        <f>SUMIFS(Tab_10.Out[MOVIMENTO],Tab_10.Out[CONTA],$F326)</f>
        <v>5156.5</v>
      </c>
      <c r="R326" s="4">
        <f>SUMIFS(Tab_11.Nov[MOVIMENTO],Tab_11.Nov[CONTA],$F326)</f>
        <v>3863.63</v>
      </c>
      <c r="S326" s="4">
        <f>SUMIFS(Tab_12.Dez[MOVIMENTO],Tab_12.Dez[CONTA],$F326)</f>
        <v>9410.1</v>
      </c>
    </row>
    <row r="327" spans="2:19" x14ac:dyDescent="0.3">
      <c r="B327" s="3" t="s">
        <v>105</v>
      </c>
      <c r="C327" s="2" t="str">
        <f t="shared" ref="C327:C328" si="57">IF($F327="","",IF(LEFT($F327,1)*1=1,"A",IF(LEFT($F327,1)*1=2,"P",IF(LEFT($F327,1)*1=3,"R",IF(LEFT($F327,1)*1=4,"C",IF(LEFT($F327,1)*1=5,"C",IF(LEFT($F327,1)*1=6,"C","")))))))</f>
        <v>C</v>
      </c>
      <c r="D327" s="2" t="str">
        <f t="shared" ref="D327:D328" si="58">IF($F327="","",IF(LEN($F327)=13,"A","S"))</f>
        <v>A</v>
      </c>
      <c r="E327" s="2">
        <f t="shared" ref="E327:E328" si="59">IF($F327="","",IF(LEN($F327)=1,1,IF(LEN($F327)=3,2,IF(LEN($F327)=5,3,IF(LEN($F327)=8,4,5)))))</f>
        <v>5</v>
      </c>
      <c r="F327" s="3" t="s">
        <v>528</v>
      </c>
      <c r="G327" s="3" t="s">
        <v>416</v>
      </c>
      <c r="H327" s="4">
        <f>SUMIFS(Tab_01.Jan[MOVIMENTO],Tab_01.Jan[CONTA],$F327)</f>
        <v>100.59</v>
      </c>
      <c r="I327" s="4">
        <f>SUMIFS(Tab_02.Fev[MOVIMENTO],Tab_02.Fev[CONTA],$F327)</f>
        <v>0</v>
      </c>
      <c r="J327" s="4">
        <f>SUMIFS(Tab_03.Mar[MOVIMENTO],Tab_03.Mar[CONTA],$F327)</f>
        <v>199.18</v>
      </c>
      <c r="K327" s="4">
        <f>SUMIFS(Tab_04.Abr[MOVIMENTO],Tab_04.Abr[CONTA],$F327)</f>
        <v>50</v>
      </c>
      <c r="L327" s="4">
        <f>SUMIFS(Tab_05.Mai[MOVIMENTO],Tab_05.Mai[CONTA],$F327)</f>
        <v>94.81</v>
      </c>
      <c r="M327" s="4">
        <f>SUMIFS(Tab_06.Jun[MOVIMENTO],Tab_06.Jun[CONTA],$F327)</f>
        <v>121.89</v>
      </c>
      <c r="N327" s="4">
        <f>SUMIFS(Tab_07.Jul[MOVIMENTO],Tab_07.Jul[CONTA],$F327)</f>
        <v>121.89</v>
      </c>
      <c r="O327" s="4">
        <f>SUMIFS(Tab_08.Ago[MOVIMENTO],Tab_08.Ago[CONTA],$F327)</f>
        <v>121.89</v>
      </c>
      <c r="P327" s="4">
        <f>SUMIFS(Tab_09.Set[MOVIMENTO],Tab_09.Set[CONTA],$F327)</f>
        <v>282</v>
      </c>
      <c r="Q327" s="4">
        <f>SUMIFS(Tab_10.Out[MOVIMENTO],Tab_10.Out[CONTA],$F327)</f>
        <v>787.32</v>
      </c>
      <c r="R327" s="4">
        <f>SUMIFS(Tab_11.Nov[MOVIMENTO],Tab_11.Nov[CONTA],$F327)</f>
        <v>0</v>
      </c>
      <c r="S327" s="4">
        <f>SUMIFS(Tab_12.Dez[MOVIMENTO],Tab_12.Dez[CONTA],$F327)</f>
        <v>0</v>
      </c>
    </row>
    <row r="328" spans="2:19" x14ac:dyDescent="0.3">
      <c r="B328" s="3" t="s">
        <v>105</v>
      </c>
      <c r="C328" s="2" t="str">
        <f t="shared" si="57"/>
        <v>C</v>
      </c>
      <c r="D328" s="2" t="str">
        <f t="shared" si="58"/>
        <v>A</v>
      </c>
      <c r="E328" s="2">
        <f t="shared" si="59"/>
        <v>5</v>
      </c>
      <c r="F328" s="3" t="s">
        <v>529</v>
      </c>
      <c r="G328" s="3" t="s">
        <v>530</v>
      </c>
      <c r="H328" s="4">
        <f>SUMIFS(Tab_01.Jan[MOVIMENTO],Tab_01.Jan[CONTA],$F328)</f>
        <v>0</v>
      </c>
      <c r="I328" s="4">
        <f>SUMIFS(Tab_02.Fev[MOVIMENTO],Tab_02.Fev[CONTA],$F328)</f>
        <v>0</v>
      </c>
      <c r="J328" s="4">
        <f>SUMIFS(Tab_03.Mar[MOVIMENTO],Tab_03.Mar[CONTA],$F328)</f>
        <v>0</v>
      </c>
      <c r="K328" s="4">
        <f>SUMIFS(Tab_04.Abr[MOVIMENTO],Tab_04.Abr[CONTA],$F328)</f>
        <v>0</v>
      </c>
      <c r="L328" s="4">
        <f>SUMIFS(Tab_05.Mai[MOVIMENTO],Tab_05.Mai[CONTA],$F328)</f>
        <v>0</v>
      </c>
      <c r="M328" s="4">
        <f>SUMIFS(Tab_06.Jun[MOVIMENTO],Tab_06.Jun[CONTA],$F328)</f>
        <v>0</v>
      </c>
      <c r="N328" s="4">
        <f>SUMIFS(Tab_07.Jul[MOVIMENTO],Tab_07.Jul[CONTA],$F328)</f>
        <v>0</v>
      </c>
      <c r="O328" s="4">
        <f>SUMIFS(Tab_08.Ago[MOVIMENTO],Tab_08.Ago[CONTA],$F328)</f>
        <v>0</v>
      </c>
      <c r="P328" s="4">
        <f>SUMIFS(Tab_09.Set[MOVIMENTO],Tab_09.Set[CONTA],$F328)</f>
        <v>91.32</v>
      </c>
      <c r="Q328" s="4">
        <f>SUMIFS(Tab_10.Out[MOVIMENTO],Tab_10.Out[CONTA],$F328)</f>
        <v>500</v>
      </c>
      <c r="R328" s="4">
        <f>SUMIFS(Tab_11.Nov[MOVIMENTO],Tab_11.Nov[CONTA],$F328)</f>
        <v>0</v>
      </c>
      <c r="S328" s="4">
        <f>SUMIFS(Tab_12.Dez[MOVIMENTO],Tab_12.Dez[CONTA],$F328)</f>
        <v>0</v>
      </c>
    </row>
    <row r="329" spans="2:19" x14ac:dyDescent="0.3">
      <c r="B329" s="3" t="s">
        <v>105</v>
      </c>
      <c r="C329" s="2" t="str">
        <f>IF($F329="","",IF(LEFT($F329,1)*1=1,"A",IF(LEFT($F329,1)*1=2,"P",IF(LEFT($F329,1)*1=3,"R",IF(LEFT($F329,1)*1=4,"C",IF(LEFT($F329,1)*1=5,"C",IF(LEFT($F329,1)*1=6,"C","")))))))</f>
        <v>C</v>
      </c>
      <c r="D329" s="2" t="str">
        <f>IF($F329="","",IF(LEN($F329)=13,"A","S"))</f>
        <v>A</v>
      </c>
      <c r="E329" s="2">
        <f>IF($F329="","",IF(LEN($F329)=1,1,IF(LEN($F329)=3,2,IF(LEN($F329)=5,3,IF(LEN($F329)=8,4,5)))))</f>
        <v>5</v>
      </c>
      <c r="F329" s="3" t="s">
        <v>531</v>
      </c>
      <c r="G329" s="3" t="s">
        <v>532</v>
      </c>
      <c r="H329" s="4">
        <f>SUMIFS(Tab_01.Jan[MOVIMENTO],Tab_01.Jan[CONTA],$F329)</f>
        <v>114</v>
      </c>
      <c r="I329" s="4">
        <f>SUMIFS(Tab_02.Fev[MOVIMENTO],Tab_02.Fev[CONTA],$F329)</f>
        <v>62.97</v>
      </c>
      <c r="J329" s="4">
        <f>SUMIFS(Tab_03.Mar[MOVIMENTO],Tab_03.Mar[CONTA],$F329)</f>
        <v>0</v>
      </c>
      <c r="K329" s="4">
        <f>SUMIFS(Tab_04.Abr[MOVIMENTO],Tab_04.Abr[CONTA],$F329)</f>
        <v>93.26</v>
      </c>
      <c r="L329" s="4">
        <f>SUMIFS(Tab_05.Mai[MOVIMENTO],Tab_05.Mai[CONTA],$F329)</f>
        <v>153.81</v>
      </c>
      <c r="M329" s="4">
        <f>SUMIFS(Tab_06.Jun[MOVIMENTO],Tab_06.Jun[CONTA],$F329)</f>
        <v>616.04999999999995</v>
      </c>
      <c r="N329" s="4">
        <f>SUMIFS(Tab_07.Jul[MOVIMENTO],Tab_07.Jul[CONTA],$F329)</f>
        <v>616.04999999999995</v>
      </c>
      <c r="O329" s="4">
        <f>SUMIFS(Tab_08.Ago[MOVIMENTO],Tab_08.Ago[CONTA],$F329)</f>
        <v>616.04999999999995</v>
      </c>
      <c r="P329" s="4">
        <f>SUMIFS(Tab_09.Set[MOVIMENTO],Tab_09.Set[CONTA],$F329)</f>
        <v>176.92</v>
      </c>
      <c r="Q329" s="4">
        <f>SUMIFS(Tab_10.Out[MOVIMENTO],Tab_10.Out[CONTA],$F329)</f>
        <v>169.5</v>
      </c>
      <c r="R329" s="4">
        <f>SUMIFS(Tab_11.Nov[MOVIMENTO],Tab_11.Nov[CONTA],$F329)</f>
        <v>56.68</v>
      </c>
      <c r="S329" s="4">
        <f>SUMIFS(Tab_12.Dez[MOVIMENTO],Tab_12.Dez[CONTA],$F329)</f>
        <v>44.28</v>
      </c>
    </row>
    <row r="330" spans="2:19" x14ac:dyDescent="0.3">
      <c r="B330" s="3" t="s">
        <v>105</v>
      </c>
      <c r="C330" s="2" t="str">
        <f t="shared" ref="C330:C347" si="60">IF($F330="","",IF(LEFT($F330,1)*1=1,"A",IF(LEFT($F330,1)*1=2,"P",IF(LEFT($F330,1)*1=3,"R",IF(LEFT($F330,1)*1=4,"C",IF(LEFT($F330,1)*1=5,"C",IF(LEFT($F330,1)*1=6,"C","")))))))</f>
        <v>C</v>
      </c>
      <c r="D330" s="2" t="str">
        <f t="shared" ref="D330:D347" si="61">IF($F330="","",IF(LEN($F330)=13,"A","S"))</f>
        <v>A</v>
      </c>
      <c r="E330" s="2">
        <f t="shared" ref="E330:E347" si="62">IF($F330="","",IF(LEN($F330)=1,1,IF(LEN($F330)=3,2,IF(LEN($F330)=5,3,IF(LEN($F330)=8,4,5)))))</f>
        <v>5</v>
      </c>
      <c r="F330" s="3" t="s">
        <v>533</v>
      </c>
      <c r="G330" s="3" t="s">
        <v>534</v>
      </c>
      <c r="H330" s="4">
        <f>SUMIFS(Tab_01.Jan[MOVIMENTO],Tab_01.Jan[CONTA],$F330)</f>
        <v>350</v>
      </c>
      <c r="I330" s="4">
        <f>SUMIFS(Tab_02.Fev[MOVIMENTO],Tab_02.Fev[CONTA],$F330)</f>
        <v>0</v>
      </c>
      <c r="J330" s="4">
        <f>SUMIFS(Tab_03.Mar[MOVIMENTO],Tab_03.Mar[CONTA],$F330)</f>
        <v>0</v>
      </c>
      <c r="K330" s="4">
        <f>SUMIFS(Tab_04.Abr[MOVIMENTO],Tab_04.Abr[CONTA],$F330)</f>
        <v>0</v>
      </c>
      <c r="L330" s="4">
        <f>SUMIFS(Tab_05.Mai[MOVIMENTO],Tab_05.Mai[CONTA],$F330)</f>
        <v>1400</v>
      </c>
      <c r="M330" s="4">
        <f>SUMIFS(Tab_06.Jun[MOVIMENTO],Tab_06.Jun[CONTA],$F330)</f>
        <v>350</v>
      </c>
      <c r="N330" s="4">
        <f>SUMIFS(Tab_07.Jul[MOVIMENTO],Tab_07.Jul[CONTA],$F330)</f>
        <v>350</v>
      </c>
      <c r="O330" s="4">
        <f>SUMIFS(Tab_08.Ago[MOVIMENTO],Tab_08.Ago[CONTA],$F330)</f>
        <v>350</v>
      </c>
      <c r="P330" s="4">
        <f>SUMIFS(Tab_09.Set[MOVIMENTO],Tab_09.Set[CONTA],$F330)</f>
        <v>1098.9100000000001</v>
      </c>
      <c r="Q330" s="4">
        <f>SUMIFS(Tab_10.Out[MOVIMENTO],Tab_10.Out[CONTA],$F330)</f>
        <v>1190</v>
      </c>
      <c r="R330" s="4">
        <f>SUMIFS(Tab_11.Nov[MOVIMENTO],Tab_11.Nov[CONTA],$F330)</f>
        <v>2071.2800000000002</v>
      </c>
      <c r="S330" s="4">
        <f>SUMIFS(Tab_12.Dez[MOVIMENTO],Tab_12.Dez[CONTA],$F330)</f>
        <v>7010</v>
      </c>
    </row>
    <row r="331" spans="2:19" x14ac:dyDescent="0.3">
      <c r="B331" s="3" t="s">
        <v>105</v>
      </c>
      <c r="C331" s="2" t="str">
        <f t="shared" si="60"/>
        <v>C</v>
      </c>
      <c r="D331" s="2" t="str">
        <f t="shared" si="61"/>
        <v>A</v>
      </c>
      <c r="E331" s="2">
        <f t="shared" si="62"/>
        <v>5</v>
      </c>
      <c r="F331" s="3" t="s">
        <v>535</v>
      </c>
      <c r="G331" s="3" t="s">
        <v>536</v>
      </c>
      <c r="H331" s="4">
        <f>SUMIFS(Tab_01.Jan[MOVIMENTO],Tab_01.Jan[CONTA],$F331)</f>
        <v>0</v>
      </c>
      <c r="I331" s="4">
        <f>SUMIFS(Tab_02.Fev[MOVIMENTO],Tab_02.Fev[CONTA],$F331)</f>
        <v>0</v>
      </c>
      <c r="J331" s="4">
        <f>SUMIFS(Tab_03.Mar[MOVIMENTO],Tab_03.Mar[CONTA],$F331)</f>
        <v>0</v>
      </c>
      <c r="K331" s="4">
        <f>SUMIFS(Tab_04.Abr[MOVIMENTO],Tab_04.Abr[CONTA],$F331)</f>
        <v>0</v>
      </c>
      <c r="L331" s="4">
        <f>SUMIFS(Tab_05.Mai[MOVIMENTO],Tab_05.Mai[CONTA],$F331)</f>
        <v>0</v>
      </c>
      <c r="M331" s="4">
        <f>SUMIFS(Tab_06.Jun[MOVIMENTO],Tab_06.Jun[CONTA],$F331)</f>
        <v>0</v>
      </c>
      <c r="N331" s="4">
        <f>SUMIFS(Tab_07.Jul[MOVIMENTO],Tab_07.Jul[CONTA],$F331)</f>
        <v>0</v>
      </c>
      <c r="O331" s="4">
        <f>SUMIFS(Tab_08.Ago[MOVIMENTO],Tab_08.Ago[CONTA],$F331)</f>
        <v>0</v>
      </c>
      <c r="P331" s="4">
        <f>SUMIFS(Tab_09.Set[MOVIMENTO],Tab_09.Set[CONTA],$F331)</f>
        <v>0</v>
      </c>
      <c r="Q331" s="4">
        <f>SUMIFS(Tab_10.Out[MOVIMENTO],Tab_10.Out[CONTA],$F331)</f>
        <v>0</v>
      </c>
      <c r="R331" s="4">
        <f>SUMIFS(Tab_11.Nov[MOVIMENTO],Tab_11.Nov[CONTA],$F331)</f>
        <v>0</v>
      </c>
      <c r="S331" s="4">
        <f>SUMIFS(Tab_12.Dez[MOVIMENTO],Tab_12.Dez[CONTA],$F331)</f>
        <v>0</v>
      </c>
    </row>
    <row r="332" spans="2:19" x14ac:dyDescent="0.3">
      <c r="B332" s="3" t="s">
        <v>105</v>
      </c>
      <c r="C332" s="2" t="str">
        <f t="shared" si="60"/>
        <v>C</v>
      </c>
      <c r="D332" s="2" t="str">
        <f t="shared" si="61"/>
        <v>A</v>
      </c>
      <c r="E332" s="2">
        <f t="shared" si="62"/>
        <v>5</v>
      </c>
      <c r="F332" s="3" t="s">
        <v>537</v>
      </c>
      <c r="G332" s="3" t="s">
        <v>538</v>
      </c>
      <c r="H332" s="4">
        <f>SUMIFS(Tab_01.Jan[MOVIMENTO],Tab_01.Jan[CONTA],$F332)</f>
        <v>1059.06</v>
      </c>
      <c r="I332" s="4">
        <f>SUMIFS(Tab_02.Fev[MOVIMENTO],Tab_02.Fev[CONTA],$F332)</f>
        <v>0</v>
      </c>
      <c r="J332" s="4">
        <f>SUMIFS(Tab_03.Mar[MOVIMENTO],Tab_03.Mar[CONTA],$F332)</f>
        <v>3685.72</v>
      </c>
      <c r="K332" s="4">
        <f>SUMIFS(Tab_04.Abr[MOVIMENTO],Tab_04.Abr[CONTA],$F332)</f>
        <v>0</v>
      </c>
      <c r="L332" s="4">
        <f>SUMIFS(Tab_05.Mai[MOVIMENTO],Tab_05.Mai[CONTA],$F332)</f>
        <v>0</v>
      </c>
      <c r="M332" s="4">
        <f>SUMIFS(Tab_06.Jun[MOVIMENTO],Tab_06.Jun[CONTA],$F332)</f>
        <v>5.0999999999999996</v>
      </c>
      <c r="N332" s="4">
        <f>SUMIFS(Tab_07.Jul[MOVIMENTO],Tab_07.Jul[CONTA],$F332)</f>
        <v>5.0999999999999996</v>
      </c>
      <c r="O332" s="4">
        <f>SUMIFS(Tab_08.Ago[MOVIMENTO],Tab_08.Ago[CONTA],$F332)</f>
        <v>5.0999999999999996</v>
      </c>
      <c r="P332" s="4">
        <f>SUMIFS(Tab_09.Set[MOVIMENTO],Tab_09.Set[CONTA],$F332)</f>
        <v>0</v>
      </c>
      <c r="Q332" s="4">
        <f>SUMIFS(Tab_10.Out[MOVIMENTO],Tab_10.Out[CONTA],$F332)</f>
        <v>0</v>
      </c>
      <c r="R332" s="4">
        <f>SUMIFS(Tab_11.Nov[MOVIMENTO],Tab_11.Nov[CONTA],$F332)</f>
        <v>0</v>
      </c>
      <c r="S332" s="4">
        <f>SUMIFS(Tab_12.Dez[MOVIMENTO],Tab_12.Dez[CONTA],$F332)</f>
        <v>6.2</v>
      </c>
    </row>
    <row r="333" spans="2:19" x14ac:dyDescent="0.3">
      <c r="B333" s="3" t="s">
        <v>105</v>
      </c>
      <c r="C333" s="2" t="str">
        <f t="shared" si="60"/>
        <v>C</v>
      </c>
      <c r="D333" s="2" t="str">
        <f t="shared" si="61"/>
        <v>A</v>
      </c>
      <c r="E333" s="2">
        <f t="shared" si="62"/>
        <v>5</v>
      </c>
      <c r="F333" s="3" t="s">
        <v>539</v>
      </c>
      <c r="G333" s="3" t="s">
        <v>540</v>
      </c>
      <c r="H333" s="4">
        <f>SUMIFS(Tab_01.Jan[MOVIMENTO],Tab_01.Jan[CONTA],$F333)</f>
        <v>0</v>
      </c>
      <c r="I333" s="4">
        <f>SUMIFS(Tab_02.Fev[MOVIMENTO],Tab_02.Fev[CONTA],$F333)</f>
        <v>2484.4</v>
      </c>
      <c r="J333" s="4">
        <f>SUMIFS(Tab_03.Mar[MOVIMENTO],Tab_03.Mar[CONTA],$F333)</f>
        <v>1742.12</v>
      </c>
      <c r="K333" s="4">
        <f>SUMIFS(Tab_04.Abr[MOVIMENTO],Tab_04.Abr[CONTA],$F333)</f>
        <v>1253.57</v>
      </c>
      <c r="L333" s="4">
        <f>SUMIFS(Tab_05.Mai[MOVIMENTO],Tab_05.Mai[CONTA],$F333)</f>
        <v>1648.48</v>
      </c>
      <c r="M333" s="4">
        <f>SUMIFS(Tab_06.Jun[MOVIMENTO],Tab_06.Jun[CONTA],$F333)</f>
        <v>1214.8800000000001</v>
      </c>
      <c r="N333" s="4">
        <f>SUMIFS(Tab_07.Jul[MOVIMENTO],Tab_07.Jul[CONTA],$F333)</f>
        <v>1214.8800000000001</v>
      </c>
      <c r="O333" s="4">
        <f>SUMIFS(Tab_08.Ago[MOVIMENTO],Tab_08.Ago[CONTA],$F333)</f>
        <v>1214.8800000000001</v>
      </c>
      <c r="P333" s="4">
        <f>SUMIFS(Tab_09.Set[MOVIMENTO],Tab_09.Set[CONTA],$F333)</f>
        <v>1456.02</v>
      </c>
      <c r="Q333" s="4">
        <f>SUMIFS(Tab_10.Out[MOVIMENTO],Tab_10.Out[CONTA],$F333)</f>
        <v>1304.8</v>
      </c>
      <c r="R333" s="4">
        <f>SUMIFS(Tab_11.Nov[MOVIMENTO],Tab_11.Nov[CONTA],$F333)</f>
        <v>1401.17</v>
      </c>
      <c r="S333" s="4">
        <f>SUMIFS(Tab_12.Dez[MOVIMENTO],Tab_12.Dez[CONTA],$F333)</f>
        <v>1348.07</v>
      </c>
    </row>
    <row r="334" spans="2:19" x14ac:dyDescent="0.3">
      <c r="B334" s="3" t="s">
        <v>105</v>
      </c>
      <c r="C334" s="2" t="str">
        <f t="shared" si="60"/>
        <v>C</v>
      </c>
      <c r="D334" s="2" t="str">
        <f t="shared" si="61"/>
        <v>A</v>
      </c>
      <c r="E334" s="2">
        <f t="shared" si="62"/>
        <v>5</v>
      </c>
      <c r="F334" s="3" t="s">
        <v>541</v>
      </c>
      <c r="G334" s="3" t="s">
        <v>542</v>
      </c>
      <c r="H334" s="4">
        <f>SUMIFS(Tab_01.Jan[MOVIMENTO],Tab_01.Jan[CONTA],$F334)</f>
        <v>362.82</v>
      </c>
      <c r="I334" s="4">
        <f>SUMIFS(Tab_02.Fev[MOVIMENTO],Tab_02.Fev[CONTA],$F334)</f>
        <v>0</v>
      </c>
      <c r="J334" s="4">
        <f>SUMIFS(Tab_03.Mar[MOVIMENTO],Tab_03.Mar[CONTA],$F334)</f>
        <v>178.05</v>
      </c>
      <c r="K334" s="4">
        <f>SUMIFS(Tab_04.Abr[MOVIMENTO],Tab_04.Abr[CONTA],$F334)</f>
        <v>160</v>
      </c>
      <c r="L334" s="4">
        <f>SUMIFS(Tab_05.Mai[MOVIMENTO],Tab_05.Mai[CONTA],$F334)</f>
        <v>299.89999999999998</v>
      </c>
      <c r="M334" s="4">
        <f>SUMIFS(Tab_06.Jun[MOVIMENTO],Tab_06.Jun[CONTA],$F334)</f>
        <v>257.39999999999998</v>
      </c>
      <c r="N334" s="4">
        <f>SUMIFS(Tab_07.Jul[MOVIMENTO],Tab_07.Jul[CONTA],$F334)</f>
        <v>257.39999999999998</v>
      </c>
      <c r="O334" s="4">
        <f>SUMIFS(Tab_08.Ago[MOVIMENTO],Tab_08.Ago[CONTA],$F334)</f>
        <v>257.39999999999998</v>
      </c>
      <c r="P334" s="4">
        <f>SUMIFS(Tab_09.Set[MOVIMENTO],Tab_09.Set[CONTA],$F334)</f>
        <v>397.76</v>
      </c>
      <c r="Q334" s="4">
        <f>SUMIFS(Tab_10.Out[MOVIMENTO],Tab_10.Out[CONTA],$F334)</f>
        <v>1204.8800000000001</v>
      </c>
      <c r="R334" s="4">
        <f>SUMIFS(Tab_11.Nov[MOVIMENTO],Tab_11.Nov[CONTA],$F334)</f>
        <v>334.5</v>
      </c>
      <c r="S334" s="4">
        <f>SUMIFS(Tab_12.Dez[MOVIMENTO],Tab_12.Dez[CONTA],$F334)</f>
        <v>1001.55</v>
      </c>
    </row>
    <row r="335" spans="2:19" x14ac:dyDescent="0.3">
      <c r="B335" s="3"/>
      <c r="C335" s="2" t="str">
        <f t="shared" si="60"/>
        <v>C</v>
      </c>
      <c r="D335" s="2" t="str">
        <f t="shared" si="61"/>
        <v>S</v>
      </c>
      <c r="E335" s="2">
        <f t="shared" si="62"/>
        <v>5</v>
      </c>
      <c r="F335" s="3" t="s">
        <v>628</v>
      </c>
      <c r="G335" s="3" t="s">
        <v>726</v>
      </c>
      <c r="H335" s="4">
        <f>SUMIFS(Tab_01.Jan[MOVIMENTO],Tab_01.Jan[CONTA],$F335)</f>
        <v>0</v>
      </c>
      <c r="I335" s="4">
        <f>SUMIFS(Tab_02.Fev[MOVIMENTO],Tab_02.Fev[CONTA],$F335)</f>
        <v>0</v>
      </c>
      <c r="J335" s="4">
        <f>SUMIFS(Tab_03.Mar[MOVIMENTO],Tab_03.Mar[CONTA],$F335)</f>
        <v>0</v>
      </c>
      <c r="K335" s="4">
        <f>SUMIFS(Tab_04.Abr[MOVIMENTO],Tab_04.Abr[CONTA],$F335)</f>
        <v>0</v>
      </c>
      <c r="L335" s="4">
        <f>SUMIFS(Tab_05.Mai[MOVIMENTO],Tab_05.Mai[CONTA],$F335)</f>
        <v>0</v>
      </c>
      <c r="M335" s="4">
        <f>SUMIFS(Tab_06.Jun[MOVIMENTO],Tab_06.Jun[CONTA],$F335)</f>
        <v>0</v>
      </c>
      <c r="N335" s="4">
        <f>SUMIFS(Tab_07.Jul[MOVIMENTO],Tab_07.Jul[CONTA],$F335)</f>
        <v>0</v>
      </c>
      <c r="O335" s="4">
        <f>SUMIFS(Tab_08.Ago[MOVIMENTO],Tab_08.Ago[CONTA],$F335)</f>
        <v>0</v>
      </c>
      <c r="P335" s="4">
        <f>SUMIFS(Tab_09.Set[MOVIMENTO],Tab_09.Set[CONTA],$F335)</f>
        <v>0</v>
      </c>
      <c r="Q335" s="4">
        <f>SUMIFS(Tab_10.Out[MOVIMENTO],Tab_10.Out[CONTA],$F335)</f>
        <v>0</v>
      </c>
      <c r="R335" s="4">
        <f>SUMIFS(Tab_11.Nov[MOVIMENTO],Tab_11.Nov[CONTA],$F335)</f>
        <v>0</v>
      </c>
      <c r="S335" s="4">
        <f>SUMIFS(Tab_12.Dez[MOVIMENTO],Tab_12.Dez[CONTA],$F335)</f>
        <v>0</v>
      </c>
    </row>
    <row r="336" spans="2:19" x14ac:dyDescent="0.3">
      <c r="B336" s="3"/>
      <c r="C336" s="2" t="str">
        <f t="shared" si="60"/>
        <v>C</v>
      </c>
      <c r="D336" s="2" t="str">
        <f t="shared" si="61"/>
        <v>S</v>
      </c>
      <c r="E336" s="2">
        <f t="shared" si="62"/>
        <v>5</v>
      </c>
      <c r="F336" s="3" t="s">
        <v>629</v>
      </c>
      <c r="G336" s="3" t="s">
        <v>727</v>
      </c>
      <c r="H336" s="4">
        <f>SUMIFS(Tab_01.Jan[MOVIMENTO],Tab_01.Jan[CONTA],$F336)</f>
        <v>0</v>
      </c>
      <c r="I336" s="4">
        <f>SUMIFS(Tab_02.Fev[MOVIMENTO],Tab_02.Fev[CONTA],$F336)</f>
        <v>0</v>
      </c>
      <c r="J336" s="4">
        <f>SUMIFS(Tab_03.Mar[MOVIMENTO],Tab_03.Mar[CONTA],$F336)</f>
        <v>0</v>
      </c>
      <c r="K336" s="4">
        <f>SUMIFS(Tab_04.Abr[MOVIMENTO],Tab_04.Abr[CONTA],$F336)</f>
        <v>0</v>
      </c>
      <c r="L336" s="4">
        <f>SUMIFS(Tab_05.Mai[MOVIMENTO],Tab_05.Mai[CONTA],$F336)</f>
        <v>0</v>
      </c>
      <c r="M336" s="4">
        <f>SUMIFS(Tab_06.Jun[MOVIMENTO],Tab_06.Jun[CONTA],$F336)</f>
        <v>0</v>
      </c>
      <c r="N336" s="4">
        <f>SUMIFS(Tab_07.Jul[MOVIMENTO],Tab_07.Jul[CONTA],$F336)</f>
        <v>0</v>
      </c>
      <c r="O336" s="4">
        <f>SUMIFS(Tab_08.Ago[MOVIMENTO],Tab_08.Ago[CONTA],$F336)</f>
        <v>0</v>
      </c>
      <c r="P336" s="4">
        <f>SUMIFS(Tab_09.Set[MOVIMENTO],Tab_09.Set[CONTA],$F336)</f>
        <v>0</v>
      </c>
      <c r="Q336" s="4">
        <f>SUMIFS(Tab_10.Out[MOVIMENTO],Tab_10.Out[CONTA],$F336)</f>
        <v>0</v>
      </c>
      <c r="R336" s="4">
        <f>SUMIFS(Tab_11.Nov[MOVIMENTO],Tab_11.Nov[CONTA],$F336)</f>
        <v>0</v>
      </c>
      <c r="S336" s="4">
        <f>SUMIFS(Tab_12.Dez[MOVIMENTO],Tab_12.Dez[CONTA],$F336)</f>
        <v>0</v>
      </c>
    </row>
    <row r="337" spans="2:19" x14ac:dyDescent="0.3">
      <c r="B337" s="3" t="s">
        <v>66</v>
      </c>
      <c r="C337" s="2" t="str">
        <f t="shared" si="60"/>
        <v>C</v>
      </c>
      <c r="D337" s="2" t="str">
        <f t="shared" si="61"/>
        <v>A</v>
      </c>
      <c r="E337" s="2">
        <f t="shared" si="62"/>
        <v>5</v>
      </c>
      <c r="F337" s="3" t="s">
        <v>543</v>
      </c>
      <c r="G337" s="3" t="s">
        <v>544</v>
      </c>
      <c r="H337" s="4">
        <f>SUMIFS(Tab_01.Jan[MOVIMENTO],Tab_01.Jan[CONTA],$F337)</f>
        <v>0</v>
      </c>
      <c r="I337" s="4">
        <f>SUMIFS(Tab_02.Fev[MOVIMENTO],Tab_02.Fev[CONTA],$F337)</f>
        <v>0</v>
      </c>
      <c r="J337" s="4">
        <f>SUMIFS(Tab_03.Mar[MOVIMENTO],Tab_03.Mar[CONTA],$F337)</f>
        <v>0</v>
      </c>
      <c r="K337" s="4">
        <f>SUMIFS(Tab_04.Abr[MOVIMENTO],Tab_04.Abr[CONTA],$F337)</f>
        <v>0</v>
      </c>
      <c r="L337" s="4">
        <f>SUMIFS(Tab_05.Mai[MOVIMENTO],Tab_05.Mai[CONTA],$F337)</f>
        <v>0</v>
      </c>
      <c r="M337" s="4">
        <f>SUMIFS(Tab_06.Jun[MOVIMENTO],Tab_06.Jun[CONTA],$F337)</f>
        <v>0</v>
      </c>
      <c r="N337" s="4">
        <f>SUMIFS(Tab_07.Jul[MOVIMENTO],Tab_07.Jul[CONTA],$F337)</f>
        <v>0</v>
      </c>
      <c r="O337" s="4">
        <f>SUMIFS(Tab_08.Ago[MOVIMENTO],Tab_08.Ago[CONTA],$F337)</f>
        <v>0</v>
      </c>
      <c r="P337" s="4">
        <f>SUMIFS(Tab_09.Set[MOVIMENTO],Tab_09.Set[CONTA],$F337)</f>
        <v>0</v>
      </c>
      <c r="Q337" s="4">
        <f>SUMIFS(Tab_10.Out[MOVIMENTO],Tab_10.Out[CONTA],$F337)</f>
        <v>0</v>
      </c>
      <c r="R337" s="4">
        <f>SUMIFS(Tab_11.Nov[MOVIMENTO],Tab_11.Nov[CONTA],$F337)</f>
        <v>0</v>
      </c>
      <c r="S337" s="4">
        <f>SUMIFS(Tab_12.Dez[MOVIMENTO],Tab_12.Dez[CONTA],$F337)</f>
        <v>0</v>
      </c>
    </row>
    <row r="338" spans="2:19" x14ac:dyDescent="0.3">
      <c r="B338" s="3"/>
      <c r="C338" s="2" t="str">
        <f t="shared" si="60"/>
        <v>C</v>
      </c>
      <c r="D338" s="2" t="str">
        <f t="shared" si="61"/>
        <v>S</v>
      </c>
      <c r="E338" s="2">
        <f t="shared" si="62"/>
        <v>2</v>
      </c>
      <c r="F338" s="3" t="s">
        <v>630</v>
      </c>
      <c r="G338" s="3" t="s">
        <v>728</v>
      </c>
      <c r="H338" s="4">
        <f>SUMIFS(Tab_01.Jan[MOVIMENTO],Tab_01.Jan[CONTA],$F338)</f>
        <v>0</v>
      </c>
      <c r="I338" s="4">
        <f>SUMIFS(Tab_02.Fev[MOVIMENTO],Tab_02.Fev[CONTA],$F338)</f>
        <v>270</v>
      </c>
      <c r="J338" s="4">
        <f>SUMIFS(Tab_03.Mar[MOVIMENTO],Tab_03.Mar[CONTA],$F338)</f>
        <v>0</v>
      </c>
      <c r="K338" s="4">
        <f>SUMIFS(Tab_04.Abr[MOVIMENTO],Tab_04.Abr[CONTA],$F338)</f>
        <v>0</v>
      </c>
      <c r="L338" s="4">
        <f>SUMIFS(Tab_05.Mai[MOVIMENTO],Tab_05.Mai[CONTA],$F338)</f>
        <v>0</v>
      </c>
      <c r="M338" s="4">
        <f>SUMIFS(Tab_06.Jun[MOVIMENTO],Tab_06.Jun[CONTA],$F338)</f>
        <v>0</v>
      </c>
      <c r="N338" s="4">
        <f>SUMIFS(Tab_07.Jul[MOVIMENTO],Tab_07.Jul[CONTA],$F338)</f>
        <v>0</v>
      </c>
      <c r="O338" s="4">
        <f>SUMIFS(Tab_08.Ago[MOVIMENTO],Tab_08.Ago[CONTA],$F338)</f>
        <v>0</v>
      </c>
      <c r="P338" s="4">
        <f>SUMIFS(Tab_09.Set[MOVIMENTO],Tab_09.Set[CONTA],$F338)</f>
        <v>0</v>
      </c>
      <c r="Q338" s="4">
        <f>SUMIFS(Tab_10.Out[MOVIMENTO],Tab_10.Out[CONTA],$F338)</f>
        <v>0</v>
      </c>
      <c r="R338" s="4">
        <f>SUMIFS(Tab_11.Nov[MOVIMENTO],Tab_11.Nov[CONTA],$F338)</f>
        <v>0</v>
      </c>
      <c r="S338" s="4">
        <f>SUMIFS(Tab_12.Dez[MOVIMENTO],Tab_12.Dez[CONTA],$F338)</f>
        <v>0</v>
      </c>
    </row>
    <row r="339" spans="2:19" x14ac:dyDescent="0.3">
      <c r="B339" s="3"/>
      <c r="C339" s="2" t="str">
        <f t="shared" si="60"/>
        <v>C</v>
      </c>
      <c r="D339" s="2" t="str">
        <f t="shared" si="61"/>
        <v>S</v>
      </c>
      <c r="E339" s="2">
        <f t="shared" si="62"/>
        <v>5</v>
      </c>
      <c r="F339" s="3" t="s">
        <v>631</v>
      </c>
      <c r="G339" s="3" t="s">
        <v>728</v>
      </c>
      <c r="H339" s="4">
        <f>SUMIFS(Tab_01.Jan[MOVIMENTO],Tab_01.Jan[CONTA],$F339)</f>
        <v>0</v>
      </c>
      <c r="I339" s="4">
        <f>SUMIFS(Tab_02.Fev[MOVIMENTO],Tab_02.Fev[CONTA],$F339)</f>
        <v>270</v>
      </c>
      <c r="J339" s="4">
        <f>SUMIFS(Tab_03.Mar[MOVIMENTO],Tab_03.Mar[CONTA],$F339)</f>
        <v>0</v>
      </c>
      <c r="K339" s="4">
        <f>SUMIFS(Tab_04.Abr[MOVIMENTO],Tab_04.Abr[CONTA],$F339)</f>
        <v>0</v>
      </c>
      <c r="L339" s="4">
        <f>SUMIFS(Tab_05.Mai[MOVIMENTO],Tab_05.Mai[CONTA],$F339)</f>
        <v>0</v>
      </c>
      <c r="M339" s="4">
        <f>SUMIFS(Tab_06.Jun[MOVIMENTO],Tab_06.Jun[CONTA],$F339)</f>
        <v>0</v>
      </c>
      <c r="N339" s="4">
        <f>SUMIFS(Tab_07.Jul[MOVIMENTO],Tab_07.Jul[CONTA],$F339)</f>
        <v>0</v>
      </c>
      <c r="O339" s="4">
        <f>SUMIFS(Tab_08.Ago[MOVIMENTO],Tab_08.Ago[CONTA],$F339)</f>
        <v>0</v>
      </c>
      <c r="P339" s="4">
        <f>SUMIFS(Tab_09.Set[MOVIMENTO],Tab_09.Set[CONTA],$F339)</f>
        <v>0</v>
      </c>
      <c r="Q339" s="4">
        <f>SUMIFS(Tab_10.Out[MOVIMENTO],Tab_10.Out[CONTA],$F339)</f>
        <v>0</v>
      </c>
      <c r="R339" s="4">
        <f>SUMIFS(Tab_11.Nov[MOVIMENTO],Tab_11.Nov[CONTA],$F339)</f>
        <v>0</v>
      </c>
      <c r="S339" s="4">
        <f>SUMIFS(Tab_12.Dez[MOVIMENTO],Tab_12.Dez[CONTA],$F339)</f>
        <v>0</v>
      </c>
    </row>
    <row r="340" spans="2:19" x14ac:dyDescent="0.3">
      <c r="B340" s="3"/>
      <c r="C340" s="2" t="str">
        <f t="shared" si="60"/>
        <v>C</v>
      </c>
      <c r="D340" s="2" t="str">
        <f t="shared" si="61"/>
        <v>S</v>
      </c>
      <c r="E340" s="2">
        <f t="shared" si="62"/>
        <v>5</v>
      </c>
      <c r="F340" s="3" t="s">
        <v>632</v>
      </c>
      <c r="G340" s="3" t="s">
        <v>729</v>
      </c>
      <c r="H340" s="4">
        <f>SUMIFS(Tab_01.Jan[MOVIMENTO],Tab_01.Jan[CONTA],$F340)</f>
        <v>0</v>
      </c>
      <c r="I340" s="4">
        <f>SUMIFS(Tab_02.Fev[MOVIMENTO],Tab_02.Fev[CONTA],$F340)</f>
        <v>0</v>
      </c>
      <c r="J340" s="4">
        <f>SUMIFS(Tab_03.Mar[MOVIMENTO],Tab_03.Mar[CONTA],$F340)</f>
        <v>0</v>
      </c>
      <c r="K340" s="4">
        <f>SUMIFS(Tab_04.Abr[MOVIMENTO],Tab_04.Abr[CONTA],$F340)</f>
        <v>0</v>
      </c>
      <c r="L340" s="4">
        <f>SUMIFS(Tab_05.Mai[MOVIMENTO],Tab_05.Mai[CONTA],$F340)</f>
        <v>0</v>
      </c>
      <c r="M340" s="4">
        <f>SUMIFS(Tab_06.Jun[MOVIMENTO],Tab_06.Jun[CONTA],$F340)</f>
        <v>0</v>
      </c>
      <c r="N340" s="4">
        <f>SUMIFS(Tab_07.Jul[MOVIMENTO],Tab_07.Jul[CONTA],$F340)</f>
        <v>0</v>
      </c>
      <c r="O340" s="4">
        <f>SUMIFS(Tab_08.Ago[MOVIMENTO],Tab_08.Ago[CONTA],$F340)</f>
        <v>0</v>
      </c>
      <c r="P340" s="4">
        <f>SUMIFS(Tab_09.Set[MOVIMENTO],Tab_09.Set[CONTA],$F340)</f>
        <v>0</v>
      </c>
      <c r="Q340" s="4">
        <f>SUMIFS(Tab_10.Out[MOVIMENTO],Tab_10.Out[CONTA],$F340)</f>
        <v>0</v>
      </c>
      <c r="R340" s="4">
        <f>SUMIFS(Tab_11.Nov[MOVIMENTO],Tab_11.Nov[CONTA],$F340)</f>
        <v>0</v>
      </c>
      <c r="S340" s="4">
        <f>SUMIFS(Tab_12.Dez[MOVIMENTO],Tab_12.Dez[CONTA],$F340)</f>
        <v>0</v>
      </c>
    </row>
    <row r="341" spans="2:19" x14ac:dyDescent="0.3">
      <c r="B341" s="3" t="s">
        <v>67</v>
      </c>
      <c r="C341" s="2" t="str">
        <f t="shared" si="60"/>
        <v>C</v>
      </c>
      <c r="D341" s="2" t="str">
        <f t="shared" si="61"/>
        <v>A</v>
      </c>
      <c r="E341" s="2">
        <f t="shared" si="62"/>
        <v>5</v>
      </c>
      <c r="F341" s="3" t="s">
        <v>545</v>
      </c>
      <c r="G341" s="3" t="s">
        <v>546</v>
      </c>
      <c r="H341" s="4">
        <f>SUMIFS(Tab_01.Jan[MOVIMENTO],Tab_01.Jan[CONTA],$F341)</f>
        <v>0</v>
      </c>
      <c r="I341" s="4">
        <f>SUMIFS(Tab_02.Fev[MOVIMENTO],Tab_02.Fev[CONTA],$F341)</f>
        <v>0</v>
      </c>
      <c r="J341" s="4">
        <f>SUMIFS(Tab_03.Mar[MOVIMENTO],Tab_03.Mar[CONTA],$F341)</f>
        <v>0</v>
      </c>
      <c r="K341" s="4">
        <f>SUMIFS(Tab_04.Abr[MOVIMENTO],Tab_04.Abr[CONTA],$F341)</f>
        <v>0</v>
      </c>
      <c r="L341" s="4">
        <f>SUMIFS(Tab_05.Mai[MOVIMENTO],Tab_05.Mai[CONTA],$F341)</f>
        <v>0</v>
      </c>
      <c r="M341" s="4">
        <f>SUMIFS(Tab_06.Jun[MOVIMENTO],Tab_06.Jun[CONTA],$F341)</f>
        <v>0</v>
      </c>
      <c r="N341" s="4">
        <f>SUMIFS(Tab_07.Jul[MOVIMENTO],Tab_07.Jul[CONTA],$F341)</f>
        <v>0</v>
      </c>
      <c r="O341" s="4">
        <f>SUMIFS(Tab_08.Ago[MOVIMENTO],Tab_08.Ago[CONTA],$F341)</f>
        <v>0</v>
      </c>
      <c r="P341" s="4">
        <f>SUMIFS(Tab_09.Set[MOVIMENTO],Tab_09.Set[CONTA],$F341)</f>
        <v>0</v>
      </c>
      <c r="Q341" s="4">
        <f>SUMIFS(Tab_10.Out[MOVIMENTO],Tab_10.Out[CONTA],$F341)</f>
        <v>0</v>
      </c>
      <c r="R341" s="4">
        <f>SUMIFS(Tab_11.Nov[MOVIMENTO],Tab_11.Nov[CONTA],$F341)</f>
        <v>0</v>
      </c>
      <c r="S341" s="4">
        <f>SUMIFS(Tab_12.Dez[MOVIMENTO],Tab_12.Dez[CONTA],$F341)</f>
        <v>0</v>
      </c>
    </row>
    <row r="342" spans="2:19" x14ac:dyDescent="0.3">
      <c r="B342" s="3"/>
      <c r="C342" s="2" t="str">
        <f t="shared" si="60"/>
        <v>C</v>
      </c>
      <c r="D342" s="2" t="str">
        <f t="shared" si="61"/>
        <v>S</v>
      </c>
      <c r="E342" s="2">
        <f t="shared" si="62"/>
        <v>5</v>
      </c>
      <c r="F342" s="3" t="s">
        <v>633</v>
      </c>
      <c r="G342" s="3" t="s">
        <v>548</v>
      </c>
      <c r="H342" s="4">
        <f>SUMIFS(Tab_01.Jan[MOVIMENTO],Tab_01.Jan[CONTA],$F342)</f>
        <v>0</v>
      </c>
      <c r="I342" s="4">
        <f>SUMIFS(Tab_02.Fev[MOVIMENTO],Tab_02.Fev[CONTA],$F342)</f>
        <v>270</v>
      </c>
      <c r="J342" s="4">
        <f>SUMIFS(Tab_03.Mar[MOVIMENTO],Tab_03.Mar[CONTA],$F342)</f>
        <v>0</v>
      </c>
      <c r="K342" s="4">
        <f>SUMIFS(Tab_04.Abr[MOVIMENTO],Tab_04.Abr[CONTA],$F342)</f>
        <v>0</v>
      </c>
      <c r="L342" s="4">
        <f>SUMIFS(Tab_05.Mai[MOVIMENTO],Tab_05.Mai[CONTA],$F342)</f>
        <v>0</v>
      </c>
      <c r="M342" s="4">
        <f>SUMIFS(Tab_06.Jun[MOVIMENTO],Tab_06.Jun[CONTA],$F342)</f>
        <v>0</v>
      </c>
      <c r="N342" s="4">
        <f>SUMIFS(Tab_07.Jul[MOVIMENTO],Tab_07.Jul[CONTA],$F342)</f>
        <v>0</v>
      </c>
      <c r="O342" s="4">
        <f>SUMIFS(Tab_08.Ago[MOVIMENTO],Tab_08.Ago[CONTA],$F342)</f>
        <v>0</v>
      </c>
      <c r="P342" s="4">
        <f>SUMIFS(Tab_09.Set[MOVIMENTO],Tab_09.Set[CONTA],$F342)</f>
        <v>0</v>
      </c>
      <c r="Q342" s="4">
        <f>SUMIFS(Tab_10.Out[MOVIMENTO],Tab_10.Out[CONTA],$F342)</f>
        <v>0</v>
      </c>
      <c r="R342" s="4">
        <f>SUMIFS(Tab_11.Nov[MOVIMENTO],Tab_11.Nov[CONTA],$F342)</f>
        <v>0</v>
      </c>
      <c r="S342" s="4">
        <f>SUMIFS(Tab_12.Dez[MOVIMENTO],Tab_12.Dez[CONTA],$F342)</f>
        <v>0</v>
      </c>
    </row>
    <row r="343" spans="2:19" x14ac:dyDescent="0.3">
      <c r="B343" s="3" t="s">
        <v>66</v>
      </c>
      <c r="C343" s="2" t="str">
        <f t="shared" si="60"/>
        <v>C</v>
      </c>
      <c r="D343" s="2" t="str">
        <f t="shared" si="61"/>
        <v>A</v>
      </c>
      <c r="E343" s="2">
        <f t="shared" si="62"/>
        <v>5</v>
      </c>
      <c r="F343" s="3" t="s">
        <v>547</v>
      </c>
      <c r="G343" s="3" t="s">
        <v>548</v>
      </c>
      <c r="H343" s="4">
        <f>SUMIFS(Tab_01.Jan[MOVIMENTO],Tab_01.Jan[CONTA],$F343)</f>
        <v>0</v>
      </c>
      <c r="I343" s="4">
        <f>SUMIFS(Tab_02.Fev[MOVIMENTO],Tab_02.Fev[CONTA],$F343)</f>
        <v>270</v>
      </c>
      <c r="J343" s="4">
        <f>SUMIFS(Tab_03.Mar[MOVIMENTO],Tab_03.Mar[CONTA],$F343)</f>
        <v>0</v>
      </c>
      <c r="K343" s="4">
        <f>SUMIFS(Tab_04.Abr[MOVIMENTO],Tab_04.Abr[CONTA],$F343)</f>
        <v>0</v>
      </c>
      <c r="L343" s="4">
        <f>SUMIFS(Tab_05.Mai[MOVIMENTO],Tab_05.Mai[CONTA],$F343)</f>
        <v>0</v>
      </c>
      <c r="M343" s="4">
        <f>SUMIFS(Tab_06.Jun[MOVIMENTO],Tab_06.Jun[CONTA],$F343)</f>
        <v>0</v>
      </c>
      <c r="N343" s="4">
        <f>SUMIFS(Tab_07.Jul[MOVIMENTO],Tab_07.Jul[CONTA],$F343)</f>
        <v>0</v>
      </c>
      <c r="O343" s="4">
        <f>SUMIFS(Tab_08.Ago[MOVIMENTO],Tab_08.Ago[CONTA],$F343)</f>
        <v>0</v>
      </c>
      <c r="P343" s="4">
        <f>SUMIFS(Tab_09.Set[MOVIMENTO],Tab_09.Set[CONTA],$F343)</f>
        <v>0</v>
      </c>
      <c r="Q343" s="4">
        <f>SUMIFS(Tab_10.Out[MOVIMENTO],Tab_10.Out[CONTA],$F343)</f>
        <v>0</v>
      </c>
      <c r="R343" s="4">
        <f>SUMIFS(Tab_11.Nov[MOVIMENTO],Tab_11.Nov[CONTA],$F343)</f>
        <v>0</v>
      </c>
      <c r="S343" s="4">
        <f>SUMIFS(Tab_12.Dez[MOVIMENTO],Tab_12.Dez[CONTA],$F343)</f>
        <v>0</v>
      </c>
    </row>
    <row r="344" spans="2:19" x14ac:dyDescent="0.3">
      <c r="B344" s="3"/>
      <c r="C344" s="2" t="str">
        <f t="shared" si="60"/>
        <v>C</v>
      </c>
      <c r="D344" s="2" t="str">
        <f t="shared" si="61"/>
        <v>S</v>
      </c>
      <c r="E344" s="2">
        <f t="shared" si="62"/>
        <v>2</v>
      </c>
      <c r="F344" s="3" t="s">
        <v>634</v>
      </c>
      <c r="G344" s="3" t="s">
        <v>730</v>
      </c>
      <c r="H344" s="4">
        <f>SUMIFS(Tab_01.Jan[MOVIMENTO],Tab_01.Jan[CONTA],$F344)</f>
        <v>-189</v>
      </c>
      <c r="I344" s="4">
        <f>SUMIFS(Tab_02.Fev[MOVIMENTO],Tab_02.Fev[CONTA],$F344)</f>
        <v>0</v>
      </c>
      <c r="J344" s="4">
        <f>SUMIFS(Tab_03.Mar[MOVIMENTO],Tab_03.Mar[CONTA],$F344)</f>
        <v>0</v>
      </c>
      <c r="K344" s="4">
        <f>SUMIFS(Tab_04.Abr[MOVIMENTO],Tab_04.Abr[CONTA],$F344)</f>
        <v>0</v>
      </c>
      <c r="L344" s="4">
        <f>SUMIFS(Tab_05.Mai[MOVIMENTO],Tab_05.Mai[CONTA],$F344)</f>
        <v>0</v>
      </c>
      <c r="M344" s="4">
        <f>SUMIFS(Tab_06.Jun[MOVIMENTO],Tab_06.Jun[CONTA],$F344)</f>
        <v>0</v>
      </c>
      <c r="N344" s="4">
        <f>SUMIFS(Tab_07.Jul[MOVIMENTO],Tab_07.Jul[CONTA],$F344)</f>
        <v>0</v>
      </c>
      <c r="O344" s="4">
        <f>SUMIFS(Tab_08.Ago[MOVIMENTO],Tab_08.Ago[CONTA],$F344)</f>
        <v>0</v>
      </c>
      <c r="P344" s="4">
        <f>SUMIFS(Tab_09.Set[MOVIMENTO],Tab_09.Set[CONTA],$F344)</f>
        <v>0</v>
      </c>
      <c r="Q344" s="4">
        <f>SUMIFS(Tab_10.Out[MOVIMENTO],Tab_10.Out[CONTA],$F344)</f>
        <v>0</v>
      </c>
      <c r="R344" s="4">
        <f>SUMIFS(Tab_11.Nov[MOVIMENTO],Tab_11.Nov[CONTA],$F344)</f>
        <v>0</v>
      </c>
      <c r="S344" s="4">
        <f>SUMIFS(Tab_12.Dez[MOVIMENTO],Tab_12.Dez[CONTA],$F344)</f>
        <v>0</v>
      </c>
    </row>
    <row r="345" spans="2:19" x14ac:dyDescent="0.3">
      <c r="B345" s="3"/>
      <c r="C345" s="2" t="str">
        <f t="shared" si="60"/>
        <v>C</v>
      </c>
      <c r="D345" s="2" t="str">
        <f t="shared" si="61"/>
        <v>S</v>
      </c>
      <c r="E345" s="2">
        <f t="shared" si="62"/>
        <v>5</v>
      </c>
      <c r="F345" s="3" t="s">
        <v>635</v>
      </c>
      <c r="G345" s="3" t="s">
        <v>731</v>
      </c>
      <c r="H345" s="4">
        <f>SUMIFS(Tab_01.Jan[MOVIMENTO],Tab_01.Jan[CONTA],$F345)</f>
        <v>0</v>
      </c>
      <c r="I345" s="4">
        <f>SUMIFS(Tab_02.Fev[MOVIMENTO],Tab_02.Fev[CONTA],$F345)</f>
        <v>0</v>
      </c>
      <c r="J345" s="4">
        <f>SUMIFS(Tab_03.Mar[MOVIMENTO],Tab_03.Mar[CONTA],$F345)</f>
        <v>0</v>
      </c>
      <c r="K345" s="4">
        <f>SUMIFS(Tab_04.Abr[MOVIMENTO],Tab_04.Abr[CONTA],$F345)</f>
        <v>0</v>
      </c>
      <c r="L345" s="4">
        <f>SUMIFS(Tab_05.Mai[MOVIMENTO],Tab_05.Mai[CONTA],$F345)</f>
        <v>0</v>
      </c>
      <c r="M345" s="4">
        <f>SUMIFS(Tab_06.Jun[MOVIMENTO],Tab_06.Jun[CONTA],$F345)</f>
        <v>0</v>
      </c>
      <c r="N345" s="4">
        <f>SUMIFS(Tab_07.Jul[MOVIMENTO],Tab_07.Jul[CONTA],$F345)</f>
        <v>0</v>
      </c>
      <c r="O345" s="4">
        <f>SUMIFS(Tab_08.Ago[MOVIMENTO],Tab_08.Ago[CONTA],$F345)</f>
        <v>0</v>
      </c>
      <c r="P345" s="4">
        <f>SUMIFS(Tab_09.Set[MOVIMENTO],Tab_09.Set[CONTA],$F345)</f>
        <v>0</v>
      </c>
      <c r="Q345" s="4">
        <f>SUMIFS(Tab_10.Out[MOVIMENTO],Tab_10.Out[CONTA],$F345)</f>
        <v>0</v>
      </c>
      <c r="R345" s="4">
        <f>SUMIFS(Tab_11.Nov[MOVIMENTO],Tab_11.Nov[CONTA],$F345)</f>
        <v>0</v>
      </c>
      <c r="S345" s="4">
        <f>SUMIFS(Tab_12.Dez[MOVIMENTO],Tab_12.Dez[CONTA],$F345)</f>
        <v>0</v>
      </c>
    </row>
    <row r="346" spans="2:19" x14ac:dyDescent="0.3">
      <c r="B346" s="3"/>
      <c r="C346" s="2" t="str">
        <f t="shared" si="60"/>
        <v>C</v>
      </c>
      <c r="D346" s="2" t="str">
        <f t="shared" si="61"/>
        <v>S</v>
      </c>
      <c r="E346" s="2">
        <f t="shared" si="62"/>
        <v>5</v>
      </c>
      <c r="F346" s="3" t="s">
        <v>636</v>
      </c>
      <c r="G346" s="3" t="s">
        <v>732</v>
      </c>
      <c r="H346" s="4">
        <f>SUMIFS(Tab_01.Jan[MOVIMENTO],Tab_01.Jan[CONTA],$F346)</f>
        <v>0</v>
      </c>
      <c r="I346" s="4">
        <f>SUMIFS(Tab_02.Fev[MOVIMENTO],Tab_02.Fev[CONTA],$F346)</f>
        <v>0</v>
      </c>
      <c r="J346" s="4">
        <f>SUMIFS(Tab_03.Mar[MOVIMENTO],Tab_03.Mar[CONTA],$F346)</f>
        <v>0</v>
      </c>
      <c r="K346" s="4">
        <f>SUMIFS(Tab_04.Abr[MOVIMENTO],Tab_04.Abr[CONTA],$F346)</f>
        <v>0</v>
      </c>
      <c r="L346" s="4">
        <f>SUMIFS(Tab_05.Mai[MOVIMENTO],Tab_05.Mai[CONTA],$F346)</f>
        <v>0</v>
      </c>
      <c r="M346" s="4">
        <f>SUMIFS(Tab_06.Jun[MOVIMENTO],Tab_06.Jun[CONTA],$F346)</f>
        <v>0</v>
      </c>
      <c r="N346" s="4">
        <f>SUMIFS(Tab_07.Jul[MOVIMENTO],Tab_07.Jul[CONTA],$F346)</f>
        <v>0</v>
      </c>
      <c r="O346" s="4">
        <f>SUMIFS(Tab_08.Ago[MOVIMENTO],Tab_08.Ago[CONTA],$F346)</f>
        <v>0</v>
      </c>
      <c r="P346" s="4">
        <f>SUMIFS(Tab_09.Set[MOVIMENTO],Tab_09.Set[CONTA],$F346)</f>
        <v>0</v>
      </c>
      <c r="Q346" s="4">
        <f>SUMIFS(Tab_10.Out[MOVIMENTO],Tab_10.Out[CONTA],$F346)</f>
        <v>0</v>
      </c>
      <c r="R346" s="4">
        <f>SUMIFS(Tab_11.Nov[MOVIMENTO],Tab_11.Nov[CONTA],$F346)</f>
        <v>0</v>
      </c>
      <c r="S346" s="4">
        <f>SUMIFS(Tab_12.Dez[MOVIMENTO],Tab_12.Dez[CONTA],$F346)</f>
        <v>0</v>
      </c>
    </row>
    <row r="347" spans="2:19" x14ac:dyDescent="0.3">
      <c r="B347" s="3" t="s">
        <v>66</v>
      </c>
      <c r="C347" s="2" t="str">
        <f t="shared" si="60"/>
        <v>C</v>
      </c>
      <c r="D347" s="2" t="str">
        <f t="shared" si="61"/>
        <v>A</v>
      </c>
      <c r="E347" s="2">
        <f t="shared" si="62"/>
        <v>5</v>
      </c>
      <c r="F347" s="3" t="s">
        <v>549</v>
      </c>
      <c r="G347" s="3" t="s">
        <v>550</v>
      </c>
      <c r="H347" s="4">
        <f>SUMIFS(Tab_01.Jan[MOVIMENTO],Tab_01.Jan[CONTA],$F347)</f>
        <v>0</v>
      </c>
      <c r="I347" s="4">
        <f>SUMIFS(Tab_02.Fev[MOVIMENTO],Tab_02.Fev[CONTA],$F347)</f>
        <v>0</v>
      </c>
      <c r="J347" s="4">
        <f>SUMIFS(Tab_03.Mar[MOVIMENTO],Tab_03.Mar[CONTA],$F347)</f>
        <v>0</v>
      </c>
      <c r="K347" s="4">
        <f>SUMIFS(Tab_04.Abr[MOVIMENTO],Tab_04.Abr[CONTA],$F347)</f>
        <v>0</v>
      </c>
      <c r="L347" s="4">
        <f>SUMIFS(Tab_05.Mai[MOVIMENTO],Tab_05.Mai[CONTA],$F347)</f>
        <v>0</v>
      </c>
      <c r="M347" s="4">
        <f>SUMIFS(Tab_06.Jun[MOVIMENTO],Tab_06.Jun[CONTA],$F347)</f>
        <v>0</v>
      </c>
      <c r="N347" s="4">
        <f>SUMIFS(Tab_07.Jul[MOVIMENTO],Tab_07.Jul[CONTA],$F347)</f>
        <v>0</v>
      </c>
      <c r="O347" s="4">
        <f>SUMIFS(Tab_08.Ago[MOVIMENTO],Tab_08.Ago[CONTA],$F347)</f>
        <v>0</v>
      </c>
      <c r="P347" s="4">
        <f>SUMIFS(Tab_09.Set[MOVIMENTO],Tab_09.Set[CONTA],$F347)</f>
        <v>0</v>
      </c>
      <c r="Q347" s="4">
        <f>SUMIFS(Tab_10.Out[MOVIMENTO],Tab_10.Out[CONTA],$F347)</f>
        <v>0</v>
      </c>
      <c r="R347" s="4">
        <f>SUMIFS(Tab_11.Nov[MOVIMENTO],Tab_11.Nov[CONTA],$F347)</f>
        <v>0</v>
      </c>
      <c r="S347" s="4">
        <f>SUMIFS(Tab_12.Dez[MOVIMENTO],Tab_12.Dez[CONTA],$F347)</f>
        <v>0</v>
      </c>
    </row>
    <row r="348" spans="2:19" x14ac:dyDescent="0.3">
      <c r="B348" s="3"/>
      <c r="C348" s="2" t="str">
        <f t="shared" ref="C348:C352" si="63">IF($F348="","",IF(LEFT($F348,1)*1=1,"A",IF(LEFT($F348,1)*1=2,"P",IF(LEFT($F348,1)*1=3,"R",IF(LEFT($F348,1)*1=4,"C",IF(LEFT($F348,1)*1=5,"C",IF(LEFT($F348,1)*1=6,"C","")))))))</f>
        <v>C</v>
      </c>
      <c r="D348" s="2" t="str">
        <f t="shared" ref="D348:D352" si="64">IF($F348="","",IF(LEN($F348)=13,"A","S"))</f>
        <v>S</v>
      </c>
      <c r="E348" s="2">
        <f t="shared" ref="E348:E352" si="65">IF($F348="","",IF(LEN($F348)=1,1,IF(LEN($F348)=3,2,IF(LEN($F348)=5,3,IF(LEN($F348)=8,4,5)))))</f>
        <v>5</v>
      </c>
      <c r="F348" s="3" t="s">
        <v>828</v>
      </c>
      <c r="G348" s="3" t="s">
        <v>829</v>
      </c>
      <c r="H348" s="4">
        <f>SUMIFS(Tab_01.Jan[MOVIMENTO],Tab_01.Jan[CONTA],$F348)</f>
        <v>0</v>
      </c>
      <c r="I348" s="4">
        <f>SUMIFS(Tab_02.Fev[MOVIMENTO],Tab_02.Fev[CONTA],$F348)</f>
        <v>0</v>
      </c>
      <c r="J348" s="4">
        <f>SUMIFS(Tab_03.Mar[MOVIMENTO],Tab_03.Mar[CONTA],$F348)</f>
        <v>0</v>
      </c>
      <c r="K348" s="4">
        <f>SUMIFS(Tab_04.Abr[MOVIMENTO],Tab_04.Abr[CONTA],$F348)</f>
        <v>0</v>
      </c>
      <c r="L348" s="4">
        <f>SUMIFS(Tab_05.Mai[MOVIMENTO],Tab_05.Mai[CONTA],$F348)</f>
        <v>0</v>
      </c>
      <c r="M348" s="4">
        <f>SUMIFS(Tab_06.Jun[MOVIMENTO],Tab_06.Jun[CONTA],$F348)</f>
        <v>0</v>
      </c>
      <c r="N348" s="4">
        <f>SUMIFS(Tab_07.Jul[MOVIMENTO],Tab_07.Jul[CONTA],$F348)</f>
        <v>0</v>
      </c>
      <c r="O348" s="4">
        <f>SUMIFS(Tab_08.Ago[MOVIMENTO],Tab_08.Ago[CONTA],$F348)</f>
        <v>0</v>
      </c>
      <c r="P348" s="4">
        <f>SUMIFS(Tab_09.Set[MOVIMENTO],Tab_09.Set[CONTA],$F348)</f>
        <v>0</v>
      </c>
      <c r="Q348" s="4">
        <f>SUMIFS(Tab_10.Out[MOVIMENTO],Tab_10.Out[CONTA],$F348)</f>
        <v>0</v>
      </c>
      <c r="R348" s="4">
        <f>SUMIFS(Tab_11.Nov[MOVIMENTO],Tab_11.Nov[CONTA],$F348)</f>
        <v>0</v>
      </c>
      <c r="S348" s="4">
        <f>SUMIFS(Tab_12.Dez[MOVIMENTO],Tab_12.Dez[CONTA],$F348)</f>
        <v>0</v>
      </c>
    </row>
    <row r="349" spans="2:19" x14ac:dyDescent="0.3">
      <c r="B349" s="3" t="s">
        <v>66</v>
      </c>
      <c r="C349" s="2" t="str">
        <f t="shared" si="63"/>
        <v>C</v>
      </c>
      <c r="D349" s="2" t="str">
        <f t="shared" si="64"/>
        <v>A</v>
      </c>
      <c r="E349" s="2">
        <f t="shared" si="65"/>
        <v>5</v>
      </c>
      <c r="F349" s="3" t="s">
        <v>830</v>
      </c>
      <c r="G349" s="3" t="s">
        <v>829</v>
      </c>
      <c r="H349" s="4">
        <f>SUMIFS(Tab_01.Jan[MOVIMENTO],Tab_01.Jan[CONTA],$F349)</f>
        <v>0</v>
      </c>
      <c r="I349" s="4">
        <f>SUMIFS(Tab_02.Fev[MOVIMENTO],Tab_02.Fev[CONTA],$F349)</f>
        <v>0</v>
      </c>
      <c r="J349" s="4">
        <f>SUMIFS(Tab_03.Mar[MOVIMENTO],Tab_03.Mar[CONTA],$F349)</f>
        <v>0</v>
      </c>
      <c r="K349" s="4">
        <f>SUMIFS(Tab_04.Abr[MOVIMENTO],Tab_04.Abr[CONTA],$F349)</f>
        <v>0</v>
      </c>
      <c r="L349" s="4">
        <f>SUMIFS(Tab_05.Mai[MOVIMENTO],Tab_05.Mai[CONTA],$F349)</f>
        <v>0</v>
      </c>
      <c r="M349" s="4">
        <f>SUMIFS(Tab_06.Jun[MOVIMENTO],Tab_06.Jun[CONTA],$F349)</f>
        <v>0</v>
      </c>
      <c r="N349" s="4">
        <f>SUMIFS(Tab_07.Jul[MOVIMENTO],Tab_07.Jul[CONTA],$F349)</f>
        <v>0</v>
      </c>
      <c r="O349" s="4">
        <f>SUMIFS(Tab_08.Ago[MOVIMENTO],Tab_08.Ago[CONTA],$F349)</f>
        <v>0</v>
      </c>
      <c r="P349" s="4">
        <f>SUMIFS(Tab_09.Set[MOVIMENTO],Tab_09.Set[CONTA],$F349)</f>
        <v>0</v>
      </c>
      <c r="Q349" s="4">
        <f>SUMIFS(Tab_10.Out[MOVIMENTO],Tab_10.Out[CONTA],$F349)</f>
        <v>0</v>
      </c>
      <c r="R349" s="4">
        <f>SUMIFS(Tab_11.Nov[MOVIMENTO],Tab_11.Nov[CONTA],$F349)</f>
        <v>0</v>
      </c>
      <c r="S349" s="4">
        <f>SUMIFS(Tab_12.Dez[MOVIMENTO],Tab_12.Dez[CONTA],$F349)</f>
        <v>0</v>
      </c>
    </row>
    <row r="350" spans="2:19" x14ac:dyDescent="0.3">
      <c r="B350" s="3"/>
      <c r="C350" s="2" t="str">
        <f t="shared" si="63"/>
        <v>C</v>
      </c>
      <c r="D350" s="2" t="str">
        <f t="shared" si="64"/>
        <v>S</v>
      </c>
      <c r="E350" s="2">
        <f t="shared" si="65"/>
        <v>5</v>
      </c>
      <c r="F350" s="3" t="s">
        <v>831</v>
      </c>
      <c r="G350" s="3" t="s">
        <v>832</v>
      </c>
      <c r="H350" s="4">
        <f>SUMIFS(Tab_01.Jan[MOVIMENTO],Tab_01.Jan[CONTA],$F350)</f>
        <v>-189</v>
      </c>
      <c r="I350" s="4">
        <f>SUMIFS(Tab_02.Fev[MOVIMENTO],Tab_02.Fev[CONTA],$F350)</f>
        <v>0</v>
      </c>
      <c r="J350" s="4">
        <f>SUMIFS(Tab_03.Mar[MOVIMENTO],Tab_03.Mar[CONTA],$F350)</f>
        <v>0</v>
      </c>
      <c r="K350" s="4">
        <f>SUMIFS(Tab_04.Abr[MOVIMENTO],Tab_04.Abr[CONTA],$F350)</f>
        <v>0</v>
      </c>
      <c r="L350" s="4">
        <f>SUMIFS(Tab_05.Mai[MOVIMENTO],Tab_05.Mai[CONTA],$F350)</f>
        <v>0</v>
      </c>
      <c r="M350" s="4">
        <f>SUMIFS(Tab_06.Jun[MOVIMENTO],Tab_06.Jun[CONTA],$F350)</f>
        <v>0</v>
      </c>
      <c r="N350" s="4">
        <f>SUMIFS(Tab_07.Jul[MOVIMENTO],Tab_07.Jul[CONTA],$F350)</f>
        <v>0</v>
      </c>
      <c r="O350" s="4">
        <f>SUMIFS(Tab_08.Ago[MOVIMENTO],Tab_08.Ago[CONTA],$F350)</f>
        <v>0</v>
      </c>
      <c r="P350" s="4">
        <f>SUMIFS(Tab_09.Set[MOVIMENTO],Tab_09.Set[CONTA],$F350)</f>
        <v>0</v>
      </c>
      <c r="Q350" s="4">
        <f>SUMIFS(Tab_10.Out[MOVIMENTO],Tab_10.Out[CONTA],$F350)</f>
        <v>0</v>
      </c>
      <c r="R350" s="4">
        <f>SUMIFS(Tab_11.Nov[MOVIMENTO],Tab_11.Nov[CONTA],$F350)</f>
        <v>0</v>
      </c>
      <c r="S350" s="4">
        <f>SUMIFS(Tab_12.Dez[MOVIMENTO],Tab_12.Dez[CONTA],$F350)</f>
        <v>0</v>
      </c>
    </row>
    <row r="351" spans="2:19" x14ac:dyDescent="0.3">
      <c r="B351" s="3"/>
      <c r="C351" s="2" t="str">
        <f t="shared" si="63"/>
        <v>C</v>
      </c>
      <c r="D351" s="2" t="str">
        <f t="shared" si="64"/>
        <v>S</v>
      </c>
      <c r="E351" s="2">
        <f t="shared" si="65"/>
        <v>5</v>
      </c>
      <c r="F351" s="3" t="s">
        <v>833</v>
      </c>
      <c r="G351" s="3" t="s">
        <v>832</v>
      </c>
      <c r="H351" s="4">
        <f>SUMIFS(Tab_01.Jan[MOVIMENTO],Tab_01.Jan[CONTA],$F351)</f>
        <v>-189</v>
      </c>
      <c r="I351" s="4">
        <f>SUMIFS(Tab_02.Fev[MOVIMENTO],Tab_02.Fev[CONTA],$F351)</f>
        <v>0</v>
      </c>
      <c r="J351" s="4">
        <f>SUMIFS(Tab_03.Mar[MOVIMENTO],Tab_03.Mar[CONTA],$F351)</f>
        <v>0</v>
      </c>
      <c r="K351" s="4">
        <f>SUMIFS(Tab_04.Abr[MOVIMENTO],Tab_04.Abr[CONTA],$F351)</f>
        <v>0</v>
      </c>
      <c r="L351" s="4">
        <f>SUMIFS(Tab_05.Mai[MOVIMENTO],Tab_05.Mai[CONTA],$F351)</f>
        <v>0</v>
      </c>
      <c r="M351" s="4">
        <f>SUMIFS(Tab_06.Jun[MOVIMENTO],Tab_06.Jun[CONTA],$F351)</f>
        <v>0</v>
      </c>
      <c r="N351" s="4">
        <f>SUMIFS(Tab_07.Jul[MOVIMENTO],Tab_07.Jul[CONTA],$F351)</f>
        <v>0</v>
      </c>
      <c r="O351" s="4">
        <f>SUMIFS(Tab_08.Ago[MOVIMENTO],Tab_08.Ago[CONTA],$F351)</f>
        <v>0</v>
      </c>
      <c r="P351" s="4">
        <f>SUMIFS(Tab_09.Set[MOVIMENTO],Tab_09.Set[CONTA],$F351)</f>
        <v>0</v>
      </c>
      <c r="Q351" s="4">
        <f>SUMIFS(Tab_10.Out[MOVIMENTO],Tab_10.Out[CONTA],$F351)</f>
        <v>0</v>
      </c>
      <c r="R351" s="4">
        <f>SUMIFS(Tab_11.Nov[MOVIMENTO],Tab_11.Nov[CONTA],$F351)</f>
        <v>0</v>
      </c>
      <c r="S351" s="4">
        <f>SUMIFS(Tab_12.Dez[MOVIMENTO],Tab_12.Dez[CONTA],$F351)</f>
        <v>0</v>
      </c>
    </row>
    <row r="352" spans="2:19" x14ac:dyDescent="0.3">
      <c r="B352" s="3" t="s">
        <v>66</v>
      </c>
      <c r="C352" s="2" t="str">
        <f t="shared" si="63"/>
        <v>C</v>
      </c>
      <c r="D352" s="2" t="str">
        <f t="shared" si="64"/>
        <v>A</v>
      </c>
      <c r="E352" s="2">
        <f t="shared" si="65"/>
        <v>5</v>
      </c>
      <c r="F352" s="3" t="s">
        <v>834</v>
      </c>
      <c r="G352" s="3" t="s">
        <v>835</v>
      </c>
      <c r="H352" s="4">
        <f>SUMIFS(Tab_01.Jan[MOVIMENTO],Tab_01.Jan[CONTA],$F352)</f>
        <v>-189</v>
      </c>
      <c r="I352" s="4">
        <f>SUMIFS(Tab_02.Fev[MOVIMENTO],Tab_02.Fev[CONTA],$F352)</f>
        <v>0</v>
      </c>
      <c r="J352" s="4">
        <f>SUMIFS(Tab_03.Mar[MOVIMENTO],Tab_03.Mar[CONTA],$F352)</f>
        <v>0</v>
      </c>
      <c r="K352" s="4">
        <f>SUMIFS(Tab_04.Abr[MOVIMENTO],Tab_04.Abr[CONTA],$F352)</f>
        <v>0</v>
      </c>
      <c r="L352" s="4">
        <f>SUMIFS(Tab_05.Mai[MOVIMENTO],Tab_05.Mai[CONTA],$F352)</f>
        <v>0</v>
      </c>
      <c r="M352" s="4">
        <f>SUMIFS(Tab_06.Jun[MOVIMENTO],Tab_06.Jun[CONTA],$F352)</f>
        <v>0</v>
      </c>
      <c r="N352" s="4">
        <f>SUMIFS(Tab_07.Jul[MOVIMENTO],Tab_07.Jul[CONTA],$F352)</f>
        <v>0</v>
      </c>
      <c r="O352" s="4">
        <f>SUMIFS(Tab_08.Ago[MOVIMENTO],Tab_08.Ago[CONTA],$F352)</f>
        <v>0</v>
      </c>
      <c r="P352" s="4">
        <f>SUMIFS(Tab_09.Set[MOVIMENTO],Tab_09.Set[CONTA],$F352)</f>
        <v>0</v>
      </c>
      <c r="Q352" s="4">
        <f>SUMIFS(Tab_10.Out[MOVIMENTO],Tab_10.Out[CONTA],$F352)</f>
        <v>0</v>
      </c>
      <c r="R352" s="4">
        <f>SUMIFS(Tab_11.Nov[MOVIMENTO],Tab_11.Nov[CONTA],$F352)</f>
        <v>0</v>
      </c>
      <c r="S352" s="4">
        <f>SUMIFS(Tab_12.Dez[MOVIMENTO],Tab_12.Dez[CONTA],$F352)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561D-6915-4D95-8A56-EFD963D6EF1C}">
  <dimension ref="A3:Q22"/>
  <sheetViews>
    <sheetView showGridLines="0" topLeftCell="E1" zoomScale="130" zoomScaleNormal="130" workbookViewId="0">
      <selection activeCell="Q13" sqref="Q13"/>
    </sheetView>
  </sheetViews>
  <sheetFormatPr defaultRowHeight="13.8" x14ac:dyDescent="0.3"/>
  <cols>
    <col min="1" max="1" width="8.88671875" customWidth="1"/>
    <col min="2" max="2" width="22" customWidth="1"/>
    <col min="3" max="3" width="16" bestFit="1" customWidth="1"/>
    <col min="4" max="4" width="36.5546875" bestFit="1" customWidth="1"/>
    <col min="5" max="5" width="8.88671875" customWidth="1"/>
    <col min="6" max="6" width="11" bestFit="1" customWidth="1"/>
    <col min="7" max="7" width="11.5546875" bestFit="1" customWidth="1"/>
    <col min="8" max="10" width="10.44140625" bestFit="1" customWidth="1"/>
    <col min="11" max="11" width="12.5546875" bestFit="1" customWidth="1"/>
    <col min="16" max="16" width="9.21875" customWidth="1"/>
  </cols>
  <sheetData>
    <row r="3" spans="1:17" ht="14.4" thickBot="1" x14ac:dyDescent="0.35"/>
    <row r="4" spans="1:17" ht="14.4" thickBot="1" x14ac:dyDescent="0.35">
      <c r="C4" s="190" t="s">
        <v>262</v>
      </c>
      <c r="D4" s="191"/>
      <c r="F4" s="156" t="s">
        <v>254</v>
      </c>
      <c r="G4" s="156" t="s">
        <v>255</v>
      </c>
      <c r="H4" s="156" t="s">
        <v>256</v>
      </c>
      <c r="I4" s="156" t="s">
        <v>257</v>
      </c>
      <c r="J4" s="156" t="s">
        <v>258</v>
      </c>
      <c r="K4" s="156" t="s">
        <v>259</v>
      </c>
      <c r="L4" s="156" t="s">
        <v>265</v>
      </c>
      <c r="M4" s="156" t="s">
        <v>266</v>
      </c>
      <c r="N4" s="156" t="s">
        <v>267</v>
      </c>
      <c r="O4" s="156" t="s">
        <v>268</v>
      </c>
      <c r="P4" s="156" t="s">
        <v>271</v>
      </c>
      <c r="Q4" s="156" t="s">
        <v>272</v>
      </c>
    </row>
    <row r="5" spans="1:17" x14ac:dyDescent="0.3">
      <c r="C5" s="158"/>
      <c r="D5" s="159"/>
      <c r="F5" s="156"/>
      <c r="G5" s="156"/>
      <c r="H5" s="156"/>
      <c r="I5" s="156"/>
      <c r="J5" s="156"/>
      <c r="K5" s="156"/>
      <c r="L5" s="166"/>
      <c r="O5" s="166"/>
    </row>
    <row r="6" spans="1:17" x14ac:dyDescent="0.3">
      <c r="A6" t="s">
        <v>197</v>
      </c>
      <c r="B6" t="s">
        <v>198</v>
      </c>
      <c r="C6" s="160" t="s">
        <v>261</v>
      </c>
      <c r="D6" s="161" t="s">
        <v>247</v>
      </c>
      <c r="F6" s="157">
        <f>VLOOKUP(A6,JAN!I15:N291,6,0)/-VLOOKUP(Indices!A7,JAN!I15:N291,6,0)</f>
        <v>6.05</v>
      </c>
      <c r="G6" s="157">
        <f>VLOOKUP(A6,FEV!I15:N271,6,0)/-VLOOKUP(A7,FEV!I15:N271,6,0)</f>
        <v>10.17</v>
      </c>
      <c r="H6" s="157">
        <f>VLOOKUP(A6,MAR!I15:N382,6,0)/-VLOOKUP(Indices!A7,MAR!I15:N382,6,0)</f>
        <v>8.34</v>
      </c>
      <c r="I6" s="157">
        <f>VLOOKUP(A6,ABR!I15:N282,6,0)/-VLOOKUP(Indices!A7,ABR!I15:N282,6,0)</f>
        <v>6.76</v>
      </c>
      <c r="J6" s="157">
        <f>VLOOKUP(A6,MAI!I15:N281,6,0)/-VLOOKUP(A7,MAI!I15:N281,6,0)</f>
        <v>7.42</v>
      </c>
      <c r="K6" s="157">
        <f>VLOOKUP(A6,Tab_06.Jun[[CONTA]:[SALDO
ATUAL]],6,0)/-VLOOKUP(Indices!A7,Tab_06.Jun[[CONTA]:[SALDO
ATUAL]],6,0)</f>
        <v>7.54</v>
      </c>
      <c r="L6" s="157">
        <f>VLOOKUP(A6,'2024'!F15:S350,9)/-(VLOOKUP(Indices!A7,'2024'!F15:S350,9,0))</f>
        <v>7.54</v>
      </c>
      <c r="M6" s="157">
        <f>VLOOKUP(A6,'2024'!F15:S350,10)/-(VLOOKUP(Indices!A7,'2024'!F15:S350,10,0))</f>
        <v>7.54</v>
      </c>
      <c r="N6" s="157">
        <f>VLOOKUP(A6,'2024'!F15:S350,11)/-(VLOOKUP(Indices!A7,'2024'!F15:S350,11,0))</f>
        <v>7.64</v>
      </c>
      <c r="O6" s="157">
        <f>VLOOKUP(A6,'2024'!F15:S350,12)/-(VLOOKUP(Indices!A7,'2024'!F15:S350,12,0))</f>
        <v>7.72</v>
      </c>
      <c r="P6" s="157">
        <f>VLOOKUP(A6,'2024'!F15:S350,13)/-(VLOOKUP(Indices!A7,'2024'!F15:S350,13,0))</f>
        <v>8.92</v>
      </c>
      <c r="Q6" s="171">
        <f>VLOOKUP(A6,'2024'!F15:S350,14)/-(VLOOKUP(Indices!A7,'2024'!F15:S350,14,0))</f>
        <v>17.29</v>
      </c>
    </row>
    <row r="7" spans="1:17" x14ac:dyDescent="0.3">
      <c r="A7" t="s">
        <v>216</v>
      </c>
      <c r="B7" t="s">
        <v>217</v>
      </c>
      <c r="C7" s="160"/>
      <c r="D7" s="162" t="s">
        <v>248</v>
      </c>
      <c r="L7" s="166"/>
      <c r="O7" s="166"/>
      <c r="Q7" s="170"/>
    </row>
    <row r="8" spans="1:17" ht="14.4" thickBot="1" x14ac:dyDescent="0.35">
      <c r="A8" t="s">
        <v>206</v>
      </c>
      <c r="B8" t="s">
        <v>207</v>
      </c>
      <c r="C8" s="163"/>
      <c r="D8" s="164"/>
      <c r="L8" s="166"/>
      <c r="O8" s="166"/>
      <c r="Q8" s="170"/>
    </row>
    <row r="9" spans="1:17" hidden="1" x14ac:dyDescent="0.3">
      <c r="A9" t="s">
        <v>199</v>
      </c>
      <c r="B9" t="s">
        <v>200</v>
      </c>
      <c r="C9" s="160"/>
      <c r="D9" s="162"/>
      <c r="L9" s="166"/>
      <c r="O9" s="166"/>
      <c r="Q9" s="170"/>
    </row>
    <row r="10" spans="1:17" x14ac:dyDescent="0.3">
      <c r="A10" t="s">
        <v>211</v>
      </c>
      <c r="B10" t="s">
        <v>212</v>
      </c>
      <c r="C10" s="160"/>
      <c r="D10" s="162"/>
      <c r="L10" s="166"/>
      <c r="O10" s="166"/>
      <c r="Q10" s="170"/>
    </row>
    <row r="11" spans="1:17" x14ac:dyDescent="0.3">
      <c r="A11" t="s">
        <v>226</v>
      </c>
      <c r="B11" t="s">
        <v>227</v>
      </c>
      <c r="C11" s="160" t="s">
        <v>249</v>
      </c>
      <c r="D11" s="161" t="s">
        <v>250</v>
      </c>
      <c r="F11" s="157">
        <f>(VLOOKUP(A6,'2024'!F15:S353,3,0)-VLOOKUP(Indices!A8,'2024'!F15:S353,3,0))/-VLOOKUP(Indices!A7,'2024'!F15:S353,3,0)</f>
        <v>6.04</v>
      </c>
      <c r="G11" s="157">
        <f>(VLOOKUP(A6,'2024'!F15:S353,4,0)-VLOOKUP(Indices!A8,'2024'!F15:S353,4,0))/-VLOOKUP(Indices!A7,'2024'!F15:S353,4,0)</f>
        <v>10.15</v>
      </c>
      <c r="H11" s="157">
        <f>(VLOOKUP(A6,'2024'!F15:S353,5,0)-VLOOKUP(Indices!A8,'2024'!F15:S353,5,0))/-VLOOKUP(Indices!A7,'2024'!F15:S353,5,0)</f>
        <v>8.34</v>
      </c>
      <c r="I11" s="157">
        <f>(VLOOKUP(A6,'2024'!F15:S353,6,0)-VLOOKUP(Indices!A8,'2024'!F15:S353,6,0))/-VLOOKUP(Indices!A7,'2024'!F15:S353,6,0)</f>
        <v>6.75</v>
      </c>
      <c r="J11" s="157">
        <f>(VLOOKUP(A6,'2024'!F15:S353,7,0)-VLOOKUP(Indices!A8,'2024'!F15:S353,7,0))/-VLOOKUP(Indices!A7,'2024'!F15:S353,7,0)</f>
        <v>7.41</v>
      </c>
      <c r="K11" s="157">
        <f>(VLOOKUP(A6,'2024'!F15:S353,8,0)-VLOOKUP(Indices!A8,'2024'!F15:S353,8,0))/-VLOOKUP(Indices!A7,'2024'!F15:S353,8,0)</f>
        <v>7.53</v>
      </c>
      <c r="L11" s="157">
        <f>(VLOOKUP(A6,'2024'!F15:S350,9,0)-VLOOKUP(Indices!A8,'2024'!F15:S350,9,0))/-VLOOKUP(Indices!A7,'2024'!F15:S350,9,0)</f>
        <v>7.53</v>
      </c>
      <c r="M11" s="157">
        <f>(VLOOKUP(A6,'2024'!F15:S350,10,0)-VLOOKUP(Indices!A8,'2024'!F15:S350,10,0))/-VLOOKUP(Indices!A7,'2024'!F15:S350,10,0)</f>
        <v>7.53</v>
      </c>
      <c r="N11" s="157">
        <f>(VLOOKUP(A6,'2024'!F15:S350,11,0)-VLOOKUP(Indices!A8,'2024'!F15:S350,11,0))/-VLOOKUP(Indices!A7,'2024'!F15:S350,11,0)</f>
        <v>7.63</v>
      </c>
      <c r="O11" s="157">
        <f>(VLOOKUP(A6,'2024'!F15:S350,12,0)-VLOOKUP(Indices!A8,'2024'!F15:S350,12,0))/-VLOOKUP(Indices!A7,'2024'!F15:S350,12,0)</f>
        <v>7.71</v>
      </c>
      <c r="P11" s="157">
        <f>(VLOOKUP(A6,'2024'!F15:S350,13,0)-VLOOKUP(Indices!A8,'2024'!F15:S350,13,0))/-VLOOKUP(Indices!A7,'2024'!F15:S350,13,0)</f>
        <v>8.86</v>
      </c>
      <c r="Q11" s="171">
        <f>(VLOOKUP(A6,'2024'!F15:S350,14,0)-VLOOKUP(Indices!A8,'2024'!F15:S350,14,0))/-VLOOKUP(Indices!A7,'2024'!F15:S350,14,0)</f>
        <v>17.28</v>
      </c>
    </row>
    <row r="12" spans="1:17" x14ac:dyDescent="0.3">
      <c r="C12" s="160"/>
      <c r="D12" s="162" t="s">
        <v>248</v>
      </c>
      <c r="L12" s="166"/>
      <c r="O12" s="166"/>
      <c r="Q12" s="170"/>
    </row>
    <row r="13" spans="1:17" x14ac:dyDescent="0.3">
      <c r="C13" s="160"/>
      <c r="D13" s="162"/>
      <c r="L13" s="166"/>
      <c r="O13" s="166"/>
      <c r="Q13" s="170"/>
    </row>
    <row r="14" spans="1:17" ht="14.4" thickBot="1" x14ac:dyDescent="0.35">
      <c r="C14" s="163"/>
      <c r="D14" s="164"/>
      <c r="L14" s="166"/>
      <c r="O14" s="166"/>
      <c r="Q14" s="170"/>
    </row>
    <row r="15" spans="1:17" x14ac:dyDescent="0.3">
      <c r="C15" s="160" t="s">
        <v>260</v>
      </c>
      <c r="D15" s="161" t="s">
        <v>251</v>
      </c>
      <c r="F15" s="157">
        <f>VLOOKUP(A9,'2024'!F15:S353,3,0)/-VLOOKUP(Indices!A7,'2024'!F15:S353,3,0)</f>
        <v>5.99</v>
      </c>
      <c r="G15" s="157">
        <f>VLOOKUP(A9,'2024'!F15:S353,4,0)/-VLOOKUP(Indices!A7,'2024'!F15:S353,4,0)</f>
        <v>10.050000000000001</v>
      </c>
      <c r="H15" s="157">
        <f>VLOOKUP(A9,'2024'!F15:S353,5,0)/-VLOOKUP(Indices!A7,'2024'!F15:S353,5,0)</f>
        <v>8.25</v>
      </c>
      <c r="I15" s="157">
        <f>VLOOKUP(A9,'2024'!F15:S353,6,0)/-VLOOKUP(Indices!A7,'2024'!F15:S353,6,0)</f>
        <v>6.64</v>
      </c>
      <c r="J15" s="157">
        <f>VLOOKUP(A9,'2024'!F15:S353,7,0)/-VLOOKUP(Indices!A7,'2024'!F15:S353,7,0)</f>
        <v>7.29</v>
      </c>
      <c r="K15" s="157">
        <f>VLOOKUP(A9,'2024'!F15:S353,8,0)/-VLOOKUP(Indices!A7,'2024'!F15:S353,8,0)</f>
        <v>7.41</v>
      </c>
      <c r="L15" s="157">
        <f>VLOOKUP(A9,'2024'!F15:S350,9,0)/-VLOOKUP(Indices!A7,'2024'!F15:S350,9,0)</f>
        <v>7.41</v>
      </c>
      <c r="M15" s="157">
        <f>VLOOKUP(A9,'2024'!F15:S350,10,0)/-VLOOKUP(Indices!A7,'2024'!F15:S350,10,0)</f>
        <v>7.41</v>
      </c>
      <c r="N15" s="157">
        <f>VLOOKUP(A9,'2024'!F15:S350,11,0)/-VLOOKUP(Indices!A7,'2024'!F15:S350,11,0)</f>
        <v>7.51</v>
      </c>
      <c r="O15" s="157">
        <f>VLOOKUP(A9,'2024'!F15:S350,12,0)/-VLOOKUP(Indices!A7,'2024'!F15:S350,12,0)</f>
        <v>7.59</v>
      </c>
      <c r="P15" s="157">
        <f>VLOOKUP(A9,'2024'!F15:S350,13,0)/-VLOOKUP(Indices!A7,'2024'!F15:S350,13,0)</f>
        <v>8.7100000000000009</v>
      </c>
      <c r="Q15" s="171">
        <f>VLOOKUP(A9,'2024'!F15:S350,14,0)/-VLOOKUP(Indices!A7,'2024'!F15:S350,14,0)</f>
        <v>17.149999999999999</v>
      </c>
    </row>
    <row r="16" spans="1:17" x14ac:dyDescent="0.3">
      <c r="C16" s="160"/>
      <c r="D16" s="162" t="s">
        <v>248</v>
      </c>
      <c r="L16" s="166"/>
      <c r="O16" s="166"/>
      <c r="Q16" s="170"/>
    </row>
    <row r="17" spans="3:17" ht="14.4" thickBot="1" x14ac:dyDescent="0.35">
      <c r="C17" s="163"/>
      <c r="D17" s="164"/>
      <c r="L17" s="166"/>
      <c r="O17" s="166"/>
      <c r="Q17" s="170"/>
    </row>
    <row r="18" spans="3:17" hidden="1" x14ac:dyDescent="0.3">
      <c r="C18" s="160"/>
      <c r="D18" s="162"/>
      <c r="L18" s="166"/>
      <c r="O18" s="166"/>
      <c r="Q18" s="170"/>
    </row>
    <row r="19" spans="3:17" x14ac:dyDescent="0.3">
      <c r="C19" s="160"/>
      <c r="D19" s="162"/>
      <c r="L19" s="166"/>
      <c r="O19" s="166"/>
      <c r="Q19" s="170"/>
    </row>
    <row r="20" spans="3:17" x14ac:dyDescent="0.3">
      <c r="C20" s="160" t="s">
        <v>252</v>
      </c>
      <c r="D20" s="161" t="s">
        <v>263</v>
      </c>
      <c r="F20" s="157">
        <f>(VLOOKUP(A6,'2024'!F15:S353,3,0)+VLOOKUP(Indices!A10,'2024'!F15:S353,3,0))/-(VLOOKUP(A7,'2024'!F15:S353,3,0)+VLOOKUP(Indices!A11,'2024'!F15:S353,3,0))</f>
        <v>44.9</v>
      </c>
      <c r="G20" s="157">
        <f>(VLOOKUP(A6,'2024'!F15:S353,4,0)+VLOOKUP(Indices!A10,'2024'!F15:S353,4,0))/-(VLOOKUP(A7,'2024'!F15:S353,4,0)+VLOOKUP(Indices!A11,'2024'!F15:S353,4,0))</f>
        <v>78.78</v>
      </c>
      <c r="H20" s="157">
        <f>(VLOOKUP(A6,'2024'!F15:S353,5,0)+VLOOKUP(Indices!A10,'2024'!F15:S353,5,0))/-(VLOOKUP(A7,'2024'!F15:S353,5,0)+VLOOKUP(Indices!A11,'2024'!F15:S353,5,0))</f>
        <v>66.37</v>
      </c>
      <c r="I20" s="157">
        <f>(VLOOKUP(A6,'2024'!F15:S353,6,0)+VLOOKUP(Indices!A10,'2024'!F15:S353,6,0))/-(VLOOKUP(A7,'2024'!F15:S353,6,0)+VLOOKUP(Indices!A11,'2024'!F15:S353,6,0))</f>
        <v>52.17</v>
      </c>
      <c r="J20" s="157">
        <f>(VLOOKUP(A6,'2024'!F15:S353,7,0)+VLOOKUP(Indices!A10,'2024'!F15:S353,7,0))/-(VLOOKUP(A7,'2024'!F15:S353,7,0)+VLOOKUP(Indices!A11,'2024'!F15:S353,7,0))</f>
        <v>56.93</v>
      </c>
      <c r="K20" s="157">
        <f>(VLOOKUP(A6,'2024'!F15:S353,8,0)+VLOOKUP(Indices!A10,'2024'!F15:S353,8,0))/-(VLOOKUP(A7,'2024'!F15:S353,8,0)+VLOOKUP(Indices!A11,'2024'!F15:S353,8,0))</f>
        <v>56.61</v>
      </c>
      <c r="L20" s="157">
        <f>(VLOOKUP(A6,'2024'!F15:S350,9,0)+VLOOKUP(Indices!A10,'2024'!F15:S350,9,0))/-(VLOOKUP(A7,'2024'!F15:S350,9,0)+VLOOKUP(Indices!A11,'2024'!F15:S350,9,0))</f>
        <v>56.61</v>
      </c>
      <c r="M20" s="157">
        <f>(VLOOKUP(A6,'2024'!F15:S350,10,0)+VLOOKUP(Indices!A10,'2024'!F15:S350,10,0))/-(VLOOKUP(A7,'2024'!F15:S350,10,0)+VLOOKUP(Indices!A11,'2024'!F15:S350,10,0))</f>
        <v>56.61</v>
      </c>
      <c r="N20" s="157">
        <f>(VLOOKUP(A6,'2024'!F15:S350,11,0)+VLOOKUP(Indices!A10,'2024'!F15:S350,11,0))/-(VLOOKUP(A7,'2024'!F15:S350,11,0)+VLOOKUP(Indices!A11,'2024'!F15:S350,11,0))</f>
        <v>57.04</v>
      </c>
      <c r="O20" s="157">
        <f>(VLOOKUP(A6,'2024'!F15:S350,12,0)+VLOOKUP(Indices!A10,'2024'!F15:S350,12,0))/-(VLOOKUP(A7,'2024'!F15:S350,12,0)+VLOOKUP(Indices!A11,'2024'!F15:S350,12,0))</f>
        <v>57.23</v>
      </c>
      <c r="P20" s="157">
        <f>(VLOOKUP(A6,'2024'!F15:S350,13,0)+VLOOKUP(Indices!A10,'2024'!F15:S350,13,0))/-(VLOOKUP(A7,'2024'!F15:S350,13,0)+VLOOKUP(Indices!A11,'2024'!F15:S350,13,0))</f>
        <v>65.63</v>
      </c>
      <c r="Q20" s="171">
        <f>(VLOOKUP(A6,'2024'!F15:S350,13,0)+VLOOKUP(Indices!A10,'2024'!F15:S350,14,0))/-(VLOOKUP(A7,'2024'!F15:S350,14,0)+VLOOKUP(Indices!A11,'2024'!F15:S350,14,0))</f>
        <v>131.32</v>
      </c>
    </row>
    <row r="21" spans="3:17" ht="14.4" thickBot="1" x14ac:dyDescent="0.35">
      <c r="C21" s="163"/>
      <c r="D21" s="164" t="s">
        <v>253</v>
      </c>
      <c r="L21" s="166"/>
      <c r="O21" s="166"/>
    </row>
    <row r="22" spans="3:17" x14ac:dyDescent="0.3">
      <c r="C22" s="156"/>
    </row>
  </sheetData>
  <mergeCells count="1">
    <mergeCell ref="C4:D4"/>
  </mergeCells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DD1C6-7283-470B-9FBE-AEBFDAAE36E9}">
  <sheetPr codeName="Planilha11"/>
  <dimension ref="B1:S291"/>
  <sheetViews>
    <sheetView showGridLines="0" zoomScale="85" zoomScaleNormal="85" workbookViewId="0">
      <pane xSplit="7" ySplit="14" topLeftCell="H15" activePane="bottomRight" state="frozen"/>
      <selection activeCell="H15" sqref="H15"/>
      <selection pane="topRight" activeCell="H15" sqref="H15"/>
      <selection pane="bottomLeft" activeCell="H15" sqref="H15"/>
      <selection pane="bottomRight" activeCell="J15" sqref="J15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" width="8.88671875" style="1"/>
    <col min="17" max="18" width="12.6640625" style="1" bestFit="1" customWidth="1"/>
    <col min="19" max="16384" width="8.88671875" style="1"/>
  </cols>
  <sheetData>
    <row r="1" spans="2:17" x14ac:dyDescent="0.3">
      <c r="B1" s="2"/>
      <c r="H1" s="3"/>
      <c r="I1" s="3"/>
      <c r="J1" s="3"/>
      <c r="K1" s="4"/>
      <c r="L1" s="4"/>
      <c r="M1" s="4"/>
    </row>
    <row r="2" spans="2:17" outlineLevel="1" x14ac:dyDescent="0.3">
      <c r="B2" s="2" t="s">
        <v>16</v>
      </c>
      <c r="F2" s="7">
        <f ca="1">SUMIFS(INDIRECT("Tab_01.Jan["&amp;F$14&amp;"]"),Tab_01.Jan[TP],$B2,Tab_01.Jan[NV],"A")</f>
        <v>0</v>
      </c>
      <c r="G2" s="7">
        <f ca="1">SUMIFS(INDIRECT("Tab_01.Jan["&amp;G$14&amp;"]"),Tab_01.Jan[TP],$B2,Tab_01.Jan[NV],"A")</f>
        <v>0</v>
      </c>
      <c r="H2" s="3"/>
      <c r="I2" s="3"/>
      <c r="J2" s="88" t="s">
        <v>15</v>
      </c>
      <c r="K2" s="7">
        <f ca="1">SUMIFS(INDIRECT("Tab_01.Jan["&amp;K$14&amp;"]"),Tab_01.Jan[TP],$B2,Tab_01.Jan[S/A],"A")</f>
        <v>83243926.390000001</v>
      </c>
      <c r="L2" s="7">
        <f ca="1">SUMIFS(INDIRECT("Tab_01.Jan["&amp;L$14&amp;"]"),Tab_01.Jan[TP],$B2,Tab_01.Jan[S/A],"A")</f>
        <v>1538342.73</v>
      </c>
      <c r="M2" s="7">
        <f ca="1">SUMIFS(INDIRECT("Tab_01.Jan["&amp;M$14&amp;"]"),Tab_01.Jan[TP],$B2,Tab_01.Jan[S/A],"A")</f>
        <v>1175775.04</v>
      </c>
      <c r="N2" s="7">
        <f ca="1">SUMIFS(INDIRECT("Tab_01.Jan["&amp;N$14&amp;"]"),Tab_01.Jan[TP],$B2,Tab_01.Jan[S/A],"A")</f>
        <v>83606494.079999998</v>
      </c>
      <c r="O2" s="7">
        <f ca="1">SUMIFS(INDIRECT("Tab_01.Jan["&amp;O$14&amp;"]"),Tab_01.Jan[TP],$B2,Tab_01.Jan[S/A],"A")</f>
        <v>362567.69</v>
      </c>
    </row>
    <row r="3" spans="2:17" outlineLevel="1" x14ac:dyDescent="0.3">
      <c r="B3" s="2" t="s">
        <v>116</v>
      </c>
      <c r="F3" s="7">
        <f ca="1">SUMIFS(INDIRECT("Tab_01.Jan["&amp;F$14&amp;"]"),Tab_01.Jan[TP],$B3,Tab_01.Jan[NV],"A")</f>
        <v>0</v>
      </c>
      <c r="G3" s="7">
        <f ca="1">SUMIFS(INDIRECT("Tab_01.Jan["&amp;G$14&amp;"]"),Tab_01.Jan[TP],$B3,Tab_01.Jan[NV],"A")</f>
        <v>0</v>
      </c>
      <c r="H3" s="3"/>
      <c r="I3" s="3"/>
      <c r="J3" s="88" t="s">
        <v>110</v>
      </c>
      <c r="K3" s="7">
        <f ca="1">SUMIFS(INDIRECT("Tab_01.Jan["&amp;K$14&amp;"]"),Tab_01.Jan[TP],$B3,Tab_01.Jan[S/A],"A")</f>
        <v>-83243926.390000001</v>
      </c>
      <c r="L3" s="7">
        <f ca="1">SUMIFS(INDIRECT("Tab_01.Jan["&amp;L$14&amp;"]"),Tab_01.Jan[TP],$B3,Tab_01.Jan[S/A],"A")</f>
        <v>1105115.8500000001</v>
      </c>
      <c r="M3" s="7">
        <f ca="1">SUMIFS(INDIRECT("Tab_01.Jan["&amp;M$14&amp;"]"),Tab_01.Jan[TP],$B3,Tab_01.Jan[S/A],"A")</f>
        <v>1578948.3</v>
      </c>
      <c r="N3" s="7">
        <f ca="1">SUMIFS(INDIRECT("Tab_01.Jan["&amp;N$14&amp;"]"),Tab_01.Jan[TP],$B3,Tab_01.Jan[S/A],"A")</f>
        <v>-83717758.840000004</v>
      </c>
      <c r="O3" s="7">
        <f ca="1">SUMIFS(INDIRECT("Tab_01.Jan["&amp;O$14&amp;"]"),Tab_01.Jan[TP],$B3,Tab_01.Jan[S/A],"A")</f>
        <v>-473832.45</v>
      </c>
    </row>
    <row r="4" spans="2:17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0</v>
      </c>
      <c r="L4" s="8">
        <f t="shared" ca="1" si="0"/>
        <v>2643458.58</v>
      </c>
      <c r="M4" s="8">
        <f t="shared" ca="1" si="0"/>
        <v>2754723.34</v>
      </c>
      <c r="N4" s="8">
        <f ca="1">SUM(N$2:N$3)</f>
        <v>-111264.76</v>
      </c>
      <c r="O4" s="8">
        <f t="shared" ca="1" si="0"/>
        <v>-111264.76</v>
      </c>
    </row>
    <row r="5" spans="2:17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7" outlineLevel="1" x14ac:dyDescent="0.3">
      <c r="B6" s="2" t="s">
        <v>19</v>
      </c>
      <c r="F6" s="7">
        <f ca="1">SUMIFS(INDIRECT("Tab_01.Jan["&amp;F$14&amp;"]"),Tab_01.Jan[TP],$B6,Tab_01.Jan[NV],"A")</f>
        <v>0</v>
      </c>
      <c r="G6" s="7">
        <f ca="1">SUMIFS(INDIRECT("Tab_01.Jan["&amp;G$14&amp;"]"),Tab_01.Jan[TP],$B6,Tab_01.Jan[NV],"A")</f>
        <v>0</v>
      </c>
      <c r="H6" s="3"/>
      <c r="I6" s="3"/>
      <c r="J6" s="88" t="s">
        <v>18</v>
      </c>
      <c r="K6" s="7">
        <f ca="1">SUMIFS(INDIRECT("Tab_01.Jan["&amp;K$14&amp;"]"),Tab_01.Jan[TP],$B6,Tab_01.Jan[S/A],"A")</f>
        <v>0</v>
      </c>
      <c r="L6" s="7">
        <f ca="1">SUMIFS(INDIRECT("Tab_01.Jan["&amp;L$14&amp;"]"),Tab_01.Jan[TP],$B6,Tab_01.Jan[S/A],"A")</f>
        <v>0</v>
      </c>
      <c r="M6" s="7">
        <f ca="1">SUMIFS(INDIRECT("Tab_01.Jan["&amp;M$14&amp;"]"),Tab_01.Jan[TP],$B6,Tab_01.Jan[S/A],"A")</f>
        <v>1136279.73</v>
      </c>
      <c r="N6" s="7">
        <f ca="1">SUMIFS(INDIRECT("Tab_01.Jan["&amp;N$14&amp;"]"),Tab_01.Jan[TP],$B6,Tab_01.Jan[S/A],"A")</f>
        <v>-1136279.73</v>
      </c>
      <c r="O6" s="7">
        <f ca="1">SUMIFS(INDIRECT("Tab_01.Jan["&amp;O$14&amp;"]"),Tab_01.Jan[TP],$B6,Tab_01.Jan[S/A],"A")</f>
        <v>-1136279.73</v>
      </c>
    </row>
    <row r="7" spans="2:17" outlineLevel="1" x14ac:dyDescent="0.3">
      <c r="B7" s="2" t="s">
        <v>20</v>
      </c>
      <c r="F7" s="7">
        <f ca="1">SUMIFS(INDIRECT("Tab_01.Jan["&amp;F$14&amp;"]"),Tab_01.Jan[TP],$B7,Tab_01.Jan[NV],"A")</f>
        <v>0</v>
      </c>
      <c r="G7" s="7">
        <f ca="1">SUMIFS(INDIRECT("Tab_01.Jan["&amp;G$14&amp;"]"),Tab_01.Jan[TP],$B7,Tab_01.Jan[NV],"A")</f>
        <v>0</v>
      </c>
      <c r="H7" s="3"/>
      <c r="I7" s="3"/>
      <c r="J7" s="88" t="s">
        <v>111</v>
      </c>
      <c r="K7" s="7">
        <f ca="1">SUMIFS(INDIRECT("Tab_01.Jan["&amp;K$14&amp;"]"),Tab_01.Jan[TP],$B7,Tab_01.Jan[S/A],"A")</f>
        <v>0</v>
      </c>
      <c r="L7" s="7">
        <f ca="1">SUMIFS(INDIRECT("Tab_01.Jan["&amp;L$14&amp;"]"),Tab_01.Jan[TP],$B7,Tab_01.Jan[S/A],"A")</f>
        <v>1381782.44</v>
      </c>
      <c r="M7" s="7">
        <f ca="1">SUMIFS(INDIRECT("Tab_01.Jan["&amp;M$14&amp;"]"),Tab_01.Jan[TP],$B7,Tab_01.Jan[S/A],"A")</f>
        <v>134237.95000000001</v>
      </c>
      <c r="N7" s="7">
        <f ca="1">SUMIFS(INDIRECT("Tab_01.Jan["&amp;N$14&amp;"]"),Tab_01.Jan[TP],$B7,Tab_01.Jan[S/A],"A")</f>
        <v>1247544.49</v>
      </c>
      <c r="O7" s="7">
        <f ca="1">SUMIFS(INDIRECT("Tab_01.Jan["&amp;O$14&amp;"]"),Tab_01.Jan[TP],$B7,Tab_01.Jan[S/A],"A")</f>
        <v>1247544.49</v>
      </c>
    </row>
    <row r="8" spans="2:17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0</v>
      </c>
      <c r="L8" s="8">
        <f ca="1">SUM(L$6:L$7)</f>
        <v>1381782.44</v>
      </c>
      <c r="M8" s="8">
        <f ca="1">SUM(M$6:M$7)</f>
        <v>1270517.68</v>
      </c>
      <c r="N8" s="8">
        <f ca="1">SUM(N$6:N$7)</f>
        <v>111264.76</v>
      </c>
      <c r="O8" s="8">
        <f ca="1">SUM(O$6:O$7)</f>
        <v>111264.76</v>
      </c>
    </row>
    <row r="9" spans="2:17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7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M10" ca="1" si="1">SUM(K$4,K$8)</f>
        <v>0</v>
      </c>
      <c r="L10" s="11">
        <f t="shared" ca="1" si="1"/>
        <v>4025241.02</v>
      </c>
      <c r="M10" s="11">
        <f t="shared" ca="1" si="1"/>
        <v>4025241.02</v>
      </c>
      <c r="N10" s="11">
        <f ca="1">SUM(N$4,N$8)</f>
        <v>0</v>
      </c>
      <c r="O10" s="11">
        <f ca="1">SUM(O$4,O$8)</f>
        <v>0</v>
      </c>
    </row>
    <row r="11" spans="2:17" ht="5.0999999999999996" customHeight="1" x14ac:dyDescent="0.3">
      <c r="B11" s="2"/>
      <c r="H11" s="3"/>
      <c r="I11" s="3"/>
      <c r="J11" s="3"/>
      <c r="K11" s="4"/>
      <c r="L11" s="4"/>
      <c r="M11" s="4"/>
    </row>
    <row r="12" spans="2:17" x14ac:dyDescent="0.3">
      <c r="B12" s="2"/>
      <c r="F12" s="7">
        <f>SUBTOTAL(9,Tab_01.Jan[SALDO FINAL
ANTERIOR])</f>
        <v>0</v>
      </c>
      <c r="G12" s="7">
        <f>SUBTOTAL(9,Tab_01.Jan[DIFERENÇA])</f>
        <v>0</v>
      </c>
      <c r="H12" s="3"/>
      <c r="I12" s="3"/>
      <c r="J12" s="3"/>
      <c r="K12" s="7">
        <f>SUBTOTAL(9,Tab_01.Jan[SALDO
ANTERIOR])</f>
        <v>0</v>
      </c>
      <c r="L12" s="7">
        <f>SUBTOTAL(9,Tab_01.Jan[DÉBITO])</f>
        <v>20126205.100000001</v>
      </c>
      <c r="M12" s="7">
        <f>SUBTOTAL(9,Tab_01.Jan[CRÉDITO])</f>
        <v>20126205.100000001</v>
      </c>
      <c r="N12" s="7">
        <f>SUBTOTAL(9,Tab_01.Jan[SALDO
ATUAL])</f>
        <v>0</v>
      </c>
      <c r="O12" s="7">
        <f>SUBTOTAL(9,Tab_01.Jan[MOVIMENTO])</f>
        <v>0</v>
      </c>
    </row>
    <row r="13" spans="2:17" ht="5.0999999999999996" customHeight="1" x14ac:dyDescent="0.3">
      <c r="B13" s="2"/>
      <c r="H13" s="3"/>
      <c r="I13" s="3"/>
      <c r="J13" s="3"/>
      <c r="K13" s="4"/>
      <c r="L13" s="4"/>
      <c r="M13" s="4"/>
    </row>
    <row r="14" spans="2:17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7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SUMIFS(Tab_99.Trial[DEZEMBRO],Tab_99.Trial[CONTA],$I15)</f>
        <v>0</v>
      </c>
      <c r="G15" s="4">
        <f>IFERROR(IF(LEFT($I15)*1&gt;2,0,$F15-$K15),0)</f>
        <v>-83243926.390000001</v>
      </c>
      <c r="H15" s="89"/>
      <c r="I15" s="3">
        <v>1</v>
      </c>
      <c r="J15" s="3" t="s">
        <v>637</v>
      </c>
      <c r="K15" s="173">
        <v>83243926.390000001</v>
      </c>
      <c r="L15" s="173">
        <v>1538342.73</v>
      </c>
      <c r="M15" s="173">
        <v>1175775.04</v>
      </c>
      <c r="N15" s="173">
        <v>83606494.079999998</v>
      </c>
      <c r="O15" s="4">
        <f>Tab_01.Jan[[#This Row],[DÉBITO]]-Tab_01.Jan[[#This Row],[CRÉDITO]]</f>
        <v>362567.69</v>
      </c>
    </row>
    <row r="16" spans="2:17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SUMIFS(Tab_99.Trial[DEZEMBRO],Tab_99.Trial[CONTA],$I16)</f>
        <v>0</v>
      </c>
      <c r="G16" s="4">
        <f>IFERROR(IF(LEFT($I16)*1&gt;2,0,$F16-$K16),0)</f>
        <v>-10724052.699999999</v>
      </c>
      <c r="H16" s="89"/>
      <c r="I16" s="3" t="s">
        <v>197</v>
      </c>
      <c r="J16" s="3" t="s">
        <v>247</v>
      </c>
      <c r="K16" s="173">
        <v>10724052.699999999</v>
      </c>
      <c r="L16" s="173">
        <v>1421484.86</v>
      </c>
      <c r="M16" s="173">
        <v>1168741.79</v>
      </c>
      <c r="N16" s="173">
        <v>10976795.77</v>
      </c>
      <c r="O16" s="4">
        <f>Tab_01.Jan[[#This Row],[DÉBITO]]-Tab_01.Jan[[#This Row],[CRÉDITO]]</f>
        <v>252743.07</v>
      </c>
      <c r="Q16" s="142"/>
    </row>
    <row r="17" spans="2:17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SUMIFS(Tab_99.Trial[DEZEMBRO],Tab_99.Trial[CONTA],$I17)</f>
        <v>0</v>
      </c>
      <c r="G17" s="4">
        <f>IFERROR(IF(LEFT($I17)*1&gt;2,0,$F17-$K17),0)</f>
        <v>-10610498.07</v>
      </c>
      <c r="H17" s="89"/>
      <c r="I17" s="3" t="s">
        <v>199</v>
      </c>
      <c r="J17" s="3" t="s">
        <v>638</v>
      </c>
      <c r="K17" s="173">
        <v>10610498.07</v>
      </c>
      <c r="L17" s="173">
        <v>1390000.31</v>
      </c>
      <c r="M17" s="173">
        <v>1135005.1499999999</v>
      </c>
      <c r="N17" s="173">
        <v>10865493.23</v>
      </c>
      <c r="O17" s="4">
        <f>Tab_01.Jan[[#This Row],[DÉBITO]]-Tab_01.Jan[[#This Row],[CRÉDITO]]</f>
        <v>254995.16</v>
      </c>
      <c r="Q17" s="4"/>
    </row>
    <row r="18" spans="2:17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SUMIFS(Tab_99.Trial[DEZEMBRO],Tab_99.Trial[CONTA],$I18)</f>
        <v>0</v>
      </c>
      <c r="G18" s="4">
        <f t="shared" ref="G18:G49" si="2">IFERROR(IF(LEFT($I18)*1&gt;2,0,$F18-$K18),0)</f>
        <v>-4148.32</v>
      </c>
      <c r="H18" s="137"/>
      <c r="I18" s="3" t="s">
        <v>201</v>
      </c>
      <c r="J18" s="3" t="s">
        <v>639</v>
      </c>
      <c r="K18" s="173">
        <v>4148.32</v>
      </c>
      <c r="L18" s="1">
        <v>1789.65</v>
      </c>
      <c r="M18" s="1">
        <v>2019.24</v>
      </c>
      <c r="N18" s="173">
        <v>3918.73</v>
      </c>
      <c r="O18" s="4">
        <f>Tab_01.Jan[[#This Row],[DÉBITO]]-Tab_01.Jan[[#This Row],[CRÉDITO]]</f>
        <v>-229.59</v>
      </c>
    </row>
    <row r="19" spans="2:17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SUMIFS(Tab_99.Trial[DEZEMBRO],Tab_99.Trial[CONTA],$I19)</f>
        <v>0</v>
      </c>
      <c r="G19" s="4">
        <f t="shared" si="2"/>
        <v>-4148.32</v>
      </c>
      <c r="H19" s="137"/>
      <c r="I19" s="3" t="s">
        <v>176</v>
      </c>
      <c r="J19" s="3" t="s">
        <v>274</v>
      </c>
      <c r="K19" s="173">
        <v>4148.32</v>
      </c>
      <c r="L19" s="1">
        <v>1789.65</v>
      </c>
      <c r="M19" s="1">
        <v>2019.24</v>
      </c>
      <c r="N19" s="173">
        <v>3918.73</v>
      </c>
      <c r="O19" s="4">
        <f>Tab_01.Jan[[#This Row],[DÉBITO]]-Tab_01.Jan[[#This Row],[CRÉDITO]]</f>
        <v>-229.59</v>
      </c>
    </row>
    <row r="20" spans="2:17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SUMIFS(Tab_99.Trial[DEZEMBRO],Tab_99.Trial[CONTA],$I20)</f>
        <v>0</v>
      </c>
      <c r="G20" s="4">
        <f t="shared" si="2"/>
        <v>-50020.45</v>
      </c>
      <c r="H20" s="137"/>
      <c r="I20" s="3" t="s">
        <v>202</v>
      </c>
      <c r="J20" s="3" t="s">
        <v>640</v>
      </c>
      <c r="K20" s="173">
        <v>50020.45</v>
      </c>
      <c r="L20" s="173">
        <v>825093.74</v>
      </c>
      <c r="M20" s="173">
        <v>848198.29</v>
      </c>
      <c r="N20" s="173">
        <v>26915.9</v>
      </c>
      <c r="O20" s="4">
        <f>Tab_01.Jan[[#This Row],[DÉBITO]]-Tab_01.Jan[[#This Row],[CRÉDITO]]</f>
        <v>-23104.55</v>
      </c>
    </row>
    <row r="21" spans="2:17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SUMIFS(Tab_99.Trial[DEZEMBRO],Tab_99.Trial[CONTA],$I21)</f>
        <v>0</v>
      </c>
      <c r="G21" s="4">
        <f t="shared" si="2"/>
        <v>-801</v>
      </c>
      <c r="H21" s="137"/>
      <c r="I21" s="3" t="s">
        <v>277</v>
      </c>
      <c r="J21" s="3" t="s">
        <v>278</v>
      </c>
      <c r="K21" s="1">
        <v>801</v>
      </c>
      <c r="L21" s="173">
        <v>795093.07</v>
      </c>
      <c r="M21" s="173">
        <v>795893.07</v>
      </c>
      <c r="N21" s="1">
        <v>1</v>
      </c>
      <c r="O21" s="4">
        <f>Tab_01.Jan[[#This Row],[DÉBITO]]-Tab_01.Jan[[#This Row],[CRÉDITO]]</f>
        <v>-800</v>
      </c>
    </row>
    <row r="22" spans="2:17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SUMIFS(Tab_99.Trial[DEZEMBRO],Tab_99.Trial[CONTA],$I22)</f>
        <v>0</v>
      </c>
      <c r="G22" s="4">
        <f t="shared" si="2"/>
        <v>-33607.449999999997</v>
      </c>
      <c r="H22" s="137"/>
      <c r="I22" s="3" t="s">
        <v>177</v>
      </c>
      <c r="J22" s="3" t="s">
        <v>279</v>
      </c>
      <c r="K22" s="173">
        <v>33607.449999999997</v>
      </c>
      <c r="L22" s="173">
        <v>29990.11</v>
      </c>
      <c r="M22" s="173">
        <v>46408.32</v>
      </c>
      <c r="N22" s="173">
        <v>17189.240000000002</v>
      </c>
      <c r="O22" s="4">
        <f>Tab_01.Jan[[#This Row],[DÉBITO]]-Tab_01.Jan[[#This Row],[CRÉDITO]]</f>
        <v>-16418.21</v>
      </c>
    </row>
    <row r="23" spans="2:17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SUMIFS(Tab_99.Trial[DEZEMBRO],Tab_99.Trial[CONTA],$I23)</f>
        <v>0</v>
      </c>
      <c r="G23" s="4">
        <f t="shared" si="2"/>
        <v>-4475.3500000000004</v>
      </c>
      <c r="H23" s="137"/>
      <c r="I23" s="3" t="s">
        <v>280</v>
      </c>
      <c r="J23" s="3" t="s">
        <v>281</v>
      </c>
      <c r="K23" s="173">
        <v>4475.3500000000004</v>
      </c>
      <c r="L23" s="1">
        <v>0.56000000000000005</v>
      </c>
      <c r="M23" s="1">
        <v>229</v>
      </c>
      <c r="N23" s="173">
        <v>4246.91</v>
      </c>
      <c r="O23" s="4">
        <f>Tab_01.Jan[[#This Row],[DÉBITO]]-Tab_01.Jan[[#This Row],[CRÉDITO]]</f>
        <v>-228.44</v>
      </c>
    </row>
    <row r="24" spans="2:17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SUMIFS(Tab_99.Trial[DEZEMBRO],Tab_99.Trial[CONTA],$I24)</f>
        <v>0</v>
      </c>
      <c r="G24" s="4">
        <f t="shared" si="2"/>
        <v>-11136.65</v>
      </c>
      <c r="H24" s="137"/>
      <c r="I24" s="3" t="s">
        <v>282</v>
      </c>
      <c r="J24" s="3" t="s">
        <v>283</v>
      </c>
      <c r="K24" s="173">
        <v>11136.65</v>
      </c>
      <c r="L24" s="1">
        <v>10</v>
      </c>
      <c r="M24" s="173">
        <v>5667.9</v>
      </c>
      <c r="N24" s="173">
        <v>5478.75</v>
      </c>
      <c r="O24" s="4">
        <f>Tab_01.Jan[[#This Row],[DÉBITO]]-Tab_01.Jan[[#This Row],[CRÉDITO]]</f>
        <v>-5657.9</v>
      </c>
    </row>
    <row r="25" spans="2:17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SUMIFS(Tab_99.Trial[DEZEMBRO],Tab_99.Trial[CONTA],$I25)</f>
        <v>0</v>
      </c>
      <c r="G25" s="4">
        <f t="shared" si="2"/>
        <v>-10556329.300000001</v>
      </c>
      <c r="H25" s="137"/>
      <c r="I25" s="3" t="s">
        <v>203</v>
      </c>
      <c r="J25" s="3" t="s">
        <v>641</v>
      </c>
      <c r="K25" s="173">
        <v>10556329.300000001</v>
      </c>
      <c r="L25" s="173">
        <v>563116.92000000004</v>
      </c>
      <c r="M25" s="173">
        <v>284787.62</v>
      </c>
      <c r="N25" s="173">
        <v>10834658.6</v>
      </c>
      <c r="O25" s="4">
        <f>Tab_01.Jan[[#This Row],[DÉBITO]]-Tab_01.Jan[[#This Row],[CRÉDITO]]</f>
        <v>278329.3</v>
      </c>
    </row>
    <row r="26" spans="2:17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SUMIFS(Tab_99.Trial[DEZEMBRO],Tab_99.Trial[CONTA],$I26)</f>
        <v>0</v>
      </c>
      <c r="G26" s="4">
        <f t="shared" si="2"/>
        <v>-5200966.07</v>
      </c>
      <c r="H26" s="137"/>
      <c r="I26" s="3" t="s">
        <v>178</v>
      </c>
      <c r="J26" s="3" t="s">
        <v>284</v>
      </c>
      <c r="K26" s="173">
        <v>5200966.07</v>
      </c>
      <c r="L26" s="173">
        <v>483688.48</v>
      </c>
      <c r="M26" s="173">
        <v>284782.75</v>
      </c>
      <c r="N26" s="173">
        <v>5399871.7999999998</v>
      </c>
      <c r="O26" s="4">
        <f>Tab_01.Jan[[#This Row],[DÉBITO]]-Tab_01.Jan[[#This Row],[CRÉDITO]]</f>
        <v>198905.73</v>
      </c>
    </row>
    <row r="27" spans="2:17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SUMIFS(Tab_99.Trial[DEZEMBRO],Tab_99.Trial[CONTA],$I27)</f>
        <v>0</v>
      </c>
      <c r="G27" s="4">
        <f t="shared" si="2"/>
        <v>-5355363.2300000004</v>
      </c>
      <c r="H27" s="137"/>
      <c r="I27" s="3" t="s">
        <v>287</v>
      </c>
      <c r="J27" s="3" t="s">
        <v>288</v>
      </c>
      <c r="K27" s="173">
        <v>5355363.2300000004</v>
      </c>
      <c r="L27" s="173">
        <v>79428.44</v>
      </c>
      <c r="M27" s="1">
        <v>4.87</v>
      </c>
      <c r="N27" s="173">
        <v>5434786.7999999998</v>
      </c>
      <c r="O27" s="4">
        <f>Tab_01.Jan[[#This Row],[DÉBITO]]-Tab_01.Jan[[#This Row],[CRÉDITO]]</f>
        <v>79423.570000000007</v>
      </c>
    </row>
    <row r="28" spans="2:17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SUMIFS(Tab_99.Trial[DEZEMBRO],Tab_99.Trial[CONTA],$I28)</f>
        <v>0</v>
      </c>
      <c r="G28" s="4">
        <f t="shared" si="2"/>
        <v>-99274.97</v>
      </c>
      <c r="H28" s="137"/>
      <c r="I28" s="3" t="s">
        <v>204</v>
      </c>
      <c r="J28" s="3" t="s">
        <v>642</v>
      </c>
      <c r="K28" s="173">
        <v>99274.97</v>
      </c>
      <c r="L28" s="1">
        <v>0</v>
      </c>
      <c r="M28" s="1">
        <v>0</v>
      </c>
      <c r="N28" s="173">
        <v>99274.97</v>
      </c>
      <c r="O28" s="4">
        <f>Tab_01.Jan[[#This Row],[DÉBITO]]-Tab_01.Jan[[#This Row],[CRÉDITO]]</f>
        <v>0</v>
      </c>
    </row>
    <row r="29" spans="2:17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SUMIFS(Tab_99.Trial[DEZEMBRO],Tab_99.Trial[CONTA],$I29)</f>
        <v>0</v>
      </c>
      <c r="G29" s="4">
        <f t="shared" si="2"/>
        <v>-99274.97</v>
      </c>
      <c r="H29" s="137"/>
      <c r="I29" s="3" t="s">
        <v>205</v>
      </c>
      <c r="J29" s="3" t="s">
        <v>643</v>
      </c>
      <c r="K29" s="173">
        <v>99274.97</v>
      </c>
      <c r="L29" s="1">
        <v>0</v>
      </c>
      <c r="M29" s="1">
        <v>0</v>
      </c>
      <c r="N29" s="173">
        <v>99274.97</v>
      </c>
      <c r="O29" s="4">
        <f>Tab_01.Jan[[#This Row],[DÉBITO]]-Tab_01.Jan[[#This Row],[CRÉDITO]]</f>
        <v>0</v>
      </c>
    </row>
    <row r="30" spans="2:17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SUMIFS(Tab_99.Trial[DEZEMBRO],Tab_99.Trial[CONTA],$I30)</f>
        <v>0</v>
      </c>
      <c r="G30" s="4">
        <f t="shared" si="2"/>
        <v>-99274.97</v>
      </c>
      <c r="H30" s="137"/>
      <c r="I30" s="3" t="s">
        <v>291</v>
      </c>
      <c r="J30" s="3" t="s">
        <v>292</v>
      </c>
      <c r="K30" s="173">
        <v>99274.97</v>
      </c>
      <c r="L30" s="1">
        <v>0</v>
      </c>
      <c r="M30" s="1">
        <v>0</v>
      </c>
      <c r="N30" s="173">
        <v>99274.97</v>
      </c>
      <c r="O30" s="4">
        <f>Tab_01.Jan[[#This Row],[DÉBITO]]-Tab_01.Jan[[#This Row],[CRÉDITO]]</f>
        <v>0</v>
      </c>
      <c r="Q30" s="172"/>
    </row>
    <row r="31" spans="2:17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SUMIFS(Tab_99.Trial[DEZEMBRO],Tab_99.Trial[CONTA],$I31)</f>
        <v>0</v>
      </c>
      <c r="G31" s="4">
        <f t="shared" si="2"/>
        <v>-11702.59</v>
      </c>
      <c r="H31" s="137"/>
      <c r="I31" s="3" t="s">
        <v>206</v>
      </c>
      <c r="J31" s="3" t="s">
        <v>644</v>
      </c>
      <c r="K31" s="173">
        <v>11702.59</v>
      </c>
      <c r="L31" s="173">
        <v>31484.55</v>
      </c>
      <c r="M31" s="173">
        <v>33448.9</v>
      </c>
      <c r="N31" s="173">
        <v>9738.24</v>
      </c>
      <c r="O31" s="4">
        <f>Tab_01.Jan[[#This Row],[DÉBITO]]-Tab_01.Jan[[#This Row],[CRÉDITO]]</f>
        <v>-1964.35</v>
      </c>
    </row>
    <row r="32" spans="2:17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SUMIFS(Tab_99.Trial[DEZEMBRO],Tab_99.Trial[CONTA],$I32)</f>
        <v>0</v>
      </c>
      <c r="G32" s="4">
        <f t="shared" si="2"/>
        <v>-11702.59</v>
      </c>
      <c r="H32" s="137"/>
      <c r="I32" s="3" t="s">
        <v>208</v>
      </c>
      <c r="J32" s="3" t="s">
        <v>139</v>
      </c>
      <c r="K32" s="173">
        <v>11702.59</v>
      </c>
      <c r="L32" s="173">
        <v>27002.81</v>
      </c>
      <c r="M32" s="173">
        <v>33448.9</v>
      </c>
      <c r="N32" s="173">
        <v>5256.5</v>
      </c>
      <c r="O32" s="4">
        <f>Tab_01.Jan[[#This Row],[DÉBITO]]-Tab_01.Jan[[#This Row],[CRÉDITO]]</f>
        <v>-6446.09</v>
      </c>
    </row>
    <row r="33" spans="2:19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SUMIFS(Tab_99.Trial[DEZEMBRO],Tab_99.Trial[CONTA],$I33)</f>
        <v>0</v>
      </c>
      <c r="G33" s="4">
        <f t="shared" si="2"/>
        <v>-44.58</v>
      </c>
      <c r="H33" s="137"/>
      <c r="I33" s="3" t="s">
        <v>179</v>
      </c>
      <c r="J33" s="3" t="s">
        <v>293</v>
      </c>
      <c r="K33" s="1">
        <v>44.58</v>
      </c>
      <c r="L33" s="1">
        <v>0</v>
      </c>
      <c r="M33" s="1">
        <v>0</v>
      </c>
      <c r="N33" s="1">
        <v>44.58</v>
      </c>
      <c r="O33" s="4">
        <f>Tab_01.Jan[[#This Row],[DÉBITO]]-Tab_01.Jan[[#This Row],[CRÉDITO]]</f>
        <v>0</v>
      </c>
    </row>
    <row r="34" spans="2:19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SUMIFS(Tab_99.Trial[DEZEMBRO],Tab_99.Trial[CONTA],$I34)</f>
        <v>0</v>
      </c>
      <c r="G34" s="4">
        <f t="shared" si="2"/>
        <v>-11658.01</v>
      </c>
      <c r="H34" s="137"/>
      <c r="I34" s="3" t="s">
        <v>294</v>
      </c>
      <c r="J34" s="3" t="s">
        <v>295</v>
      </c>
      <c r="K34" s="173">
        <v>11658.01</v>
      </c>
      <c r="L34" s="173">
        <v>27002.81</v>
      </c>
      <c r="M34" s="173">
        <v>33448.9</v>
      </c>
      <c r="N34" s="173">
        <v>5211.92</v>
      </c>
      <c r="O34" s="4">
        <f>Tab_01.Jan[[#This Row],[DÉBITO]]-Tab_01.Jan[[#This Row],[CRÉDITO]]</f>
        <v>-6446.09</v>
      </c>
    </row>
    <row r="35" spans="2:19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SUMIFS(Tab_99.Trial[DEZEMBRO],Tab_99.Trial[CONTA],$I35)</f>
        <v>0</v>
      </c>
      <c r="G35" s="4">
        <f t="shared" si="2"/>
        <v>0</v>
      </c>
      <c r="H35" s="137"/>
      <c r="I35" s="3" t="s">
        <v>551</v>
      </c>
      <c r="J35" s="3" t="s">
        <v>645</v>
      </c>
      <c r="K35" s="173">
        <v>0</v>
      </c>
      <c r="L35" s="1">
        <v>4481.74</v>
      </c>
      <c r="M35" s="1">
        <v>0</v>
      </c>
      <c r="N35" s="173">
        <v>4481.74</v>
      </c>
      <c r="O35" s="4">
        <f>Tab_01.Jan[[#This Row],[DÉBITO]]-Tab_01.Jan[[#This Row],[CRÉDITO]]</f>
        <v>4481.74</v>
      </c>
    </row>
    <row r="36" spans="2:19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SUMIFS(Tab_99.Trial[DEZEMBRO],Tab_99.Trial[CONTA],$I36)</f>
        <v>0</v>
      </c>
      <c r="G36" s="4">
        <f t="shared" si="2"/>
        <v>0</v>
      </c>
      <c r="H36" s="137"/>
      <c r="I36" s="3" t="s">
        <v>837</v>
      </c>
      <c r="J36" s="3" t="s">
        <v>838</v>
      </c>
      <c r="K36" s="173">
        <v>0</v>
      </c>
      <c r="L36" s="1">
        <v>4481.74</v>
      </c>
      <c r="M36" s="1">
        <v>0</v>
      </c>
      <c r="N36" s="173">
        <v>4481.74</v>
      </c>
      <c r="O36" s="4">
        <f>Tab_01.Jan[[#This Row],[DÉBITO]]-Tab_01.Jan[[#This Row],[CRÉDITO]]</f>
        <v>4481.74</v>
      </c>
    </row>
    <row r="37" spans="2:19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SUMIFS(Tab_99.Trial[DEZEMBRO],Tab_99.Trial[CONTA],$I37)</f>
        <v>0</v>
      </c>
      <c r="G37" s="4">
        <f t="shared" si="2"/>
        <v>-2577.0700000000002</v>
      </c>
      <c r="H37" s="137"/>
      <c r="I37" s="3" t="s">
        <v>209</v>
      </c>
      <c r="J37" s="3" t="s">
        <v>646</v>
      </c>
      <c r="K37" s="173">
        <v>2577.0700000000002</v>
      </c>
      <c r="L37" s="1">
        <v>0</v>
      </c>
      <c r="M37" s="1">
        <v>287.74</v>
      </c>
      <c r="N37" s="173">
        <v>2289.33</v>
      </c>
      <c r="O37" s="4">
        <f>Tab_01.Jan[[#This Row],[DÉBITO]]-Tab_01.Jan[[#This Row],[CRÉDITO]]</f>
        <v>-287.74</v>
      </c>
    </row>
    <row r="38" spans="2:19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SUMIFS(Tab_99.Trial[DEZEMBRO],Tab_99.Trial[CONTA],$I38)</f>
        <v>0</v>
      </c>
      <c r="G38" s="4">
        <f t="shared" si="2"/>
        <v>-2577.0700000000002</v>
      </c>
      <c r="H38" s="137"/>
      <c r="I38" s="3" t="s">
        <v>210</v>
      </c>
      <c r="J38" s="3" t="s">
        <v>646</v>
      </c>
      <c r="K38" s="173">
        <v>2577.0700000000002</v>
      </c>
      <c r="L38" s="173">
        <v>0</v>
      </c>
      <c r="M38" s="173">
        <v>287.74</v>
      </c>
      <c r="N38" s="173">
        <v>2289.33</v>
      </c>
      <c r="O38" s="4">
        <f>Tab_01.Jan[[#This Row],[DÉBITO]]-Tab_01.Jan[[#This Row],[CRÉDITO]]</f>
        <v>-287.74</v>
      </c>
      <c r="S38" s="4"/>
    </row>
    <row r="39" spans="2:19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SUMIFS(Tab_99.Trial[DEZEMBRO],Tab_99.Trial[CONTA],$I39)</f>
        <v>0</v>
      </c>
      <c r="G39" s="4">
        <f t="shared" si="2"/>
        <v>-2577.0700000000002</v>
      </c>
      <c r="H39" s="137"/>
      <c r="I39" s="3" t="s">
        <v>298</v>
      </c>
      <c r="J39" s="3" t="s">
        <v>299</v>
      </c>
      <c r="K39" s="173">
        <v>2577.0700000000002</v>
      </c>
      <c r="L39" s="1">
        <v>0</v>
      </c>
      <c r="M39" s="1">
        <v>287.74</v>
      </c>
      <c r="N39" s="173">
        <v>2289.33</v>
      </c>
      <c r="O39" s="4">
        <f>Tab_01.Jan[[#This Row],[DÉBITO]]-Tab_01.Jan[[#This Row],[CRÉDITO]]</f>
        <v>-287.74</v>
      </c>
    </row>
    <row r="40" spans="2:19" x14ac:dyDescent="0.3">
      <c r="B40" s="2" t="str">
        <f>_xlfn.XLOOKUP($I40,Tab_00.Trial[CONTA],Tab_00.Trial[TP],"",0,1)</f>
        <v>A</v>
      </c>
      <c r="C40" s="2">
        <f>_xlfn.XLOOKUP($I40,Tab_00.Trial[CONTA],Tab_00.Trial[NV],"",0,1)</f>
        <v>2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SUMIFS(Tab_99.Trial[DEZEMBRO],Tab_99.Trial[CONTA],$I40)</f>
        <v>0</v>
      </c>
      <c r="G40" s="4">
        <f t="shared" si="2"/>
        <v>-72519873.689999998</v>
      </c>
      <c r="H40" s="137"/>
      <c r="I40" s="3" t="s">
        <v>211</v>
      </c>
      <c r="J40" s="3" t="s">
        <v>76</v>
      </c>
      <c r="K40" s="173">
        <v>72519873.689999998</v>
      </c>
      <c r="L40" s="1">
        <v>116857.87</v>
      </c>
      <c r="M40" s="1">
        <v>7033.25</v>
      </c>
      <c r="N40" s="173">
        <v>72629698.310000002</v>
      </c>
      <c r="O40" s="4">
        <f>Tab_01.Jan[[#This Row],[DÉBITO]]-Tab_01.Jan[[#This Row],[CRÉDITO]]</f>
        <v>109824.62</v>
      </c>
    </row>
    <row r="41" spans="2:19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SUMIFS(Tab_99.Trial[DEZEMBRO],Tab_99.Trial[CONTA],$I41)</f>
        <v>0</v>
      </c>
      <c r="G41" s="4">
        <f t="shared" si="2"/>
        <v>-251672.86</v>
      </c>
      <c r="H41" s="137"/>
      <c r="I41" s="3" t="s">
        <v>552</v>
      </c>
      <c r="J41" s="3" t="s">
        <v>647</v>
      </c>
      <c r="K41" s="173">
        <v>251672.86</v>
      </c>
      <c r="L41" s="1">
        <v>417.93</v>
      </c>
      <c r="M41" s="1">
        <v>0</v>
      </c>
      <c r="N41" s="173">
        <v>252090.79</v>
      </c>
      <c r="O41" s="4">
        <f>Tab_01.Jan[[#This Row],[DÉBITO]]-Tab_01.Jan[[#This Row],[CRÉDITO]]</f>
        <v>417.93</v>
      </c>
    </row>
    <row r="42" spans="2:19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SUMIFS(Tab_99.Trial[DEZEMBRO],Tab_99.Trial[CONTA],$I42)</f>
        <v>0</v>
      </c>
      <c r="G42" s="4">
        <f t="shared" si="2"/>
        <v>-251672.86</v>
      </c>
      <c r="H42" s="137"/>
      <c r="I42" s="3" t="s">
        <v>553</v>
      </c>
      <c r="J42" s="3" t="s">
        <v>301</v>
      </c>
      <c r="K42" s="173">
        <v>251672.86</v>
      </c>
      <c r="L42" s="173">
        <v>417.93</v>
      </c>
      <c r="M42" s="1">
        <v>0</v>
      </c>
      <c r="N42" s="173">
        <v>252090.79</v>
      </c>
      <c r="O42" s="4">
        <f>Tab_01.Jan[[#This Row],[DÉBITO]]-Tab_01.Jan[[#This Row],[CRÉDITO]]</f>
        <v>417.93</v>
      </c>
    </row>
    <row r="43" spans="2:19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A</v>
      </c>
      <c r="E43" s="2">
        <f>IF($I43="","",COUNTIFS(Tab_00.Trial[CONTA],$I43))</f>
        <v>1</v>
      </c>
      <c r="F43" s="4">
        <f>SUMIFS(Tab_99.Trial[DEZEMBRO],Tab_99.Trial[CONTA],$I43)</f>
        <v>0</v>
      </c>
      <c r="G43" s="4">
        <f t="shared" si="2"/>
        <v>-251672.86</v>
      </c>
      <c r="H43" s="137"/>
      <c r="I43" s="3" t="s">
        <v>300</v>
      </c>
      <c r="J43" s="3" t="s">
        <v>301</v>
      </c>
      <c r="K43" s="173">
        <v>251672.86</v>
      </c>
      <c r="L43" s="1">
        <v>417.93</v>
      </c>
      <c r="M43" s="1">
        <v>0</v>
      </c>
      <c r="N43" s="173">
        <v>252090.79</v>
      </c>
      <c r="O43" s="4">
        <f>Tab_01.Jan[[#This Row],[DÉBITO]]-Tab_01.Jan[[#This Row],[CRÉDITO]]</f>
        <v>417.93</v>
      </c>
    </row>
    <row r="44" spans="2:19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SUMIFS(Tab_99.Trial[DEZEMBRO],Tab_99.Trial[CONTA],$I44)</f>
        <v>0</v>
      </c>
      <c r="G44" s="4">
        <f t="shared" si="2"/>
        <v>-69951378.069999993</v>
      </c>
      <c r="H44" s="137"/>
      <c r="I44" s="3" t="s">
        <v>554</v>
      </c>
      <c r="J44" s="3" t="s">
        <v>648</v>
      </c>
      <c r="K44" s="173">
        <v>69951378.069999993</v>
      </c>
      <c r="L44" s="1">
        <v>95912</v>
      </c>
      <c r="M44" s="1">
        <v>0</v>
      </c>
      <c r="N44" s="173">
        <v>70047290.069999993</v>
      </c>
      <c r="O44" s="4">
        <f>Tab_01.Jan[[#This Row],[DÉBITO]]-Tab_01.Jan[[#This Row],[CRÉDITO]]</f>
        <v>95912</v>
      </c>
    </row>
    <row r="45" spans="2:19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SUMIFS(Tab_99.Trial[DEZEMBRO],Tab_99.Trial[CONTA],$I45)</f>
        <v>0</v>
      </c>
      <c r="G45" s="4">
        <f t="shared" si="2"/>
        <v>-45344232.229999997</v>
      </c>
      <c r="H45" s="137"/>
      <c r="I45" s="3" t="s">
        <v>555</v>
      </c>
      <c r="J45" s="3" t="s">
        <v>649</v>
      </c>
      <c r="K45" s="173">
        <v>45344232.229999997</v>
      </c>
      <c r="L45" s="1">
        <v>0</v>
      </c>
      <c r="M45" s="1">
        <v>0</v>
      </c>
      <c r="N45" s="173">
        <v>45344232.229999997</v>
      </c>
      <c r="O45" s="4">
        <f>Tab_01.Jan[[#This Row],[DÉBITO]]-Tab_01.Jan[[#This Row],[CRÉDITO]]</f>
        <v>0</v>
      </c>
    </row>
    <row r="46" spans="2:19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SUMIFS(Tab_99.Trial[DEZEMBRO],Tab_99.Trial[CONTA],$I46)</f>
        <v>0</v>
      </c>
      <c r="G46" s="4">
        <f t="shared" si="2"/>
        <v>-42477392.43</v>
      </c>
      <c r="H46" s="137"/>
      <c r="I46" s="3" t="s">
        <v>302</v>
      </c>
      <c r="J46" s="3" t="s">
        <v>303</v>
      </c>
      <c r="K46" s="173">
        <v>42477392.43</v>
      </c>
      <c r="L46" s="1">
        <v>0</v>
      </c>
      <c r="M46" s="1">
        <v>0</v>
      </c>
      <c r="N46" s="173">
        <v>42477392.43</v>
      </c>
      <c r="O46" s="4">
        <f>Tab_01.Jan[[#This Row],[DÉBITO]]-Tab_01.Jan[[#This Row],[CRÉDITO]]</f>
        <v>0</v>
      </c>
    </row>
    <row r="47" spans="2:19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A</v>
      </c>
      <c r="E47" s="2">
        <f>IF($I47="","",COUNTIFS(Tab_00.Trial[CONTA],$I47))</f>
        <v>1</v>
      </c>
      <c r="F47" s="4">
        <f>SUMIFS(Tab_99.Trial[DEZEMBRO],Tab_99.Trial[CONTA],$I47)</f>
        <v>0</v>
      </c>
      <c r="G47" s="4">
        <f t="shared" si="2"/>
        <v>-2866839.8</v>
      </c>
      <c r="H47" s="137"/>
      <c r="I47" s="3" t="s">
        <v>304</v>
      </c>
      <c r="J47" s="3" t="s">
        <v>305</v>
      </c>
      <c r="K47" s="173">
        <v>2866839.8</v>
      </c>
      <c r="L47" s="1">
        <v>0</v>
      </c>
      <c r="M47" s="1">
        <v>0</v>
      </c>
      <c r="N47" s="173">
        <v>2866839.8</v>
      </c>
      <c r="O47" s="4">
        <f>Tab_01.Jan[[#This Row],[DÉBITO]]-Tab_01.Jan[[#This Row],[CRÉDITO]]</f>
        <v>0</v>
      </c>
    </row>
    <row r="48" spans="2:19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SUMIFS(Tab_99.Trial[DEZEMBRO],Tab_99.Trial[CONTA],$I48)</f>
        <v>0</v>
      </c>
      <c r="G48" s="4">
        <f t="shared" si="2"/>
        <v>-4760.84</v>
      </c>
      <c r="H48" s="137"/>
      <c r="I48" s="3" t="s">
        <v>556</v>
      </c>
      <c r="J48" s="3" t="s">
        <v>650</v>
      </c>
      <c r="K48" s="173">
        <v>4760.84</v>
      </c>
      <c r="L48" s="173">
        <v>0</v>
      </c>
      <c r="M48" s="1">
        <v>0</v>
      </c>
      <c r="N48" s="173">
        <v>4760.84</v>
      </c>
      <c r="O48" s="4">
        <f>Tab_01.Jan[[#This Row],[DÉBITO]]-Tab_01.Jan[[#This Row],[CRÉDITO]]</f>
        <v>0</v>
      </c>
    </row>
    <row r="49" spans="2:18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SUMIFS(Tab_99.Trial[DEZEMBRO],Tab_99.Trial[CONTA],$I49)</f>
        <v>0</v>
      </c>
      <c r="G49" s="4">
        <f t="shared" si="2"/>
        <v>-4760.84</v>
      </c>
      <c r="H49" s="137"/>
      <c r="I49" s="3" t="s">
        <v>306</v>
      </c>
      <c r="J49" s="3" t="s">
        <v>307</v>
      </c>
      <c r="K49" s="173">
        <v>4760.84</v>
      </c>
      <c r="L49" s="173">
        <v>0</v>
      </c>
      <c r="M49" s="1">
        <v>0</v>
      </c>
      <c r="N49" s="173">
        <v>4760.84</v>
      </c>
      <c r="O49" s="4">
        <f>Tab_01.Jan[[#This Row],[DÉBITO]]-Tab_01.Jan[[#This Row],[CRÉDITO]]</f>
        <v>0</v>
      </c>
    </row>
    <row r="50" spans="2:18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SUMIFS(Tab_99.Trial[DEZEMBRO],Tab_99.Trial[CONTA],$I50)</f>
        <v>0</v>
      </c>
      <c r="G50" s="4">
        <f t="shared" ref="G50:G81" si="3">IFERROR(IF(LEFT($I50)*1&gt;2,0,$F50-$K50),0)</f>
        <v>-24602385</v>
      </c>
      <c r="H50" s="137"/>
      <c r="I50" s="3" t="s">
        <v>557</v>
      </c>
      <c r="J50" s="3" t="s">
        <v>309</v>
      </c>
      <c r="K50" s="173">
        <v>24602385</v>
      </c>
      <c r="L50" s="173">
        <v>95912</v>
      </c>
      <c r="M50" s="173">
        <v>0</v>
      </c>
      <c r="N50" s="173">
        <v>24698297</v>
      </c>
      <c r="O50" s="4">
        <f>Tab_01.Jan[[#This Row],[DÉBITO]]-Tab_01.Jan[[#This Row],[CRÉDITO]]</f>
        <v>95912</v>
      </c>
    </row>
    <row r="51" spans="2:18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SUMIFS(Tab_99.Trial[DEZEMBRO],Tab_99.Trial[CONTA],$I51)</f>
        <v>0</v>
      </c>
      <c r="G51" s="4">
        <f t="shared" si="3"/>
        <v>-24602385</v>
      </c>
      <c r="H51" s="137"/>
      <c r="I51" s="3" t="s">
        <v>308</v>
      </c>
      <c r="J51" s="3" t="s">
        <v>309</v>
      </c>
      <c r="K51" s="173">
        <v>24602385</v>
      </c>
      <c r="L51" s="173">
        <v>95912</v>
      </c>
      <c r="M51" s="1">
        <v>0</v>
      </c>
      <c r="N51" s="173">
        <v>24698297</v>
      </c>
      <c r="O51" s="4">
        <f>Tab_01.Jan[[#This Row],[DÉBITO]]-Tab_01.Jan[[#This Row],[CRÉDITO]]</f>
        <v>95912</v>
      </c>
    </row>
    <row r="52" spans="2:18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S</v>
      </c>
      <c r="E52" s="2">
        <f>IF($I52="","",COUNTIFS(Tab_00.Trial[CONTA],$I52))</f>
        <v>1</v>
      </c>
      <c r="F52" s="4">
        <f>SUMIFS(Tab_99.Trial[DEZEMBRO],Tab_99.Trial[CONTA],$I52)</f>
        <v>0</v>
      </c>
      <c r="G52" s="4">
        <f t="shared" si="3"/>
        <v>-2316822.7599999998</v>
      </c>
      <c r="H52" s="137"/>
      <c r="I52" s="3" t="s">
        <v>213</v>
      </c>
      <c r="J52" s="3" t="s">
        <v>35</v>
      </c>
      <c r="K52" s="173">
        <v>2316822.7599999998</v>
      </c>
      <c r="L52" s="1">
        <v>20527.939999999999</v>
      </c>
      <c r="M52" s="1">
        <v>7033.25</v>
      </c>
      <c r="N52" s="173">
        <v>2330317.4500000002</v>
      </c>
      <c r="O52" s="4">
        <f>Tab_01.Jan[[#This Row],[DÉBITO]]-Tab_01.Jan[[#This Row],[CRÉDITO]]</f>
        <v>13494.69</v>
      </c>
      <c r="Q52" s="141"/>
      <c r="R52" s="142"/>
    </row>
    <row r="53" spans="2:18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SUMIFS(Tab_99.Trial[DEZEMBRO],Tab_99.Trial[CONTA],$I53)</f>
        <v>0</v>
      </c>
      <c r="G53" s="4">
        <f t="shared" si="3"/>
        <v>-3468596.77</v>
      </c>
      <c r="H53" s="137"/>
      <c r="I53" s="3" t="s">
        <v>214</v>
      </c>
      <c r="J53" s="3" t="s">
        <v>651</v>
      </c>
      <c r="K53" s="173">
        <v>3468596.77</v>
      </c>
      <c r="L53" s="173">
        <v>18858.79</v>
      </c>
      <c r="M53" s="1">
        <v>0</v>
      </c>
      <c r="N53" s="173">
        <v>3487455.56</v>
      </c>
      <c r="O53" s="4">
        <f>Tab_01.Jan[[#This Row],[DÉBITO]]-Tab_01.Jan[[#This Row],[CRÉDITO]]</f>
        <v>18858.79</v>
      </c>
    </row>
    <row r="54" spans="2:18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SUMIFS(Tab_99.Trial[DEZEMBRO],Tab_99.Trial[CONTA],$I54)</f>
        <v>0</v>
      </c>
      <c r="G54" s="4">
        <f t="shared" si="3"/>
        <v>-1379260.84</v>
      </c>
      <c r="H54" s="137"/>
      <c r="I54" s="3" t="s">
        <v>310</v>
      </c>
      <c r="J54" s="3" t="s">
        <v>311</v>
      </c>
      <c r="K54" s="173">
        <v>1379260.84</v>
      </c>
      <c r="L54" s="1">
        <v>0</v>
      </c>
      <c r="M54" s="1">
        <v>0</v>
      </c>
      <c r="N54" s="173">
        <v>1379260.84</v>
      </c>
      <c r="O54" s="4">
        <f>Tab_01.Jan[[#This Row],[DÉBITO]]-Tab_01.Jan[[#This Row],[CRÉDITO]]</f>
        <v>0</v>
      </c>
    </row>
    <row r="55" spans="2:18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SUMIFS(Tab_99.Trial[DEZEMBRO],Tab_99.Trial[CONTA],$I55)</f>
        <v>0</v>
      </c>
      <c r="G55" s="4">
        <f t="shared" si="3"/>
        <v>-1215138.19</v>
      </c>
      <c r="H55" s="137"/>
      <c r="I55" s="3" t="s">
        <v>312</v>
      </c>
      <c r="J55" s="3" t="s">
        <v>313</v>
      </c>
      <c r="K55" s="173">
        <v>1215138.19</v>
      </c>
      <c r="L55" s="1">
        <v>18858.79</v>
      </c>
      <c r="M55" s="1">
        <v>0</v>
      </c>
      <c r="N55" s="173">
        <v>1233996.98</v>
      </c>
      <c r="O55" s="4">
        <f>Tab_01.Jan[[#This Row],[DÉBITO]]-Tab_01.Jan[[#This Row],[CRÉDITO]]</f>
        <v>18858.79</v>
      </c>
    </row>
    <row r="56" spans="2:18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SUMIFS(Tab_99.Trial[DEZEMBRO],Tab_99.Trial[CONTA],$I56)</f>
        <v>0</v>
      </c>
      <c r="G56" s="4">
        <f t="shared" si="3"/>
        <v>-23000</v>
      </c>
      <c r="H56" s="137"/>
      <c r="I56" s="3" t="s">
        <v>181</v>
      </c>
      <c r="J56" s="3" t="s">
        <v>314</v>
      </c>
      <c r="K56" s="173">
        <v>23000</v>
      </c>
      <c r="L56" s="1">
        <v>0</v>
      </c>
      <c r="M56" s="1">
        <v>0</v>
      </c>
      <c r="N56" s="173">
        <v>23000</v>
      </c>
      <c r="O56" s="4">
        <f>Tab_01.Jan[[#This Row],[DÉBITO]]-Tab_01.Jan[[#This Row],[CRÉDITO]]</f>
        <v>0</v>
      </c>
    </row>
    <row r="57" spans="2:18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SUMIFS(Tab_99.Trial[DEZEMBRO],Tab_99.Trial[CONTA],$I57)</f>
        <v>0</v>
      </c>
      <c r="G57" s="4">
        <f t="shared" si="3"/>
        <v>-12594</v>
      </c>
      <c r="H57" s="137"/>
      <c r="I57" s="3" t="s">
        <v>182</v>
      </c>
      <c r="J57" s="3" t="s">
        <v>315</v>
      </c>
      <c r="K57" s="173">
        <v>12594</v>
      </c>
      <c r="L57" s="1">
        <v>0</v>
      </c>
      <c r="M57" s="1">
        <v>0</v>
      </c>
      <c r="N57" s="173">
        <v>12594</v>
      </c>
      <c r="O57" s="4">
        <f>Tab_01.Jan[[#This Row],[DÉBITO]]-Tab_01.Jan[[#This Row],[CRÉDITO]]</f>
        <v>0</v>
      </c>
    </row>
    <row r="58" spans="2:18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SUMIFS(Tab_99.Trial[DEZEMBRO],Tab_99.Trial[CONTA],$I58)</f>
        <v>0</v>
      </c>
      <c r="G58" s="4">
        <f t="shared" si="3"/>
        <v>-223690.57</v>
      </c>
      <c r="H58" s="137"/>
      <c r="I58" s="3" t="s">
        <v>183</v>
      </c>
      <c r="J58" s="3" t="s">
        <v>316</v>
      </c>
      <c r="K58" s="173">
        <v>223690.57</v>
      </c>
      <c r="L58" s="1">
        <v>0</v>
      </c>
      <c r="M58" s="1">
        <v>0</v>
      </c>
      <c r="N58" s="173">
        <v>223690.57</v>
      </c>
      <c r="O58" s="4">
        <f>Tab_01.Jan[[#This Row],[DÉBITO]]-Tab_01.Jan[[#This Row],[CRÉDITO]]</f>
        <v>0</v>
      </c>
    </row>
    <row r="59" spans="2:18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SUMIFS(Tab_99.Trial[DEZEMBRO],Tab_99.Trial[CONTA],$I59)</f>
        <v>0</v>
      </c>
      <c r="G59" s="4">
        <f t="shared" si="3"/>
        <v>-7349.9</v>
      </c>
      <c r="H59" s="137"/>
      <c r="I59" s="3" t="s">
        <v>317</v>
      </c>
      <c r="J59" s="3" t="s">
        <v>318</v>
      </c>
      <c r="K59" s="173">
        <v>7349.9</v>
      </c>
      <c r="L59" s="1">
        <v>0</v>
      </c>
      <c r="M59" s="1">
        <v>0</v>
      </c>
      <c r="N59" s="173">
        <v>7349.9</v>
      </c>
      <c r="O59" s="4">
        <f>Tab_01.Jan[[#This Row],[DÉBITO]]-Tab_01.Jan[[#This Row],[CRÉDITO]]</f>
        <v>0</v>
      </c>
    </row>
    <row r="60" spans="2:18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SUMIFS(Tab_99.Trial[DEZEMBRO],Tab_99.Trial[CONTA],$I60)</f>
        <v>0</v>
      </c>
      <c r="G60" s="4">
        <f t="shared" si="3"/>
        <v>-128697.03</v>
      </c>
      <c r="H60" s="137"/>
      <c r="I60" s="3" t="s">
        <v>184</v>
      </c>
      <c r="J60" s="3" t="s">
        <v>319</v>
      </c>
      <c r="K60" s="173">
        <v>128697.03</v>
      </c>
      <c r="L60" s="1">
        <v>0</v>
      </c>
      <c r="M60" s="1">
        <v>0</v>
      </c>
      <c r="N60" s="173">
        <v>128697.03</v>
      </c>
      <c r="O60" s="4">
        <f>Tab_01.Jan[[#This Row],[DÉBITO]]-Tab_01.Jan[[#This Row],[CRÉDITO]]</f>
        <v>0</v>
      </c>
    </row>
    <row r="61" spans="2:18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SUMIFS(Tab_99.Trial[DEZEMBRO],Tab_99.Trial[CONTA],$I61)</f>
        <v>0</v>
      </c>
      <c r="G61" s="4">
        <f t="shared" si="3"/>
        <v>-15029.74</v>
      </c>
      <c r="H61" s="137"/>
      <c r="I61" s="3" t="s">
        <v>185</v>
      </c>
      <c r="J61" s="3" t="s">
        <v>320</v>
      </c>
      <c r="K61" s="173">
        <v>15029.74</v>
      </c>
      <c r="L61" s="173">
        <v>0</v>
      </c>
      <c r="M61" s="173">
        <v>0</v>
      </c>
      <c r="N61" s="173">
        <v>15029.74</v>
      </c>
      <c r="O61" s="4">
        <f>Tab_01.Jan[[#This Row],[DÉBITO]]-Tab_01.Jan[[#This Row],[CRÉDITO]]</f>
        <v>0</v>
      </c>
    </row>
    <row r="62" spans="2:18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SUMIFS(Tab_99.Trial[DEZEMBRO],Tab_99.Trial[CONTA],$I62)</f>
        <v>0</v>
      </c>
      <c r="G62" s="4">
        <f t="shared" si="3"/>
        <v>-463836.5</v>
      </c>
      <c r="H62" s="137"/>
      <c r="I62" s="3" t="s">
        <v>321</v>
      </c>
      <c r="J62" s="3" t="s">
        <v>322</v>
      </c>
      <c r="K62" s="173">
        <v>463836.5</v>
      </c>
      <c r="L62" s="1">
        <v>0</v>
      </c>
      <c r="M62" s="173">
        <v>0</v>
      </c>
      <c r="N62" s="173">
        <v>463836.5</v>
      </c>
      <c r="O62" s="4">
        <f>Tab_01.Jan[[#This Row],[DÉBITO]]-Tab_01.Jan[[#This Row],[CRÉDITO]]</f>
        <v>0</v>
      </c>
    </row>
    <row r="63" spans="2:18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S</v>
      </c>
      <c r="E63" s="2">
        <f>IF($I63="","",COUNTIFS(Tab_00.Trial[CONTA],$I63))</f>
        <v>1</v>
      </c>
      <c r="F63" s="4">
        <f>SUMIFS(Tab_99.Trial[DEZEMBRO],Tab_99.Trial[CONTA],$I63)</f>
        <v>0</v>
      </c>
      <c r="G63" s="4">
        <f t="shared" si="3"/>
        <v>1151774.01</v>
      </c>
      <c r="H63" s="137"/>
      <c r="I63" s="3" t="s">
        <v>215</v>
      </c>
      <c r="J63" s="3" t="s">
        <v>652</v>
      </c>
      <c r="K63" s="173">
        <v>-1151774.01</v>
      </c>
      <c r="L63" s="1">
        <v>1669.15</v>
      </c>
      <c r="M63" s="1">
        <v>7033.25</v>
      </c>
      <c r="N63" s="173">
        <v>-1157138.1100000001</v>
      </c>
      <c r="O63" s="4">
        <f>Tab_01.Jan[[#This Row],[DÉBITO]]-Tab_01.Jan[[#This Row],[CRÉDITO]]</f>
        <v>-5364.1</v>
      </c>
    </row>
    <row r="64" spans="2:18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SUMIFS(Tab_99.Trial[DEZEMBRO],Tab_99.Trial[CONTA],$I64)</f>
        <v>0</v>
      </c>
      <c r="G64" s="4">
        <f t="shared" si="3"/>
        <v>646879.04</v>
      </c>
      <c r="H64" s="137"/>
      <c r="I64" s="3" t="s">
        <v>186</v>
      </c>
      <c r="J64" s="3" t="s">
        <v>313</v>
      </c>
      <c r="K64" s="173">
        <v>-646879.04</v>
      </c>
      <c r="L64" s="1">
        <v>0</v>
      </c>
      <c r="M64" s="1">
        <v>2997.93</v>
      </c>
      <c r="N64" s="173">
        <v>-649876.97</v>
      </c>
      <c r="O64" s="4">
        <f>Tab_01.Jan[[#This Row],[DÉBITO]]-Tab_01.Jan[[#This Row],[CRÉDITO]]</f>
        <v>-2997.93</v>
      </c>
    </row>
    <row r="65" spans="2:17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SUMIFS(Tab_99.Trial[DEZEMBRO],Tab_99.Trial[CONTA],$I65)</f>
        <v>0</v>
      </c>
      <c r="G65" s="4">
        <f t="shared" si="3"/>
        <v>16866.93</v>
      </c>
      <c r="H65" s="137"/>
      <c r="I65" s="3" t="s">
        <v>187</v>
      </c>
      <c r="J65" s="3" t="s">
        <v>314</v>
      </c>
      <c r="K65" s="173">
        <v>-16866.93</v>
      </c>
      <c r="L65" s="1">
        <v>0</v>
      </c>
      <c r="M65" s="173">
        <v>191.67</v>
      </c>
      <c r="N65" s="173">
        <v>-17058.599999999999</v>
      </c>
      <c r="O65" s="4">
        <f>Tab_01.Jan[[#This Row],[DÉBITO]]-Tab_01.Jan[[#This Row],[CRÉDITO]]</f>
        <v>-191.67</v>
      </c>
    </row>
    <row r="66" spans="2:17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SUMIFS(Tab_99.Trial[DEZEMBRO],Tab_99.Trial[CONTA],$I66)</f>
        <v>0</v>
      </c>
      <c r="G66" s="4">
        <f t="shared" si="3"/>
        <v>6054.11</v>
      </c>
      <c r="H66" s="137"/>
      <c r="I66" s="3" t="s">
        <v>188</v>
      </c>
      <c r="J66" s="3" t="s">
        <v>315</v>
      </c>
      <c r="K66" s="173">
        <v>-6054.11</v>
      </c>
      <c r="L66" s="1">
        <v>0</v>
      </c>
      <c r="M66" s="1">
        <v>104.95</v>
      </c>
      <c r="N66" s="173">
        <v>-6159.06</v>
      </c>
      <c r="O66" s="4">
        <f>Tab_01.Jan[[#This Row],[DÉBITO]]-Tab_01.Jan[[#This Row],[CRÉDITO]]</f>
        <v>-104.95</v>
      </c>
    </row>
    <row r="67" spans="2:17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SUMIFS(Tab_99.Trial[DEZEMBRO],Tab_99.Trial[CONTA],$I67)</f>
        <v>0</v>
      </c>
      <c r="G67" s="4">
        <f t="shared" si="3"/>
        <v>219693.96</v>
      </c>
      <c r="H67" s="137"/>
      <c r="I67" s="3" t="s">
        <v>189</v>
      </c>
      <c r="J67" s="3" t="s">
        <v>316</v>
      </c>
      <c r="K67" s="173">
        <v>-219693.96</v>
      </c>
      <c r="L67" s="173">
        <v>0</v>
      </c>
      <c r="M67" s="1">
        <v>3366.2</v>
      </c>
      <c r="N67" s="173">
        <v>-223060.16</v>
      </c>
      <c r="O67" s="4">
        <f>Tab_01.Jan[[#This Row],[DÉBITO]]-Tab_01.Jan[[#This Row],[CRÉDITO]]</f>
        <v>-3366.2</v>
      </c>
    </row>
    <row r="68" spans="2:17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SUMIFS(Tab_99.Trial[DEZEMBRO],Tab_99.Trial[CONTA],$I68)</f>
        <v>0</v>
      </c>
      <c r="G68" s="4">
        <f t="shared" si="3"/>
        <v>3452.34</v>
      </c>
      <c r="H68" s="137"/>
      <c r="I68" s="3" t="s">
        <v>190</v>
      </c>
      <c r="J68" s="3" t="s">
        <v>318</v>
      </c>
      <c r="K68" s="173">
        <v>-3452.34</v>
      </c>
      <c r="L68" s="1">
        <v>0</v>
      </c>
      <c r="M68" s="1">
        <v>122.5</v>
      </c>
      <c r="N68" s="173">
        <v>-3574.84</v>
      </c>
      <c r="O68" s="4">
        <f>Tab_01.Jan[[#This Row],[DÉBITO]]-Tab_01.Jan[[#This Row],[CRÉDITO]]</f>
        <v>-122.5</v>
      </c>
    </row>
    <row r="69" spans="2:17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SUMIFS(Tab_99.Trial[DEZEMBRO],Tab_99.Trial[CONTA],$I69)</f>
        <v>0</v>
      </c>
      <c r="G69" s="4">
        <f t="shared" si="3"/>
        <v>130366.18</v>
      </c>
      <c r="H69" s="137"/>
      <c r="I69" s="3" t="s">
        <v>323</v>
      </c>
      <c r="J69" s="3" t="s">
        <v>319</v>
      </c>
      <c r="K69" s="173">
        <v>-130366.18</v>
      </c>
      <c r="L69" s="1">
        <v>1669.15</v>
      </c>
      <c r="M69" s="1">
        <v>0</v>
      </c>
      <c r="N69" s="173">
        <v>-128697.03</v>
      </c>
      <c r="O69" s="4">
        <f>Tab_01.Jan[[#This Row],[DÉBITO]]-Tab_01.Jan[[#This Row],[CRÉDITO]]</f>
        <v>1669.15</v>
      </c>
    </row>
    <row r="70" spans="2:17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SUMIFS(Tab_99.Trial[DEZEMBRO],Tab_99.Trial[CONTA],$I70)</f>
        <v>0</v>
      </c>
      <c r="G70" s="4">
        <f t="shared" si="3"/>
        <v>15029.74</v>
      </c>
      <c r="H70" s="137"/>
      <c r="I70" s="3" t="s">
        <v>324</v>
      </c>
      <c r="J70" s="3" t="s">
        <v>320</v>
      </c>
      <c r="K70" s="173">
        <v>-15029.74</v>
      </c>
      <c r="L70" s="173">
        <v>0</v>
      </c>
      <c r="M70" s="173">
        <v>0</v>
      </c>
      <c r="N70" s="173">
        <v>-15029.74</v>
      </c>
      <c r="O70" s="4">
        <f>Tab_01.Jan[[#This Row],[DÉBITO]]-Tab_01.Jan[[#This Row],[CRÉDITO]]</f>
        <v>0</v>
      </c>
    </row>
    <row r="71" spans="2:17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SUMIFS(Tab_99.Trial[DEZEMBRO],Tab_99.Trial[CONTA],$I71)</f>
        <v>0</v>
      </c>
      <c r="G71" s="4">
        <f t="shared" si="3"/>
        <v>113431.71</v>
      </c>
      <c r="H71" s="137"/>
      <c r="I71" s="3" t="s">
        <v>325</v>
      </c>
      <c r="J71" s="3" t="s">
        <v>322</v>
      </c>
      <c r="K71" s="173">
        <v>-113431.71</v>
      </c>
      <c r="L71" s="173">
        <v>0</v>
      </c>
      <c r="M71" s="173">
        <v>250</v>
      </c>
      <c r="N71" s="173">
        <v>-113681.71</v>
      </c>
      <c r="O71" s="4">
        <f>Tab_01.Jan[[#This Row],[DÉBITO]]-Tab_01.Jan[[#This Row],[CRÉDITO]]</f>
        <v>-250</v>
      </c>
    </row>
    <row r="72" spans="2:17" x14ac:dyDescent="0.3">
      <c r="B72" s="2" t="str">
        <f>_xlfn.XLOOKUP($I72,Tab_00.Trial[CONTA],Tab_00.Trial[TP],"",0,1)</f>
        <v>P</v>
      </c>
      <c r="C72" s="2">
        <f>_xlfn.XLOOKUP($I72,Tab_00.Trial[CONTA],Tab_00.Trial[NV],"",0,1)</f>
        <v>1</v>
      </c>
      <c r="D72" s="2" t="str">
        <f>_xlfn.XLOOKUP($I72,Tab_00.Trial[CONTA],Tab_00.Trial[S/A],"",0,1)</f>
        <v>S</v>
      </c>
      <c r="E72" s="2">
        <f>IF($I72="","",COUNTIFS(Tab_00.Trial[CONTA],$I72))</f>
        <v>1</v>
      </c>
      <c r="F72" s="4">
        <f>SUMIFS(Tab_99.Trial[DEZEMBRO],Tab_99.Trial[CONTA],$I72)</f>
        <v>0</v>
      </c>
      <c r="G72" s="4">
        <f t="shared" si="3"/>
        <v>83243926.390000001</v>
      </c>
      <c r="H72" s="137"/>
      <c r="I72" s="3">
        <v>2</v>
      </c>
      <c r="J72" s="3" t="s">
        <v>653</v>
      </c>
      <c r="K72" s="173">
        <v>-83243926.390000001</v>
      </c>
      <c r="L72" s="173">
        <v>1105115.8500000001</v>
      </c>
      <c r="M72" s="173">
        <v>1578948.3</v>
      </c>
      <c r="N72" s="173">
        <v>-83717758.840000004</v>
      </c>
      <c r="O72" s="4">
        <f>Tab_01.Jan[[#This Row],[DÉBITO]]-Tab_01.Jan[[#This Row],[CRÉDITO]]</f>
        <v>-473832.45</v>
      </c>
    </row>
    <row r="73" spans="2:17" x14ac:dyDescent="0.3">
      <c r="B73" s="2" t="str">
        <f>_xlfn.XLOOKUP($I73,Tab_00.Trial[CONTA],Tab_00.Trial[TP],"",0,1)</f>
        <v>P</v>
      </c>
      <c r="C73" s="2">
        <f>_xlfn.XLOOKUP($I73,Tab_00.Trial[CONTA],Tab_00.Trial[NV],"",0,1)</f>
        <v>2</v>
      </c>
      <c r="D73" s="2" t="str">
        <f>_xlfn.XLOOKUP($I73,Tab_00.Trial[CONTA],Tab_00.Trial[S/A],"",0,1)</f>
        <v>S</v>
      </c>
      <c r="E73" s="2">
        <f>IF($I73="","",COUNTIFS(Tab_00.Trial[CONTA],$I73))</f>
        <v>1</v>
      </c>
      <c r="F73" s="4">
        <f>SUMIFS(Tab_99.Trial[DEZEMBRO],Tab_99.Trial[CONTA],$I73)</f>
        <v>0</v>
      </c>
      <c r="G73" s="4">
        <f t="shared" si="3"/>
        <v>1345943.6</v>
      </c>
      <c r="H73" s="137"/>
      <c r="I73" s="3" t="s">
        <v>216</v>
      </c>
      <c r="J73" s="3" t="s">
        <v>31</v>
      </c>
      <c r="K73" s="1">
        <v>-1345943.6</v>
      </c>
      <c r="L73" s="173">
        <v>1100037</v>
      </c>
      <c r="M73" s="173">
        <v>1569387.71</v>
      </c>
      <c r="N73" s="1">
        <v>-1815294.31</v>
      </c>
      <c r="O73" s="4">
        <f>Tab_01.Jan[[#This Row],[DÉBITO]]-Tab_01.Jan[[#This Row],[CRÉDITO]]</f>
        <v>-469350.71</v>
      </c>
      <c r="Q73" s="4"/>
    </row>
    <row r="74" spans="2:17" x14ac:dyDescent="0.3">
      <c r="B74" s="2" t="str">
        <f>_xlfn.XLOOKUP($I74,Tab_00.Trial[CONTA],Tab_00.Trial[TP],"",0,1)</f>
        <v>P</v>
      </c>
      <c r="C74" s="2">
        <f>_xlfn.XLOOKUP($I74,Tab_00.Trial[CONTA],Tab_00.Trial[NV],"",0,1)</f>
        <v>5</v>
      </c>
      <c r="D74" s="2" t="str">
        <f>_xlfn.XLOOKUP($I74,Tab_00.Trial[CONTA],Tab_00.Trial[S/A],"",0,1)</f>
        <v>S</v>
      </c>
      <c r="E74" s="2">
        <f>IF($I74="","",COUNTIFS(Tab_00.Trial[CONTA],$I74))</f>
        <v>1</v>
      </c>
      <c r="F74" s="4">
        <f>SUMIFS(Tab_99.Trial[DEZEMBRO],Tab_99.Trial[CONTA],$I74)</f>
        <v>0</v>
      </c>
      <c r="G74" s="4">
        <f t="shared" si="3"/>
        <v>395930.02</v>
      </c>
      <c r="H74" s="137"/>
      <c r="I74" s="3" t="s">
        <v>558</v>
      </c>
      <c r="J74" s="3" t="s">
        <v>654</v>
      </c>
      <c r="K74" s="1">
        <v>-395930.02</v>
      </c>
      <c r="L74" s="173">
        <v>359708.39</v>
      </c>
      <c r="M74" s="173">
        <v>332415.75</v>
      </c>
      <c r="N74" s="1">
        <v>-368637.38</v>
      </c>
      <c r="O74" s="4">
        <f>Tab_01.Jan[[#This Row],[DÉBITO]]-Tab_01.Jan[[#This Row],[CRÉDITO]]</f>
        <v>27292.639999999999</v>
      </c>
    </row>
    <row r="75" spans="2:17" x14ac:dyDescent="0.3">
      <c r="B75" s="2" t="str">
        <f>_xlfn.XLOOKUP($I75,Tab_00.Trial[CONTA],Tab_00.Trial[TP],"",0,1)</f>
        <v>P</v>
      </c>
      <c r="C75" s="2">
        <f>_xlfn.XLOOKUP($I75,Tab_00.Trial[CONTA],Tab_00.Trial[NV],"",0,1)</f>
        <v>5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SUMIFS(Tab_99.Trial[DEZEMBRO],Tab_99.Trial[CONTA],$I75)</f>
        <v>0</v>
      </c>
      <c r="G75" s="4">
        <f t="shared" si="3"/>
        <v>0</v>
      </c>
      <c r="H75" s="137"/>
      <c r="I75" s="3" t="s">
        <v>559</v>
      </c>
      <c r="J75" s="3" t="s">
        <v>655</v>
      </c>
      <c r="K75" s="1">
        <v>0</v>
      </c>
      <c r="L75" s="173">
        <v>94459.02</v>
      </c>
      <c r="M75" s="173">
        <v>94459.02</v>
      </c>
      <c r="N75" s="1">
        <v>0</v>
      </c>
      <c r="O75" s="4">
        <f>Tab_01.Jan[[#This Row],[DÉBITO]]-Tab_01.Jan[[#This Row],[CRÉDITO]]</f>
        <v>0</v>
      </c>
    </row>
    <row r="76" spans="2:17" x14ac:dyDescent="0.3">
      <c r="B76" s="2" t="str">
        <f>_xlfn.XLOOKUP($I76,Tab_00.Trial[CONTA],Tab_00.Trial[TP],"",0,1)</f>
        <v>P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SUMIFS(Tab_99.Trial[DEZEMBRO],Tab_99.Trial[CONTA],$I76)</f>
        <v>0</v>
      </c>
      <c r="G76" s="4">
        <f t="shared" si="3"/>
        <v>0</v>
      </c>
      <c r="H76" s="137"/>
      <c r="I76" s="3" t="s">
        <v>326</v>
      </c>
      <c r="J76" s="3" t="s">
        <v>327</v>
      </c>
      <c r="K76" s="1">
        <v>0</v>
      </c>
      <c r="L76" s="1">
        <v>93273.24</v>
      </c>
      <c r="M76" s="173">
        <v>93273.24</v>
      </c>
      <c r="N76" s="173">
        <v>0</v>
      </c>
      <c r="O76" s="4">
        <f>Tab_01.Jan[[#This Row],[DÉBITO]]-Tab_01.Jan[[#This Row],[CRÉDITO]]</f>
        <v>0</v>
      </c>
    </row>
    <row r="77" spans="2:17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A</v>
      </c>
      <c r="E77" s="2">
        <f>IF($I77="","",COUNTIFS(Tab_00.Trial[CONTA],$I77))</f>
        <v>1</v>
      </c>
      <c r="F77" s="4">
        <f>SUMIFS(Tab_99.Trial[DEZEMBRO],Tab_99.Trial[CONTA],$I77)</f>
        <v>0</v>
      </c>
      <c r="G77" s="4">
        <f t="shared" si="3"/>
        <v>0</v>
      </c>
      <c r="H77" s="137"/>
      <c r="I77" s="3" t="s">
        <v>330</v>
      </c>
      <c r="J77" s="3" t="s">
        <v>331</v>
      </c>
      <c r="K77" s="1">
        <v>0</v>
      </c>
      <c r="L77" s="1">
        <v>1185.78</v>
      </c>
      <c r="M77" s="173">
        <v>1185.78</v>
      </c>
      <c r="N77" s="173">
        <v>0</v>
      </c>
      <c r="O77" s="4">
        <f>Tab_01.Jan[[#This Row],[DÉBITO]]-Tab_01.Jan[[#This Row],[CRÉDITO]]</f>
        <v>0</v>
      </c>
    </row>
    <row r="78" spans="2:17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SUMIFS(Tab_99.Trial[DEZEMBRO],Tab_99.Trial[CONTA],$I78)</f>
        <v>0</v>
      </c>
      <c r="G78" s="4">
        <f t="shared" si="3"/>
        <v>0</v>
      </c>
      <c r="H78" s="137"/>
      <c r="I78" s="3" t="s">
        <v>560</v>
      </c>
      <c r="J78" s="3" t="s">
        <v>656</v>
      </c>
      <c r="K78" s="1">
        <v>0</v>
      </c>
      <c r="L78" s="1">
        <v>0</v>
      </c>
      <c r="M78" s="1">
        <v>15301.97</v>
      </c>
      <c r="N78" s="1">
        <v>-15301.97</v>
      </c>
      <c r="O78" s="4">
        <f>Tab_01.Jan[[#This Row],[DÉBITO]]-Tab_01.Jan[[#This Row],[CRÉDITO]]</f>
        <v>-15301.97</v>
      </c>
    </row>
    <row r="79" spans="2:17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SUMIFS(Tab_99.Trial[DEZEMBRO],Tab_99.Trial[CONTA],$I79)</f>
        <v>0</v>
      </c>
      <c r="G79" s="4">
        <f t="shared" si="3"/>
        <v>0</v>
      </c>
      <c r="H79" s="137"/>
      <c r="I79" s="3" t="s">
        <v>332</v>
      </c>
      <c r="J79" s="3" t="s">
        <v>333</v>
      </c>
      <c r="K79" s="1">
        <v>0</v>
      </c>
      <c r="L79" s="1">
        <v>0</v>
      </c>
      <c r="M79" s="1">
        <v>11268.08</v>
      </c>
      <c r="N79" s="1">
        <v>-11268.08</v>
      </c>
      <c r="O79" s="4">
        <f>Tab_01.Jan[[#This Row],[DÉBITO]]-Tab_01.Jan[[#This Row],[CRÉDITO]]</f>
        <v>-11268.08</v>
      </c>
    </row>
    <row r="80" spans="2:17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SUMIFS(Tab_99.Trial[DEZEMBRO],Tab_99.Trial[CONTA],$I80)</f>
        <v>0</v>
      </c>
      <c r="G80" s="4">
        <f t="shared" si="3"/>
        <v>0</v>
      </c>
      <c r="H80" s="137"/>
      <c r="I80" s="3" t="s">
        <v>784</v>
      </c>
      <c r="J80" s="3" t="s">
        <v>785</v>
      </c>
      <c r="K80" s="1">
        <v>0</v>
      </c>
      <c r="L80" s="1">
        <v>0</v>
      </c>
      <c r="M80" s="173">
        <v>901.38</v>
      </c>
      <c r="N80" s="173">
        <v>-901.38</v>
      </c>
      <c r="O80" s="4">
        <f>Tab_01.Jan[[#This Row],[DÉBITO]]-Tab_01.Jan[[#This Row],[CRÉDITO]]</f>
        <v>-901.38</v>
      </c>
    </row>
    <row r="81" spans="2:17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SUMIFS(Tab_99.Trial[DEZEMBRO],Tab_99.Trial[CONTA],$I81)</f>
        <v>0</v>
      </c>
      <c r="G81" s="4">
        <f t="shared" si="3"/>
        <v>0</v>
      </c>
      <c r="H81" s="137"/>
      <c r="I81" s="3" t="s">
        <v>786</v>
      </c>
      <c r="J81" s="3" t="s">
        <v>787</v>
      </c>
      <c r="K81" s="173">
        <v>0</v>
      </c>
      <c r="L81" s="173">
        <v>0</v>
      </c>
      <c r="M81" s="173">
        <v>112.67</v>
      </c>
      <c r="N81" s="173">
        <v>-112.67</v>
      </c>
      <c r="O81" s="4">
        <f>Tab_01.Jan[[#This Row],[DÉBITO]]-Tab_01.Jan[[#This Row],[CRÉDITO]]</f>
        <v>-112.67</v>
      </c>
    </row>
    <row r="82" spans="2:17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SUMIFS(Tab_99.Trial[DEZEMBRO],Tab_99.Trial[CONTA],$I82)</f>
        <v>0</v>
      </c>
      <c r="G82" s="4">
        <f t="shared" ref="G82:G113" si="4">IFERROR(IF(LEFT($I82)*1&gt;2,0,$F82-$K82),0)</f>
        <v>0</v>
      </c>
      <c r="H82" s="137"/>
      <c r="I82" s="3" t="s">
        <v>788</v>
      </c>
      <c r="J82" s="3" t="s">
        <v>789</v>
      </c>
      <c r="K82" s="173">
        <v>0</v>
      </c>
      <c r="L82" s="173">
        <v>0</v>
      </c>
      <c r="M82" s="173">
        <v>3019.84</v>
      </c>
      <c r="N82" s="173">
        <v>-3019.84</v>
      </c>
      <c r="O82" s="4">
        <f>Tab_01.Jan[[#This Row],[DÉBITO]]-Tab_01.Jan[[#This Row],[CRÉDITO]]</f>
        <v>-3019.84</v>
      </c>
    </row>
    <row r="83" spans="2:17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S</v>
      </c>
      <c r="E83" s="2">
        <f>IF($I83="","",COUNTIFS(Tab_00.Trial[CONTA],$I83))</f>
        <v>1</v>
      </c>
      <c r="F83" s="4">
        <f>SUMIFS(Tab_99.Trial[DEZEMBRO],Tab_99.Trial[CONTA],$I83)</f>
        <v>0</v>
      </c>
      <c r="G83" s="4">
        <f t="shared" si="4"/>
        <v>311723.46000000002</v>
      </c>
      <c r="H83" s="137"/>
      <c r="I83" s="3" t="s">
        <v>561</v>
      </c>
      <c r="J83" s="3" t="s">
        <v>657</v>
      </c>
      <c r="K83" s="1">
        <v>-311723.46000000002</v>
      </c>
      <c r="L83" s="173">
        <v>132393.81</v>
      </c>
      <c r="M83" s="173">
        <v>102469.31</v>
      </c>
      <c r="N83" s="173">
        <v>-281798.96000000002</v>
      </c>
      <c r="O83" s="4">
        <f>Tab_01.Jan[[#This Row],[DÉBITO]]-Tab_01.Jan[[#This Row],[CRÉDITO]]</f>
        <v>29924.5</v>
      </c>
    </row>
    <row r="84" spans="2:17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SUMIFS(Tab_99.Trial[DEZEMBRO],Tab_99.Trial[CONTA],$I84)</f>
        <v>0</v>
      </c>
      <c r="G84" s="4">
        <f t="shared" si="4"/>
        <v>311723.46000000002</v>
      </c>
      <c r="H84" s="137"/>
      <c r="I84" s="3" t="s">
        <v>334</v>
      </c>
      <c r="J84" s="3" t="s">
        <v>335</v>
      </c>
      <c r="K84" s="1">
        <v>-311723.46000000002</v>
      </c>
      <c r="L84" s="1">
        <v>119238.29</v>
      </c>
      <c r="M84" s="173">
        <v>14866.67</v>
      </c>
      <c r="N84" s="173">
        <v>-207351.84</v>
      </c>
      <c r="O84" s="4">
        <f>Tab_01.Jan[[#This Row],[DÉBITO]]-Tab_01.Jan[[#This Row],[CRÉDITO]]</f>
        <v>104371.62</v>
      </c>
    </row>
    <row r="85" spans="2:17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SUMIFS(Tab_99.Trial[DEZEMBRO],Tab_99.Trial[CONTA],$I85)</f>
        <v>0</v>
      </c>
      <c r="G85" s="4">
        <f t="shared" si="4"/>
        <v>0</v>
      </c>
      <c r="H85" s="137"/>
      <c r="I85" s="3" t="s">
        <v>790</v>
      </c>
      <c r="J85" s="3" t="s">
        <v>791</v>
      </c>
      <c r="K85" s="1">
        <v>0</v>
      </c>
      <c r="L85" s="173">
        <v>2961.12</v>
      </c>
      <c r="M85" s="173">
        <v>19512.48</v>
      </c>
      <c r="N85" s="173">
        <v>-16551.36</v>
      </c>
      <c r="O85" s="4">
        <f>Tab_01.Jan[[#This Row],[DÉBITO]]-Tab_01.Jan[[#This Row],[CRÉDITO]]</f>
        <v>-16551.36</v>
      </c>
    </row>
    <row r="86" spans="2:17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SUMIFS(Tab_99.Trial[DEZEMBRO],Tab_99.Trial[CONTA],$I86)</f>
        <v>0</v>
      </c>
      <c r="G86" s="4">
        <f t="shared" si="4"/>
        <v>0</v>
      </c>
      <c r="H86" s="137"/>
      <c r="I86" s="3" t="s">
        <v>792</v>
      </c>
      <c r="J86" s="3" t="s">
        <v>793</v>
      </c>
      <c r="K86" s="173">
        <v>0</v>
      </c>
      <c r="L86" s="173">
        <v>274.61</v>
      </c>
      <c r="M86" s="173">
        <v>2722.95</v>
      </c>
      <c r="N86" s="173">
        <v>-2448.34</v>
      </c>
      <c r="O86" s="4">
        <f>Tab_01.Jan[[#This Row],[DÉBITO]]-Tab_01.Jan[[#This Row],[CRÉDITO]]</f>
        <v>-2448.34</v>
      </c>
    </row>
    <row r="87" spans="2:17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SUMIFS(Tab_99.Trial[DEZEMBRO],Tab_99.Trial[CONTA],$I87)</f>
        <v>0</v>
      </c>
      <c r="G87" s="4">
        <f t="shared" si="4"/>
        <v>0</v>
      </c>
      <c r="H87" s="137"/>
      <c r="I87" s="3" t="s">
        <v>794</v>
      </c>
      <c r="J87" s="3" t="s">
        <v>795</v>
      </c>
      <c r="K87" s="173">
        <v>0</v>
      </c>
      <c r="L87" s="173">
        <v>9919.7900000000009</v>
      </c>
      <c r="M87" s="173">
        <v>65367.21</v>
      </c>
      <c r="N87" s="173">
        <v>-55447.42</v>
      </c>
      <c r="O87" s="4">
        <f>Tab_01.Jan[[#This Row],[DÉBITO]]-Tab_01.Jan[[#This Row],[CRÉDITO]]</f>
        <v>-55447.42</v>
      </c>
    </row>
    <row r="88" spans="2:17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S</v>
      </c>
      <c r="E88" s="2">
        <f>IF($I88="","",COUNTIFS(Tab_00.Trial[CONTA],$I88))</f>
        <v>1</v>
      </c>
      <c r="F88" s="4">
        <f>SUMIFS(Tab_99.Trial[DEZEMBRO],Tab_99.Trial[CONTA],$I88)</f>
        <v>0</v>
      </c>
      <c r="G88" s="4">
        <f t="shared" si="4"/>
        <v>47666.65</v>
      </c>
      <c r="H88" s="137"/>
      <c r="I88" s="3" t="s">
        <v>562</v>
      </c>
      <c r="J88" s="3" t="s">
        <v>658</v>
      </c>
      <c r="K88" s="173">
        <v>-47666.65</v>
      </c>
      <c r="L88" s="173">
        <v>103289.3</v>
      </c>
      <c r="M88" s="173">
        <v>103910.23</v>
      </c>
      <c r="N88" s="173">
        <v>-48287.58</v>
      </c>
      <c r="O88" s="4">
        <f>Tab_01.Jan[[#This Row],[DÉBITO]]-Tab_01.Jan[[#This Row],[CRÉDITO]]</f>
        <v>-620.92999999999995</v>
      </c>
      <c r="Q88" s="4"/>
    </row>
    <row r="89" spans="2:17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SUMIFS(Tab_99.Trial[DEZEMBRO],Tab_99.Trial[CONTA],$I89)</f>
        <v>0</v>
      </c>
      <c r="G89" s="4">
        <f t="shared" si="4"/>
        <v>50266.64</v>
      </c>
      <c r="H89" s="137"/>
      <c r="I89" s="3" t="s">
        <v>336</v>
      </c>
      <c r="J89" s="3" t="s">
        <v>337</v>
      </c>
      <c r="K89" s="173">
        <v>-50266.64</v>
      </c>
      <c r="L89" s="173">
        <v>102034.56</v>
      </c>
      <c r="M89" s="173">
        <v>99029.56</v>
      </c>
      <c r="N89" s="173">
        <v>-47261.64</v>
      </c>
      <c r="O89" s="4">
        <f>Tab_01.Jan[[#This Row],[DÉBITO]]-Tab_01.Jan[[#This Row],[CRÉDITO]]</f>
        <v>3005</v>
      </c>
    </row>
    <row r="90" spans="2:17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SUMIFS(Tab_99.Trial[DEZEMBRO],Tab_99.Trial[CONTA],$I90)</f>
        <v>0</v>
      </c>
      <c r="G90" s="4">
        <f t="shared" si="4"/>
        <v>-2599.9899999999998</v>
      </c>
      <c r="H90" s="137"/>
      <c r="I90" s="3" t="s">
        <v>338</v>
      </c>
      <c r="J90" s="3" t="s">
        <v>339</v>
      </c>
      <c r="K90" s="173">
        <v>2599.9899999999998</v>
      </c>
      <c r="L90" s="173">
        <v>1254.74</v>
      </c>
      <c r="M90" s="173">
        <v>4880.67</v>
      </c>
      <c r="N90" s="173">
        <v>-1025.94</v>
      </c>
      <c r="O90" s="4">
        <f>Tab_01.Jan[[#This Row],[DÉBITO]]-Tab_01.Jan[[#This Row],[CRÉDITO]]</f>
        <v>-3625.93</v>
      </c>
    </row>
    <row r="91" spans="2:17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S</v>
      </c>
      <c r="E91" s="2">
        <f>IF($I91="","",COUNTIFS(Tab_00.Trial[CONTA],$I91))</f>
        <v>1</v>
      </c>
      <c r="F91" s="4">
        <f>SUMIFS(Tab_99.Trial[DEZEMBRO],Tab_99.Trial[CONTA],$I91)</f>
        <v>0</v>
      </c>
      <c r="G91" s="4">
        <f t="shared" si="4"/>
        <v>36539.910000000003</v>
      </c>
      <c r="H91" s="137"/>
      <c r="I91" s="3" t="s">
        <v>563</v>
      </c>
      <c r="J91" s="3" t="s">
        <v>659</v>
      </c>
      <c r="K91" s="173">
        <v>-36539.910000000003</v>
      </c>
      <c r="L91" s="173">
        <v>29566.26</v>
      </c>
      <c r="M91" s="173">
        <v>16275.22</v>
      </c>
      <c r="N91" s="173">
        <v>-23248.87</v>
      </c>
      <c r="O91" s="4">
        <f>Tab_01.Jan[[#This Row],[DÉBITO]]-Tab_01.Jan[[#This Row],[CRÉDITO]]</f>
        <v>13291.04</v>
      </c>
    </row>
    <row r="92" spans="2:17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SUMIFS(Tab_99.Trial[DEZEMBRO],Tab_99.Trial[CONTA],$I92)</f>
        <v>0</v>
      </c>
      <c r="G92" s="4">
        <f t="shared" si="4"/>
        <v>33014.58</v>
      </c>
      <c r="H92" s="137"/>
      <c r="I92" s="3" t="s">
        <v>340</v>
      </c>
      <c r="J92" s="3" t="s">
        <v>341</v>
      </c>
      <c r="K92" s="173">
        <v>-33014.58</v>
      </c>
      <c r="L92" s="173">
        <v>22807.87</v>
      </c>
      <c r="M92" s="173">
        <v>11593.03</v>
      </c>
      <c r="N92" s="173">
        <v>-21799.74</v>
      </c>
      <c r="O92" s="4">
        <f>Tab_01.Jan[[#This Row],[DÉBITO]]-Tab_01.Jan[[#This Row],[CRÉDITO]]</f>
        <v>11214.84</v>
      </c>
    </row>
    <row r="93" spans="2:17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SUMIFS(Tab_99.Trial[DEZEMBRO],Tab_99.Trial[CONTA],$I93)</f>
        <v>0</v>
      </c>
      <c r="G93" s="4">
        <f t="shared" si="4"/>
        <v>3525.33</v>
      </c>
      <c r="H93" s="137"/>
      <c r="I93" s="3" t="s">
        <v>342</v>
      </c>
      <c r="J93" s="3" t="s">
        <v>343</v>
      </c>
      <c r="K93" s="173">
        <v>-3525.33</v>
      </c>
      <c r="L93" s="173">
        <v>6758.39</v>
      </c>
      <c r="M93" s="173">
        <v>4682.1899999999996</v>
      </c>
      <c r="N93" s="173">
        <v>-1449.13</v>
      </c>
      <c r="O93" s="4">
        <f>Tab_01.Jan[[#This Row],[DÉBITO]]-Tab_01.Jan[[#This Row],[CRÉDITO]]</f>
        <v>2076.1999999999998</v>
      </c>
      <c r="Q93" s="4"/>
    </row>
    <row r="94" spans="2:17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SUMIFS(Tab_99.Trial[DEZEMBRO],Tab_99.Trial[CONTA],$I94)</f>
        <v>0</v>
      </c>
      <c r="G94" s="4">
        <f t="shared" si="4"/>
        <v>865016.94</v>
      </c>
      <c r="H94" s="137"/>
      <c r="I94" s="3" t="s">
        <v>218</v>
      </c>
      <c r="J94" s="3" t="s">
        <v>660</v>
      </c>
      <c r="K94" s="173">
        <v>-865016.94</v>
      </c>
      <c r="L94" s="173">
        <v>672130.83</v>
      </c>
      <c r="M94" s="173">
        <v>1203148.8700000001</v>
      </c>
      <c r="N94" s="173">
        <v>-1396034.98</v>
      </c>
      <c r="O94" s="4">
        <f>Tab_01.Jan[[#This Row],[DÉBITO]]-Tab_01.Jan[[#This Row],[CRÉDITO]]</f>
        <v>-531018.04</v>
      </c>
    </row>
    <row r="95" spans="2:17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S</v>
      </c>
      <c r="E95" s="2">
        <f>IF($I95="","",COUNTIFS(Tab_00.Trial[CONTA],$I95))</f>
        <v>1</v>
      </c>
      <c r="F95" s="4">
        <f>SUMIFS(Tab_99.Trial[DEZEMBRO],Tab_99.Trial[CONTA],$I95)</f>
        <v>0</v>
      </c>
      <c r="G95" s="4">
        <f t="shared" si="4"/>
        <v>115668.35</v>
      </c>
      <c r="H95" s="137"/>
      <c r="I95" s="3" t="s">
        <v>219</v>
      </c>
      <c r="J95" s="3" t="s">
        <v>56</v>
      </c>
      <c r="K95" s="173">
        <v>-115668.35</v>
      </c>
      <c r="L95" s="173">
        <v>129680.25</v>
      </c>
      <c r="M95" s="173">
        <v>660698.29</v>
      </c>
      <c r="N95" s="173">
        <v>-646686.39</v>
      </c>
      <c r="O95" s="4">
        <f>Tab_01.Jan[[#This Row],[DÉBITO]]-Tab_01.Jan[[#This Row],[CRÉDITO]]</f>
        <v>-531018.04</v>
      </c>
    </row>
    <row r="96" spans="2:17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SUMIFS(Tab_99.Trial[DEZEMBRO],Tab_99.Trial[CONTA],$I96)</f>
        <v>0</v>
      </c>
      <c r="G96" s="4">
        <f t="shared" si="4"/>
        <v>115668.35</v>
      </c>
      <c r="H96" s="137"/>
      <c r="I96" s="3" t="s">
        <v>344</v>
      </c>
      <c r="J96" s="3" t="s">
        <v>56</v>
      </c>
      <c r="K96" s="173">
        <v>-115668.35</v>
      </c>
      <c r="L96" s="173">
        <v>129680.25</v>
      </c>
      <c r="M96" s="173">
        <v>660698.29</v>
      </c>
      <c r="N96" s="173">
        <v>-646686.39</v>
      </c>
      <c r="O96" s="4">
        <f>Tab_01.Jan[[#This Row],[DÉBITO]]-Tab_01.Jan[[#This Row],[CRÉDITO]]</f>
        <v>-531018.04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SUMIFS(Tab_99.Trial[DEZEMBRO],Tab_99.Trial[CONTA],$I97)</f>
        <v>0</v>
      </c>
      <c r="G97" s="4">
        <f t="shared" si="4"/>
        <v>749348.59</v>
      </c>
      <c r="H97" s="137"/>
      <c r="I97" s="3" t="s">
        <v>220</v>
      </c>
      <c r="J97" s="3" t="s">
        <v>346</v>
      </c>
      <c r="K97" s="173">
        <v>-749348.59</v>
      </c>
      <c r="L97" s="173">
        <v>542450.57999999996</v>
      </c>
      <c r="M97" s="173">
        <v>542450.57999999996</v>
      </c>
      <c r="N97" s="173">
        <v>-749348.59</v>
      </c>
      <c r="O97" s="4">
        <f>Tab_01.Jan[[#This Row],[DÉBITO]]-Tab_01.Jan[[#This Row],[CRÉDITO]]</f>
        <v>0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SUMIFS(Tab_99.Trial[DEZEMBRO],Tab_99.Trial[CONTA],$I98)</f>
        <v>0</v>
      </c>
      <c r="G98" s="4">
        <f t="shared" si="4"/>
        <v>749348.59</v>
      </c>
      <c r="H98" s="137"/>
      <c r="I98" s="3" t="s">
        <v>345</v>
      </c>
      <c r="J98" s="3" t="s">
        <v>346</v>
      </c>
      <c r="K98" s="173">
        <v>-749348.59</v>
      </c>
      <c r="L98" s="173">
        <v>542450.57999999996</v>
      </c>
      <c r="M98" s="173">
        <v>542450.57999999996</v>
      </c>
      <c r="N98" s="173">
        <v>-749348.59</v>
      </c>
      <c r="O98" s="4">
        <f>Tab_01.Jan[[#This Row],[DÉBITO]]-Tab_01.Jan[[#This Row],[CRÉDITO]]</f>
        <v>0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SUMIFS(Tab_99.Trial[DEZEMBRO],Tab_99.Trial[CONTA],$I99)</f>
        <v>0</v>
      </c>
      <c r="G99" s="4">
        <f t="shared" si="4"/>
        <v>61141.46</v>
      </c>
      <c r="H99" s="137"/>
      <c r="I99" s="3" t="s">
        <v>221</v>
      </c>
      <c r="J99" s="3" t="s">
        <v>661</v>
      </c>
      <c r="K99" s="1">
        <v>-61141.46</v>
      </c>
      <c r="L99" s="1">
        <v>67607.149999999994</v>
      </c>
      <c r="M99" s="1">
        <v>30769.53</v>
      </c>
      <c r="N99" s="1">
        <v>-24303.84</v>
      </c>
      <c r="O99" s="4">
        <f>Tab_01.Jan[[#This Row],[DÉBITO]]-Tab_01.Jan[[#This Row],[CRÉDITO]]</f>
        <v>36837.620000000003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SUMIFS(Tab_99.Trial[DEZEMBRO],Tab_99.Trial[CONTA],$I100)</f>
        <v>0</v>
      </c>
      <c r="G100" s="4">
        <f t="shared" si="4"/>
        <v>60592.77</v>
      </c>
      <c r="H100" s="137"/>
      <c r="I100" s="3" t="s">
        <v>222</v>
      </c>
      <c r="J100" s="3" t="s">
        <v>662</v>
      </c>
      <c r="K100" s="173">
        <v>-60592.77</v>
      </c>
      <c r="L100" s="173">
        <v>62473.79</v>
      </c>
      <c r="M100" s="173">
        <v>25700.68</v>
      </c>
      <c r="N100" s="173">
        <v>-23819.66</v>
      </c>
      <c r="O100" s="4">
        <f>Tab_01.Jan[[#This Row],[DÉBITO]]-Tab_01.Jan[[#This Row],[CRÉDITO]]</f>
        <v>36773.11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SUMIFS(Tab_99.Trial[DEZEMBRO],Tab_99.Trial[CONTA],$I101)</f>
        <v>0</v>
      </c>
      <c r="G101" s="4">
        <f t="shared" si="4"/>
        <v>576.79</v>
      </c>
      <c r="H101" s="137"/>
      <c r="I101" s="3" t="s">
        <v>191</v>
      </c>
      <c r="J101" s="3" t="s">
        <v>347</v>
      </c>
      <c r="K101" s="1">
        <v>-576.79</v>
      </c>
      <c r="L101" s="1">
        <v>743.06</v>
      </c>
      <c r="M101" s="1">
        <v>575.27</v>
      </c>
      <c r="N101" s="1">
        <v>-409</v>
      </c>
      <c r="O101" s="4">
        <f>Tab_01.Jan[[#This Row],[DÉBITO]]-Tab_01.Jan[[#This Row],[CRÉDITO]]</f>
        <v>167.79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SUMIFS(Tab_99.Trial[DEZEMBRO],Tab_99.Trial[CONTA],$I102)</f>
        <v>0</v>
      </c>
      <c r="G102" s="4">
        <f t="shared" si="4"/>
        <v>58058.76</v>
      </c>
      <c r="H102" s="137"/>
      <c r="I102" s="3" t="s">
        <v>192</v>
      </c>
      <c r="J102" s="3" t="s">
        <v>348</v>
      </c>
      <c r="K102" s="173">
        <v>-58058.76</v>
      </c>
      <c r="L102" s="173">
        <v>59434.27</v>
      </c>
      <c r="M102" s="173">
        <v>23061.87</v>
      </c>
      <c r="N102" s="173">
        <v>-21686.36</v>
      </c>
      <c r="O102" s="4">
        <f>Tab_01.Jan[[#This Row],[DÉBITO]]-Tab_01.Jan[[#This Row],[CRÉDITO]]</f>
        <v>36372.400000000001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SUMIFS(Tab_99.Trial[DEZEMBRO],Tab_99.Trial[CONTA],$I103)</f>
        <v>0</v>
      </c>
      <c r="G103" s="4">
        <f t="shared" si="4"/>
        <v>470.46</v>
      </c>
      <c r="H103" s="137"/>
      <c r="I103" s="3" t="s">
        <v>264</v>
      </c>
      <c r="J103" s="3" t="s">
        <v>349</v>
      </c>
      <c r="K103" s="1">
        <v>-470.46</v>
      </c>
      <c r="L103" s="1">
        <v>349.52</v>
      </c>
      <c r="M103" s="1">
        <v>0</v>
      </c>
      <c r="N103" s="1">
        <v>-120.94</v>
      </c>
      <c r="O103" s="4">
        <f>Tab_01.Jan[[#This Row],[DÉBITO]]-Tab_01.Jan[[#This Row],[CRÉDITO]]</f>
        <v>349.52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SUMIFS(Tab_99.Trial[DEZEMBRO],Tab_99.Trial[CONTA],$I104)</f>
        <v>0</v>
      </c>
      <c r="G104" s="4">
        <f t="shared" si="4"/>
        <v>1464.31</v>
      </c>
      <c r="H104" s="137"/>
      <c r="I104" s="3" t="s">
        <v>350</v>
      </c>
      <c r="J104" s="3" t="s">
        <v>351</v>
      </c>
      <c r="K104" s="1">
        <v>-1464.31</v>
      </c>
      <c r="L104" s="1">
        <v>1935.77</v>
      </c>
      <c r="M104" s="1">
        <v>2052.37</v>
      </c>
      <c r="N104" s="1">
        <v>-1580.91</v>
      </c>
      <c r="O104" s="4">
        <f>Tab_01.Jan[[#This Row],[DÉBITO]]-Tab_01.Jan[[#This Row],[CRÉDITO]]</f>
        <v>-116.6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SUMIFS(Tab_99.Trial[DEZEMBRO],Tab_99.Trial[CONTA],$I105)</f>
        <v>0</v>
      </c>
      <c r="G105" s="4">
        <f t="shared" si="4"/>
        <v>22.45</v>
      </c>
      <c r="H105" s="137"/>
      <c r="I105" s="3" t="s">
        <v>352</v>
      </c>
      <c r="J105" s="3" t="s">
        <v>353</v>
      </c>
      <c r="K105" s="1">
        <v>-22.45</v>
      </c>
      <c r="L105" s="1">
        <v>11.17</v>
      </c>
      <c r="M105" s="1">
        <v>11.17</v>
      </c>
      <c r="N105" s="1">
        <v>-22.45</v>
      </c>
      <c r="O105" s="4">
        <f>Tab_01.Jan[[#This Row],[DÉBITO]]-Tab_01.Jan[[#This Row],[CRÉDITO]]</f>
        <v>0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S</v>
      </c>
      <c r="E106" s="2">
        <f>IF($I106="","",COUNTIFS(Tab_00.Trial[CONTA],$I106))</f>
        <v>1</v>
      </c>
      <c r="F106" s="4">
        <f>SUMIFS(Tab_99.Trial[DEZEMBRO],Tab_99.Trial[CONTA],$I106)</f>
        <v>0</v>
      </c>
      <c r="G106" s="4">
        <f t="shared" si="4"/>
        <v>548.69000000000005</v>
      </c>
      <c r="H106" s="137"/>
      <c r="I106" s="3" t="s">
        <v>223</v>
      </c>
      <c r="J106" s="3" t="s">
        <v>663</v>
      </c>
      <c r="K106" s="173">
        <v>-548.69000000000005</v>
      </c>
      <c r="L106" s="1">
        <v>5133.3599999999997</v>
      </c>
      <c r="M106" s="1">
        <v>5068.8500000000004</v>
      </c>
      <c r="N106" s="173">
        <v>-484.18</v>
      </c>
      <c r="O106" s="4">
        <f>Tab_01.Jan[[#This Row],[DÉBITO]]-Tab_01.Jan[[#This Row],[CRÉDITO]]</f>
        <v>64.510000000000005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SUMIFS(Tab_99.Trial[DEZEMBRO],Tab_99.Trial[CONTA],$I107)</f>
        <v>0</v>
      </c>
      <c r="G107" s="4">
        <f t="shared" si="4"/>
        <v>548.69000000000005</v>
      </c>
      <c r="H107" s="137"/>
      <c r="I107" s="3" t="s">
        <v>354</v>
      </c>
      <c r="J107" s="3" t="s">
        <v>355</v>
      </c>
      <c r="K107" s="173">
        <v>-548.69000000000005</v>
      </c>
      <c r="L107" s="1">
        <v>5133.3599999999997</v>
      </c>
      <c r="M107" s="1">
        <v>5068.8500000000004</v>
      </c>
      <c r="N107" s="173">
        <v>-484.18</v>
      </c>
      <c r="O107" s="4">
        <f>Tab_01.Jan[[#This Row],[DÉBITO]]-Tab_01.Jan[[#This Row],[CRÉDITO]]</f>
        <v>64.510000000000005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S</v>
      </c>
      <c r="E108" s="2">
        <f>IF($I108="","",COUNTIFS(Tab_00.Trial[CONTA],$I108))</f>
        <v>1</v>
      </c>
      <c r="F108" s="4">
        <f>SUMIFS(Tab_99.Trial[DEZEMBRO],Tab_99.Trial[CONTA],$I108)</f>
        <v>0</v>
      </c>
      <c r="G108" s="4">
        <f t="shared" si="4"/>
        <v>20005.98</v>
      </c>
      <c r="H108" s="137"/>
      <c r="I108" s="3" t="s">
        <v>224</v>
      </c>
      <c r="J108" s="3" t="s">
        <v>664</v>
      </c>
      <c r="K108" s="173">
        <v>-20005.98</v>
      </c>
      <c r="L108" s="1">
        <v>590.63</v>
      </c>
      <c r="M108" s="1">
        <v>3053.56</v>
      </c>
      <c r="N108" s="173">
        <v>-22468.91</v>
      </c>
      <c r="O108" s="4">
        <f>Tab_01.Jan[[#This Row],[DÉBITO]]-Tab_01.Jan[[#This Row],[CRÉDITO]]</f>
        <v>-2462.9299999999998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SUMIFS(Tab_99.Trial[DEZEMBRO],Tab_99.Trial[CONTA],$I109)</f>
        <v>0</v>
      </c>
      <c r="G109" s="4">
        <f t="shared" si="4"/>
        <v>20005.98</v>
      </c>
      <c r="H109" s="137"/>
      <c r="I109" s="3" t="s">
        <v>225</v>
      </c>
      <c r="J109" s="3" t="s">
        <v>665</v>
      </c>
      <c r="K109" s="173">
        <v>-20005.98</v>
      </c>
      <c r="L109" s="1">
        <v>590.63</v>
      </c>
      <c r="M109" s="1">
        <v>3053.56</v>
      </c>
      <c r="N109" s="173">
        <v>-22468.91</v>
      </c>
      <c r="O109" s="4">
        <f>Tab_01.Jan[[#This Row],[DÉBITO]]-Tab_01.Jan[[#This Row],[CRÉDITO]]</f>
        <v>-2462.9299999999998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SUMIFS(Tab_99.Trial[DEZEMBRO],Tab_99.Trial[CONTA],$I110)</f>
        <v>0</v>
      </c>
      <c r="G110" s="4">
        <f t="shared" si="4"/>
        <v>20005.98</v>
      </c>
      <c r="H110" s="137"/>
      <c r="I110" s="3" t="s">
        <v>356</v>
      </c>
      <c r="J110" s="3" t="s">
        <v>357</v>
      </c>
      <c r="K110" s="173">
        <v>-20005.98</v>
      </c>
      <c r="L110" s="1">
        <v>590.63</v>
      </c>
      <c r="M110" s="1">
        <v>3053.56</v>
      </c>
      <c r="N110" s="173">
        <v>-22468.91</v>
      </c>
      <c r="O110" s="4">
        <f>Tab_01.Jan[[#This Row],[DÉBITO]]-Tab_01.Jan[[#This Row],[CRÉDITO]]</f>
        <v>-2462.9299999999998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SUMIFS(Tab_99.Trial[DEZEMBRO],Tab_99.Trial[CONTA],$I111)</f>
        <v>0</v>
      </c>
      <c r="G111" s="4">
        <f t="shared" si="4"/>
        <v>3849.2</v>
      </c>
      <c r="H111" s="137"/>
      <c r="I111" s="3" t="s">
        <v>564</v>
      </c>
      <c r="J111" s="3" t="s">
        <v>666</v>
      </c>
      <c r="K111" s="173">
        <v>-3849.2</v>
      </c>
      <c r="L111" s="1">
        <v>0</v>
      </c>
      <c r="M111" s="1">
        <v>0</v>
      </c>
      <c r="N111" s="173">
        <v>-3849.2</v>
      </c>
      <c r="O111" s="4">
        <f>Tab_01.Jan[[#This Row],[DÉBITO]]-Tab_01.Jan[[#This Row],[CRÉDITO]]</f>
        <v>0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SUMIFS(Tab_99.Trial[DEZEMBRO],Tab_99.Trial[CONTA],$I112)</f>
        <v>0</v>
      </c>
      <c r="G112" s="4">
        <f t="shared" si="4"/>
        <v>3849.2</v>
      </c>
      <c r="H112" s="137"/>
      <c r="I112" s="3" t="s">
        <v>565</v>
      </c>
      <c r="J112" s="3" t="s">
        <v>667</v>
      </c>
      <c r="K112" s="173">
        <v>-3849.2</v>
      </c>
      <c r="L112" s="1">
        <v>0</v>
      </c>
      <c r="M112" s="1">
        <v>0</v>
      </c>
      <c r="N112" s="173">
        <v>-3849.2</v>
      </c>
      <c r="O112" s="4">
        <f>Tab_01.Jan[[#This Row],[DÉBITO]]-Tab_01.Jan[[#This Row],[CRÉDITO]]</f>
        <v>0</v>
      </c>
    </row>
    <row r="113" spans="2:17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SUMIFS(Tab_99.Trial[DEZEMBRO],Tab_99.Trial[CONTA],$I113)</f>
        <v>0</v>
      </c>
      <c r="G113" s="4">
        <f t="shared" si="4"/>
        <v>3849.2</v>
      </c>
      <c r="H113" s="137"/>
      <c r="I113" s="3" t="s">
        <v>358</v>
      </c>
      <c r="J113" s="3" t="s">
        <v>359</v>
      </c>
      <c r="K113" s="173">
        <v>-3849.2</v>
      </c>
      <c r="L113" s="1">
        <v>0</v>
      </c>
      <c r="M113" s="1">
        <v>0</v>
      </c>
      <c r="N113" s="173">
        <v>-3849.2</v>
      </c>
      <c r="O113" s="4">
        <f>Tab_01.Jan[[#This Row],[DÉBITO]]-Tab_01.Jan[[#This Row],[CRÉDITO]]</f>
        <v>0</v>
      </c>
    </row>
    <row r="114" spans="2:17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2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SUMIFS(Tab_99.Trial[DEZEMBRO],Tab_99.Trial[CONTA],$I114)</f>
        <v>0</v>
      </c>
      <c r="G114" s="4">
        <f t="shared" ref="G114:G145" si="5">IFERROR(IF(LEFT($I114)*1&gt;2,0,$F114-$K114),0)</f>
        <v>46934.04</v>
      </c>
      <c r="H114" s="137"/>
      <c r="I114" s="3" t="s">
        <v>226</v>
      </c>
      <c r="J114" s="3" t="s">
        <v>76</v>
      </c>
      <c r="K114" s="173">
        <v>-46934.04</v>
      </c>
      <c r="L114" s="1">
        <v>0</v>
      </c>
      <c r="M114" s="1">
        <v>0</v>
      </c>
      <c r="N114" s="173">
        <v>-46934.04</v>
      </c>
      <c r="O114" s="4">
        <f>Tab_01.Jan[[#This Row],[DÉBITO]]-Tab_01.Jan[[#This Row],[CRÉDITO]]</f>
        <v>0</v>
      </c>
    </row>
    <row r="115" spans="2:17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SUMIFS(Tab_99.Trial[DEZEMBRO],Tab_99.Trial[CONTA],$I115)</f>
        <v>0</v>
      </c>
      <c r="G115" s="4">
        <f t="shared" si="5"/>
        <v>46934.04</v>
      </c>
      <c r="H115" s="137"/>
      <c r="I115" s="3" t="s">
        <v>566</v>
      </c>
      <c r="J115" s="3" t="s">
        <v>668</v>
      </c>
      <c r="K115" s="173">
        <v>-46934.04</v>
      </c>
      <c r="L115" s="1">
        <v>0</v>
      </c>
      <c r="M115" s="1">
        <v>0</v>
      </c>
      <c r="N115" s="173">
        <v>-46934.04</v>
      </c>
      <c r="O115" s="4">
        <f>Tab_01.Jan[[#This Row],[DÉBITO]]-Tab_01.Jan[[#This Row],[CRÉDITO]]</f>
        <v>0</v>
      </c>
    </row>
    <row r="116" spans="2:17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SUMIFS(Tab_99.Trial[DEZEMBRO],Tab_99.Trial[CONTA],$I116)</f>
        <v>0</v>
      </c>
      <c r="G116" s="4">
        <f t="shared" si="5"/>
        <v>46934.04</v>
      </c>
      <c r="H116" s="137"/>
      <c r="I116" s="3" t="s">
        <v>567</v>
      </c>
      <c r="J116" s="3" t="s">
        <v>669</v>
      </c>
      <c r="K116" s="173">
        <v>-46934.04</v>
      </c>
      <c r="L116" s="1">
        <v>0</v>
      </c>
      <c r="M116" s="1">
        <v>0</v>
      </c>
      <c r="N116" s="173">
        <v>-46934.04</v>
      </c>
      <c r="O116" s="4">
        <f>Tab_01.Jan[[#This Row],[DÉBITO]]-Tab_01.Jan[[#This Row],[CRÉDITO]]</f>
        <v>0</v>
      </c>
    </row>
    <row r="117" spans="2:17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A</v>
      </c>
      <c r="E117" s="2">
        <f>IF($I117="","",COUNTIFS(Tab_00.Trial[CONTA],$I117))</f>
        <v>1</v>
      </c>
      <c r="F117" s="4">
        <f>SUMIFS(Tab_99.Trial[DEZEMBRO],Tab_99.Trial[CONTA],$I117)</f>
        <v>0</v>
      </c>
      <c r="G117" s="4">
        <f t="shared" si="5"/>
        <v>31934.04</v>
      </c>
      <c r="H117" s="137"/>
      <c r="I117" s="3" t="s">
        <v>360</v>
      </c>
      <c r="J117" s="3" t="s">
        <v>361</v>
      </c>
      <c r="K117" s="173">
        <v>-31934.04</v>
      </c>
      <c r="L117" s="1">
        <v>0</v>
      </c>
      <c r="M117" s="1">
        <v>0</v>
      </c>
      <c r="N117" s="173">
        <v>-31934.04</v>
      </c>
      <c r="O117" s="4">
        <f>Tab_01.Jan[[#This Row],[DÉBITO]]-Tab_01.Jan[[#This Row],[CRÉDITO]]</f>
        <v>0</v>
      </c>
    </row>
    <row r="118" spans="2:17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SUMIFS(Tab_99.Trial[DEZEMBRO],Tab_99.Trial[CONTA],$I118)</f>
        <v>0</v>
      </c>
      <c r="G118" s="4">
        <f t="shared" si="5"/>
        <v>15000</v>
      </c>
      <c r="H118" s="137"/>
      <c r="I118" s="3" t="s">
        <v>362</v>
      </c>
      <c r="J118" s="3" t="s">
        <v>363</v>
      </c>
      <c r="K118" s="173">
        <v>-15000</v>
      </c>
      <c r="L118" s="1">
        <v>0</v>
      </c>
      <c r="M118" s="1">
        <v>0</v>
      </c>
      <c r="N118" s="173">
        <v>-15000</v>
      </c>
      <c r="O118" s="4">
        <f>Tab_01.Jan[[#This Row],[DÉBITO]]-Tab_01.Jan[[#This Row],[CRÉDITO]]</f>
        <v>0</v>
      </c>
      <c r="Q118" s="4"/>
    </row>
    <row r="119" spans="2:17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2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SUMIFS(Tab_99.Trial[DEZEMBRO],Tab_99.Trial[CONTA],$I119)</f>
        <v>0</v>
      </c>
      <c r="G119" s="4">
        <f t="shared" si="5"/>
        <v>81851048.75</v>
      </c>
      <c r="H119" s="137"/>
      <c r="I119" s="3" t="s">
        <v>228</v>
      </c>
      <c r="J119" s="3" t="s">
        <v>670</v>
      </c>
      <c r="K119" s="173">
        <v>-81851048.75</v>
      </c>
      <c r="L119" s="1">
        <v>5078.8500000000004</v>
      </c>
      <c r="M119" s="1">
        <v>9560.59</v>
      </c>
      <c r="N119" s="173">
        <v>-81855530.489999995</v>
      </c>
      <c r="O119" s="4">
        <f>Tab_01.Jan[[#This Row],[DÉBITO]]-Tab_01.Jan[[#This Row],[CRÉDITO]]</f>
        <v>-4481.74</v>
      </c>
    </row>
    <row r="120" spans="2:17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SUMIFS(Tab_99.Trial[DEZEMBRO],Tab_99.Trial[CONTA],$I120)</f>
        <v>0</v>
      </c>
      <c r="G120" s="4">
        <f t="shared" si="5"/>
        <v>81851048.75</v>
      </c>
      <c r="H120" s="137"/>
      <c r="I120" s="3" t="s">
        <v>229</v>
      </c>
      <c r="J120" s="3" t="s">
        <v>670</v>
      </c>
      <c r="K120" s="173">
        <v>-81851048.75</v>
      </c>
      <c r="L120" s="1">
        <v>5078.8500000000004</v>
      </c>
      <c r="M120" s="1">
        <v>9560.59</v>
      </c>
      <c r="N120" s="173">
        <v>-81855530.489999995</v>
      </c>
      <c r="O120" s="4">
        <f>Tab_01.Jan[[#This Row],[DÉBITO]]-Tab_01.Jan[[#This Row],[CRÉDITO]]</f>
        <v>-4481.74</v>
      </c>
    </row>
    <row r="121" spans="2:17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SUMIFS(Tab_99.Trial[DEZEMBRO],Tab_99.Trial[CONTA],$I121)</f>
        <v>0</v>
      </c>
      <c r="G121" s="4">
        <f t="shared" si="5"/>
        <v>104784619.59999999</v>
      </c>
      <c r="H121" s="137"/>
      <c r="I121" s="3" t="s">
        <v>230</v>
      </c>
      <c r="J121" s="3" t="s">
        <v>364</v>
      </c>
      <c r="K121" s="173">
        <v>-104784619.59999999</v>
      </c>
      <c r="L121" s="1">
        <v>0</v>
      </c>
      <c r="M121" s="1">
        <v>0</v>
      </c>
      <c r="N121" s="173">
        <v>-104784619.59999999</v>
      </c>
      <c r="O121" s="4">
        <f>Tab_01.Jan[[#This Row],[DÉBITO]]-Tab_01.Jan[[#This Row],[CRÉDITO]]</f>
        <v>0</v>
      </c>
    </row>
    <row r="122" spans="2:17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A</v>
      </c>
      <c r="E122" s="2">
        <f>IF($I122="","",COUNTIFS(Tab_00.Trial[CONTA],$I122))</f>
        <v>1</v>
      </c>
      <c r="F122" s="4">
        <f>SUMIFS(Tab_99.Trial[DEZEMBRO],Tab_99.Trial[CONTA],$I122)</f>
        <v>0</v>
      </c>
      <c r="G122" s="4">
        <f t="shared" si="5"/>
        <v>104784619.59999999</v>
      </c>
      <c r="H122" s="137"/>
      <c r="I122" s="3" t="s">
        <v>193</v>
      </c>
      <c r="J122" s="3" t="s">
        <v>364</v>
      </c>
      <c r="K122" s="173">
        <v>-104784619.59999999</v>
      </c>
      <c r="L122" s="1">
        <v>0</v>
      </c>
      <c r="M122" s="1">
        <v>0</v>
      </c>
      <c r="N122" s="173">
        <v>-104784619.59999999</v>
      </c>
      <c r="O122" s="4">
        <f>Tab_01.Jan[[#This Row],[DÉBITO]]-Tab_01.Jan[[#This Row],[CRÉDITO]]</f>
        <v>0</v>
      </c>
    </row>
    <row r="123" spans="2:17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SUMIFS(Tab_99.Trial[DEZEMBRO],Tab_99.Trial[CONTA],$I123)</f>
        <v>0</v>
      </c>
      <c r="G123" s="4">
        <f t="shared" si="5"/>
        <v>-32587250.850000001</v>
      </c>
      <c r="H123" s="137"/>
      <c r="I123" s="3" t="s">
        <v>568</v>
      </c>
      <c r="J123" s="3" t="s">
        <v>671</v>
      </c>
      <c r="K123" s="173">
        <v>32587250.850000001</v>
      </c>
      <c r="L123" s="1">
        <v>0</v>
      </c>
      <c r="M123" s="1">
        <v>0</v>
      </c>
      <c r="N123" s="173">
        <v>32587250.850000001</v>
      </c>
      <c r="O123" s="4">
        <f>Tab_01.Jan[[#This Row],[DÉBITO]]-Tab_01.Jan[[#This Row],[CRÉDITO]]</f>
        <v>0</v>
      </c>
    </row>
    <row r="124" spans="2:17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A</v>
      </c>
      <c r="E124" s="2">
        <f>IF($I124="","",COUNTIFS(Tab_00.Trial[CONTA],$I124))</f>
        <v>1</v>
      </c>
      <c r="F124" s="4">
        <f>SUMIFS(Tab_99.Trial[DEZEMBRO],Tab_99.Trial[CONTA],$I124)</f>
        <v>0</v>
      </c>
      <c r="G124" s="4">
        <f t="shared" si="5"/>
        <v>827719.82</v>
      </c>
      <c r="H124" s="137"/>
      <c r="I124" s="3" t="s">
        <v>743</v>
      </c>
      <c r="J124" s="3" t="s">
        <v>744</v>
      </c>
      <c r="K124" s="173">
        <v>-827719.82</v>
      </c>
      <c r="L124" s="1">
        <v>0</v>
      </c>
      <c r="M124" s="1">
        <v>0</v>
      </c>
      <c r="N124" s="173">
        <v>-827719.82</v>
      </c>
      <c r="O124" s="4">
        <f>Tab_01.Jan[[#This Row],[DÉBITO]]-Tab_01.Jan[[#This Row],[CRÉDITO]]</f>
        <v>0</v>
      </c>
    </row>
    <row r="125" spans="2:17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SUMIFS(Tab_99.Trial[DEZEMBRO],Tab_99.Trial[CONTA],$I125)</f>
        <v>0</v>
      </c>
      <c r="G125" s="4">
        <f t="shared" si="5"/>
        <v>-33414970.670000002</v>
      </c>
      <c r="H125" s="137"/>
      <c r="I125" s="3" t="s">
        <v>365</v>
      </c>
      <c r="J125" s="3" t="s">
        <v>366</v>
      </c>
      <c r="K125" s="173">
        <v>33414970.670000002</v>
      </c>
      <c r="L125" s="1">
        <v>0</v>
      </c>
      <c r="M125" s="1">
        <v>0</v>
      </c>
      <c r="N125" s="173">
        <v>33414970.670000002</v>
      </c>
      <c r="O125" s="4">
        <f>Tab_01.Jan[[#This Row],[DÉBITO]]-Tab_01.Jan[[#This Row],[CRÉDITO]]</f>
        <v>0</v>
      </c>
    </row>
    <row r="126" spans="2:17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SUMIFS(Tab_99.Trial[DEZEMBRO],Tab_99.Trial[CONTA],$I126)</f>
        <v>0</v>
      </c>
      <c r="G126" s="4">
        <f t="shared" si="5"/>
        <v>9653680</v>
      </c>
      <c r="H126" s="137"/>
      <c r="I126" s="3" t="s">
        <v>745</v>
      </c>
      <c r="J126" s="3" t="s">
        <v>746</v>
      </c>
      <c r="K126" s="1">
        <v>-9653680</v>
      </c>
      <c r="L126" s="1">
        <v>5078.8500000000004</v>
      </c>
      <c r="M126" s="173">
        <v>9560.59</v>
      </c>
      <c r="N126" s="173">
        <v>-9658161.7400000002</v>
      </c>
      <c r="O126" s="4">
        <f>Tab_01.Jan[[#This Row],[DÉBITO]]-Tab_01.Jan[[#This Row],[CRÉDITO]]</f>
        <v>-4481.74</v>
      </c>
    </row>
    <row r="127" spans="2:17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SUMIFS(Tab_99.Trial[DEZEMBRO],Tab_99.Trial[CONTA],$I127)</f>
        <v>0</v>
      </c>
      <c r="G127" s="4">
        <f t="shared" si="5"/>
        <v>9653680</v>
      </c>
      <c r="H127" s="137"/>
      <c r="I127" s="3" t="s">
        <v>747</v>
      </c>
      <c r="J127" s="3" t="s">
        <v>746</v>
      </c>
      <c r="K127" s="1">
        <v>-9653680</v>
      </c>
      <c r="L127" s="1">
        <v>5078.8500000000004</v>
      </c>
      <c r="M127" s="173">
        <v>9560.59</v>
      </c>
      <c r="N127" s="173">
        <v>-9658161.7400000002</v>
      </c>
      <c r="O127" s="4">
        <f>Tab_01.Jan[[#This Row],[DÉBITO]]-Tab_01.Jan[[#This Row],[CRÉDITO]]</f>
        <v>-4481.74</v>
      </c>
    </row>
    <row r="128" spans="2:17" x14ac:dyDescent="0.3">
      <c r="B128" s="2" t="str">
        <f>_xlfn.XLOOKUP($I128,Tab_00.Trial[CONTA],Tab_00.Trial[TP],"",0,1)</f>
        <v>R</v>
      </c>
      <c r="C128" s="2">
        <f>_xlfn.XLOOKUP($I128,Tab_00.Trial[CONTA],Tab_00.Trial[NV],"",0,1)</f>
        <v>1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SUMIFS(Tab_99.Trial[DEZEMBRO],Tab_99.Trial[CONTA],$I128)</f>
        <v>0</v>
      </c>
      <c r="G128" s="4">
        <f t="shared" si="5"/>
        <v>0</v>
      </c>
      <c r="H128" s="137"/>
      <c r="I128" s="3">
        <v>3</v>
      </c>
      <c r="J128" s="3" t="s">
        <v>672</v>
      </c>
      <c r="K128" s="1">
        <v>0</v>
      </c>
      <c r="L128" s="1">
        <v>0</v>
      </c>
      <c r="M128" s="173">
        <v>1136279.73</v>
      </c>
      <c r="N128" s="173">
        <v>-1136279.73</v>
      </c>
      <c r="O128" s="4">
        <f>Tab_01.Jan[[#This Row],[DÉBITO]]-Tab_01.Jan[[#This Row],[CRÉDITO]]</f>
        <v>-1136279.73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2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SUMIFS(Tab_99.Trial[DEZEMBRO],Tab_99.Trial[CONTA],$I129)</f>
        <v>0</v>
      </c>
      <c r="G129" s="4">
        <f t="shared" si="5"/>
        <v>0</v>
      </c>
      <c r="H129" s="137"/>
      <c r="I129" s="3" t="s">
        <v>231</v>
      </c>
      <c r="J129" s="3" t="s">
        <v>673</v>
      </c>
      <c r="K129" s="1">
        <v>0</v>
      </c>
      <c r="L129" s="1">
        <v>0</v>
      </c>
      <c r="M129" s="173">
        <v>511729.22</v>
      </c>
      <c r="N129" s="173">
        <v>-511729.22</v>
      </c>
      <c r="O129" s="4">
        <f>Tab_01.Jan[[#This Row],[DÉBITO]]-Tab_01.Jan[[#This Row],[CRÉDITO]]</f>
        <v>-511729.22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5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SUMIFS(Tab_99.Trial[DEZEMBRO],Tab_99.Trial[CONTA],$I130)</f>
        <v>0</v>
      </c>
      <c r="G130" s="4">
        <f t="shared" si="5"/>
        <v>0</v>
      </c>
      <c r="H130" s="137"/>
      <c r="I130" s="3" t="s">
        <v>232</v>
      </c>
      <c r="J130" s="3" t="s">
        <v>674</v>
      </c>
      <c r="K130" s="1">
        <v>0</v>
      </c>
      <c r="L130" s="1">
        <v>0</v>
      </c>
      <c r="M130" s="173">
        <v>309988.61</v>
      </c>
      <c r="N130" s="173">
        <v>-309988.61</v>
      </c>
      <c r="O130" s="4">
        <f>Tab_01.Jan[[#This Row],[DÉBITO]]-Tab_01.Jan[[#This Row],[CRÉDITO]]</f>
        <v>-309988.61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SUMIFS(Tab_99.Trial[DEZEMBRO],Tab_99.Trial[CONTA],$I131)</f>
        <v>0</v>
      </c>
      <c r="G131" s="4">
        <f t="shared" si="5"/>
        <v>0</v>
      </c>
      <c r="H131" s="137"/>
      <c r="I131" s="3" t="s">
        <v>233</v>
      </c>
      <c r="J131" s="3" t="s">
        <v>675</v>
      </c>
      <c r="K131" s="1">
        <v>0</v>
      </c>
      <c r="L131" s="1">
        <v>0</v>
      </c>
      <c r="M131" s="173">
        <v>122569.24</v>
      </c>
      <c r="N131" s="173">
        <v>-122569.24</v>
      </c>
      <c r="O131" s="4">
        <f>Tab_01.Jan[[#This Row],[DÉBITO]]-Tab_01.Jan[[#This Row],[CRÉDITO]]</f>
        <v>-122569.24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A</v>
      </c>
      <c r="E132" s="2">
        <f>IF($I132="","",COUNTIFS(Tab_00.Trial[CONTA],$I132))</f>
        <v>1</v>
      </c>
      <c r="F132" s="4">
        <f>SUMIFS(Tab_99.Trial[DEZEMBRO],Tab_99.Trial[CONTA],$I132)</f>
        <v>0</v>
      </c>
      <c r="G132" s="4">
        <f t="shared" si="5"/>
        <v>0</v>
      </c>
      <c r="H132" s="137"/>
      <c r="I132" s="3" t="s">
        <v>194</v>
      </c>
      <c r="J132" s="3" t="s">
        <v>367</v>
      </c>
      <c r="K132" s="1">
        <v>0</v>
      </c>
      <c r="L132" s="1">
        <v>0</v>
      </c>
      <c r="M132" s="173">
        <v>122569.24</v>
      </c>
      <c r="N132" s="173">
        <v>-122569.24</v>
      </c>
      <c r="O132" s="4">
        <f>Tab_01.Jan[[#This Row],[DÉBITO]]-Tab_01.Jan[[#This Row],[CRÉDITO]]</f>
        <v>-122569.24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SUMIFS(Tab_99.Trial[DEZEMBRO],Tab_99.Trial[CONTA],$I133)</f>
        <v>0</v>
      </c>
      <c r="G133" s="4">
        <f t="shared" si="5"/>
        <v>0</v>
      </c>
      <c r="H133" s="137"/>
      <c r="I133" s="3" t="s">
        <v>735</v>
      </c>
      <c r="J133" s="3" t="s">
        <v>736</v>
      </c>
      <c r="K133" s="1">
        <v>0</v>
      </c>
      <c r="L133" s="1">
        <v>0</v>
      </c>
      <c r="M133" s="173">
        <v>187419.37</v>
      </c>
      <c r="N133" s="173">
        <v>-187419.37</v>
      </c>
      <c r="O133" s="4">
        <f>Tab_01.Jan[[#This Row],[DÉBITO]]-Tab_01.Jan[[#This Row],[CRÉDITO]]</f>
        <v>-187419.37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A</v>
      </c>
      <c r="E134" s="2">
        <f>IF($I134="","",COUNTIFS(Tab_00.Trial[CONTA],$I134))</f>
        <v>1</v>
      </c>
      <c r="F134" s="4">
        <f>SUMIFS(Tab_99.Trial[DEZEMBRO],Tab_99.Trial[CONTA],$I134)</f>
        <v>0</v>
      </c>
      <c r="G134" s="4">
        <f t="shared" si="5"/>
        <v>0</v>
      </c>
      <c r="H134" s="137"/>
      <c r="I134" s="3" t="s">
        <v>737</v>
      </c>
      <c r="J134" s="3" t="s">
        <v>820</v>
      </c>
      <c r="K134" s="1">
        <v>0</v>
      </c>
      <c r="L134" s="1">
        <v>0</v>
      </c>
      <c r="M134" s="173">
        <v>187419.37</v>
      </c>
      <c r="N134" s="173">
        <v>-187419.37</v>
      </c>
      <c r="O134" s="4">
        <f>Tab_01.Jan[[#This Row],[DÉBITO]]-Tab_01.Jan[[#This Row],[CRÉDITO]]</f>
        <v>-187419.37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SUMIFS(Tab_99.Trial[DEZEMBRO],Tab_99.Trial[CONTA],$I135)</f>
        <v>0</v>
      </c>
      <c r="G135" s="4">
        <f t="shared" si="5"/>
        <v>0</v>
      </c>
      <c r="H135" s="137"/>
      <c r="I135" s="3" t="s">
        <v>569</v>
      </c>
      <c r="J135" s="3" t="s">
        <v>676</v>
      </c>
      <c r="K135" s="1">
        <v>0</v>
      </c>
      <c r="L135" s="1">
        <v>0</v>
      </c>
      <c r="M135" s="173">
        <v>201740.61</v>
      </c>
      <c r="N135" s="173">
        <v>-201740.61</v>
      </c>
      <c r="O135" s="4">
        <f>Tab_01.Jan[[#This Row],[DÉBITO]]-Tab_01.Jan[[#This Row],[CRÉDITO]]</f>
        <v>-201740.61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SUMIFS(Tab_99.Trial[DEZEMBRO],Tab_99.Trial[CONTA],$I136)</f>
        <v>0</v>
      </c>
      <c r="G136" s="4">
        <f t="shared" si="5"/>
        <v>0</v>
      </c>
      <c r="H136" s="137"/>
      <c r="I136" s="3" t="s">
        <v>570</v>
      </c>
      <c r="J136" s="3" t="s">
        <v>677</v>
      </c>
      <c r="K136" s="1">
        <v>0</v>
      </c>
      <c r="L136" s="1">
        <v>0</v>
      </c>
      <c r="M136" s="173">
        <v>118774.53</v>
      </c>
      <c r="N136" s="173">
        <v>-118774.53</v>
      </c>
      <c r="O136" s="4">
        <f>Tab_01.Jan[[#This Row],[DÉBITO]]-Tab_01.Jan[[#This Row],[CRÉDITO]]</f>
        <v>-118774.53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SUMIFS(Tab_99.Trial[DEZEMBRO],Tab_99.Trial[CONTA],$I137)</f>
        <v>0</v>
      </c>
      <c r="G137" s="4">
        <f t="shared" si="5"/>
        <v>0</v>
      </c>
      <c r="H137" s="137"/>
      <c r="I137" s="3" t="s">
        <v>368</v>
      </c>
      <c r="J137" s="3" t="s">
        <v>369</v>
      </c>
      <c r="K137" s="1">
        <v>0</v>
      </c>
      <c r="L137" s="1">
        <v>0</v>
      </c>
      <c r="M137" s="173">
        <v>52200</v>
      </c>
      <c r="N137" s="173">
        <v>-52200</v>
      </c>
      <c r="O137" s="4">
        <f>Tab_01.Jan[[#This Row],[DÉBITO]]-Tab_01.Jan[[#This Row],[CRÉDITO]]</f>
        <v>-52200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SUMIFS(Tab_99.Trial[DEZEMBRO],Tab_99.Trial[CONTA],$I138)</f>
        <v>0</v>
      </c>
      <c r="G138" s="4">
        <f t="shared" si="5"/>
        <v>0</v>
      </c>
      <c r="H138" s="137"/>
      <c r="I138" s="3" t="s">
        <v>370</v>
      </c>
      <c r="J138" s="3" t="s">
        <v>371</v>
      </c>
      <c r="K138" s="1">
        <v>0</v>
      </c>
      <c r="L138" s="1">
        <v>0</v>
      </c>
      <c r="M138" s="173">
        <v>66574.53</v>
      </c>
      <c r="N138" s="173">
        <v>-66574.53</v>
      </c>
      <c r="O138" s="4">
        <f>Tab_01.Jan[[#This Row],[DÉBITO]]-Tab_01.Jan[[#This Row],[CRÉDITO]]</f>
        <v>-66574.53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SUMIFS(Tab_99.Trial[DEZEMBRO],Tab_99.Trial[CONTA],$I139)</f>
        <v>0</v>
      </c>
      <c r="G139" s="4">
        <f t="shared" si="5"/>
        <v>0</v>
      </c>
      <c r="H139" s="137"/>
      <c r="I139" s="3" t="s">
        <v>571</v>
      </c>
      <c r="J139" s="3" t="s">
        <v>377</v>
      </c>
      <c r="K139" s="1">
        <v>0</v>
      </c>
      <c r="L139" s="1">
        <v>0</v>
      </c>
      <c r="M139" s="173">
        <v>82966.080000000002</v>
      </c>
      <c r="N139" s="173">
        <v>-82966.080000000002</v>
      </c>
      <c r="O139" s="4">
        <f>Tab_01.Jan[[#This Row],[DÉBITO]]-Tab_01.Jan[[#This Row],[CRÉDITO]]</f>
        <v>-82966.080000000002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SUMIFS(Tab_99.Trial[DEZEMBRO],Tab_99.Trial[CONTA],$I140)</f>
        <v>0</v>
      </c>
      <c r="G140" s="4">
        <f t="shared" si="5"/>
        <v>0</v>
      </c>
      <c r="H140" s="137"/>
      <c r="I140" s="3" t="s">
        <v>376</v>
      </c>
      <c r="J140" s="3" t="s">
        <v>377</v>
      </c>
      <c r="K140" s="1">
        <v>0</v>
      </c>
      <c r="L140" s="1">
        <v>0</v>
      </c>
      <c r="M140" s="173">
        <v>82966.080000000002</v>
      </c>
      <c r="N140" s="173">
        <v>-82966.080000000002</v>
      </c>
      <c r="O140" s="4">
        <f>Tab_01.Jan[[#This Row],[DÉBITO]]-Tab_01.Jan[[#This Row],[CRÉDITO]]</f>
        <v>-82966.080000000002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2</v>
      </c>
      <c r="D141" s="2" t="str">
        <f>_xlfn.XLOOKUP($I141,Tab_00.Trial[CONTA],Tab_00.Trial[S/A],"",0,1)</f>
        <v>S</v>
      </c>
      <c r="E141" s="2">
        <f>IF($I141="","",COUNTIFS(Tab_00.Trial[CONTA],$I141))</f>
        <v>1</v>
      </c>
      <c r="F141" s="4">
        <f>SUMIFS(Tab_99.Trial[DEZEMBRO],Tab_99.Trial[CONTA],$I141)</f>
        <v>0</v>
      </c>
      <c r="G141" s="4">
        <f t="shared" si="5"/>
        <v>0</v>
      </c>
      <c r="H141" s="137"/>
      <c r="I141" s="3" t="s">
        <v>574</v>
      </c>
      <c r="J141" s="3" t="s">
        <v>680</v>
      </c>
      <c r="K141" s="1">
        <v>0</v>
      </c>
      <c r="L141" s="1">
        <v>0</v>
      </c>
      <c r="M141" s="173">
        <v>421470.98</v>
      </c>
      <c r="N141" s="173">
        <v>-421470.98</v>
      </c>
      <c r="O141" s="4">
        <f>Tab_01.Jan[[#This Row],[DÉBITO]]-Tab_01.Jan[[#This Row],[CRÉDITO]]</f>
        <v>-421470.98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SUMIFS(Tab_99.Trial[DEZEMBRO],Tab_99.Trial[CONTA],$I142)</f>
        <v>0</v>
      </c>
      <c r="G142" s="4">
        <f t="shared" si="5"/>
        <v>0</v>
      </c>
      <c r="H142" s="137"/>
      <c r="I142" s="3" t="s">
        <v>580</v>
      </c>
      <c r="J142" s="3" t="s">
        <v>822</v>
      </c>
      <c r="K142" s="1">
        <v>0</v>
      </c>
      <c r="L142" s="1">
        <v>0</v>
      </c>
      <c r="M142" s="173">
        <v>421470.98</v>
      </c>
      <c r="N142" s="173">
        <v>-421470.98</v>
      </c>
      <c r="O142" s="4">
        <f>Tab_01.Jan[[#This Row],[DÉBITO]]-Tab_01.Jan[[#This Row],[CRÉDITO]]</f>
        <v>-421470.98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S</v>
      </c>
      <c r="E143" s="2">
        <f>IF($I143="","",COUNTIFS(Tab_00.Trial[CONTA],$I143))</f>
        <v>1</v>
      </c>
      <c r="F143" s="4">
        <f>SUMIFS(Tab_99.Trial[DEZEMBRO],Tab_99.Trial[CONTA],$I143)</f>
        <v>0</v>
      </c>
      <c r="G143" s="4">
        <f t="shared" si="5"/>
        <v>0</v>
      </c>
      <c r="H143" s="137"/>
      <c r="I143" s="3" t="s">
        <v>581</v>
      </c>
      <c r="J143" s="3" t="s">
        <v>687</v>
      </c>
      <c r="K143" s="1">
        <v>0</v>
      </c>
      <c r="L143" s="1">
        <v>0</v>
      </c>
      <c r="M143" s="173">
        <v>421470.98</v>
      </c>
      <c r="N143" s="173">
        <v>-421470.98</v>
      </c>
      <c r="O143" s="4">
        <f>Tab_01.Jan[[#This Row],[DÉBITO]]-Tab_01.Jan[[#This Row],[CRÉDITO]]</f>
        <v>-421470.98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SUMIFS(Tab_99.Trial[DEZEMBRO],Tab_99.Trial[CONTA],$I144)</f>
        <v>0</v>
      </c>
      <c r="G144" s="4">
        <f t="shared" si="5"/>
        <v>0</v>
      </c>
      <c r="H144" s="137"/>
      <c r="I144" s="3" t="s">
        <v>387</v>
      </c>
      <c r="J144" s="3" t="s">
        <v>388</v>
      </c>
      <c r="K144" s="1">
        <v>0</v>
      </c>
      <c r="L144" s="1">
        <v>0</v>
      </c>
      <c r="M144" s="1">
        <v>421470.98</v>
      </c>
      <c r="N144" s="1">
        <v>-421470.98</v>
      </c>
      <c r="O144" s="4">
        <f>Tab_01.Jan[[#This Row],[DÉBITO]]-Tab_01.Jan[[#This Row],[CRÉDITO]]</f>
        <v>-421470.98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2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SUMIFS(Tab_99.Trial[DEZEMBRO],Tab_99.Trial[CONTA],$I145)</f>
        <v>0</v>
      </c>
      <c r="G145" s="4">
        <f t="shared" si="5"/>
        <v>0</v>
      </c>
      <c r="H145" s="137"/>
      <c r="I145" s="3" t="s">
        <v>582</v>
      </c>
      <c r="J145" s="3" t="s">
        <v>688</v>
      </c>
      <c r="K145" s="1">
        <v>0</v>
      </c>
      <c r="L145" s="1">
        <v>0</v>
      </c>
      <c r="M145" s="1">
        <v>203029.53</v>
      </c>
      <c r="N145" s="1">
        <v>-203029.53</v>
      </c>
      <c r="O145" s="4">
        <f>Tab_01.Jan[[#This Row],[DÉBITO]]-Tab_01.Jan[[#This Row],[CRÉDITO]]</f>
        <v>-203029.53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SUMIFS(Tab_99.Trial[DEZEMBRO],Tab_99.Trial[CONTA],$I146)</f>
        <v>0</v>
      </c>
      <c r="G146" s="4">
        <f t="shared" ref="G146:G153" si="6">IFERROR(IF(LEFT($I146)*1&gt;2,0,$F146-$K146),0)</f>
        <v>0</v>
      </c>
      <c r="H146" s="137"/>
      <c r="I146" s="3" t="s">
        <v>583</v>
      </c>
      <c r="J146" s="3" t="s">
        <v>689</v>
      </c>
      <c r="K146" s="1">
        <v>0</v>
      </c>
      <c r="L146" s="1">
        <v>0</v>
      </c>
      <c r="M146" s="1">
        <v>0.05</v>
      </c>
      <c r="N146" s="1">
        <v>-0.05</v>
      </c>
      <c r="O146" s="4">
        <f>Tab_01.Jan[[#This Row],[DÉBITO]]-Tab_01.Jan[[#This Row],[CRÉDITO]]</f>
        <v>-0.05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SUMIFS(Tab_99.Trial[DEZEMBRO],Tab_99.Trial[CONTA],$I147)</f>
        <v>0</v>
      </c>
      <c r="G147" s="4">
        <f t="shared" si="6"/>
        <v>0</v>
      </c>
      <c r="H147" s="137"/>
      <c r="I147" s="3" t="s">
        <v>584</v>
      </c>
      <c r="J147" s="3" t="s">
        <v>689</v>
      </c>
      <c r="K147" s="1">
        <v>0</v>
      </c>
      <c r="L147" s="1">
        <v>0</v>
      </c>
      <c r="M147" s="173">
        <v>0.05</v>
      </c>
      <c r="N147" s="173">
        <v>-0.05</v>
      </c>
      <c r="O147" s="4">
        <f>Tab_01.Jan[[#This Row],[DÉBITO]]-Tab_01.Jan[[#This Row],[CRÉDITO]]</f>
        <v>-0.05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A</v>
      </c>
      <c r="E148" s="2">
        <f>IF($I148="","",COUNTIFS(Tab_00.Trial[CONTA],$I148))</f>
        <v>1</v>
      </c>
      <c r="F148" s="4">
        <f>SUMIFS(Tab_99.Trial[DEZEMBRO],Tab_99.Trial[CONTA],$I148)</f>
        <v>0</v>
      </c>
      <c r="G148" s="4">
        <f t="shared" si="6"/>
        <v>0</v>
      </c>
      <c r="H148" s="137"/>
      <c r="I148" s="3" t="s">
        <v>391</v>
      </c>
      <c r="J148" s="3" t="s">
        <v>392</v>
      </c>
      <c r="K148" s="1">
        <v>0</v>
      </c>
      <c r="L148" s="1">
        <v>0</v>
      </c>
      <c r="M148" s="173">
        <v>0.05</v>
      </c>
      <c r="N148" s="173">
        <v>-0.05</v>
      </c>
      <c r="O148" s="4">
        <f>Tab_01.Jan[[#This Row],[DÉBITO]]-Tab_01.Jan[[#This Row],[CRÉDITO]]</f>
        <v>-0.05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SUMIFS(Tab_99.Trial[DEZEMBRO],Tab_99.Trial[CONTA],$I149)</f>
        <v>0</v>
      </c>
      <c r="G149" s="4">
        <f t="shared" si="6"/>
        <v>0</v>
      </c>
      <c r="H149" s="137"/>
      <c r="I149" s="3" t="s">
        <v>585</v>
      </c>
      <c r="J149" s="3" t="s">
        <v>690</v>
      </c>
      <c r="K149" s="1">
        <v>0</v>
      </c>
      <c r="L149" s="1">
        <v>0</v>
      </c>
      <c r="M149" s="173">
        <v>203029.48</v>
      </c>
      <c r="N149" s="173">
        <v>-203029.48</v>
      </c>
      <c r="O149" s="4">
        <f>Tab_01.Jan[[#This Row],[DÉBITO]]-Tab_01.Jan[[#This Row],[CRÉDITO]]</f>
        <v>-203029.48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SUMIFS(Tab_99.Trial[DEZEMBRO],Tab_99.Trial[CONTA],$I150)</f>
        <v>0</v>
      </c>
      <c r="G150" s="4">
        <f t="shared" si="6"/>
        <v>0</v>
      </c>
      <c r="H150" s="137"/>
      <c r="I150" s="3" t="s">
        <v>586</v>
      </c>
      <c r="J150" s="3" t="s">
        <v>394</v>
      </c>
      <c r="K150" s="1">
        <v>0</v>
      </c>
      <c r="L150" s="1">
        <v>0</v>
      </c>
      <c r="M150" s="1">
        <v>203029.48</v>
      </c>
      <c r="N150" s="1">
        <v>-203029.48</v>
      </c>
      <c r="O150" s="4">
        <f>Tab_01.Jan[[#This Row],[DÉBITO]]-Tab_01.Jan[[#This Row],[CRÉDITO]]</f>
        <v>-203029.48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A</v>
      </c>
      <c r="E151" s="2">
        <f>IF($I151="","",COUNTIFS(Tab_00.Trial[CONTA],$I151))</f>
        <v>1</v>
      </c>
      <c r="F151" s="4">
        <f>SUMIFS(Tab_99.Trial[DEZEMBRO],Tab_99.Trial[CONTA],$I151)</f>
        <v>0</v>
      </c>
      <c r="G151" s="4">
        <f t="shared" si="6"/>
        <v>0</v>
      </c>
      <c r="H151" s="137"/>
      <c r="I151" s="3" t="s">
        <v>393</v>
      </c>
      <c r="J151" s="3" t="s">
        <v>394</v>
      </c>
      <c r="K151" s="1">
        <v>0</v>
      </c>
      <c r="L151" s="1">
        <v>0</v>
      </c>
      <c r="M151" s="1">
        <v>203029.48</v>
      </c>
      <c r="N151" s="1">
        <v>-203029.48</v>
      </c>
      <c r="O151" s="4">
        <f>Tab_01.Jan[[#This Row],[DÉBITO]]-Tab_01.Jan[[#This Row],[CRÉDITO]]</f>
        <v>-203029.48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2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SUMIFS(Tab_99.Trial[DEZEMBRO],Tab_99.Trial[CONTA],$I152)</f>
        <v>0</v>
      </c>
      <c r="G152" s="4">
        <f t="shared" si="6"/>
        <v>0</v>
      </c>
      <c r="H152" s="137"/>
      <c r="I152" s="3" t="s">
        <v>587</v>
      </c>
      <c r="J152" s="3" t="s">
        <v>691</v>
      </c>
      <c r="K152" s="1">
        <v>0</v>
      </c>
      <c r="L152" s="1">
        <v>0</v>
      </c>
      <c r="M152" s="1">
        <v>50</v>
      </c>
      <c r="N152" s="1">
        <v>-50</v>
      </c>
      <c r="O152" s="4">
        <f>Tab_01.Jan[[#This Row],[DÉBITO]]-Tab_01.Jan[[#This Row],[CRÉDITO]]</f>
        <v>-50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SUMIFS(Tab_99.Trial[DEZEMBRO],Tab_99.Trial[CONTA],$I153)</f>
        <v>0</v>
      </c>
      <c r="G153" s="4">
        <f t="shared" si="6"/>
        <v>0</v>
      </c>
      <c r="H153" s="137"/>
      <c r="I153" s="3" t="s">
        <v>588</v>
      </c>
      <c r="J153" s="3" t="s">
        <v>692</v>
      </c>
      <c r="K153" s="1">
        <v>0</v>
      </c>
      <c r="L153" s="1">
        <v>0</v>
      </c>
      <c r="M153" s="1">
        <v>50</v>
      </c>
      <c r="N153" s="1">
        <v>-50</v>
      </c>
      <c r="O153" s="4">
        <f>Tab_01.Jan[[#This Row],[DÉBITO]]-Tab_01.Jan[[#This Row],[CRÉDITO]]</f>
        <v>-50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SUMIFS(Tab_99.Trial[DEZEMBRO],Tab_99.Trial[CONTA],$I154)</f>
        <v>0</v>
      </c>
      <c r="G154" s="4">
        <f t="shared" ref="G154:G187" si="7">IFERROR(IF(LEFT($I154)*1&gt;2,0,$F154-$K154),0)</f>
        <v>0</v>
      </c>
      <c r="H154" s="137"/>
      <c r="I154" s="3" t="s">
        <v>589</v>
      </c>
      <c r="J154" s="3" t="s">
        <v>692</v>
      </c>
      <c r="K154" s="1">
        <v>0</v>
      </c>
      <c r="L154" s="173">
        <v>0</v>
      </c>
      <c r="M154" s="173">
        <v>50</v>
      </c>
      <c r="N154" s="173">
        <v>-50</v>
      </c>
      <c r="O154" s="4">
        <f>Tab_01.Jan[[#This Row],[DÉBITO]]-Tab_01.Jan[[#This Row],[CRÉDITO]]</f>
        <v>-50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A</v>
      </c>
      <c r="E155" s="2">
        <f>IF($I155="","",COUNTIFS(Tab_00.Trial[CONTA],$I155))</f>
        <v>1</v>
      </c>
      <c r="F155" s="4">
        <f>SUMIFS(Tab_99.Trial[DEZEMBRO],Tab_99.Trial[CONTA],$I155)</f>
        <v>0</v>
      </c>
      <c r="G155" s="4">
        <f t="shared" si="7"/>
        <v>0</v>
      </c>
      <c r="H155" s="137"/>
      <c r="I155" s="3" t="s">
        <v>395</v>
      </c>
      <c r="J155" s="3" t="s">
        <v>396</v>
      </c>
      <c r="K155" s="1">
        <v>0</v>
      </c>
      <c r="L155" s="173">
        <v>0</v>
      </c>
      <c r="M155" s="173">
        <v>50</v>
      </c>
      <c r="N155" s="173">
        <v>-50</v>
      </c>
      <c r="O155" s="4">
        <f>Tab_01.Jan[[#This Row],[DÉBITO]]-Tab_01.Jan[[#This Row],[CRÉDITO]]</f>
        <v>-50</v>
      </c>
    </row>
    <row r="156" spans="2:15" x14ac:dyDescent="0.3">
      <c r="B156" s="2" t="str">
        <f>_xlfn.XLOOKUP($I156,Tab_00.Trial[CONTA],Tab_00.Trial[TP],"",0,1)</f>
        <v>C</v>
      </c>
      <c r="C156" s="2">
        <f>_xlfn.XLOOKUP($I156,Tab_00.Trial[CONTA],Tab_00.Trial[NV],"",0,1)</f>
        <v>1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SUMIFS(Tab_99.Trial[DEZEMBRO],Tab_99.Trial[CONTA],$I156)</f>
        <v>0</v>
      </c>
      <c r="G156" s="4">
        <f t="shared" si="7"/>
        <v>0</v>
      </c>
      <c r="H156" s="137"/>
      <c r="I156" s="3">
        <v>4</v>
      </c>
      <c r="J156" s="3" t="s">
        <v>693</v>
      </c>
      <c r="K156" s="1">
        <v>0</v>
      </c>
      <c r="L156" s="173">
        <v>1090812.93</v>
      </c>
      <c r="M156" s="173">
        <v>112593.03</v>
      </c>
      <c r="N156" s="173">
        <v>978219.9</v>
      </c>
      <c r="O156" s="4">
        <f>Tab_01.Jan[[#This Row],[DÉBITO]]-Tab_01.Jan[[#This Row],[CRÉDITO]]</f>
        <v>978219.9</v>
      </c>
    </row>
    <row r="157" spans="2:15" x14ac:dyDescent="0.3">
      <c r="B157" s="2" t="str">
        <f>_xlfn.XLOOKUP($I157,Tab_00.Trial[CONTA],Tab_00.Trial[TP],"",0,1)</f>
        <v>C</v>
      </c>
      <c r="C157" s="2">
        <f>_xlfn.XLOOKUP($I157,Tab_00.Trial[CONTA],Tab_00.Trial[NV],"",0,1)</f>
        <v>2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SUMIFS(Tab_99.Trial[DEZEMBRO],Tab_99.Trial[CONTA],$I157)</f>
        <v>0</v>
      </c>
      <c r="G157" s="4">
        <f t="shared" si="7"/>
        <v>0</v>
      </c>
      <c r="H157" s="137"/>
      <c r="I157" s="3" t="s">
        <v>234</v>
      </c>
      <c r="J157" s="3" t="s">
        <v>823</v>
      </c>
      <c r="K157" s="1">
        <v>0</v>
      </c>
      <c r="L157" s="173">
        <v>1090812.93</v>
      </c>
      <c r="M157" s="173">
        <v>112593.03</v>
      </c>
      <c r="N157" s="173">
        <v>978219.9</v>
      </c>
      <c r="O157" s="4">
        <f>Tab_01.Jan[[#This Row],[DÉBITO]]-Tab_01.Jan[[#This Row],[CRÉDITO]]</f>
        <v>978219.9</v>
      </c>
    </row>
    <row r="158" spans="2:15" x14ac:dyDescent="0.3">
      <c r="B158" s="2" t="str">
        <f>_xlfn.XLOOKUP($I158,Tab_00.Trial[CONTA],Tab_00.Trial[TP],"",0,1)</f>
        <v>C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SUMIFS(Tab_99.Trial[DEZEMBRO],Tab_99.Trial[CONTA],$I158)</f>
        <v>0</v>
      </c>
      <c r="G158" s="4">
        <f t="shared" si="7"/>
        <v>0</v>
      </c>
      <c r="H158" s="137"/>
      <c r="I158" s="3" t="s">
        <v>235</v>
      </c>
      <c r="J158" s="3" t="s">
        <v>824</v>
      </c>
      <c r="K158" s="1">
        <v>0</v>
      </c>
      <c r="L158" s="173">
        <v>238373.74</v>
      </c>
      <c r="M158" s="173">
        <v>112593.03</v>
      </c>
      <c r="N158" s="173">
        <v>125780.71</v>
      </c>
      <c r="O158" s="4">
        <f>Tab_01.Jan[[#This Row],[DÉBITO]]-Tab_01.Jan[[#This Row],[CRÉDITO]]</f>
        <v>125780.71</v>
      </c>
    </row>
    <row r="159" spans="2:15" x14ac:dyDescent="0.3">
      <c r="B159" s="2" t="str">
        <f>_xlfn.XLOOKUP($I159,Tab_00.Trial[CONTA],Tab_00.Trial[TP],"",0,1)</f>
        <v>C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SUMIFS(Tab_99.Trial[DEZEMBRO],Tab_99.Trial[CONTA],$I159)</f>
        <v>0</v>
      </c>
      <c r="G159" s="4">
        <f t="shared" si="7"/>
        <v>0</v>
      </c>
      <c r="H159" s="137"/>
      <c r="I159" s="3" t="s">
        <v>236</v>
      </c>
      <c r="J159" s="3" t="s">
        <v>696</v>
      </c>
      <c r="K159" s="1">
        <v>0</v>
      </c>
      <c r="L159" s="173">
        <v>139103.45000000001</v>
      </c>
      <c r="M159" s="1">
        <v>84569.44</v>
      </c>
      <c r="N159" s="173">
        <v>54534.01</v>
      </c>
      <c r="O159" s="4">
        <f>Tab_01.Jan[[#This Row],[DÉBITO]]-Tab_01.Jan[[#This Row],[CRÉDITO]]</f>
        <v>54534.01</v>
      </c>
    </row>
    <row r="160" spans="2:15" x14ac:dyDescent="0.3">
      <c r="B160" s="2" t="str">
        <f>_xlfn.XLOOKUP($I160,Tab_00.Trial[CONTA],Tab_00.Trial[TP],"",0,1)</f>
        <v>C</v>
      </c>
      <c r="C160" s="2">
        <f>_xlfn.XLOOKUP($I160,Tab_00.Trial[CONTA],Tab_00.Trial[NV],"",0,1)</f>
        <v>5</v>
      </c>
      <c r="D160" s="2" t="str">
        <f>_xlfn.XLOOKUP($I160,Tab_00.Trial[CONTA],Tab_00.Trial[S/A],"",0,1)</f>
        <v>A</v>
      </c>
      <c r="E160" s="2">
        <f>IF($I160="","",COUNTIFS(Tab_00.Trial[CONTA],$I160))</f>
        <v>1</v>
      </c>
      <c r="F160" s="4">
        <f>SUMIFS(Tab_99.Trial[DEZEMBRO],Tab_99.Trial[CONTA],$I160)</f>
        <v>0</v>
      </c>
      <c r="G160" s="4">
        <f t="shared" si="7"/>
        <v>0</v>
      </c>
      <c r="H160" s="137"/>
      <c r="I160" s="3" t="s">
        <v>195</v>
      </c>
      <c r="J160" s="3" t="s">
        <v>427</v>
      </c>
      <c r="K160" s="1">
        <v>0</v>
      </c>
      <c r="L160" s="173">
        <v>73729.08</v>
      </c>
      <c r="M160" s="1">
        <v>83012.429999999993</v>
      </c>
      <c r="N160" s="173">
        <v>-9283.35</v>
      </c>
      <c r="O160" s="4">
        <f>Tab_01.Jan[[#This Row],[DÉBITO]]-Tab_01.Jan[[#This Row],[CRÉDITO]]</f>
        <v>-9283.35</v>
      </c>
    </row>
    <row r="161" spans="2:15" x14ac:dyDescent="0.3">
      <c r="B161" s="2" t="str">
        <f>_xlfn.XLOOKUP($I161,Tab_00.Trial[CONTA],Tab_00.Trial[TP],"",0,1)</f>
        <v>C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SUMIFS(Tab_99.Trial[DEZEMBRO],Tab_99.Trial[CONTA],$I161)</f>
        <v>0</v>
      </c>
      <c r="G161" s="4">
        <f t="shared" si="7"/>
        <v>0</v>
      </c>
      <c r="H161" s="137"/>
      <c r="I161" s="3" t="s">
        <v>430</v>
      </c>
      <c r="J161" s="3" t="s">
        <v>431</v>
      </c>
      <c r="K161" s="1">
        <v>0</v>
      </c>
      <c r="L161" s="173">
        <v>7059.76</v>
      </c>
      <c r="M161" s="173">
        <v>0</v>
      </c>
      <c r="N161" s="1">
        <v>7059.76</v>
      </c>
      <c r="O161" s="4">
        <f>Tab_01.Jan[[#This Row],[DÉBITO]]-Tab_01.Jan[[#This Row],[CRÉDITO]]</f>
        <v>7059.76</v>
      </c>
    </row>
    <row r="162" spans="2:15" x14ac:dyDescent="0.3">
      <c r="B162" s="2" t="str">
        <f>_xlfn.XLOOKUP($I162,Tab_00.Trial[CONTA],Tab_00.Trial[TP],"",0,1)</f>
        <v>C</v>
      </c>
      <c r="C162" s="2">
        <f>_xlfn.XLOOKUP($I162,Tab_00.Trial[CONTA],Tab_00.Trial[NV],"",0,1)</f>
        <v>5</v>
      </c>
      <c r="D162" s="2" t="str">
        <f>_xlfn.XLOOKUP($I162,Tab_00.Trial[CONTA],Tab_00.Trial[S/A],"",0,1)</f>
        <v>A</v>
      </c>
      <c r="E162" s="2">
        <f>IF($I162="","",COUNTIFS(Tab_00.Trial[CONTA],$I162))</f>
        <v>1</v>
      </c>
      <c r="F162" s="4">
        <f>SUMIFS(Tab_99.Trial[DEZEMBRO],Tab_99.Trial[CONTA],$I162)</f>
        <v>0</v>
      </c>
      <c r="G162" s="4">
        <f t="shared" si="7"/>
        <v>0</v>
      </c>
      <c r="H162" s="137"/>
      <c r="I162" s="3" t="s">
        <v>432</v>
      </c>
      <c r="J162" s="3" t="s">
        <v>433</v>
      </c>
      <c r="K162" s="1">
        <v>0</v>
      </c>
      <c r="L162" s="1">
        <v>5045.03</v>
      </c>
      <c r="M162" s="1">
        <v>0</v>
      </c>
      <c r="N162" s="1">
        <v>5045.03</v>
      </c>
      <c r="O162" s="4">
        <f>Tab_01.Jan[[#This Row],[DÉBITO]]-Tab_01.Jan[[#This Row],[CRÉDITO]]</f>
        <v>5045.03</v>
      </c>
    </row>
    <row r="163" spans="2:15" x14ac:dyDescent="0.3">
      <c r="B163" s="2" t="str">
        <f>_xlfn.XLOOKUP($I163,Tab_00.Trial[CONTA],Tab_00.Trial[TP],"",0,1)</f>
        <v>C</v>
      </c>
      <c r="C163" s="2">
        <f>_xlfn.XLOOKUP($I163,Tab_00.Trial[CONTA],Tab_00.Trial[NV],"",0,1)</f>
        <v>5</v>
      </c>
      <c r="D163" s="2" t="str">
        <f>_xlfn.XLOOKUP($I163,Tab_00.Trial[CONTA],Tab_00.Trial[S/A],"",0,1)</f>
        <v>A</v>
      </c>
      <c r="E163" s="2">
        <f>IF($I163="","",COUNTIFS(Tab_00.Trial[CONTA],$I163))</f>
        <v>1</v>
      </c>
      <c r="F163" s="4">
        <f>SUMIFS(Tab_99.Trial[DEZEMBRO],Tab_99.Trial[CONTA],$I163)</f>
        <v>0</v>
      </c>
      <c r="G163" s="4">
        <f t="shared" si="7"/>
        <v>0</v>
      </c>
      <c r="H163" s="137"/>
      <c r="I163" s="3" t="s">
        <v>796</v>
      </c>
      <c r="J163" s="3" t="s">
        <v>797</v>
      </c>
      <c r="K163" s="1">
        <v>0</v>
      </c>
      <c r="L163" s="1">
        <v>50857.66</v>
      </c>
      <c r="M163" s="1">
        <v>1199.07</v>
      </c>
      <c r="N163" s="1">
        <v>49658.59</v>
      </c>
      <c r="O163" s="4">
        <f>Tab_01.Jan[[#This Row],[DÉBITO]]-Tab_01.Jan[[#This Row],[CRÉDITO]]</f>
        <v>49658.59</v>
      </c>
    </row>
    <row r="164" spans="2:15" x14ac:dyDescent="0.3">
      <c r="B164" s="2" t="str">
        <f>_xlfn.XLOOKUP($I164,Tab_00.Trial[CONTA],Tab_00.Trial[TP],"",0,1)</f>
        <v>C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SUMIFS(Tab_99.Trial[DEZEMBRO],Tab_99.Trial[CONTA],$I164)</f>
        <v>0</v>
      </c>
      <c r="G164" s="4">
        <f t="shared" si="7"/>
        <v>0</v>
      </c>
      <c r="H164" s="137"/>
      <c r="I164" s="3" t="s">
        <v>798</v>
      </c>
      <c r="J164" s="3" t="s">
        <v>799</v>
      </c>
      <c r="K164" s="1">
        <v>0</v>
      </c>
      <c r="L164" s="173">
        <v>537.87</v>
      </c>
      <c r="M164" s="1">
        <v>357.94</v>
      </c>
      <c r="N164" s="173">
        <v>179.93</v>
      </c>
      <c r="O164" s="4">
        <f>Tab_01.Jan[[#This Row],[DÉBITO]]-Tab_01.Jan[[#This Row],[CRÉDITO]]</f>
        <v>179.93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5</v>
      </c>
      <c r="D165" s="2" t="str">
        <f>_xlfn.XLOOKUP($I165,Tab_00.Trial[CONTA],Tab_00.Trial[S/A],"",0,1)</f>
        <v>A</v>
      </c>
      <c r="E165" s="2">
        <f>IF($I165="","",COUNTIFS(Tab_00.Trial[CONTA],$I165))</f>
        <v>1</v>
      </c>
      <c r="F165" s="4">
        <f>SUMIFS(Tab_99.Trial[DEZEMBRO],Tab_99.Trial[CONTA],$I165)</f>
        <v>0</v>
      </c>
      <c r="G165" s="4">
        <f t="shared" si="7"/>
        <v>0</v>
      </c>
      <c r="H165" s="137"/>
      <c r="I165" s="3" t="s">
        <v>800</v>
      </c>
      <c r="J165" s="3" t="s">
        <v>801</v>
      </c>
      <c r="K165" s="1">
        <v>0</v>
      </c>
      <c r="L165" s="1">
        <v>67.97</v>
      </c>
      <c r="M165" s="1">
        <v>0</v>
      </c>
      <c r="N165" s="1">
        <v>67.97</v>
      </c>
      <c r="O165" s="4">
        <f>Tab_01.Jan[[#This Row],[DÉBITO]]-Tab_01.Jan[[#This Row],[CRÉDITO]]</f>
        <v>67.97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5</v>
      </c>
      <c r="D166" s="2" t="str">
        <f>_xlfn.XLOOKUP($I166,Tab_00.Trial[CONTA],Tab_00.Trial[S/A],"",0,1)</f>
        <v>A</v>
      </c>
      <c r="E166" s="2">
        <f>IF($I166="","",COUNTIFS(Tab_00.Trial[CONTA],$I166))</f>
        <v>1</v>
      </c>
      <c r="F166" s="4">
        <f>SUMIFS(Tab_99.Trial[DEZEMBRO],Tab_99.Trial[CONTA],$I166)</f>
        <v>0</v>
      </c>
      <c r="G166" s="4">
        <f t="shared" si="7"/>
        <v>0</v>
      </c>
      <c r="H166" s="137"/>
      <c r="I166" s="3" t="s">
        <v>802</v>
      </c>
      <c r="J166" s="3" t="s">
        <v>803</v>
      </c>
      <c r="K166" s="1">
        <v>0</v>
      </c>
      <c r="L166" s="1">
        <v>1352.06</v>
      </c>
      <c r="M166" s="1">
        <v>0</v>
      </c>
      <c r="N166" s="1">
        <v>1352.06</v>
      </c>
      <c r="O166" s="4">
        <f>Tab_01.Jan[[#This Row],[DÉBITO]]-Tab_01.Jan[[#This Row],[CRÉDITO]]</f>
        <v>1352.06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SUMIFS(Tab_99.Trial[DEZEMBRO],Tab_99.Trial[CONTA],$I167)</f>
        <v>0</v>
      </c>
      <c r="G167" s="4">
        <f t="shared" si="7"/>
        <v>0</v>
      </c>
      <c r="H167" s="137"/>
      <c r="I167" s="3" t="s">
        <v>804</v>
      </c>
      <c r="J167" s="3" t="s">
        <v>805</v>
      </c>
      <c r="K167" s="1">
        <v>0</v>
      </c>
      <c r="L167" s="173">
        <v>403.57</v>
      </c>
      <c r="M167" s="173">
        <v>0</v>
      </c>
      <c r="N167" s="173">
        <v>403.57</v>
      </c>
      <c r="O167" s="4">
        <f>Tab_01.Jan[[#This Row],[DÉBITO]]-Tab_01.Jan[[#This Row],[CRÉDITO]]</f>
        <v>403.57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SUMIFS(Tab_99.Trial[DEZEMBRO],Tab_99.Trial[CONTA],$I168)</f>
        <v>0</v>
      </c>
      <c r="G168" s="4">
        <f t="shared" si="7"/>
        <v>0</v>
      </c>
      <c r="H168" s="137"/>
      <c r="I168" s="3" t="s">
        <v>806</v>
      </c>
      <c r="J168" s="3" t="s">
        <v>807</v>
      </c>
      <c r="K168" s="1">
        <v>0</v>
      </c>
      <c r="L168" s="173">
        <v>50.45</v>
      </c>
      <c r="M168" s="1">
        <v>0</v>
      </c>
      <c r="N168" s="173">
        <v>50.45</v>
      </c>
      <c r="O168" s="4">
        <f>Tab_01.Jan[[#This Row],[DÉBITO]]-Tab_01.Jan[[#This Row],[CRÉDITO]]</f>
        <v>50.45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SUMIFS(Tab_99.Trial[DEZEMBRO],Tab_99.Trial[CONTA],$I169)</f>
        <v>0</v>
      </c>
      <c r="G169" s="4">
        <f t="shared" si="7"/>
        <v>0</v>
      </c>
      <c r="H169" s="137"/>
      <c r="I169" s="3" t="s">
        <v>590</v>
      </c>
      <c r="J169" s="3" t="s">
        <v>697</v>
      </c>
      <c r="K169" s="1">
        <v>0</v>
      </c>
      <c r="L169" s="173">
        <v>18178.11</v>
      </c>
      <c r="M169" s="1">
        <v>1799.98</v>
      </c>
      <c r="N169" s="173">
        <v>16378.13</v>
      </c>
      <c r="O169" s="4">
        <f>Tab_01.Jan[[#This Row],[DÉBITO]]-Tab_01.Jan[[#This Row],[CRÉDITO]]</f>
        <v>16378.13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SUMIFS(Tab_99.Trial[DEZEMBRO],Tab_99.Trial[CONTA],$I170)</f>
        <v>0</v>
      </c>
      <c r="G170" s="4">
        <f t="shared" si="7"/>
        <v>0</v>
      </c>
      <c r="H170" s="137"/>
      <c r="I170" s="3" t="s">
        <v>434</v>
      </c>
      <c r="J170" s="3" t="s">
        <v>435</v>
      </c>
      <c r="K170" s="1">
        <v>0</v>
      </c>
      <c r="L170" s="173">
        <v>15938.21</v>
      </c>
      <c r="M170" s="173">
        <v>731.6</v>
      </c>
      <c r="N170" s="173">
        <v>15206.61</v>
      </c>
      <c r="O170" s="4">
        <f>Tab_01.Jan[[#This Row],[DÉBITO]]-Tab_01.Jan[[#This Row],[CRÉDITO]]</f>
        <v>15206.61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SUMIFS(Tab_99.Trial[DEZEMBRO],Tab_99.Trial[CONTA],$I171)</f>
        <v>0</v>
      </c>
      <c r="G171" s="4">
        <f t="shared" si="7"/>
        <v>0</v>
      </c>
      <c r="H171" s="137"/>
      <c r="I171" s="3" t="s">
        <v>750</v>
      </c>
      <c r="J171" s="3" t="s">
        <v>751</v>
      </c>
      <c r="K171" s="1">
        <v>0</v>
      </c>
      <c r="L171" s="173">
        <v>2239.9</v>
      </c>
      <c r="M171" s="173">
        <v>1068.3800000000001</v>
      </c>
      <c r="N171" s="173">
        <v>1171.52</v>
      </c>
      <c r="O171" s="4">
        <f>Tab_01.Jan[[#This Row],[DÉBITO]]-Tab_01.Jan[[#This Row],[CRÉDITO]]</f>
        <v>1171.52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S</v>
      </c>
      <c r="E172" s="2">
        <f>IF($I172="","",COUNTIFS(Tab_00.Trial[CONTA],$I172))</f>
        <v>1</v>
      </c>
      <c r="F172" s="4">
        <f>SUMIFS(Tab_99.Trial[DEZEMBRO],Tab_99.Trial[CONTA],$I172)</f>
        <v>0</v>
      </c>
      <c r="G172" s="4">
        <f t="shared" si="7"/>
        <v>0</v>
      </c>
      <c r="H172" s="137"/>
      <c r="I172" s="3" t="s">
        <v>591</v>
      </c>
      <c r="J172" s="3" t="s">
        <v>698</v>
      </c>
      <c r="K172" s="1">
        <v>0</v>
      </c>
      <c r="L172" s="173">
        <v>42658.46</v>
      </c>
      <c r="M172" s="173">
        <v>26223.61</v>
      </c>
      <c r="N172" s="173">
        <v>16434.849999999999</v>
      </c>
      <c r="O172" s="4">
        <f>Tab_01.Jan[[#This Row],[DÉBITO]]-Tab_01.Jan[[#This Row],[CRÉDITO]]</f>
        <v>16434.849999999999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SUMIFS(Tab_99.Trial[DEZEMBRO],Tab_99.Trial[CONTA],$I173)</f>
        <v>0</v>
      </c>
      <c r="G173" s="4">
        <f t="shared" si="7"/>
        <v>0</v>
      </c>
      <c r="H173" s="137"/>
      <c r="I173" s="3" t="s">
        <v>436</v>
      </c>
      <c r="J173" s="3" t="s">
        <v>437</v>
      </c>
      <c r="K173" s="1">
        <v>0</v>
      </c>
      <c r="L173" s="173">
        <v>31926.5</v>
      </c>
      <c r="M173" s="1">
        <v>18491.599999999999</v>
      </c>
      <c r="N173" s="1">
        <v>13434.9</v>
      </c>
      <c r="O173" s="4">
        <f>Tab_01.Jan[[#This Row],[DÉBITO]]-Tab_01.Jan[[#This Row],[CRÉDITO]]</f>
        <v>13434.9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SUMIFS(Tab_99.Trial[DEZEMBRO],Tab_99.Trial[CONTA],$I174)</f>
        <v>0</v>
      </c>
      <c r="G174" s="4">
        <f t="shared" si="7"/>
        <v>0</v>
      </c>
      <c r="H174" s="137"/>
      <c r="I174" s="3" t="s">
        <v>438</v>
      </c>
      <c r="J174" s="3" t="s">
        <v>196</v>
      </c>
      <c r="K174" s="1">
        <v>0</v>
      </c>
      <c r="L174" s="173">
        <v>9396.1</v>
      </c>
      <c r="M174" s="1">
        <v>7042.03</v>
      </c>
      <c r="N174" s="173">
        <v>2354.0700000000002</v>
      </c>
      <c r="O174" s="4">
        <f>Tab_01.Jan[[#This Row],[DÉBITO]]-Tab_01.Jan[[#This Row],[CRÉDITO]]</f>
        <v>2354.0700000000002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SUMIFS(Tab_99.Trial[DEZEMBRO],Tab_99.Trial[CONTA],$I175)</f>
        <v>0</v>
      </c>
      <c r="G175" s="4">
        <f t="shared" si="7"/>
        <v>0</v>
      </c>
      <c r="H175" s="137"/>
      <c r="I175" s="3" t="s">
        <v>439</v>
      </c>
      <c r="J175" s="3" t="s">
        <v>440</v>
      </c>
      <c r="K175" s="1">
        <v>0</v>
      </c>
      <c r="L175" s="173">
        <v>1335.86</v>
      </c>
      <c r="M175" s="1">
        <v>689.98</v>
      </c>
      <c r="N175" s="173">
        <v>645.88</v>
      </c>
      <c r="O175" s="4">
        <f>Tab_01.Jan[[#This Row],[DÉBITO]]-Tab_01.Jan[[#This Row],[CRÉDITO]]</f>
        <v>645.88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S</v>
      </c>
      <c r="E176" s="2">
        <f>IF($I176="","",COUNTIFS(Tab_00.Trial[CONTA],$I176))</f>
        <v>1</v>
      </c>
      <c r="F176" s="4">
        <f>SUMIFS(Tab_99.Trial[DEZEMBRO],Tab_99.Trial[CONTA],$I176)</f>
        <v>0</v>
      </c>
      <c r="G176" s="4">
        <f t="shared" si="7"/>
        <v>0</v>
      </c>
      <c r="H176" s="137"/>
      <c r="I176" s="3" t="s">
        <v>592</v>
      </c>
      <c r="J176" s="3" t="s">
        <v>699</v>
      </c>
      <c r="K176" s="1">
        <v>0</v>
      </c>
      <c r="L176" s="173">
        <v>2235.4699999999998</v>
      </c>
      <c r="M176" s="1">
        <v>0</v>
      </c>
      <c r="N176" s="173">
        <v>2235.4699999999998</v>
      </c>
      <c r="O176" s="4">
        <f>Tab_01.Jan[[#This Row],[DÉBITO]]-Tab_01.Jan[[#This Row],[CRÉDITO]]</f>
        <v>2235.4699999999998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SUMIFS(Tab_99.Trial[DEZEMBRO],Tab_99.Trial[CONTA],$I177)</f>
        <v>0</v>
      </c>
      <c r="G177" s="4">
        <f t="shared" si="7"/>
        <v>0</v>
      </c>
      <c r="H177" s="137"/>
      <c r="I177" s="3" t="s">
        <v>397</v>
      </c>
      <c r="J177" s="3" t="s">
        <v>398</v>
      </c>
      <c r="K177" s="1">
        <v>0</v>
      </c>
      <c r="L177" s="173">
        <v>2235.4699999999998</v>
      </c>
      <c r="M177" s="1">
        <v>0</v>
      </c>
      <c r="N177" s="173">
        <v>2235.4699999999998</v>
      </c>
      <c r="O177" s="4">
        <f>Tab_01.Jan[[#This Row],[DÉBITO]]-Tab_01.Jan[[#This Row],[CRÉDITO]]</f>
        <v>2235.4699999999998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S</v>
      </c>
      <c r="E178" s="2">
        <f>IF($I178="","",COUNTIFS(Tab_00.Trial[CONTA],$I178))</f>
        <v>1</v>
      </c>
      <c r="F178" s="4">
        <f>SUMIFS(Tab_99.Trial[DEZEMBRO],Tab_99.Trial[CONTA],$I178)</f>
        <v>0</v>
      </c>
      <c r="G178" s="4">
        <f t="shared" si="7"/>
        <v>0</v>
      </c>
      <c r="H178" s="137"/>
      <c r="I178" s="3" t="s">
        <v>593</v>
      </c>
      <c r="J178" s="3" t="s">
        <v>711</v>
      </c>
      <c r="K178" s="1">
        <v>0</v>
      </c>
      <c r="L178" s="173">
        <v>34180.15</v>
      </c>
      <c r="M178" s="1">
        <v>0</v>
      </c>
      <c r="N178" s="173">
        <v>34180.15</v>
      </c>
      <c r="O178" s="4">
        <f>Tab_01.Jan[[#This Row],[DÉBITO]]-Tab_01.Jan[[#This Row],[CRÉDITO]]</f>
        <v>34180.15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SUMIFS(Tab_99.Trial[DEZEMBRO],Tab_99.Trial[CONTA],$I179)</f>
        <v>0</v>
      </c>
      <c r="G179" s="4">
        <f t="shared" si="7"/>
        <v>0</v>
      </c>
      <c r="H179" s="137"/>
      <c r="I179" s="3" t="s">
        <v>403</v>
      </c>
      <c r="J179" s="3" t="s">
        <v>404</v>
      </c>
      <c r="K179" s="1">
        <v>0</v>
      </c>
      <c r="L179" s="173">
        <v>4135.96</v>
      </c>
      <c r="M179" s="1">
        <v>0</v>
      </c>
      <c r="N179" s="173">
        <v>4135.96</v>
      </c>
      <c r="O179" s="4">
        <f>Tab_01.Jan[[#This Row],[DÉBITO]]-Tab_01.Jan[[#This Row],[CRÉDITO]]</f>
        <v>4135.96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SUMIFS(Tab_99.Trial[DEZEMBRO],Tab_99.Trial[CONTA],$I180)</f>
        <v>0</v>
      </c>
      <c r="G180" s="4">
        <f t="shared" si="7"/>
        <v>0</v>
      </c>
      <c r="H180" s="137"/>
      <c r="I180" s="3" t="s">
        <v>405</v>
      </c>
      <c r="J180" s="3" t="s">
        <v>406</v>
      </c>
      <c r="K180" s="1">
        <v>0</v>
      </c>
      <c r="L180" s="173">
        <v>27797</v>
      </c>
      <c r="M180" s="1">
        <v>0</v>
      </c>
      <c r="N180" s="173">
        <v>27797</v>
      </c>
      <c r="O180" s="4">
        <f>Tab_01.Jan[[#This Row],[DÉBITO]]-Tab_01.Jan[[#This Row],[CRÉDITO]]</f>
        <v>27797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SUMIFS(Tab_99.Trial[DEZEMBRO],Tab_99.Trial[CONTA],$I181)</f>
        <v>0</v>
      </c>
      <c r="G181" s="4">
        <f t="shared" si="7"/>
        <v>0</v>
      </c>
      <c r="H181" s="137"/>
      <c r="I181" s="3" t="s">
        <v>407</v>
      </c>
      <c r="J181" s="3" t="s">
        <v>408</v>
      </c>
      <c r="K181" s="1">
        <v>0</v>
      </c>
      <c r="L181" s="1">
        <v>2247.19</v>
      </c>
      <c r="M181" s="1">
        <v>0</v>
      </c>
      <c r="N181" s="1">
        <v>2247.19</v>
      </c>
      <c r="O181" s="4">
        <f>Tab_01.Jan[[#This Row],[DÉBITO]]-Tab_01.Jan[[#This Row],[CRÉDITO]]</f>
        <v>2247.19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SUMIFS(Tab_99.Trial[DEZEMBRO],Tab_99.Trial[CONTA],$I182)</f>
        <v>0</v>
      </c>
      <c r="G182" s="4">
        <f t="shared" si="7"/>
        <v>0</v>
      </c>
      <c r="H182" s="137"/>
      <c r="I182" s="3" t="s">
        <v>594</v>
      </c>
      <c r="J182" s="3" t="s">
        <v>825</v>
      </c>
      <c r="K182" s="1">
        <v>0</v>
      </c>
      <c r="L182" s="173">
        <v>1590.84</v>
      </c>
      <c r="M182" s="1">
        <v>0</v>
      </c>
      <c r="N182" s="173">
        <v>1590.84</v>
      </c>
      <c r="O182" s="4">
        <f>Tab_01.Jan[[#This Row],[DÉBITO]]-Tab_01.Jan[[#This Row],[CRÉDITO]]</f>
        <v>1590.84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SUMIFS(Tab_99.Trial[DEZEMBRO],Tab_99.Trial[CONTA],$I183)</f>
        <v>0</v>
      </c>
      <c r="G183" s="4">
        <f t="shared" si="7"/>
        <v>0</v>
      </c>
      <c r="H183" s="137"/>
      <c r="I183" s="3" t="s">
        <v>411</v>
      </c>
      <c r="J183" s="3" t="s">
        <v>412</v>
      </c>
      <c r="K183" s="1">
        <v>0</v>
      </c>
      <c r="L183" s="1">
        <v>300</v>
      </c>
      <c r="M183" s="1">
        <v>0</v>
      </c>
      <c r="N183" s="1">
        <v>300</v>
      </c>
      <c r="O183" s="4">
        <f>Tab_01.Jan[[#This Row],[DÉBITO]]-Tab_01.Jan[[#This Row],[CRÉDITO]]</f>
        <v>300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SUMIFS(Tab_99.Trial[DEZEMBRO],Tab_99.Trial[CONTA],$I184)</f>
        <v>0</v>
      </c>
      <c r="G184" s="4">
        <f t="shared" si="7"/>
        <v>0</v>
      </c>
      <c r="H184" s="137"/>
      <c r="I184" s="3" t="s">
        <v>413</v>
      </c>
      <c r="J184" s="3" t="s">
        <v>414</v>
      </c>
      <c r="K184" s="1">
        <v>0</v>
      </c>
      <c r="L184" s="1">
        <v>1290.8399999999999</v>
      </c>
      <c r="M184" s="1">
        <v>0</v>
      </c>
      <c r="N184" s="1">
        <v>1290.8399999999999</v>
      </c>
      <c r="O184" s="4">
        <f>Tab_01.Jan[[#This Row],[DÉBITO]]-Tab_01.Jan[[#This Row],[CRÉDITO]]</f>
        <v>1290.8399999999999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S</v>
      </c>
      <c r="E185" s="2">
        <f>IF($I185="","",COUNTIFS(Tab_00.Trial[CONTA],$I185))</f>
        <v>1</v>
      </c>
      <c r="F185" s="4">
        <f>SUMIFS(Tab_99.Trial[DEZEMBRO],Tab_99.Trial[CONTA],$I185)</f>
        <v>0</v>
      </c>
      <c r="G185" s="4">
        <f t="shared" si="7"/>
        <v>0</v>
      </c>
      <c r="H185" s="137"/>
      <c r="I185" s="3" t="s">
        <v>595</v>
      </c>
      <c r="J185" s="3" t="s">
        <v>420</v>
      </c>
      <c r="K185" s="1">
        <v>0</v>
      </c>
      <c r="L185" s="173">
        <v>427.26</v>
      </c>
      <c r="M185" s="1">
        <v>0</v>
      </c>
      <c r="N185" s="173">
        <v>427.26</v>
      </c>
      <c r="O185" s="4">
        <f>Tab_01.Jan[[#This Row],[DÉBITO]]-Tab_01.Jan[[#This Row],[CRÉDITO]]</f>
        <v>427.26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SUMIFS(Tab_99.Trial[DEZEMBRO],Tab_99.Trial[CONTA],$I186)</f>
        <v>0</v>
      </c>
      <c r="G186" s="4">
        <f t="shared" si="7"/>
        <v>0</v>
      </c>
      <c r="H186" s="137"/>
      <c r="I186" s="3" t="s">
        <v>419</v>
      </c>
      <c r="J186" s="3" t="s">
        <v>420</v>
      </c>
      <c r="K186" s="1">
        <v>0</v>
      </c>
      <c r="L186" s="173">
        <v>427.26</v>
      </c>
      <c r="M186" s="1">
        <v>0</v>
      </c>
      <c r="N186" s="173">
        <v>427.26</v>
      </c>
      <c r="O186" s="4">
        <f>Tab_01.Jan[[#This Row],[DÉBITO]]-Tab_01.Jan[[#This Row],[CRÉDITO]]</f>
        <v>427.26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S</v>
      </c>
      <c r="E187" s="2">
        <f>IF($I187="","",COUNTIFS(Tab_00.Trial[CONTA],$I187))</f>
        <v>1</v>
      </c>
      <c r="F187" s="4">
        <f>SUMIFS(Tab_99.Trial[DEZEMBRO],Tab_99.Trial[CONTA],$I187)</f>
        <v>0</v>
      </c>
      <c r="G187" s="4">
        <f t="shared" si="7"/>
        <v>0</v>
      </c>
      <c r="H187" s="137"/>
      <c r="I187" s="3" t="s">
        <v>237</v>
      </c>
      <c r="J187" s="3" t="s">
        <v>702</v>
      </c>
      <c r="K187" s="1">
        <v>0</v>
      </c>
      <c r="L187" s="173">
        <v>852439.19</v>
      </c>
      <c r="M187" s="1">
        <v>0</v>
      </c>
      <c r="N187" s="173">
        <v>852439.19</v>
      </c>
      <c r="O187" s="4">
        <f>Tab_01.Jan[[#This Row],[DÉBITO]]-Tab_01.Jan[[#This Row],[CRÉDITO]]</f>
        <v>852439.19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SUMIFS(Tab_99.Trial[DEZEMBRO],Tab_99.Trial[CONTA],$I188)</f>
        <v>0</v>
      </c>
      <c r="G188" s="4">
        <f t="shared" ref="G188" si="8">IFERROR(IF(LEFT($I188)*1&gt;2,0,$F188-$K188),0)</f>
        <v>0</v>
      </c>
      <c r="H188" s="137"/>
      <c r="I188" s="3" t="s">
        <v>238</v>
      </c>
      <c r="J188" s="3" t="s">
        <v>826</v>
      </c>
      <c r="K188" s="1">
        <v>0</v>
      </c>
      <c r="L188" s="173">
        <v>852439.19</v>
      </c>
      <c r="M188" s="1">
        <v>0</v>
      </c>
      <c r="N188" s="173">
        <v>852439.19</v>
      </c>
      <c r="O188" s="4">
        <f>Tab_01.Jan[[#This Row],[DÉBITO]]-Tab_01.Jan[[#This Row],[CRÉDITO]]</f>
        <v>852439.19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SUMIFS(Tab_99.Trial[DEZEMBRO],Tab_99.Trial[CONTA],$I189)</f>
        <v>0</v>
      </c>
      <c r="G189" s="4">
        <f>IFERROR(IF(LEFT($I189)*1&gt;2,0,$F189-$K189),0)</f>
        <v>0</v>
      </c>
      <c r="H189" s="137"/>
      <c r="I189" s="3" t="s">
        <v>421</v>
      </c>
      <c r="J189" s="3" t="s">
        <v>422</v>
      </c>
      <c r="K189" s="1">
        <v>0</v>
      </c>
      <c r="L189" s="173">
        <v>187419.37</v>
      </c>
      <c r="M189" s="1">
        <v>0</v>
      </c>
      <c r="N189" s="173">
        <v>187419.37</v>
      </c>
      <c r="O189" s="4">
        <f>Tab_01.Jan[[#This Row],[DÉBITO]]-Tab_01.Jan[[#This Row],[CRÉDITO]]</f>
        <v>187419.37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SUMIFS(Tab_99.Trial[DEZEMBRO],Tab_99.Trial[CONTA],$I190)</f>
        <v>0</v>
      </c>
      <c r="G190" s="4">
        <f>IFERROR(IF(LEFT($I190)*1&gt;2,0,$F190-$K190),0)</f>
        <v>0</v>
      </c>
      <c r="H190" s="137"/>
      <c r="I190" s="3" t="s">
        <v>738</v>
      </c>
      <c r="J190" s="3" t="s">
        <v>367</v>
      </c>
      <c r="K190" s="1">
        <v>0</v>
      </c>
      <c r="L190" s="173">
        <v>122569.24</v>
      </c>
      <c r="M190" s="173">
        <v>0</v>
      </c>
      <c r="N190" s="173">
        <v>122569.24</v>
      </c>
      <c r="O190" s="4">
        <f>Tab_01.Jan[[#This Row],[DÉBITO]]-Tab_01.Jan[[#This Row],[CRÉDITO]]</f>
        <v>122569.24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SUMIFS(Tab_99.Trial[DEZEMBRO],Tab_99.Trial[CONTA],$I191)</f>
        <v>0</v>
      </c>
      <c r="G191" s="4">
        <f t="shared" ref="G191:G216" si="9">IFERROR(IF(LEFT($I191)*1&gt;2,0,$F191-$K191),0)</f>
        <v>0</v>
      </c>
      <c r="H191" s="137"/>
      <c r="I191" s="3" t="s">
        <v>423</v>
      </c>
      <c r="J191" s="3" t="s">
        <v>424</v>
      </c>
      <c r="K191" s="1">
        <v>0</v>
      </c>
      <c r="L191" s="173">
        <v>542450.57999999996</v>
      </c>
      <c r="M191" s="173">
        <v>0</v>
      </c>
      <c r="N191" s="173">
        <v>542450.57999999996</v>
      </c>
      <c r="O191" s="4">
        <f>Tab_01.Jan[[#This Row],[DÉBITO]]-Tab_01.Jan[[#This Row],[CRÉDITO]]</f>
        <v>542450.57999999996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1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SUMIFS(Tab_99.Trial[DEZEMBRO],Tab_99.Trial[CONTA],$I192)</f>
        <v>0</v>
      </c>
      <c r="G192" s="4">
        <f t="shared" si="9"/>
        <v>0</v>
      </c>
      <c r="H192" s="137"/>
      <c r="I192" s="3">
        <v>5</v>
      </c>
      <c r="J192" s="3" t="s">
        <v>705</v>
      </c>
      <c r="K192" s="1">
        <v>0</v>
      </c>
      <c r="L192" s="173">
        <v>290969.51</v>
      </c>
      <c r="M192" s="173">
        <v>21644.92</v>
      </c>
      <c r="N192" s="173">
        <v>269324.59000000003</v>
      </c>
      <c r="O192" s="4">
        <f>Tab_01.Jan[[#This Row],[DÉBITO]]-Tab_01.Jan[[#This Row],[CRÉDITO]]</f>
        <v>269324.59000000003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2</v>
      </c>
      <c r="D193" s="2" t="str">
        <f>_xlfn.XLOOKUP($I193,Tab_00.Trial[CONTA],Tab_00.Trial[S/A],"",0,1)</f>
        <v>S</v>
      </c>
      <c r="E193" s="2">
        <f>IF($I193="","",COUNTIFS(Tab_00.Trial[CONTA],$I193))</f>
        <v>1</v>
      </c>
      <c r="F193" s="4">
        <f>SUMIFS(Tab_99.Trial[DEZEMBRO],Tab_99.Trial[CONTA],$I193)</f>
        <v>0</v>
      </c>
      <c r="G193" s="4">
        <f t="shared" si="9"/>
        <v>0</v>
      </c>
      <c r="H193" s="137"/>
      <c r="I193" s="3" t="s">
        <v>599</v>
      </c>
      <c r="J193" s="3" t="s">
        <v>827</v>
      </c>
      <c r="K193" s="1">
        <v>0</v>
      </c>
      <c r="L193" s="173">
        <v>289179.86</v>
      </c>
      <c r="M193" s="173">
        <v>19666.27</v>
      </c>
      <c r="N193" s="173">
        <v>269513.59000000003</v>
      </c>
      <c r="O193" s="4">
        <f>Tab_01.Jan[[#This Row],[DÉBITO]]-Tab_01.Jan[[#This Row],[CRÉDITO]]</f>
        <v>269513.59000000003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SUMIFS(Tab_99.Trial[DEZEMBRO],Tab_99.Trial[CONTA],$I194)</f>
        <v>0</v>
      </c>
      <c r="G194" s="4">
        <f t="shared" si="9"/>
        <v>0</v>
      </c>
      <c r="H194" s="137"/>
      <c r="I194" s="3" t="s">
        <v>600</v>
      </c>
      <c r="J194" s="3" t="s">
        <v>706</v>
      </c>
      <c r="K194" s="1">
        <v>0</v>
      </c>
      <c r="L194" s="173">
        <v>132353.96</v>
      </c>
      <c r="M194" s="173">
        <v>17932.61</v>
      </c>
      <c r="N194" s="173">
        <v>114421.35</v>
      </c>
      <c r="O194" s="4">
        <f>Tab_01.Jan[[#This Row],[DÉBITO]]-Tab_01.Jan[[#This Row],[CRÉDITO]]</f>
        <v>114421.35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SUMIFS(Tab_99.Trial[DEZEMBRO],Tab_99.Trial[CONTA],$I195)</f>
        <v>0</v>
      </c>
      <c r="G195" s="4">
        <f t="shared" si="9"/>
        <v>0</v>
      </c>
      <c r="H195" s="137"/>
      <c r="I195" s="3" t="s">
        <v>601</v>
      </c>
      <c r="J195" s="3" t="s">
        <v>707</v>
      </c>
      <c r="K195" s="1">
        <v>0</v>
      </c>
      <c r="L195" s="173">
        <v>105652.39</v>
      </c>
      <c r="M195" s="1">
        <v>17136.48</v>
      </c>
      <c r="N195" s="173">
        <v>88515.91</v>
      </c>
      <c r="O195" s="4">
        <f>Tab_01.Jan[[#This Row],[DÉBITO]]-Tab_01.Jan[[#This Row],[CRÉDITO]]</f>
        <v>88515.91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SUMIFS(Tab_99.Trial[DEZEMBRO],Tab_99.Trial[CONTA],$I196)</f>
        <v>0</v>
      </c>
      <c r="G196" s="4">
        <f t="shared" si="9"/>
        <v>0</v>
      </c>
      <c r="H196" s="137"/>
      <c r="I196" s="3" t="s">
        <v>441</v>
      </c>
      <c r="J196" s="3" t="s">
        <v>427</v>
      </c>
      <c r="K196" s="1">
        <v>0</v>
      </c>
      <c r="L196" s="173">
        <v>69887.759999999995</v>
      </c>
      <c r="M196" s="1">
        <v>15369.28</v>
      </c>
      <c r="N196" s="173">
        <v>54518.48</v>
      </c>
      <c r="O196" s="4">
        <f>Tab_01.Jan[[#This Row],[DÉBITO]]-Tab_01.Jan[[#This Row],[CRÉDITO]]</f>
        <v>54518.48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SUMIFS(Tab_99.Trial[DEZEMBRO],Tab_99.Trial[CONTA],$I197)</f>
        <v>0</v>
      </c>
      <c r="G197" s="4">
        <f t="shared" si="9"/>
        <v>0</v>
      </c>
      <c r="H197" s="137"/>
      <c r="I197" s="3" t="s">
        <v>443</v>
      </c>
      <c r="J197" s="3" t="s">
        <v>431</v>
      </c>
      <c r="K197" s="1">
        <v>0</v>
      </c>
      <c r="L197" s="173">
        <v>10254.450000000001</v>
      </c>
      <c r="M197" s="173">
        <v>0</v>
      </c>
      <c r="N197" s="1">
        <v>10254.450000000001</v>
      </c>
      <c r="O197" s="4">
        <f>Tab_01.Jan[[#This Row],[DÉBITO]]-Tab_01.Jan[[#This Row],[CRÉDITO]]</f>
        <v>10254.450000000001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SUMIFS(Tab_99.Trial[DEZEMBRO],Tab_99.Trial[CONTA],$I198)</f>
        <v>0</v>
      </c>
      <c r="G198" s="4">
        <f t="shared" si="9"/>
        <v>0</v>
      </c>
      <c r="H198" s="137"/>
      <c r="I198" s="3" t="s">
        <v>444</v>
      </c>
      <c r="J198" s="3" t="s">
        <v>433</v>
      </c>
      <c r="K198" s="1">
        <v>0</v>
      </c>
      <c r="L198" s="1">
        <v>6223.05</v>
      </c>
      <c r="M198" s="1">
        <v>0</v>
      </c>
      <c r="N198" s="1">
        <v>6223.05</v>
      </c>
      <c r="O198" s="4">
        <f>Tab_01.Jan[[#This Row],[DÉBITO]]-Tab_01.Jan[[#This Row],[CRÉDITO]]</f>
        <v>6223.05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SUMIFS(Tab_99.Trial[DEZEMBRO],Tab_99.Trial[CONTA],$I199)</f>
        <v>0</v>
      </c>
      <c r="G199" s="4">
        <f t="shared" si="9"/>
        <v>0</v>
      </c>
      <c r="H199" s="137"/>
      <c r="I199" s="3" t="s">
        <v>808</v>
      </c>
      <c r="J199" s="3" t="s">
        <v>797</v>
      </c>
      <c r="K199" s="1">
        <v>0</v>
      </c>
      <c r="L199" s="1">
        <v>2223.69</v>
      </c>
      <c r="M199" s="1">
        <v>1360.95</v>
      </c>
      <c r="N199" s="1">
        <v>862.74</v>
      </c>
      <c r="O199" s="4">
        <f>Tab_01.Jan[[#This Row],[DÉBITO]]-Tab_01.Jan[[#This Row],[CRÉDITO]]</f>
        <v>862.74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SUMIFS(Tab_99.Trial[DEZEMBRO],Tab_99.Trial[CONTA],$I200)</f>
        <v>0</v>
      </c>
      <c r="G200" s="4">
        <f t="shared" si="9"/>
        <v>0</v>
      </c>
      <c r="H200" s="137"/>
      <c r="I200" s="3" t="s">
        <v>809</v>
      </c>
      <c r="J200" s="3" t="s">
        <v>799</v>
      </c>
      <c r="K200" s="1">
        <v>0</v>
      </c>
      <c r="L200" s="173">
        <v>14752.66</v>
      </c>
      <c r="M200" s="1">
        <v>406.25</v>
      </c>
      <c r="N200" s="173">
        <v>14346.41</v>
      </c>
      <c r="O200" s="4">
        <f>Tab_01.Jan[[#This Row],[DÉBITO]]-Tab_01.Jan[[#This Row],[CRÉDITO]]</f>
        <v>14346.41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SUMIFS(Tab_99.Trial[DEZEMBRO],Tab_99.Trial[CONTA],$I201)</f>
        <v>0</v>
      </c>
      <c r="G201" s="4">
        <f t="shared" si="9"/>
        <v>0</v>
      </c>
      <c r="H201" s="137"/>
      <c r="I201" s="3" t="s">
        <v>810</v>
      </c>
      <c r="J201" s="3" t="s">
        <v>801</v>
      </c>
      <c r="K201" s="1">
        <v>0</v>
      </c>
      <c r="L201" s="1">
        <v>82.97</v>
      </c>
      <c r="M201" s="1">
        <v>0</v>
      </c>
      <c r="N201" s="1">
        <v>82.97</v>
      </c>
      <c r="O201" s="4">
        <f>Tab_01.Jan[[#This Row],[DÉBITO]]-Tab_01.Jan[[#This Row],[CRÉDITO]]</f>
        <v>82.97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SUMIFS(Tab_99.Trial[DEZEMBRO],Tab_99.Trial[CONTA],$I202)</f>
        <v>0</v>
      </c>
      <c r="G202" s="4">
        <f t="shared" si="9"/>
        <v>0</v>
      </c>
      <c r="H202" s="137"/>
      <c r="I202" s="3" t="s">
        <v>811</v>
      </c>
      <c r="J202" s="3" t="s">
        <v>803</v>
      </c>
      <c r="K202" s="1">
        <v>0</v>
      </c>
      <c r="L202" s="1">
        <v>1667.78</v>
      </c>
      <c r="M202" s="1">
        <v>0</v>
      </c>
      <c r="N202" s="1">
        <v>1667.78</v>
      </c>
      <c r="O202" s="4">
        <f>Tab_01.Jan[[#This Row],[DÉBITO]]-Tab_01.Jan[[#This Row],[CRÉDITO]]</f>
        <v>1667.78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SUMIFS(Tab_99.Trial[DEZEMBRO],Tab_99.Trial[CONTA],$I203)</f>
        <v>0</v>
      </c>
      <c r="G203" s="4">
        <f t="shared" si="9"/>
        <v>0</v>
      </c>
      <c r="H203" s="137"/>
      <c r="I203" s="3" t="s">
        <v>812</v>
      </c>
      <c r="J203" s="3" t="s">
        <v>805</v>
      </c>
      <c r="K203" s="1">
        <v>0</v>
      </c>
      <c r="L203" s="173">
        <v>497.81</v>
      </c>
      <c r="M203" s="1">
        <v>0</v>
      </c>
      <c r="N203" s="1">
        <v>497.81</v>
      </c>
      <c r="O203" s="4">
        <f>Tab_01.Jan[[#This Row],[DÉBITO]]-Tab_01.Jan[[#This Row],[CRÉDITO]]</f>
        <v>497.81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SUMIFS(Tab_99.Trial[DEZEMBRO],Tab_99.Trial[CONTA],$I204)</f>
        <v>0</v>
      </c>
      <c r="G204" s="4">
        <f t="shared" si="9"/>
        <v>0</v>
      </c>
      <c r="H204" s="137"/>
      <c r="I204" s="3" t="s">
        <v>813</v>
      </c>
      <c r="J204" s="3" t="s">
        <v>807</v>
      </c>
      <c r="K204" s="1">
        <v>0</v>
      </c>
      <c r="L204" s="1">
        <v>62.22</v>
      </c>
      <c r="M204" s="1">
        <v>0</v>
      </c>
      <c r="N204" s="1">
        <v>62.22</v>
      </c>
      <c r="O204" s="4">
        <f>Tab_01.Jan[[#This Row],[DÉBITO]]-Tab_01.Jan[[#This Row],[CRÉDITO]]</f>
        <v>62.22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SUMIFS(Tab_99.Trial[DEZEMBRO],Tab_99.Trial[CONTA],$I205)</f>
        <v>0</v>
      </c>
      <c r="G205" s="4">
        <f t="shared" si="9"/>
        <v>0</v>
      </c>
      <c r="H205" s="137"/>
      <c r="I205" s="3" t="s">
        <v>602</v>
      </c>
      <c r="J205" s="3" t="s">
        <v>708</v>
      </c>
      <c r="K205" s="1">
        <v>0</v>
      </c>
      <c r="L205" s="1">
        <v>1810.13</v>
      </c>
      <c r="M205" s="1">
        <v>796.13</v>
      </c>
      <c r="N205" s="1">
        <v>1014</v>
      </c>
      <c r="O205" s="4">
        <f>Tab_01.Jan[[#This Row],[DÉBITO]]-Tab_01.Jan[[#This Row],[CRÉDITO]]</f>
        <v>1014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SUMIFS(Tab_99.Trial[DEZEMBRO],Tab_99.Trial[CONTA],$I206)</f>
        <v>0</v>
      </c>
      <c r="G206" s="4">
        <f t="shared" si="9"/>
        <v>0</v>
      </c>
      <c r="H206" s="137"/>
      <c r="I206" s="3" t="s">
        <v>774</v>
      </c>
      <c r="J206" s="3" t="s">
        <v>435</v>
      </c>
      <c r="K206" s="1">
        <v>0</v>
      </c>
      <c r="L206" s="173">
        <v>435.63</v>
      </c>
      <c r="M206" s="1">
        <v>435.63</v>
      </c>
      <c r="N206" s="173">
        <v>0</v>
      </c>
      <c r="O206" s="4">
        <f>Tab_01.Jan[[#This Row],[DÉBITO]]-Tab_01.Jan[[#This Row],[CRÉDITO]]</f>
        <v>0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SUMIFS(Tab_99.Trial[DEZEMBRO],Tab_99.Trial[CONTA],$I207)</f>
        <v>0</v>
      </c>
      <c r="G207" s="4">
        <f t="shared" si="9"/>
        <v>0</v>
      </c>
      <c r="H207" s="137"/>
      <c r="I207" s="3" t="s">
        <v>775</v>
      </c>
      <c r="J207" s="3" t="s">
        <v>751</v>
      </c>
      <c r="K207" s="1">
        <v>0</v>
      </c>
      <c r="L207" s="173">
        <v>360.5</v>
      </c>
      <c r="M207" s="1">
        <v>360.5</v>
      </c>
      <c r="N207" s="173">
        <v>0</v>
      </c>
      <c r="O207" s="4">
        <f>Tab_01.Jan[[#This Row],[DÉBITO]]-Tab_01.Jan[[#This Row],[CRÉDITO]]</f>
        <v>0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SUMIFS(Tab_99.Trial[DEZEMBRO],Tab_99.Trial[CONTA],$I208)</f>
        <v>0</v>
      </c>
      <c r="G208" s="4">
        <f t="shared" si="9"/>
        <v>0</v>
      </c>
      <c r="H208" s="137"/>
      <c r="I208" s="3" t="s">
        <v>455</v>
      </c>
      <c r="J208" s="3" t="s">
        <v>456</v>
      </c>
      <c r="K208" s="1">
        <v>0</v>
      </c>
      <c r="L208" s="173">
        <v>1014</v>
      </c>
      <c r="M208" s="1">
        <v>0</v>
      </c>
      <c r="N208" s="173">
        <v>1014</v>
      </c>
      <c r="O208" s="4">
        <f>Tab_01.Jan[[#This Row],[DÉBITO]]-Tab_01.Jan[[#This Row],[CRÉDITO]]</f>
        <v>1014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S</v>
      </c>
      <c r="E209" s="2">
        <f>IF($I209="","",COUNTIFS(Tab_00.Trial[CONTA],$I209))</f>
        <v>1</v>
      </c>
      <c r="F209" s="4">
        <f>SUMIFS(Tab_99.Trial[DEZEMBRO],Tab_99.Trial[CONTA],$I209)</f>
        <v>0</v>
      </c>
      <c r="G209" s="4">
        <f t="shared" si="9"/>
        <v>0</v>
      </c>
      <c r="H209" s="137"/>
      <c r="I209" s="3" t="s">
        <v>603</v>
      </c>
      <c r="J209" s="3" t="s">
        <v>709</v>
      </c>
      <c r="K209" s="1">
        <v>0</v>
      </c>
      <c r="L209" s="173">
        <v>24701.439999999999</v>
      </c>
      <c r="M209" s="1">
        <v>0</v>
      </c>
      <c r="N209" s="173">
        <v>24701.439999999999</v>
      </c>
      <c r="O209" s="4">
        <f>Tab_01.Jan[[#This Row],[DÉBITO]]-Tab_01.Jan[[#This Row],[CRÉDITO]]</f>
        <v>24701.439999999999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SUMIFS(Tab_99.Trial[DEZEMBRO],Tab_99.Trial[CONTA],$I210)</f>
        <v>0</v>
      </c>
      <c r="G210" s="4">
        <f t="shared" si="9"/>
        <v>0</v>
      </c>
      <c r="H210" s="137"/>
      <c r="I210" s="3" t="s">
        <v>451</v>
      </c>
      <c r="J210" s="3" t="s">
        <v>437</v>
      </c>
      <c r="K210" s="1">
        <v>0</v>
      </c>
      <c r="L210" s="1">
        <v>18491.599999999999</v>
      </c>
      <c r="M210" s="1">
        <v>0</v>
      </c>
      <c r="N210" s="1">
        <v>18491.599999999999</v>
      </c>
      <c r="O210" s="4">
        <f>Tab_01.Jan[[#This Row],[DÉBITO]]-Tab_01.Jan[[#This Row],[CRÉDITO]]</f>
        <v>18491.599999999999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SUMIFS(Tab_99.Trial[DEZEMBRO],Tab_99.Trial[CONTA],$I211)</f>
        <v>0</v>
      </c>
      <c r="G211" s="4">
        <f t="shared" si="9"/>
        <v>0</v>
      </c>
      <c r="H211" s="137"/>
      <c r="I211" s="3" t="s">
        <v>452</v>
      </c>
      <c r="J211" s="3" t="s">
        <v>196</v>
      </c>
      <c r="K211" s="1">
        <v>0</v>
      </c>
      <c r="L211" s="1">
        <v>5519.86</v>
      </c>
      <c r="M211" s="1">
        <v>0</v>
      </c>
      <c r="N211" s="1">
        <v>5519.86</v>
      </c>
      <c r="O211" s="4">
        <f>Tab_01.Jan[[#This Row],[DÉBITO]]-Tab_01.Jan[[#This Row],[CRÉDITO]]</f>
        <v>5519.86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SUMIFS(Tab_99.Trial[DEZEMBRO],Tab_99.Trial[CONTA],$I212)</f>
        <v>0</v>
      </c>
      <c r="G212" s="4">
        <f t="shared" si="9"/>
        <v>0</v>
      </c>
      <c r="H212" s="137"/>
      <c r="I212" s="3" t="s">
        <v>453</v>
      </c>
      <c r="J212" s="3" t="s">
        <v>454</v>
      </c>
      <c r="K212" s="1">
        <v>0</v>
      </c>
      <c r="L212" s="1">
        <v>689.98</v>
      </c>
      <c r="M212" s="1">
        <v>0</v>
      </c>
      <c r="N212" s="1">
        <v>689.98</v>
      </c>
      <c r="O212" s="4">
        <f>Tab_01.Jan[[#This Row],[DÉBITO]]-Tab_01.Jan[[#This Row],[CRÉDITO]]</f>
        <v>689.98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S</v>
      </c>
      <c r="E213" s="2">
        <f>IF($I213="","",COUNTIFS(Tab_00.Trial[CONTA],$I213))</f>
        <v>1</v>
      </c>
      <c r="F213" s="4">
        <f>SUMIFS(Tab_99.Trial[DEZEMBRO],Tab_99.Trial[CONTA],$I213)</f>
        <v>0</v>
      </c>
      <c r="G213" s="4">
        <f t="shared" si="9"/>
        <v>0</v>
      </c>
      <c r="H213" s="137"/>
      <c r="I213" s="3" t="s">
        <v>604</v>
      </c>
      <c r="J213" s="3" t="s">
        <v>710</v>
      </c>
      <c r="K213" s="1">
        <v>0</v>
      </c>
      <c r="L213" s="173">
        <v>190</v>
      </c>
      <c r="M213" s="1">
        <v>0</v>
      </c>
      <c r="N213" s="173">
        <v>190</v>
      </c>
      <c r="O213" s="4">
        <f>Tab_01.Jan[[#This Row],[DÉBITO]]-Tab_01.Jan[[#This Row],[CRÉDITO]]</f>
        <v>190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SUMIFS(Tab_99.Trial[DEZEMBRO],Tab_99.Trial[CONTA],$I214)</f>
        <v>0</v>
      </c>
      <c r="G214" s="4">
        <f t="shared" si="9"/>
        <v>0</v>
      </c>
      <c r="H214" s="137"/>
      <c r="I214" s="3" t="s">
        <v>457</v>
      </c>
      <c r="J214" s="3" t="s">
        <v>458</v>
      </c>
      <c r="K214" s="1">
        <v>0</v>
      </c>
      <c r="L214" s="173">
        <v>190</v>
      </c>
      <c r="M214" s="1">
        <v>0</v>
      </c>
      <c r="N214" s="173">
        <v>190</v>
      </c>
      <c r="O214" s="4">
        <f>Tab_01.Jan[[#This Row],[DÉBITO]]-Tab_01.Jan[[#This Row],[CRÉDITO]]</f>
        <v>190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S</v>
      </c>
      <c r="E215" s="2">
        <f>IF($I215="","",COUNTIFS(Tab_00.Trial[CONTA],$I215))</f>
        <v>1</v>
      </c>
      <c r="F215" s="4">
        <f>SUMIFS(Tab_99.Trial[DEZEMBRO],Tab_99.Trial[CONTA],$I215)</f>
        <v>0</v>
      </c>
      <c r="G215" s="4">
        <f t="shared" si="9"/>
        <v>0</v>
      </c>
      <c r="H215" s="137"/>
      <c r="I215" s="3" t="s">
        <v>605</v>
      </c>
      <c r="J215" s="3" t="s">
        <v>711</v>
      </c>
      <c r="K215" s="1">
        <v>0</v>
      </c>
      <c r="L215" s="173">
        <v>128411.32</v>
      </c>
      <c r="M215" s="1">
        <v>0</v>
      </c>
      <c r="N215" s="173">
        <v>128411.32</v>
      </c>
      <c r="O215" s="4">
        <f>Tab_01.Jan[[#This Row],[DÉBITO]]-Tab_01.Jan[[#This Row],[CRÉDITO]]</f>
        <v>128411.32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S</v>
      </c>
      <c r="E216" s="2">
        <f>IF($I216="","",COUNTIFS(Tab_00.Trial[CONTA],$I216))</f>
        <v>1</v>
      </c>
      <c r="F216" s="4">
        <f>SUMIFS(Tab_99.Trial[DEZEMBRO],Tab_99.Trial[CONTA],$I216)</f>
        <v>0</v>
      </c>
      <c r="G216" s="4">
        <f t="shared" si="9"/>
        <v>0</v>
      </c>
      <c r="H216" s="137"/>
      <c r="I216" s="3" t="s">
        <v>606</v>
      </c>
      <c r="J216" s="3" t="s">
        <v>712</v>
      </c>
      <c r="K216" s="1">
        <v>0</v>
      </c>
      <c r="L216" s="173">
        <v>45445.24</v>
      </c>
      <c r="M216" s="1">
        <v>0</v>
      </c>
      <c r="N216" s="173">
        <v>45445.24</v>
      </c>
      <c r="O216" s="4">
        <f>Tab_01.Jan[[#This Row],[DÉBITO]]-Tab_01.Jan[[#This Row],[CRÉDITO]]</f>
        <v>45445.24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SUMIFS(Tab_99.Trial[DEZEMBRO],Tab_99.Trial[CONTA],$I217)</f>
        <v>0</v>
      </c>
      <c r="G217" s="4">
        <f t="shared" ref="G217:G218" si="10">IFERROR(IF(LEFT($I217)*1&gt;2,0,$F217-$K217),0)</f>
        <v>0</v>
      </c>
      <c r="H217" s="137"/>
      <c r="I217" s="3" t="s">
        <v>459</v>
      </c>
      <c r="J217" s="3" t="s">
        <v>460</v>
      </c>
      <c r="K217" s="1">
        <v>0</v>
      </c>
      <c r="L217" s="173">
        <v>7634.62</v>
      </c>
      <c r="M217" s="1">
        <v>0</v>
      </c>
      <c r="N217" s="173">
        <v>7634.62</v>
      </c>
      <c r="O217" s="4">
        <f>Tab_01.Jan[[#This Row],[DÉBITO]]-Tab_01.Jan[[#This Row],[CRÉDITO]]</f>
        <v>7634.62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SUMIFS(Tab_99.Trial[DEZEMBRO],Tab_99.Trial[CONTA],$I218)</f>
        <v>0</v>
      </c>
      <c r="G218" s="4">
        <f t="shared" si="10"/>
        <v>0</v>
      </c>
      <c r="H218" s="137"/>
      <c r="I218" s="3" t="s">
        <v>461</v>
      </c>
      <c r="J218" s="3" t="s">
        <v>462</v>
      </c>
      <c r="K218" s="1">
        <v>0</v>
      </c>
      <c r="L218" s="173">
        <v>17299.38</v>
      </c>
      <c r="M218" s="1">
        <v>0</v>
      </c>
      <c r="N218" s="173">
        <v>17299.38</v>
      </c>
      <c r="O218" s="4">
        <f>Tab_01.Jan[[#This Row],[DÉBITO]]-Tab_01.Jan[[#This Row],[CRÉDITO]]</f>
        <v>17299.38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SUMIFS(Tab_99.Trial[DEZEMBRO],Tab_99.Trial[CONTA],$I219)</f>
        <v>0</v>
      </c>
      <c r="G219" s="4">
        <f t="shared" ref="G219" si="11">IFERROR(IF(LEFT($I219)*1&gt;2,0,$F219-$K219),0)</f>
        <v>0</v>
      </c>
      <c r="H219" s="137"/>
      <c r="I219" s="3" t="s">
        <v>465</v>
      </c>
      <c r="J219" s="3" t="s">
        <v>466</v>
      </c>
      <c r="K219" s="1">
        <v>0</v>
      </c>
      <c r="L219" s="1">
        <v>4524.45</v>
      </c>
      <c r="M219" s="1">
        <v>0</v>
      </c>
      <c r="N219" s="1">
        <v>4524.45</v>
      </c>
      <c r="O219" s="4">
        <f>Tab_01.Jan[[#This Row],[DÉBITO]]-Tab_01.Jan[[#This Row],[CRÉDITO]]</f>
        <v>4524.45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SUMIFS(Tab_99.Trial[DEZEMBRO],Tab_99.Trial[CONTA],$I220)</f>
        <v>0</v>
      </c>
      <c r="G220" s="4">
        <f t="shared" ref="G220:G231" si="12">IFERROR(IF(LEFT($I220)*1&gt;2,0,$F220-$K220),0)</f>
        <v>0</v>
      </c>
      <c r="H220" s="137"/>
      <c r="I220" s="3" t="s">
        <v>473</v>
      </c>
      <c r="J220" s="3" t="s">
        <v>474</v>
      </c>
      <c r="K220" s="1">
        <v>0</v>
      </c>
      <c r="L220" s="173">
        <v>4500</v>
      </c>
      <c r="M220" s="1">
        <v>0</v>
      </c>
      <c r="N220" s="173">
        <v>4500</v>
      </c>
      <c r="O220" s="4">
        <f>Tab_01.Jan[[#This Row],[DÉBITO]]-Tab_01.Jan[[#This Row],[CRÉDITO]]</f>
        <v>4500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SUMIFS(Tab_99.Trial[DEZEMBRO],Tab_99.Trial[CONTA],$I221)</f>
        <v>0</v>
      </c>
      <c r="G221" s="4">
        <f t="shared" si="12"/>
        <v>0</v>
      </c>
      <c r="H221" s="137"/>
      <c r="I221" s="3" t="s">
        <v>467</v>
      </c>
      <c r="J221" s="3" t="s">
        <v>468</v>
      </c>
      <c r="K221" s="1">
        <v>0</v>
      </c>
      <c r="L221" s="173">
        <v>223.56</v>
      </c>
      <c r="M221" s="1">
        <v>0</v>
      </c>
      <c r="N221" s="173">
        <v>223.56</v>
      </c>
      <c r="O221" s="4">
        <f>Tab_01.Jan[[#This Row],[DÉBITO]]-Tab_01.Jan[[#This Row],[CRÉDITO]]</f>
        <v>223.56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SUMIFS(Tab_99.Trial[DEZEMBRO],Tab_99.Trial[CONTA],$I222)</f>
        <v>0</v>
      </c>
      <c r="G222" s="4">
        <f t="shared" si="12"/>
        <v>0</v>
      </c>
      <c r="H222" s="137"/>
      <c r="I222" s="3" t="s">
        <v>469</v>
      </c>
      <c r="J222" s="3" t="s">
        <v>470</v>
      </c>
      <c r="K222" s="1">
        <v>0</v>
      </c>
      <c r="L222" s="173">
        <v>6599.82</v>
      </c>
      <c r="M222" s="1">
        <v>0</v>
      </c>
      <c r="N222" s="173">
        <v>6599.82</v>
      </c>
      <c r="O222" s="4">
        <f>Tab_01.Jan[[#This Row],[DÉBITO]]-Tab_01.Jan[[#This Row],[CRÉDITO]]</f>
        <v>6599.82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SUMIFS(Tab_99.Trial[DEZEMBRO],Tab_99.Trial[CONTA],$I223)</f>
        <v>0</v>
      </c>
      <c r="G223" s="4">
        <f t="shared" si="12"/>
        <v>0</v>
      </c>
      <c r="H223" s="137"/>
      <c r="I223" s="3" t="s">
        <v>471</v>
      </c>
      <c r="J223" s="3" t="s">
        <v>472</v>
      </c>
      <c r="K223" s="1">
        <v>0</v>
      </c>
      <c r="L223" s="173">
        <v>4663.41</v>
      </c>
      <c r="M223" s="1">
        <v>0</v>
      </c>
      <c r="N223" s="173">
        <v>4663.41</v>
      </c>
      <c r="O223" s="4">
        <f>Tab_01.Jan[[#This Row],[DÉBITO]]-Tab_01.Jan[[#This Row],[CRÉDITO]]</f>
        <v>4663.41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S</v>
      </c>
      <c r="E224" s="2">
        <f>IF($I224="","",COUNTIFS(Tab_00.Trial[CONTA],$I224))</f>
        <v>1</v>
      </c>
      <c r="F224" s="4">
        <f>SUMIFS(Tab_99.Trial[DEZEMBRO],Tab_99.Trial[CONTA],$I224)</f>
        <v>0</v>
      </c>
      <c r="G224" s="4">
        <f t="shared" si="12"/>
        <v>0</v>
      </c>
      <c r="H224" s="137"/>
      <c r="I224" s="3" t="s">
        <v>608</v>
      </c>
      <c r="J224" s="3" t="s">
        <v>713</v>
      </c>
      <c r="K224" s="1">
        <v>0</v>
      </c>
      <c r="L224" s="173">
        <v>82966.080000000002</v>
      </c>
      <c r="M224" s="1">
        <v>0</v>
      </c>
      <c r="N224" s="173">
        <v>82966.080000000002</v>
      </c>
      <c r="O224" s="4">
        <f>Tab_01.Jan[[#This Row],[DÉBITO]]-Tab_01.Jan[[#This Row],[CRÉDITO]]</f>
        <v>82966.080000000002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SUMIFS(Tab_99.Trial[DEZEMBRO],Tab_99.Trial[CONTA],$I225)</f>
        <v>0</v>
      </c>
      <c r="G225" s="4">
        <f t="shared" si="12"/>
        <v>0</v>
      </c>
      <c r="H225" s="137"/>
      <c r="I225" s="3" t="s">
        <v>741</v>
      </c>
      <c r="J225" s="3" t="s">
        <v>742</v>
      </c>
      <c r="K225" s="1">
        <v>0</v>
      </c>
      <c r="L225" s="173">
        <v>17980.080000000002</v>
      </c>
      <c r="M225" s="1">
        <v>0</v>
      </c>
      <c r="N225" s="173">
        <v>17980.080000000002</v>
      </c>
      <c r="O225" s="4">
        <f>Tab_01.Jan[[#This Row],[DÉBITO]]-Tab_01.Jan[[#This Row],[CRÉDITO]]</f>
        <v>17980.080000000002</v>
      </c>
    </row>
    <row r="226" spans="2:15" x14ac:dyDescent="0.3">
      <c r="B226" s="189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SUMIFS(Tab_99.Trial[DEZEMBRO],Tab_99.Trial[CONTA],$I226)</f>
        <v>0</v>
      </c>
      <c r="G226" s="4">
        <f t="shared" si="12"/>
        <v>0</v>
      </c>
      <c r="H226" s="137"/>
      <c r="I226" s="3" t="s">
        <v>839</v>
      </c>
      <c r="J226" s="3" t="s">
        <v>840</v>
      </c>
      <c r="K226" s="1">
        <v>0</v>
      </c>
      <c r="L226" s="1">
        <v>7500</v>
      </c>
      <c r="M226" s="1">
        <v>0</v>
      </c>
      <c r="N226" s="1">
        <v>7500</v>
      </c>
      <c r="O226" s="4">
        <f>Tab_01.Jan[[#This Row],[DÉBITO]]-Tab_01.Jan[[#This Row],[CRÉDITO]]</f>
        <v>7500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SUMIFS(Tab_99.Trial[DEZEMBRO],Tab_99.Trial[CONTA],$I227)</f>
        <v>0</v>
      </c>
      <c r="G227" s="4">
        <f t="shared" si="12"/>
        <v>0</v>
      </c>
      <c r="H227" s="137"/>
      <c r="I227" s="3" t="s">
        <v>480</v>
      </c>
      <c r="J227" s="3" t="s">
        <v>481</v>
      </c>
      <c r="K227" s="1">
        <v>0</v>
      </c>
      <c r="L227" s="173">
        <v>57486</v>
      </c>
      <c r="M227" s="1">
        <v>0</v>
      </c>
      <c r="N227" s="173">
        <v>57486</v>
      </c>
      <c r="O227" s="4">
        <f>Tab_01.Jan[[#This Row],[DÉBITO]]-Tab_01.Jan[[#This Row],[CRÉDITO]]</f>
        <v>57486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SUMIFS(Tab_99.Trial[DEZEMBRO],Tab_99.Trial[CONTA],$I228)</f>
        <v>0</v>
      </c>
      <c r="G228" s="4">
        <f t="shared" si="12"/>
        <v>0</v>
      </c>
      <c r="H228" s="137"/>
      <c r="I228" s="3" t="s">
        <v>609</v>
      </c>
      <c r="J228" s="3" t="s">
        <v>714</v>
      </c>
      <c r="K228" s="1">
        <v>0</v>
      </c>
      <c r="L228" s="173">
        <v>1438.95</v>
      </c>
      <c r="M228" s="1">
        <v>0</v>
      </c>
      <c r="N228" s="173">
        <v>1438.95</v>
      </c>
      <c r="O228" s="4">
        <f>Tab_01.Jan[[#This Row],[DÉBITO]]-Tab_01.Jan[[#This Row],[CRÉDITO]]</f>
        <v>1438.95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S</v>
      </c>
      <c r="E229" s="2">
        <f>IF($I229="","",COUNTIFS(Tab_00.Trial[CONTA],$I229))</f>
        <v>1</v>
      </c>
      <c r="F229" s="4">
        <f>SUMIFS(Tab_99.Trial[DEZEMBRO],Tab_99.Trial[CONTA],$I229)</f>
        <v>0</v>
      </c>
      <c r="G229" s="4">
        <f t="shared" si="12"/>
        <v>0</v>
      </c>
      <c r="H229" s="137"/>
      <c r="I229" s="3" t="s">
        <v>610</v>
      </c>
      <c r="J229" s="3" t="s">
        <v>714</v>
      </c>
      <c r="K229" s="1">
        <v>0</v>
      </c>
      <c r="L229" s="173">
        <v>1438.95</v>
      </c>
      <c r="M229" s="1">
        <v>0</v>
      </c>
      <c r="N229" s="173">
        <v>1438.95</v>
      </c>
      <c r="O229" s="4">
        <f>Tab_01.Jan[[#This Row],[DÉBITO]]-Tab_01.Jan[[#This Row],[CRÉDITO]]</f>
        <v>1438.95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SUMIFS(Tab_99.Trial[DEZEMBRO],Tab_99.Trial[CONTA],$I230)</f>
        <v>0</v>
      </c>
      <c r="G230" s="4">
        <f t="shared" si="12"/>
        <v>0</v>
      </c>
      <c r="H230" s="137"/>
      <c r="I230" s="3" t="s">
        <v>482</v>
      </c>
      <c r="J230" s="3" t="s">
        <v>483</v>
      </c>
      <c r="K230" s="1">
        <v>0</v>
      </c>
      <c r="L230" s="173">
        <v>236.9</v>
      </c>
      <c r="M230" s="1">
        <v>0</v>
      </c>
      <c r="N230" s="173">
        <v>236.9</v>
      </c>
      <c r="O230" s="4">
        <f>Tab_01.Jan[[#This Row],[DÉBITO]]-Tab_01.Jan[[#This Row],[CRÉDITO]]</f>
        <v>236.9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SUMIFS(Tab_99.Trial[DEZEMBRO],Tab_99.Trial[CONTA],$I231)</f>
        <v>0</v>
      </c>
      <c r="G231" s="4">
        <f t="shared" si="12"/>
        <v>0</v>
      </c>
      <c r="H231" s="137"/>
      <c r="I231" s="3" t="s">
        <v>484</v>
      </c>
      <c r="J231" s="3" t="s">
        <v>485</v>
      </c>
      <c r="K231" s="1">
        <v>0</v>
      </c>
      <c r="L231" s="173">
        <v>1202.05</v>
      </c>
      <c r="M231" s="1">
        <v>0</v>
      </c>
      <c r="N231" s="173">
        <v>1202.05</v>
      </c>
      <c r="O231" s="4">
        <f>Tab_01.Jan[[#This Row],[DÉBITO]]-Tab_01.Jan[[#This Row],[CRÉDITO]]</f>
        <v>1202.05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S</v>
      </c>
      <c r="E232" s="2">
        <f>IF($I232="","",COUNTIFS(Tab_00.Trial[CONTA],$I232))</f>
        <v>1</v>
      </c>
      <c r="F232" s="4">
        <f>SUMIFS(Tab_99.Trial[DEZEMBRO],Tab_99.Trial[CONTA],$I232)</f>
        <v>0</v>
      </c>
      <c r="G232" s="4">
        <f t="shared" ref="G232:G255" si="13">IFERROR(IF(LEFT($I232)*1&gt;2,0,$F232-$K232),0)</f>
        <v>0</v>
      </c>
      <c r="H232" s="137"/>
      <c r="I232" s="3" t="s">
        <v>612</v>
      </c>
      <c r="J232" s="3" t="s">
        <v>716</v>
      </c>
      <c r="K232" s="1">
        <v>0</v>
      </c>
      <c r="L232" s="173">
        <v>11083.2</v>
      </c>
      <c r="M232" s="1">
        <v>0</v>
      </c>
      <c r="N232" s="173">
        <v>11083.2</v>
      </c>
      <c r="O232" s="4">
        <f>Tab_01.Jan[[#This Row],[DÉBITO]]-Tab_01.Jan[[#This Row],[CRÉDITO]]</f>
        <v>11083.2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S</v>
      </c>
      <c r="E233" s="2">
        <f>IF($I233="","",COUNTIFS(Tab_00.Trial[CONTA],$I233))</f>
        <v>1</v>
      </c>
      <c r="F233" s="4">
        <f>SUMIFS(Tab_99.Trial[DEZEMBRO],Tab_99.Trial[CONTA],$I233)</f>
        <v>0</v>
      </c>
      <c r="G233" s="4">
        <f t="shared" si="13"/>
        <v>0</v>
      </c>
      <c r="H233" s="137"/>
      <c r="I233" s="3" t="s">
        <v>613</v>
      </c>
      <c r="J233" s="3" t="s">
        <v>717</v>
      </c>
      <c r="K233" s="1">
        <v>0</v>
      </c>
      <c r="L233" s="173">
        <v>8031.73</v>
      </c>
      <c r="M233" s="1">
        <v>0</v>
      </c>
      <c r="N233" s="173">
        <v>8031.73</v>
      </c>
      <c r="O233" s="4">
        <f>Tab_01.Jan[[#This Row],[DÉBITO]]-Tab_01.Jan[[#This Row],[CRÉDITO]]</f>
        <v>8031.73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SUMIFS(Tab_99.Trial[DEZEMBRO],Tab_99.Trial[CONTA],$I234)</f>
        <v>0</v>
      </c>
      <c r="G234" s="4">
        <f t="shared" si="13"/>
        <v>0</v>
      </c>
      <c r="H234" s="137"/>
      <c r="I234" s="3" t="s">
        <v>491</v>
      </c>
      <c r="J234" s="3" t="s">
        <v>492</v>
      </c>
      <c r="K234" s="1">
        <v>0</v>
      </c>
      <c r="L234" s="1">
        <v>3476.84</v>
      </c>
      <c r="M234" s="1">
        <v>0</v>
      </c>
      <c r="N234" s="1">
        <v>3476.84</v>
      </c>
      <c r="O234" s="4">
        <f>Tab_01.Jan[[#This Row],[DÉBITO]]-Tab_01.Jan[[#This Row],[CRÉDITO]]</f>
        <v>3476.84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SUMIFS(Tab_99.Trial[DEZEMBRO],Tab_99.Trial[CONTA],$I235)</f>
        <v>0</v>
      </c>
      <c r="G235" s="4">
        <f t="shared" si="13"/>
        <v>0</v>
      </c>
      <c r="H235" s="137"/>
      <c r="I235" s="3" t="s">
        <v>493</v>
      </c>
      <c r="J235" s="3" t="s">
        <v>494</v>
      </c>
      <c r="K235" s="1">
        <v>0</v>
      </c>
      <c r="L235" s="173">
        <v>3157.37</v>
      </c>
      <c r="M235" s="1">
        <v>0</v>
      </c>
      <c r="N235" s="173">
        <v>3157.37</v>
      </c>
      <c r="O235" s="4">
        <f>Tab_01.Jan[[#This Row],[DÉBITO]]-Tab_01.Jan[[#This Row],[CRÉDITO]]</f>
        <v>3157.37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SUMIFS(Tab_99.Trial[DEZEMBRO],Tab_99.Trial[CONTA],$I236)</f>
        <v>0</v>
      </c>
      <c r="G236" s="4">
        <f t="shared" si="13"/>
        <v>0</v>
      </c>
      <c r="H236" s="137"/>
      <c r="I236" s="3" t="s">
        <v>495</v>
      </c>
      <c r="J236" s="3" t="s">
        <v>496</v>
      </c>
      <c r="K236" s="1">
        <v>0</v>
      </c>
      <c r="L236" s="1">
        <v>1397.52</v>
      </c>
      <c r="M236" s="1">
        <v>0</v>
      </c>
      <c r="N236" s="1">
        <v>1397.52</v>
      </c>
      <c r="O236" s="4">
        <f>Tab_01.Jan[[#This Row],[DÉBITO]]-Tab_01.Jan[[#This Row],[CRÉDITO]]</f>
        <v>1397.52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SUMIFS(Tab_99.Trial[DEZEMBRO],Tab_99.Trial[CONTA],$I237)</f>
        <v>0</v>
      </c>
      <c r="G237" s="4">
        <f t="shared" si="13"/>
        <v>0</v>
      </c>
      <c r="H237" s="137"/>
      <c r="I237" s="3" t="s">
        <v>614</v>
      </c>
      <c r="J237" s="3" t="s">
        <v>718</v>
      </c>
      <c r="K237" s="1">
        <v>0</v>
      </c>
      <c r="L237" s="173">
        <v>3051.47</v>
      </c>
      <c r="M237" s="1">
        <v>0</v>
      </c>
      <c r="N237" s="173">
        <v>3051.47</v>
      </c>
      <c r="O237" s="4">
        <f>Tab_01.Jan[[#This Row],[DÉBITO]]-Tab_01.Jan[[#This Row],[CRÉDITO]]</f>
        <v>3051.47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SUMIFS(Tab_99.Trial[DEZEMBRO],Tab_99.Trial[CONTA],$I238)</f>
        <v>0</v>
      </c>
      <c r="G238" s="4">
        <f t="shared" si="13"/>
        <v>0</v>
      </c>
      <c r="H238" s="137"/>
      <c r="I238" s="3" t="s">
        <v>499</v>
      </c>
      <c r="J238" s="3" t="s">
        <v>500</v>
      </c>
      <c r="K238" s="1">
        <v>0</v>
      </c>
      <c r="L238" s="1">
        <v>146.94</v>
      </c>
      <c r="M238" s="1">
        <v>0</v>
      </c>
      <c r="N238" s="1">
        <v>146.94</v>
      </c>
      <c r="O238" s="4">
        <f>Tab_01.Jan[[#This Row],[DÉBITO]]-Tab_01.Jan[[#This Row],[CRÉDITO]]</f>
        <v>146.94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SUMIFS(Tab_99.Trial[DEZEMBRO],Tab_99.Trial[CONTA],$I239)</f>
        <v>0</v>
      </c>
      <c r="G239" s="4">
        <f t="shared" si="13"/>
        <v>0</v>
      </c>
      <c r="H239" s="137"/>
      <c r="I239" s="3" t="s">
        <v>501</v>
      </c>
      <c r="J239" s="3" t="s">
        <v>502</v>
      </c>
      <c r="K239" s="1">
        <v>0</v>
      </c>
      <c r="L239" s="1">
        <v>2241.66</v>
      </c>
      <c r="M239" s="1">
        <v>0</v>
      </c>
      <c r="N239" s="1">
        <v>2241.66</v>
      </c>
      <c r="O239" s="4">
        <f>Tab_01.Jan[[#This Row],[DÉBITO]]-Tab_01.Jan[[#This Row],[CRÉDITO]]</f>
        <v>2241.66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SUMIFS(Tab_99.Trial[DEZEMBRO],Tab_99.Trial[CONTA],$I240)</f>
        <v>0</v>
      </c>
      <c r="G240" s="4">
        <f t="shared" si="13"/>
        <v>0</v>
      </c>
      <c r="H240" s="137"/>
      <c r="I240" s="3" t="s">
        <v>503</v>
      </c>
      <c r="J240" s="3" t="s">
        <v>504</v>
      </c>
      <c r="K240" s="1">
        <v>0</v>
      </c>
      <c r="L240" s="173">
        <v>662.87</v>
      </c>
      <c r="M240" s="1">
        <v>0</v>
      </c>
      <c r="N240" s="173">
        <v>662.87</v>
      </c>
      <c r="O240" s="4">
        <f>Tab_01.Jan[[#This Row],[DÉBITO]]-Tab_01.Jan[[#This Row],[CRÉDITO]]</f>
        <v>662.87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SUMIFS(Tab_99.Trial[DEZEMBRO],Tab_99.Trial[CONTA],$I241)</f>
        <v>0</v>
      </c>
      <c r="G241" s="4">
        <f t="shared" si="13"/>
        <v>0</v>
      </c>
      <c r="H241" s="137"/>
      <c r="I241" s="3" t="s">
        <v>615</v>
      </c>
      <c r="J241" s="3" t="s">
        <v>719</v>
      </c>
      <c r="K241" s="1">
        <v>0</v>
      </c>
      <c r="L241" s="173">
        <v>4265.3900000000003</v>
      </c>
      <c r="M241" s="1">
        <v>0</v>
      </c>
      <c r="N241" s="173">
        <v>4265.3900000000003</v>
      </c>
      <c r="O241" s="4">
        <f>Tab_01.Jan[[#This Row],[DÉBITO]]-Tab_01.Jan[[#This Row],[CRÉDITO]]</f>
        <v>4265.3900000000003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S</v>
      </c>
      <c r="E242" s="2">
        <f>IF($I242="","",COUNTIFS(Tab_00.Trial[CONTA],$I242))</f>
        <v>1</v>
      </c>
      <c r="F242" s="4">
        <f>SUMIFS(Tab_99.Trial[DEZEMBRO],Tab_99.Trial[CONTA],$I242)</f>
        <v>0</v>
      </c>
      <c r="G242" s="4">
        <f t="shared" si="13"/>
        <v>0</v>
      </c>
      <c r="H242" s="137"/>
      <c r="I242" s="3" t="s">
        <v>617</v>
      </c>
      <c r="J242" s="3" t="s">
        <v>721</v>
      </c>
      <c r="K242" s="1">
        <v>0</v>
      </c>
      <c r="L242" s="173">
        <v>287.74</v>
      </c>
      <c r="M242" s="1">
        <v>0</v>
      </c>
      <c r="N242" s="173">
        <v>287.74</v>
      </c>
      <c r="O242" s="4">
        <f>Tab_01.Jan[[#This Row],[DÉBITO]]-Tab_01.Jan[[#This Row],[CRÉDITO]]</f>
        <v>287.74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SUMIFS(Tab_99.Trial[DEZEMBRO],Tab_99.Trial[CONTA],$I243)</f>
        <v>0</v>
      </c>
      <c r="G243" s="4">
        <f t="shared" si="13"/>
        <v>0</v>
      </c>
      <c r="H243" s="137"/>
      <c r="I243" s="3" t="s">
        <v>739</v>
      </c>
      <c r="J243" s="3" t="s">
        <v>740</v>
      </c>
      <c r="K243" s="1">
        <v>0</v>
      </c>
      <c r="L243" s="173">
        <v>287.74</v>
      </c>
      <c r="M243" s="1">
        <v>0</v>
      </c>
      <c r="N243" s="173">
        <v>287.74</v>
      </c>
      <c r="O243" s="4">
        <f>Tab_01.Jan[[#This Row],[DÉBITO]]-Tab_01.Jan[[#This Row],[CRÉDITO]]</f>
        <v>287.74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S</v>
      </c>
      <c r="E244" s="2">
        <f>IF($I244="","",COUNTIFS(Tab_00.Trial[CONTA],$I244))</f>
        <v>1</v>
      </c>
      <c r="F244" s="4">
        <f>SUMIFS(Tab_99.Trial[DEZEMBRO],Tab_99.Trial[CONTA],$I244)</f>
        <v>0</v>
      </c>
      <c r="G244" s="4">
        <f t="shared" si="13"/>
        <v>0</v>
      </c>
      <c r="H244" s="137"/>
      <c r="I244" s="3" t="s">
        <v>618</v>
      </c>
      <c r="J244" s="3" t="s">
        <v>722</v>
      </c>
      <c r="K244" s="1">
        <v>0</v>
      </c>
      <c r="L244" s="173">
        <v>2260.8200000000002</v>
      </c>
      <c r="M244" s="1">
        <v>0</v>
      </c>
      <c r="N244" s="173">
        <v>2260.8200000000002</v>
      </c>
      <c r="O244" s="4">
        <f>Tab_01.Jan[[#This Row],[DÉBITO]]-Tab_01.Jan[[#This Row],[CRÉDITO]]</f>
        <v>2260.8200000000002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SUMIFS(Tab_99.Trial[DEZEMBRO],Tab_99.Trial[CONTA],$I245)</f>
        <v>0</v>
      </c>
      <c r="G245" s="4">
        <f t="shared" si="13"/>
        <v>0</v>
      </c>
      <c r="H245" s="137"/>
      <c r="I245" s="3" t="s">
        <v>511</v>
      </c>
      <c r="J245" s="3" t="s">
        <v>512</v>
      </c>
      <c r="K245" s="1">
        <v>0</v>
      </c>
      <c r="L245" s="173">
        <v>2260.8200000000002</v>
      </c>
      <c r="M245" s="1">
        <v>0</v>
      </c>
      <c r="N245" s="173">
        <v>2260.8200000000002</v>
      </c>
      <c r="O245" s="4">
        <f>Tab_01.Jan[[#This Row],[DÉBITO]]-Tab_01.Jan[[#This Row],[CRÉDITO]]</f>
        <v>2260.8200000000002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S</v>
      </c>
      <c r="E246" s="2">
        <f>IF($I246="","",COUNTIFS(Tab_00.Trial[CONTA],$I246))</f>
        <v>1</v>
      </c>
      <c r="F246" s="4">
        <f>SUMIFS(Tab_99.Trial[DEZEMBRO],Tab_99.Trial[CONTA],$I246)</f>
        <v>0</v>
      </c>
      <c r="G246" s="4">
        <f t="shared" si="13"/>
        <v>0</v>
      </c>
      <c r="H246" s="137"/>
      <c r="I246" s="3" t="s">
        <v>619</v>
      </c>
      <c r="J246" s="3" t="s">
        <v>420</v>
      </c>
      <c r="K246" s="1">
        <v>0</v>
      </c>
      <c r="L246" s="173">
        <v>1716.83</v>
      </c>
      <c r="M246" s="1">
        <v>0</v>
      </c>
      <c r="N246" s="173">
        <v>1716.83</v>
      </c>
      <c r="O246" s="4">
        <f>Tab_01.Jan[[#This Row],[DÉBITO]]-Tab_01.Jan[[#This Row],[CRÉDITO]]</f>
        <v>1716.83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SUMIFS(Tab_99.Trial[DEZEMBRO],Tab_99.Trial[CONTA],$I247)</f>
        <v>0</v>
      </c>
      <c r="G247" s="4">
        <f t="shared" si="13"/>
        <v>0</v>
      </c>
      <c r="H247" s="137"/>
      <c r="I247" s="3" t="s">
        <v>515</v>
      </c>
      <c r="J247" s="3" t="s">
        <v>420</v>
      </c>
      <c r="K247" s="1">
        <v>0</v>
      </c>
      <c r="L247" s="173">
        <v>1716.83</v>
      </c>
      <c r="M247" s="173">
        <v>0</v>
      </c>
      <c r="N247" s="173">
        <v>1716.83</v>
      </c>
      <c r="O247" s="4">
        <f>Tab_01.Jan[[#This Row],[DÉBITO]]-Tab_01.Jan[[#This Row],[CRÉDITO]]</f>
        <v>1716.83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SUMIFS(Tab_99.Trial[DEZEMBRO],Tab_99.Trial[CONTA],$I248)</f>
        <v>0</v>
      </c>
      <c r="G248" s="4">
        <f t="shared" si="13"/>
        <v>0</v>
      </c>
      <c r="H248" s="137"/>
      <c r="I248" s="3" t="s">
        <v>621</v>
      </c>
      <c r="J248" s="3" t="s">
        <v>723</v>
      </c>
      <c r="K248" s="1">
        <v>0</v>
      </c>
      <c r="L248" s="173">
        <v>1467.2</v>
      </c>
      <c r="M248" s="173">
        <v>0</v>
      </c>
      <c r="N248" s="173">
        <v>1467.2</v>
      </c>
      <c r="O248" s="4">
        <f>Tab_01.Jan[[#This Row],[DÉBITO]]-Tab_01.Jan[[#This Row],[CRÉDITO]]</f>
        <v>1467.2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S</v>
      </c>
      <c r="E249" s="2">
        <f>IF($I249="","",COUNTIFS(Tab_00.Trial[CONTA],$I249))</f>
        <v>1</v>
      </c>
      <c r="F249" s="4">
        <f>SUMIFS(Tab_99.Trial[DEZEMBRO],Tab_99.Trial[CONTA],$I249)</f>
        <v>0</v>
      </c>
      <c r="G249" s="4">
        <f t="shared" si="13"/>
        <v>0</v>
      </c>
      <c r="H249" s="137"/>
      <c r="I249" s="3" t="s">
        <v>622</v>
      </c>
      <c r="J249" s="3" t="s">
        <v>723</v>
      </c>
      <c r="K249" s="1">
        <v>0</v>
      </c>
      <c r="L249" s="173">
        <v>1467.2</v>
      </c>
      <c r="M249" s="173">
        <v>0</v>
      </c>
      <c r="N249" s="173">
        <v>1467.2</v>
      </c>
      <c r="O249" s="4">
        <f>Tab_01.Jan[[#This Row],[DÉBITO]]-Tab_01.Jan[[#This Row],[CRÉDITO]]</f>
        <v>1467.2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SUMIFS(Tab_99.Trial[DEZEMBRO],Tab_99.Trial[CONTA],$I250)</f>
        <v>0</v>
      </c>
      <c r="G250" s="4">
        <f t="shared" si="13"/>
        <v>0</v>
      </c>
      <c r="H250" s="137"/>
      <c r="I250" s="3" t="s">
        <v>518</v>
      </c>
      <c r="J250" s="3" t="s">
        <v>519</v>
      </c>
      <c r="K250" s="1">
        <v>0</v>
      </c>
      <c r="L250" s="173">
        <v>1467.2</v>
      </c>
      <c r="M250" s="1">
        <v>0</v>
      </c>
      <c r="N250" s="173">
        <v>1467.2</v>
      </c>
      <c r="O250" s="4">
        <f>Tab_01.Jan[[#This Row],[DÉBITO]]-Tab_01.Jan[[#This Row],[CRÉDITO]]</f>
        <v>1467.2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SUMIFS(Tab_99.Trial[DEZEMBRO],Tab_99.Trial[CONTA],$I251)</f>
        <v>0</v>
      </c>
      <c r="G251" s="4">
        <f t="shared" si="13"/>
        <v>0</v>
      </c>
      <c r="H251" s="137"/>
      <c r="I251" s="3" t="s">
        <v>623</v>
      </c>
      <c r="J251" s="3" t="s">
        <v>724</v>
      </c>
      <c r="K251" s="1">
        <v>0</v>
      </c>
      <c r="L251" s="173">
        <v>7033.25</v>
      </c>
      <c r="M251" s="1">
        <v>1669.15</v>
      </c>
      <c r="N251" s="173">
        <v>5364.1</v>
      </c>
      <c r="O251" s="4">
        <f>Tab_01.Jan[[#This Row],[DÉBITO]]-Tab_01.Jan[[#This Row],[CRÉDITO]]</f>
        <v>5364.1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S</v>
      </c>
      <c r="E252" s="2">
        <f>IF($I252="","",COUNTIFS(Tab_00.Trial[CONTA],$I252))</f>
        <v>1</v>
      </c>
      <c r="F252" s="4">
        <f>SUMIFS(Tab_99.Trial[DEZEMBRO],Tab_99.Trial[CONTA],$I252)</f>
        <v>0</v>
      </c>
      <c r="G252" s="4">
        <f t="shared" si="13"/>
        <v>0</v>
      </c>
      <c r="H252" s="137"/>
      <c r="I252" s="3" t="s">
        <v>624</v>
      </c>
      <c r="J252" s="3" t="s">
        <v>724</v>
      </c>
      <c r="K252" s="1">
        <v>0</v>
      </c>
      <c r="L252" s="173">
        <v>7033.25</v>
      </c>
      <c r="M252" s="1">
        <v>1669.15</v>
      </c>
      <c r="N252" s="173">
        <v>5364.1</v>
      </c>
      <c r="O252" s="4">
        <f>Tab_01.Jan[[#This Row],[DÉBITO]]-Tab_01.Jan[[#This Row],[CRÉDITO]]</f>
        <v>5364.1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SUMIFS(Tab_99.Trial[DEZEMBRO],Tab_99.Trial[CONTA],$I253)</f>
        <v>0</v>
      </c>
      <c r="G253" s="4">
        <f t="shared" si="13"/>
        <v>0</v>
      </c>
      <c r="H253" s="137"/>
      <c r="I253" s="3" t="s">
        <v>520</v>
      </c>
      <c r="J253" s="3" t="s">
        <v>521</v>
      </c>
      <c r="K253" s="1">
        <v>0</v>
      </c>
      <c r="L253" s="173">
        <v>7033.25</v>
      </c>
      <c r="M253" s="1">
        <v>1669.15</v>
      </c>
      <c r="N253" s="173">
        <v>5364.1</v>
      </c>
      <c r="O253" s="4">
        <f>Tab_01.Jan[[#This Row],[DÉBITO]]-Tab_01.Jan[[#This Row],[CRÉDITO]]</f>
        <v>5364.1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SUMIFS(Tab_99.Trial[DEZEMBRO],Tab_99.Trial[CONTA],$I254)</f>
        <v>0</v>
      </c>
      <c r="G254" s="4">
        <f t="shared" si="13"/>
        <v>0</v>
      </c>
      <c r="H254" s="137"/>
      <c r="I254" s="3" t="s">
        <v>625</v>
      </c>
      <c r="J254" s="3" t="s">
        <v>542</v>
      </c>
      <c r="K254" s="1">
        <v>0</v>
      </c>
      <c r="L254" s="1">
        <v>3126.59</v>
      </c>
      <c r="M254" s="1">
        <v>64.510000000000005</v>
      </c>
      <c r="N254" s="1">
        <v>3062.08</v>
      </c>
      <c r="O254" s="4">
        <f>Tab_01.Jan[[#This Row],[DÉBITO]]-Tab_01.Jan[[#This Row],[CRÉDITO]]</f>
        <v>3062.08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S</v>
      </c>
      <c r="E255" s="2">
        <f>IF($I255="","",COUNTIFS(Tab_00.Trial[CONTA],$I255))</f>
        <v>1</v>
      </c>
      <c r="F255" s="4">
        <f>SUMIFS(Tab_99.Trial[DEZEMBRO],Tab_99.Trial[CONTA],$I255)</f>
        <v>0</v>
      </c>
      <c r="G255" s="4">
        <f t="shared" si="13"/>
        <v>0</v>
      </c>
      <c r="H255" s="137"/>
      <c r="I255" s="3" t="s">
        <v>626</v>
      </c>
      <c r="J255" s="3" t="s">
        <v>725</v>
      </c>
      <c r="K255" s="1">
        <v>0</v>
      </c>
      <c r="L255" s="1">
        <v>1140.1199999999999</v>
      </c>
      <c r="M255" s="1">
        <v>64.510000000000005</v>
      </c>
      <c r="N255" s="1">
        <v>1075.6099999999999</v>
      </c>
      <c r="O255" s="4">
        <f>Tab_01.Jan[[#This Row],[DÉBITO]]-Tab_01.Jan[[#This Row],[CRÉDITO]]</f>
        <v>1075.6099999999999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SUMIFS(Tab_99.Trial[DEZEMBRO],Tab_99.Trial[CONTA],$I256)</f>
        <v>0</v>
      </c>
      <c r="G256" s="4">
        <f t="shared" ref="G256:G258" si="14">IFERROR(IF(LEFT($I256)*1&gt;2,0,$F256-$K256),0)</f>
        <v>0</v>
      </c>
      <c r="H256" s="137"/>
      <c r="I256" s="3" t="s">
        <v>522</v>
      </c>
      <c r="J256" s="3" t="s">
        <v>523</v>
      </c>
      <c r="K256" s="1">
        <v>0</v>
      </c>
      <c r="L256" s="1">
        <v>1140.1199999999999</v>
      </c>
      <c r="M256" s="1">
        <v>64.510000000000005</v>
      </c>
      <c r="N256" s="1">
        <v>1075.6099999999999</v>
      </c>
      <c r="O256" s="4">
        <f>Tab_01.Jan[[#This Row],[DÉBITO]]-Tab_01.Jan[[#This Row],[CRÉDITO]]</f>
        <v>1075.6099999999999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SUMIFS(Tab_99.Trial[DEZEMBRO],Tab_99.Trial[CONTA],$I257)</f>
        <v>0</v>
      </c>
      <c r="G257" s="4">
        <f t="shared" si="14"/>
        <v>0</v>
      </c>
      <c r="H257" s="137"/>
      <c r="I257" s="3" t="s">
        <v>627</v>
      </c>
      <c r="J257" s="3" t="s">
        <v>542</v>
      </c>
      <c r="K257" s="1">
        <v>0</v>
      </c>
      <c r="L257" s="173">
        <v>1986.47</v>
      </c>
      <c r="M257" s="1">
        <v>0</v>
      </c>
      <c r="N257" s="173">
        <v>1986.47</v>
      </c>
      <c r="O257" s="4">
        <f>Tab_01.Jan[[#This Row],[DÉBITO]]-Tab_01.Jan[[#This Row],[CRÉDITO]]</f>
        <v>1986.47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SUMIFS(Tab_99.Trial[DEZEMBRO],Tab_99.Trial[CONTA],$I258)</f>
        <v>0</v>
      </c>
      <c r="G258" s="4">
        <f t="shared" si="14"/>
        <v>0</v>
      </c>
      <c r="H258" s="137"/>
      <c r="I258" s="3" t="s">
        <v>528</v>
      </c>
      <c r="J258" s="3" t="s">
        <v>416</v>
      </c>
      <c r="K258" s="1">
        <v>0</v>
      </c>
      <c r="L258" s="1">
        <v>100.59</v>
      </c>
      <c r="M258" s="1">
        <v>0</v>
      </c>
      <c r="N258" s="1">
        <v>100.59</v>
      </c>
      <c r="O258" s="4">
        <f>Tab_01.Jan[[#This Row],[DÉBITO]]-Tab_01.Jan[[#This Row],[CRÉDITO]]</f>
        <v>100.59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SUMIFS(Tab_99.Trial[DEZEMBRO],Tab_99.Trial[CONTA],$I259)</f>
        <v>0</v>
      </c>
      <c r="G259" s="4">
        <f t="shared" ref="G259:G291" si="15">IFERROR(IF(LEFT($I259)*1&gt;2,0,$F259-$K259),0)</f>
        <v>0</v>
      </c>
      <c r="H259" s="137"/>
      <c r="I259" s="3" t="s">
        <v>531</v>
      </c>
      <c r="J259" s="3" t="s">
        <v>532</v>
      </c>
      <c r="K259" s="4">
        <v>0</v>
      </c>
      <c r="L259" s="4">
        <v>114</v>
      </c>
      <c r="M259" s="4">
        <v>0</v>
      </c>
      <c r="N259" s="4">
        <v>114</v>
      </c>
      <c r="O259" s="4">
        <f>Tab_01.Jan[[#This Row],[DÉBITO]]-Tab_01.Jan[[#This Row],[CRÉDITO]]</f>
        <v>114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SUMIFS(Tab_99.Trial[DEZEMBRO],Tab_99.Trial[CONTA],$I260)</f>
        <v>0</v>
      </c>
      <c r="G260" s="4">
        <f t="shared" si="15"/>
        <v>0</v>
      </c>
      <c r="H260" s="137"/>
      <c r="I260" s="3" t="s">
        <v>533</v>
      </c>
      <c r="J260" s="3" t="s">
        <v>534</v>
      </c>
      <c r="K260" s="4">
        <v>0</v>
      </c>
      <c r="L260" s="4">
        <v>350</v>
      </c>
      <c r="M260" s="4">
        <v>0</v>
      </c>
      <c r="N260" s="4">
        <v>350</v>
      </c>
      <c r="O260" s="4">
        <f>Tab_01.Jan[[#This Row],[DÉBITO]]-Tab_01.Jan[[#This Row],[CRÉDITO]]</f>
        <v>350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SUMIFS(Tab_99.Trial[DEZEMBRO],Tab_99.Trial[CONTA],$I261)</f>
        <v>0</v>
      </c>
      <c r="G261" s="4">
        <f t="shared" si="15"/>
        <v>0</v>
      </c>
      <c r="H261" s="137"/>
      <c r="I261" s="3" t="s">
        <v>537</v>
      </c>
      <c r="J261" s="3" t="s">
        <v>538</v>
      </c>
      <c r="K261" s="4">
        <v>0</v>
      </c>
      <c r="L261" s="4">
        <v>1059.06</v>
      </c>
      <c r="M261" s="4">
        <v>0</v>
      </c>
      <c r="N261" s="4">
        <v>1059.06</v>
      </c>
      <c r="O261" s="4">
        <f>Tab_01.Jan[[#This Row],[DÉBITO]]-Tab_01.Jan[[#This Row],[CRÉDITO]]</f>
        <v>1059.06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SUMIFS(Tab_99.Trial[DEZEMBRO],Tab_99.Trial[CONTA],$I262)</f>
        <v>0</v>
      </c>
      <c r="G262" s="4">
        <f t="shared" si="15"/>
        <v>0</v>
      </c>
      <c r="H262" s="137"/>
      <c r="I262" s="3" t="s">
        <v>541</v>
      </c>
      <c r="J262" s="3" t="s">
        <v>542</v>
      </c>
      <c r="K262" s="4">
        <v>0</v>
      </c>
      <c r="L262" s="4">
        <v>362.82</v>
      </c>
      <c r="M262" s="4">
        <v>0</v>
      </c>
      <c r="N262" s="4">
        <v>362.82</v>
      </c>
      <c r="O262" s="4">
        <f>Tab_01.Jan[[#This Row],[DÉBITO]]-Tab_01.Jan[[#This Row],[CRÉDITO]]</f>
        <v>362.82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2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SUMIFS(Tab_99.Trial[DEZEMBRO],Tab_99.Trial[CONTA],$I263)</f>
        <v>0</v>
      </c>
      <c r="G263" s="4">
        <f t="shared" si="15"/>
        <v>0</v>
      </c>
      <c r="H263" s="137"/>
      <c r="I263" s="3" t="s">
        <v>634</v>
      </c>
      <c r="J263" s="3" t="s">
        <v>730</v>
      </c>
      <c r="K263" s="4">
        <v>0</v>
      </c>
      <c r="L263" s="4">
        <v>1789.65</v>
      </c>
      <c r="M263" s="4">
        <v>1978.65</v>
      </c>
      <c r="N263" s="4">
        <v>-189</v>
      </c>
      <c r="O263" s="4">
        <f>Tab_01.Jan[[#This Row],[DÉBITO]]-Tab_01.Jan[[#This Row],[CRÉDITO]]</f>
        <v>-189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SUMIFS(Tab_99.Trial[DEZEMBRO],Tab_99.Trial[CONTA],$I264)</f>
        <v>0</v>
      </c>
      <c r="G264" s="4">
        <f t="shared" si="15"/>
        <v>0</v>
      </c>
      <c r="H264" s="137"/>
      <c r="I264" s="3" t="s">
        <v>831</v>
      </c>
      <c r="J264" s="3" t="s">
        <v>832</v>
      </c>
      <c r="K264" s="4">
        <v>0</v>
      </c>
      <c r="L264" s="4">
        <v>1789.65</v>
      </c>
      <c r="M264" s="4">
        <v>1978.65</v>
      </c>
      <c r="N264" s="4">
        <v>-189</v>
      </c>
      <c r="O264" s="4">
        <f>Tab_01.Jan[[#This Row],[DÉBITO]]-Tab_01.Jan[[#This Row],[CRÉDITO]]</f>
        <v>-189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S</v>
      </c>
      <c r="E265" s="2">
        <f>IF($I265="","",COUNTIFS(Tab_00.Trial[CONTA],$I265))</f>
        <v>1</v>
      </c>
      <c r="F265" s="4">
        <f>SUMIFS(Tab_99.Trial[DEZEMBRO],Tab_99.Trial[CONTA],$I265)</f>
        <v>0</v>
      </c>
      <c r="G265" s="4">
        <f t="shared" si="15"/>
        <v>0</v>
      </c>
      <c r="H265" s="137"/>
      <c r="I265" s="3" t="s">
        <v>833</v>
      </c>
      <c r="J265" s="3" t="s">
        <v>832</v>
      </c>
      <c r="K265" s="4">
        <v>0</v>
      </c>
      <c r="L265" s="4">
        <v>1789.65</v>
      </c>
      <c r="M265" s="4">
        <v>1978.65</v>
      </c>
      <c r="N265" s="4">
        <v>-189</v>
      </c>
      <c r="O265" s="4">
        <f>Tab_01.Jan[[#This Row],[DÉBITO]]-Tab_01.Jan[[#This Row],[CRÉDITO]]</f>
        <v>-189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SUMIFS(Tab_99.Trial[DEZEMBRO],Tab_99.Trial[CONTA],$I266)</f>
        <v>0</v>
      </c>
      <c r="G266" s="4">
        <f t="shared" si="15"/>
        <v>0</v>
      </c>
      <c r="H266" s="137"/>
      <c r="I266" s="3" t="s">
        <v>834</v>
      </c>
      <c r="J266" s="3" t="s">
        <v>835</v>
      </c>
      <c r="K266" s="4">
        <v>0</v>
      </c>
      <c r="L266" s="4">
        <v>1789.65</v>
      </c>
      <c r="M266" s="4">
        <v>1978.65</v>
      </c>
      <c r="N266" s="4">
        <v>-189</v>
      </c>
      <c r="O266" s="4">
        <f>Tab_01.Jan[[#This Row],[DÉBITO]]-Tab_01.Jan[[#This Row],[CRÉDITO]]</f>
        <v>-189</v>
      </c>
    </row>
    <row r="267" spans="2:15" x14ac:dyDescent="0.3">
      <c r="B267" s="2" t="str">
        <f>_xlfn.XLOOKUP($I267,Tab_00.Trial[CONTA],Tab_00.Trial[TP],"",0,1)</f>
        <v/>
      </c>
      <c r="C267" s="2" t="str">
        <f>_xlfn.XLOOKUP($I267,Tab_00.Trial[CONTA],Tab_00.Trial[NV],"",0,1)</f>
        <v/>
      </c>
      <c r="D267" s="2" t="str">
        <f>_xlfn.XLOOKUP($I267,Tab_00.Trial[CONTA],Tab_00.Trial[S/A],"",0,1)</f>
        <v/>
      </c>
      <c r="E267" s="2" t="str">
        <f>IF($I267="","",COUNTIFS(Tab_00.Trial[CONTA],$I267))</f>
        <v/>
      </c>
      <c r="F267" s="4">
        <f>SUMIFS(Tab_99.Trial[DEZEMBRO],Tab_99.Trial[CONTA],$I267)</f>
        <v>0</v>
      </c>
      <c r="G267" s="4">
        <f t="shared" si="15"/>
        <v>0</v>
      </c>
      <c r="H267" s="137"/>
      <c r="I267" s="3"/>
      <c r="J267" s="3"/>
      <c r="K267" s="4"/>
      <c r="L267" s="4"/>
      <c r="M267" s="4"/>
      <c r="O267" s="4">
        <f>Tab_01.Jan[[#This Row],[DÉBITO]]-Tab_01.Jan[[#This Row],[CRÉDITO]]</f>
        <v>0</v>
      </c>
    </row>
    <row r="268" spans="2:15" x14ac:dyDescent="0.3">
      <c r="B268" s="2" t="str">
        <f>_xlfn.XLOOKUP($I268,Tab_00.Trial[CONTA],Tab_00.Trial[TP],"",0,1)</f>
        <v/>
      </c>
      <c r="C268" s="2" t="str">
        <f>_xlfn.XLOOKUP($I268,Tab_00.Trial[CONTA],Tab_00.Trial[NV],"",0,1)</f>
        <v/>
      </c>
      <c r="D268" s="2" t="str">
        <f>_xlfn.XLOOKUP($I268,Tab_00.Trial[CONTA],Tab_00.Trial[S/A],"",0,1)</f>
        <v/>
      </c>
      <c r="E268" s="2" t="str">
        <f>IF($I268="","",COUNTIFS(Tab_00.Trial[CONTA],$I268))</f>
        <v/>
      </c>
      <c r="F268" s="4">
        <f>SUMIFS(Tab_99.Trial[DEZEMBRO],Tab_99.Trial[CONTA],$I268)</f>
        <v>0</v>
      </c>
      <c r="G268" s="4">
        <f t="shared" si="15"/>
        <v>0</v>
      </c>
      <c r="H268" s="137"/>
      <c r="I268" s="3"/>
      <c r="J268" s="3"/>
      <c r="K268" s="4"/>
      <c r="L268" s="4"/>
      <c r="M268" s="4"/>
      <c r="O268" s="4">
        <f>Tab_01.Jan[[#This Row],[DÉBITO]]-Tab_01.Jan[[#This Row],[CRÉDITO]]</f>
        <v>0</v>
      </c>
    </row>
    <row r="269" spans="2:15" x14ac:dyDescent="0.3">
      <c r="B269" s="2" t="str">
        <f>_xlfn.XLOOKUP($I269,Tab_00.Trial[CONTA],Tab_00.Trial[TP],"",0,1)</f>
        <v/>
      </c>
      <c r="C269" s="2" t="str">
        <f>_xlfn.XLOOKUP($I269,Tab_00.Trial[CONTA],Tab_00.Trial[NV],"",0,1)</f>
        <v/>
      </c>
      <c r="D269" s="2" t="str">
        <f>_xlfn.XLOOKUP($I269,Tab_00.Trial[CONTA],Tab_00.Trial[S/A],"",0,1)</f>
        <v/>
      </c>
      <c r="E269" s="2" t="str">
        <f>IF($I269="","",COUNTIFS(Tab_00.Trial[CONTA],$I269))</f>
        <v/>
      </c>
      <c r="F269" s="4">
        <f>SUMIFS(Tab_99.Trial[DEZEMBRO],Tab_99.Trial[CONTA],$I269)</f>
        <v>0</v>
      </c>
      <c r="G269" s="4">
        <f t="shared" si="15"/>
        <v>0</v>
      </c>
      <c r="H269" s="137"/>
      <c r="I269" s="3"/>
      <c r="J269" s="3"/>
      <c r="K269" s="4"/>
      <c r="L269" s="4"/>
      <c r="M269" s="4"/>
      <c r="O269" s="4">
        <f>Tab_01.Jan[[#This Row],[DÉBITO]]-Tab_01.Jan[[#This Row],[CRÉDITO]]</f>
        <v>0</v>
      </c>
    </row>
    <row r="270" spans="2:15" x14ac:dyDescent="0.3">
      <c r="B270" s="2" t="str">
        <f>_xlfn.XLOOKUP($I270,Tab_00.Trial[CONTA],Tab_00.Trial[TP],"",0,1)</f>
        <v/>
      </c>
      <c r="C270" s="2" t="str">
        <f>_xlfn.XLOOKUP($I270,Tab_00.Trial[CONTA],Tab_00.Trial[NV],"",0,1)</f>
        <v/>
      </c>
      <c r="D270" s="2" t="str">
        <f>_xlfn.XLOOKUP($I270,Tab_00.Trial[CONTA],Tab_00.Trial[S/A],"",0,1)</f>
        <v/>
      </c>
      <c r="E270" s="2" t="str">
        <f>IF($I270="","",COUNTIFS(Tab_00.Trial[CONTA],$I270))</f>
        <v/>
      </c>
      <c r="F270" s="4">
        <f>SUMIFS(Tab_99.Trial[DEZEMBRO],Tab_99.Trial[CONTA],$I270)</f>
        <v>0</v>
      </c>
      <c r="G270" s="4">
        <f t="shared" si="15"/>
        <v>0</v>
      </c>
      <c r="H270" s="137"/>
      <c r="I270" s="3"/>
      <c r="J270" s="3"/>
      <c r="K270" s="4"/>
      <c r="L270" s="4"/>
      <c r="M270" s="4"/>
      <c r="O270" s="4">
        <f>Tab_01.Jan[[#This Row],[DÉBITO]]-Tab_01.Jan[[#This Row],[CRÉDITO]]</f>
        <v>0</v>
      </c>
    </row>
    <row r="271" spans="2:15" x14ac:dyDescent="0.3">
      <c r="B271" s="2" t="str">
        <f>_xlfn.XLOOKUP($I271,Tab_00.Trial[CONTA],Tab_00.Trial[TP],"",0,1)</f>
        <v/>
      </c>
      <c r="C271" s="2" t="str">
        <f>_xlfn.XLOOKUP($I271,Tab_00.Trial[CONTA],Tab_00.Trial[NV],"",0,1)</f>
        <v/>
      </c>
      <c r="D271" s="2" t="str">
        <f>_xlfn.XLOOKUP($I271,Tab_00.Trial[CONTA],Tab_00.Trial[S/A],"",0,1)</f>
        <v/>
      </c>
      <c r="E271" s="2" t="str">
        <f>IF($I271="","",COUNTIFS(Tab_00.Trial[CONTA],$I271))</f>
        <v/>
      </c>
      <c r="F271" s="4">
        <f>SUMIFS(Tab_99.Trial[DEZEMBRO],Tab_99.Trial[CONTA],$I271)</f>
        <v>0</v>
      </c>
      <c r="G271" s="4">
        <f t="shared" si="15"/>
        <v>0</v>
      </c>
      <c r="H271" s="137"/>
      <c r="I271" s="3"/>
      <c r="J271" s="3"/>
      <c r="K271" s="4"/>
      <c r="L271" s="4"/>
      <c r="M271" s="4"/>
      <c r="O271" s="4">
        <f>Tab_01.Jan[[#This Row],[DÉBITO]]-Tab_01.Jan[[#This Row],[CRÉDITO]]</f>
        <v>0</v>
      </c>
    </row>
    <row r="272" spans="2:15" x14ac:dyDescent="0.3">
      <c r="B272" s="2" t="str">
        <f>_xlfn.XLOOKUP($I272,Tab_00.Trial[CONTA],Tab_00.Trial[TP],"",0,1)</f>
        <v/>
      </c>
      <c r="C272" s="2" t="str">
        <f>_xlfn.XLOOKUP($I272,Tab_00.Trial[CONTA],Tab_00.Trial[NV],"",0,1)</f>
        <v/>
      </c>
      <c r="D272" s="2" t="str">
        <f>_xlfn.XLOOKUP($I272,Tab_00.Trial[CONTA],Tab_00.Trial[S/A],"",0,1)</f>
        <v/>
      </c>
      <c r="E272" s="2" t="str">
        <f>IF($I272="","",COUNTIFS(Tab_00.Trial[CONTA],$I272))</f>
        <v/>
      </c>
      <c r="F272" s="4">
        <f>SUMIFS(Tab_99.Trial[DEZEMBRO],Tab_99.Trial[CONTA],$I272)</f>
        <v>0</v>
      </c>
      <c r="G272" s="4">
        <f t="shared" si="15"/>
        <v>0</v>
      </c>
      <c r="H272" s="137"/>
      <c r="I272" s="3"/>
      <c r="J272" s="3"/>
      <c r="K272" s="4"/>
      <c r="L272" s="4"/>
      <c r="M272" s="4"/>
      <c r="O272" s="4">
        <f>Tab_01.Jan[[#This Row],[DÉBITO]]-Tab_01.Jan[[#This Row],[CRÉDITO]]</f>
        <v>0</v>
      </c>
    </row>
    <row r="273" spans="2:15" x14ac:dyDescent="0.3">
      <c r="B273" s="2" t="str">
        <f>_xlfn.XLOOKUP($I273,Tab_00.Trial[CONTA],Tab_00.Trial[TP],"",0,1)</f>
        <v/>
      </c>
      <c r="C273" s="2" t="str">
        <f>_xlfn.XLOOKUP($I273,Tab_00.Trial[CONTA],Tab_00.Trial[NV],"",0,1)</f>
        <v/>
      </c>
      <c r="D273" s="2" t="str">
        <f>_xlfn.XLOOKUP($I273,Tab_00.Trial[CONTA],Tab_00.Trial[S/A],"",0,1)</f>
        <v/>
      </c>
      <c r="E273" s="2" t="str">
        <f>IF($I273="","",COUNTIFS(Tab_00.Trial[CONTA],$I273))</f>
        <v/>
      </c>
      <c r="F273" s="4">
        <f>SUMIFS(Tab_99.Trial[DEZEMBRO],Tab_99.Trial[CONTA],$I273)</f>
        <v>0</v>
      </c>
      <c r="G273" s="4">
        <f t="shared" si="15"/>
        <v>0</v>
      </c>
      <c r="H273" s="137"/>
      <c r="I273" s="3"/>
      <c r="J273" s="3"/>
      <c r="K273" s="4"/>
      <c r="L273" s="4"/>
      <c r="M273" s="4"/>
      <c r="O273" s="4">
        <f>Tab_01.Jan[[#This Row],[DÉBITO]]-Tab_01.Jan[[#This Row],[CRÉDITO]]</f>
        <v>0</v>
      </c>
    </row>
    <row r="274" spans="2:15" x14ac:dyDescent="0.3">
      <c r="B274" s="2" t="str">
        <f>_xlfn.XLOOKUP($I274,Tab_00.Trial[CONTA],Tab_00.Trial[TP],"",0,1)</f>
        <v/>
      </c>
      <c r="C274" s="2" t="str">
        <f>_xlfn.XLOOKUP($I274,Tab_00.Trial[CONTA],Tab_00.Trial[NV],"",0,1)</f>
        <v/>
      </c>
      <c r="D274" s="2" t="str">
        <f>_xlfn.XLOOKUP($I274,Tab_00.Trial[CONTA],Tab_00.Trial[S/A],"",0,1)</f>
        <v/>
      </c>
      <c r="E274" s="2" t="str">
        <f>IF($I274="","",COUNTIFS(Tab_00.Trial[CONTA],$I274))</f>
        <v/>
      </c>
      <c r="F274" s="4">
        <f>SUMIFS(Tab_99.Trial[DEZEMBRO],Tab_99.Trial[CONTA],$I274)</f>
        <v>0</v>
      </c>
      <c r="G274" s="4">
        <f t="shared" si="15"/>
        <v>0</v>
      </c>
      <c r="H274" s="137"/>
      <c r="I274" s="3"/>
      <c r="J274" s="3"/>
      <c r="K274" s="4"/>
      <c r="L274" s="4"/>
      <c r="M274" s="4"/>
      <c r="O274" s="4">
        <f>Tab_01.Jan[[#This Row],[DÉBITO]]-Tab_01.Jan[[#This Row],[CRÉDITO]]</f>
        <v>0</v>
      </c>
    </row>
    <row r="275" spans="2:15" x14ac:dyDescent="0.3">
      <c r="B275" s="2" t="str">
        <f>_xlfn.XLOOKUP($I275,Tab_00.Trial[CONTA],Tab_00.Trial[TP],"",0,1)</f>
        <v/>
      </c>
      <c r="C275" s="2" t="str">
        <f>_xlfn.XLOOKUP($I275,Tab_00.Trial[CONTA],Tab_00.Trial[NV],"",0,1)</f>
        <v/>
      </c>
      <c r="D275" s="2" t="str">
        <f>_xlfn.XLOOKUP($I275,Tab_00.Trial[CONTA],Tab_00.Trial[S/A],"",0,1)</f>
        <v/>
      </c>
      <c r="E275" s="2" t="str">
        <f>IF($I275="","",COUNTIFS(Tab_00.Trial[CONTA],$I275))</f>
        <v/>
      </c>
      <c r="F275" s="4">
        <f>SUMIFS(Tab_99.Trial[DEZEMBRO],Tab_99.Trial[CONTA],$I275)</f>
        <v>0</v>
      </c>
      <c r="G275" s="4">
        <f t="shared" si="15"/>
        <v>0</v>
      </c>
      <c r="H275" s="137"/>
      <c r="I275" s="3"/>
      <c r="J275" s="3"/>
      <c r="K275" s="4"/>
      <c r="L275" s="4"/>
      <c r="M275" s="4"/>
      <c r="O275" s="4">
        <f>Tab_01.Jan[[#This Row],[DÉBITO]]-Tab_01.Jan[[#This Row],[CRÉDITO]]</f>
        <v>0</v>
      </c>
    </row>
    <row r="276" spans="2:15" x14ac:dyDescent="0.3">
      <c r="B276" s="2" t="str">
        <f>_xlfn.XLOOKUP($I276,Tab_00.Trial[CONTA],Tab_00.Trial[TP],"",0,1)</f>
        <v/>
      </c>
      <c r="C276" s="2" t="str">
        <f>_xlfn.XLOOKUP($I276,Tab_00.Trial[CONTA],Tab_00.Trial[NV],"",0,1)</f>
        <v/>
      </c>
      <c r="D276" s="2" t="str">
        <f>_xlfn.XLOOKUP($I276,Tab_00.Trial[CONTA],Tab_00.Trial[S/A],"",0,1)</f>
        <v/>
      </c>
      <c r="E276" s="2" t="str">
        <f>IF($I276="","",COUNTIFS(Tab_00.Trial[CONTA],$I276))</f>
        <v/>
      </c>
      <c r="F276" s="4">
        <f>SUMIFS(Tab_99.Trial[DEZEMBRO],Tab_99.Trial[CONTA],$I276)</f>
        <v>0</v>
      </c>
      <c r="G276" s="4">
        <f t="shared" si="15"/>
        <v>0</v>
      </c>
      <c r="H276" s="137"/>
      <c r="I276" s="3"/>
      <c r="J276" s="3"/>
      <c r="K276" s="4"/>
      <c r="L276" s="4"/>
      <c r="M276" s="4"/>
      <c r="O276" s="4">
        <f>Tab_01.Jan[[#This Row],[DÉBITO]]-Tab_01.Jan[[#This Row],[CRÉDITO]]</f>
        <v>0</v>
      </c>
    </row>
    <row r="277" spans="2:15" x14ac:dyDescent="0.3">
      <c r="B277" s="2" t="str">
        <f>_xlfn.XLOOKUP($I277,Tab_00.Trial[CONTA],Tab_00.Trial[TP],"",0,1)</f>
        <v/>
      </c>
      <c r="C277" s="2" t="str">
        <f>_xlfn.XLOOKUP($I277,Tab_00.Trial[CONTA],Tab_00.Trial[NV],"",0,1)</f>
        <v/>
      </c>
      <c r="D277" s="2" t="str">
        <f>_xlfn.XLOOKUP($I277,Tab_00.Trial[CONTA],Tab_00.Trial[S/A],"",0,1)</f>
        <v/>
      </c>
      <c r="E277" s="2" t="str">
        <f>IF($I277="","",COUNTIFS(Tab_00.Trial[CONTA],$I277))</f>
        <v/>
      </c>
      <c r="F277" s="4">
        <f>SUMIFS(Tab_99.Trial[DEZEMBRO],Tab_99.Trial[CONTA],$I277)</f>
        <v>0</v>
      </c>
      <c r="G277" s="4">
        <f t="shared" si="15"/>
        <v>0</v>
      </c>
      <c r="H277" s="137"/>
      <c r="I277" s="3"/>
      <c r="J277" s="3"/>
      <c r="K277" s="4"/>
      <c r="L277" s="4"/>
      <c r="M277" s="4"/>
      <c r="O277" s="4">
        <f>Tab_01.Jan[[#This Row],[DÉBITO]]-Tab_01.Jan[[#This Row],[CRÉDITO]]</f>
        <v>0</v>
      </c>
    </row>
    <row r="278" spans="2:15" x14ac:dyDescent="0.3">
      <c r="B278" s="2" t="str">
        <f>_xlfn.XLOOKUP($I278,Tab_00.Trial[CONTA],Tab_00.Trial[TP],"",0,1)</f>
        <v/>
      </c>
      <c r="C278" s="2" t="str">
        <f>_xlfn.XLOOKUP($I278,Tab_00.Trial[CONTA],Tab_00.Trial[NV],"",0,1)</f>
        <v/>
      </c>
      <c r="D278" s="2" t="str">
        <f>_xlfn.XLOOKUP($I278,Tab_00.Trial[CONTA],Tab_00.Trial[S/A],"",0,1)</f>
        <v/>
      </c>
      <c r="E278" s="2" t="str">
        <f>IF($I278="","",COUNTIFS(Tab_00.Trial[CONTA],$I278))</f>
        <v/>
      </c>
      <c r="F278" s="4">
        <f>SUMIFS(Tab_99.Trial[DEZEMBRO],Tab_99.Trial[CONTA],$I278)</f>
        <v>0</v>
      </c>
      <c r="G278" s="4">
        <f t="shared" si="15"/>
        <v>0</v>
      </c>
      <c r="H278" s="137"/>
      <c r="I278" s="3"/>
      <c r="J278" s="3"/>
      <c r="K278" s="4"/>
      <c r="L278" s="4"/>
      <c r="M278" s="4"/>
      <c r="O278" s="4">
        <f>Tab_01.Jan[[#This Row],[DÉBITO]]-Tab_01.Jan[[#This Row],[CRÉDITO]]</f>
        <v>0</v>
      </c>
    </row>
    <row r="279" spans="2:15" x14ac:dyDescent="0.3">
      <c r="B279" s="2" t="str">
        <f>_xlfn.XLOOKUP($I279,Tab_00.Trial[CONTA],Tab_00.Trial[TP],"",0,1)</f>
        <v/>
      </c>
      <c r="C279" s="2" t="str">
        <f>_xlfn.XLOOKUP($I279,Tab_00.Trial[CONTA],Tab_00.Trial[NV],"",0,1)</f>
        <v/>
      </c>
      <c r="D279" s="2" t="str">
        <f>_xlfn.XLOOKUP($I279,Tab_00.Trial[CONTA],Tab_00.Trial[S/A],"",0,1)</f>
        <v/>
      </c>
      <c r="E279" s="2" t="str">
        <f>IF($I279="","",COUNTIFS(Tab_00.Trial[CONTA],$I279))</f>
        <v/>
      </c>
      <c r="F279" s="4">
        <f>SUMIFS(Tab_99.Trial[DEZEMBRO],Tab_99.Trial[CONTA],$I279)</f>
        <v>0</v>
      </c>
      <c r="G279" s="4">
        <f t="shared" si="15"/>
        <v>0</v>
      </c>
      <c r="H279" s="137"/>
      <c r="I279" s="3"/>
      <c r="J279" s="3"/>
      <c r="K279" s="4"/>
      <c r="L279" s="4"/>
      <c r="M279" s="4"/>
      <c r="O279" s="4">
        <f>Tab_01.Jan[[#This Row],[DÉBITO]]-Tab_01.Jan[[#This Row],[CRÉDITO]]</f>
        <v>0</v>
      </c>
    </row>
    <row r="280" spans="2:15" x14ac:dyDescent="0.3">
      <c r="B280" s="2" t="str">
        <f>_xlfn.XLOOKUP($I280,Tab_00.Trial[CONTA],Tab_00.Trial[TP],"",0,1)</f>
        <v/>
      </c>
      <c r="C280" s="2" t="str">
        <f>_xlfn.XLOOKUP($I280,Tab_00.Trial[CONTA],Tab_00.Trial[NV],"",0,1)</f>
        <v/>
      </c>
      <c r="D280" s="2" t="str">
        <f>_xlfn.XLOOKUP($I280,Tab_00.Trial[CONTA],Tab_00.Trial[S/A],"",0,1)</f>
        <v/>
      </c>
      <c r="E280" s="2" t="str">
        <f>IF($I280="","",COUNTIFS(Tab_00.Trial[CONTA],$I280))</f>
        <v/>
      </c>
      <c r="F280" s="4">
        <f>SUMIFS(Tab_99.Trial[DEZEMBRO],Tab_99.Trial[CONTA],$I280)</f>
        <v>0</v>
      </c>
      <c r="G280" s="4">
        <f t="shared" si="15"/>
        <v>0</v>
      </c>
      <c r="H280" s="137"/>
      <c r="I280" s="3"/>
      <c r="J280" s="3"/>
      <c r="K280" s="4"/>
      <c r="L280" s="4"/>
      <c r="M280" s="4"/>
      <c r="O280" s="4">
        <f>Tab_01.Jan[[#This Row],[DÉBITO]]-Tab_01.Jan[[#This Row],[CRÉDITO]]</f>
        <v>0</v>
      </c>
    </row>
    <row r="281" spans="2:15" x14ac:dyDescent="0.3">
      <c r="B281" s="2" t="str">
        <f>_xlfn.XLOOKUP($I281,Tab_00.Trial[CONTA],Tab_00.Trial[TP],"",0,1)</f>
        <v/>
      </c>
      <c r="C281" s="2" t="str">
        <f>_xlfn.XLOOKUP($I281,Tab_00.Trial[CONTA],Tab_00.Trial[NV],"",0,1)</f>
        <v/>
      </c>
      <c r="D281" s="2" t="str">
        <f>_xlfn.XLOOKUP($I281,Tab_00.Trial[CONTA],Tab_00.Trial[S/A],"",0,1)</f>
        <v/>
      </c>
      <c r="E281" s="2" t="str">
        <f>IF($I281="","",COUNTIFS(Tab_00.Trial[CONTA],$I281))</f>
        <v/>
      </c>
      <c r="F281" s="4">
        <f>SUMIFS(Tab_99.Trial[DEZEMBRO],Tab_99.Trial[CONTA],$I281)</f>
        <v>0</v>
      </c>
      <c r="G281" s="4">
        <f t="shared" si="15"/>
        <v>0</v>
      </c>
      <c r="H281" s="137"/>
      <c r="I281" s="3"/>
      <c r="J281" s="3"/>
      <c r="K281" s="4"/>
      <c r="L281" s="4"/>
      <c r="M281" s="4"/>
      <c r="O281" s="4">
        <f>Tab_01.Jan[[#This Row],[DÉBITO]]-Tab_01.Jan[[#This Row],[CRÉDITO]]</f>
        <v>0</v>
      </c>
    </row>
    <row r="282" spans="2:15" x14ac:dyDescent="0.3">
      <c r="B282" s="2" t="str">
        <f>_xlfn.XLOOKUP($I282,Tab_00.Trial[CONTA],Tab_00.Trial[TP],"",0,1)</f>
        <v/>
      </c>
      <c r="C282" s="2" t="str">
        <f>_xlfn.XLOOKUP($I282,Tab_00.Trial[CONTA],Tab_00.Trial[NV],"",0,1)</f>
        <v/>
      </c>
      <c r="D282" s="2" t="str">
        <f>_xlfn.XLOOKUP($I282,Tab_00.Trial[CONTA],Tab_00.Trial[S/A],"",0,1)</f>
        <v/>
      </c>
      <c r="E282" s="2" t="str">
        <f>IF($I282="","",COUNTIFS(Tab_00.Trial[CONTA],$I282))</f>
        <v/>
      </c>
      <c r="F282" s="4">
        <f>SUMIFS(Tab_99.Trial[DEZEMBRO],Tab_99.Trial[CONTA],$I282)</f>
        <v>0</v>
      </c>
      <c r="G282" s="4">
        <f t="shared" si="15"/>
        <v>0</v>
      </c>
      <c r="H282" s="137"/>
      <c r="I282" s="3"/>
      <c r="J282" s="3"/>
      <c r="K282" s="4"/>
      <c r="L282" s="4"/>
      <c r="M282" s="4"/>
      <c r="O282" s="4">
        <f>Tab_01.Jan[[#This Row],[DÉBITO]]-Tab_01.Jan[[#This Row],[CRÉDITO]]</f>
        <v>0</v>
      </c>
    </row>
    <row r="283" spans="2:15" x14ac:dyDescent="0.3">
      <c r="B283" s="2" t="str">
        <f>_xlfn.XLOOKUP($I283,Tab_00.Trial[CONTA],Tab_00.Trial[TP],"",0,1)</f>
        <v/>
      </c>
      <c r="C283" s="2" t="str">
        <f>_xlfn.XLOOKUP($I283,Tab_00.Trial[CONTA],Tab_00.Trial[NV],"",0,1)</f>
        <v/>
      </c>
      <c r="D283" s="2" t="str">
        <f>_xlfn.XLOOKUP($I283,Tab_00.Trial[CONTA],Tab_00.Trial[S/A],"",0,1)</f>
        <v/>
      </c>
      <c r="E283" s="2" t="str">
        <f>IF($I283="","",COUNTIFS(Tab_00.Trial[CONTA],$I283))</f>
        <v/>
      </c>
      <c r="F283" s="4">
        <f>SUMIFS(Tab_99.Trial[DEZEMBRO],Tab_99.Trial[CONTA],$I283)</f>
        <v>0</v>
      </c>
      <c r="G283" s="4">
        <f t="shared" si="15"/>
        <v>0</v>
      </c>
      <c r="H283" s="137"/>
      <c r="I283" s="3"/>
      <c r="J283" s="3"/>
      <c r="K283" s="4"/>
      <c r="L283" s="4"/>
      <c r="M283" s="4"/>
      <c r="O283" s="4">
        <f>Tab_01.Jan[[#This Row],[DÉBITO]]-Tab_01.Jan[[#This Row],[CRÉDITO]]</f>
        <v>0</v>
      </c>
    </row>
    <row r="284" spans="2:15" x14ac:dyDescent="0.3">
      <c r="B284" s="2" t="str">
        <f>_xlfn.XLOOKUP($I284,Tab_00.Trial[CONTA],Tab_00.Trial[TP],"",0,1)</f>
        <v/>
      </c>
      <c r="C284" s="2" t="str">
        <f>_xlfn.XLOOKUP($I284,Tab_00.Trial[CONTA],Tab_00.Trial[NV],"",0,1)</f>
        <v/>
      </c>
      <c r="D284" s="2" t="str">
        <f>_xlfn.XLOOKUP($I284,Tab_00.Trial[CONTA],Tab_00.Trial[S/A],"",0,1)</f>
        <v/>
      </c>
      <c r="E284" s="2" t="str">
        <f>IF($I284="","",COUNTIFS(Tab_00.Trial[CONTA],$I284))</f>
        <v/>
      </c>
      <c r="F284" s="4">
        <f>SUMIFS(Tab_99.Trial[DEZEMBRO],Tab_99.Trial[CONTA],$I284)</f>
        <v>0</v>
      </c>
      <c r="G284" s="4">
        <f t="shared" si="15"/>
        <v>0</v>
      </c>
      <c r="H284" s="137"/>
      <c r="I284" s="3"/>
      <c r="J284" s="3"/>
      <c r="K284" s="4"/>
      <c r="L284" s="4"/>
      <c r="M284" s="4"/>
      <c r="O284" s="4">
        <f>Tab_01.Jan[[#This Row],[DÉBITO]]-Tab_01.Jan[[#This Row],[CRÉDITO]]</f>
        <v>0</v>
      </c>
    </row>
    <row r="285" spans="2:15" x14ac:dyDescent="0.3">
      <c r="B285" s="2" t="str">
        <f>_xlfn.XLOOKUP($I285,Tab_00.Trial[CONTA],Tab_00.Trial[TP],"",0,1)</f>
        <v/>
      </c>
      <c r="C285" s="2" t="str">
        <f>_xlfn.XLOOKUP($I285,Tab_00.Trial[CONTA],Tab_00.Trial[NV],"",0,1)</f>
        <v/>
      </c>
      <c r="D285" s="2" t="str">
        <f>_xlfn.XLOOKUP($I285,Tab_00.Trial[CONTA],Tab_00.Trial[S/A],"",0,1)</f>
        <v/>
      </c>
      <c r="E285" s="2" t="str">
        <f>IF($I285="","",COUNTIFS(Tab_00.Trial[CONTA],$I285))</f>
        <v/>
      </c>
      <c r="F285" s="4">
        <f>SUMIFS(Tab_99.Trial[DEZEMBRO],Tab_99.Trial[CONTA],$I285)</f>
        <v>0</v>
      </c>
      <c r="G285" s="4">
        <f t="shared" si="15"/>
        <v>0</v>
      </c>
      <c r="H285" s="137"/>
      <c r="I285" s="3"/>
      <c r="J285" s="3"/>
      <c r="K285" s="4"/>
      <c r="L285" s="4"/>
      <c r="M285" s="4"/>
      <c r="O285" s="4">
        <f>Tab_01.Jan[[#This Row],[DÉBITO]]-Tab_01.Jan[[#This Row],[CRÉDITO]]</f>
        <v>0</v>
      </c>
    </row>
    <row r="286" spans="2:15" x14ac:dyDescent="0.3">
      <c r="B286" s="2" t="str">
        <f>_xlfn.XLOOKUP($I286,Tab_00.Trial[CONTA],Tab_00.Trial[TP],"",0,1)</f>
        <v/>
      </c>
      <c r="C286" s="2" t="str">
        <f>_xlfn.XLOOKUP($I286,Tab_00.Trial[CONTA],Tab_00.Trial[NV],"",0,1)</f>
        <v/>
      </c>
      <c r="D286" s="2" t="str">
        <f>_xlfn.XLOOKUP($I286,Tab_00.Trial[CONTA],Tab_00.Trial[S/A],"",0,1)</f>
        <v/>
      </c>
      <c r="E286" s="2" t="str">
        <f>IF($I286="","",COUNTIFS(Tab_00.Trial[CONTA],$I286))</f>
        <v/>
      </c>
      <c r="F286" s="4">
        <f>SUMIFS(Tab_99.Trial[DEZEMBRO],Tab_99.Trial[CONTA],$I286)</f>
        <v>0</v>
      </c>
      <c r="G286" s="4">
        <f t="shared" si="15"/>
        <v>0</v>
      </c>
      <c r="H286" s="137"/>
      <c r="I286" s="3"/>
      <c r="J286" s="3"/>
      <c r="K286" s="4"/>
      <c r="L286" s="4"/>
      <c r="M286" s="4"/>
      <c r="O286" s="4">
        <f>Tab_01.Jan[[#This Row],[DÉBITO]]-Tab_01.Jan[[#This Row],[CRÉDITO]]</f>
        <v>0</v>
      </c>
    </row>
    <row r="287" spans="2:15" x14ac:dyDescent="0.3">
      <c r="B287" s="2" t="str">
        <f>_xlfn.XLOOKUP($I287,Tab_00.Trial[CONTA],Tab_00.Trial[TP],"",0,1)</f>
        <v/>
      </c>
      <c r="C287" s="2" t="str">
        <f>_xlfn.XLOOKUP($I287,Tab_00.Trial[CONTA],Tab_00.Trial[NV],"",0,1)</f>
        <v/>
      </c>
      <c r="D287" s="2" t="str">
        <f>_xlfn.XLOOKUP($I287,Tab_00.Trial[CONTA],Tab_00.Trial[S/A],"",0,1)</f>
        <v/>
      </c>
      <c r="E287" s="2" t="str">
        <f>IF($I287="","",COUNTIFS(Tab_00.Trial[CONTA],$I287))</f>
        <v/>
      </c>
      <c r="F287" s="4">
        <f>SUMIFS(Tab_99.Trial[DEZEMBRO],Tab_99.Trial[CONTA],$I287)</f>
        <v>0</v>
      </c>
      <c r="G287" s="4">
        <f t="shared" si="15"/>
        <v>0</v>
      </c>
      <c r="H287" s="137"/>
      <c r="I287" s="3"/>
      <c r="J287" s="3"/>
      <c r="K287" s="4"/>
      <c r="L287" s="4"/>
      <c r="M287" s="4"/>
      <c r="O287" s="4">
        <f>Tab_01.Jan[[#This Row],[DÉBITO]]-Tab_01.Jan[[#This Row],[CRÉDITO]]</f>
        <v>0</v>
      </c>
    </row>
    <row r="288" spans="2:15" x14ac:dyDescent="0.3">
      <c r="B288" s="2" t="str">
        <f>_xlfn.XLOOKUP($I288,Tab_00.Trial[CONTA],Tab_00.Trial[TP],"",0,1)</f>
        <v/>
      </c>
      <c r="C288" s="2" t="str">
        <f>_xlfn.XLOOKUP($I288,Tab_00.Trial[CONTA],Tab_00.Trial[NV],"",0,1)</f>
        <v/>
      </c>
      <c r="D288" s="2" t="str">
        <f>_xlfn.XLOOKUP($I288,Tab_00.Trial[CONTA],Tab_00.Trial[S/A],"",0,1)</f>
        <v/>
      </c>
      <c r="E288" s="2" t="str">
        <f>IF($I288="","",COUNTIFS(Tab_00.Trial[CONTA],$I288))</f>
        <v/>
      </c>
      <c r="F288" s="4">
        <f>SUMIFS(Tab_99.Trial[DEZEMBRO],Tab_99.Trial[CONTA],$I288)</f>
        <v>0</v>
      </c>
      <c r="G288" s="4">
        <f t="shared" si="15"/>
        <v>0</v>
      </c>
      <c r="H288" s="137"/>
      <c r="I288" s="3"/>
      <c r="J288" s="3"/>
      <c r="K288" s="4"/>
      <c r="L288" s="4"/>
      <c r="M288" s="4"/>
      <c r="O288" s="4">
        <f>Tab_01.Jan[[#This Row],[DÉBITO]]-Tab_01.Jan[[#This Row],[CRÉDITO]]</f>
        <v>0</v>
      </c>
    </row>
    <row r="289" spans="2:15" x14ac:dyDescent="0.3">
      <c r="B289" s="2" t="str">
        <f>_xlfn.XLOOKUP($I289,Tab_00.Trial[CONTA],Tab_00.Trial[TP],"",0,1)</f>
        <v/>
      </c>
      <c r="C289" s="2" t="str">
        <f>_xlfn.XLOOKUP($I289,Tab_00.Trial[CONTA],Tab_00.Trial[NV],"",0,1)</f>
        <v/>
      </c>
      <c r="D289" s="2" t="str">
        <f>_xlfn.XLOOKUP($I289,Tab_00.Trial[CONTA],Tab_00.Trial[S/A],"",0,1)</f>
        <v/>
      </c>
      <c r="E289" s="2" t="str">
        <f>IF($I289="","",COUNTIFS(Tab_00.Trial[CONTA],$I289))</f>
        <v/>
      </c>
      <c r="F289" s="4">
        <f>SUMIFS(Tab_99.Trial[DEZEMBRO],Tab_99.Trial[CONTA],$I289)</f>
        <v>0</v>
      </c>
      <c r="G289" s="4">
        <f t="shared" si="15"/>
        <v>0</v>
      </c>
      <c r="H289" s="137"/>
      <c r="I289" s="3"/>
      <c r="J289" s="3"/>
      <c r="K289" s="4"/>
      <c r="L289" s="4"/>
      <c r="M289" s="4"/>
      <c r="O289" s="4">
        <f>Tab_01.Jan[[#This Row],[DÉBITO]]-Tab_01.Jan[[#This Row],[CRÉDITO]]</f>
        <v>0</v>
      </c>
    </row>
    <row r="290" spans="2:15" x14ac:dyDescent="0.3">
      <c r="B290" s="2" t="str">
        <f>_xlfn.XLOOKUP($I290,Tab_00.Trial[CONTA],Tab_00.Trial[TP],"",0,1)</f>
        <v/>
      </c>
      <c r="C290" s="2" t="str">
        <f>_xlfn.XLOOKUP($I290,Tab_00.Trial[CONTA],Tab_00.Trial[NV],"",0,1)</f>
        <v/>
      </c>
      <c r="D290" s="2" t="str">
        <f>_xlfn.XLOOKUP($I290,Tab_00.Trial[CONTA],Tab_00.Trial[S/A],"",0,1)</f>
        <v/>
      </c>
      <c r="E290" s="2" t="str">
        <f>IF($I290="","",COUNTIFS(Tab_00.Trial[CONTA],$I290))</f>
        <v/>
      </c>
      <c r="F290" s="4">
        <f>SUMIFS(Tab_99.Trial[DEZEMBRO],Tab_99.Trial[CONTA],$I290)</f>
        <v>0</v>
      </c>
      <c r="G290" s="4">
        <f t="shared" si="15"/>
        <v>0</v>
      </c>
      <c r="H290" s="137"/>
      <c r="I290" s="3"/>
      <c r="J290" s="3"/>
      <c r="K290" s="4"/>
      <c r="L290" s="4"/>
      <c r="M290" s="4"/>
      <c r="O290" s="4">
        <f>Tab_01.Jan[[#This Row],[DÉBITO]]-Tab_01.Jan[[#This Row],[CRÉDITO]]</f>
        <v>0</v>
      </c>
    </row>
    <row r="291" spans="2:15" x14ac:dyDescent="0.3">
      <c r="B291" s="2" t="str">
        <f>_xlfn.XLOOKUP($I291,Tab_00.Trial[CONTA],Tab_00.Trial[TP],"",0,1)</f>
        <v/>
      </c>
      <c r="C291" s="2" t="str">
        <f>_xlfn.XLOOKUP($I291,Tab_00.Trial[CONTA],Tab_00.Trial[NV],"",0,1)</f>
        <v/>
      </c>
      <c r="D291" s="2" t="str">
        <f>_xlfn.XLOOKUP($I291,Tab_00.Trial[CONTA],Tab_00.Trial[S/A],"",0,1)</f>
        <v/>
      </c>
      <c r="E291" s="2" t="str">
        <f>IF($I291="","",COUNTIFS(Tab_00.Trial[CONTA],$I291))</f>
        <v/>
      </c>
      <c r="F291" s="4">
        <f>SUMIFS(Tab_99.Trial[DEZEMBRO],Tab_99.Trial[CONTA],$I291)</f>
        <v>0</v>
      </c>
      <c r="G291" s="4">
        <f t="shared" si="15"/>
        <v>0</v>
      </c>
      <c r="H291" s="137"/>
      <c r="I291" s="3"/>
      <c r="J291" s="3"/>
      <c r="K291" s="4"/>
      <c r="L291" s="4"/>
      <c r="M291" s="4"/>
      <c r="O291" s="4">
        <f>Tab_01.Jan[[#This Row],[DÉBITO]]-Tab_01.Jan[[#This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54BEC-B34B-4C93-B3C6-92728D966C8C}">
  <sheetPr codeName="Planilha12"/>
  <dimension ref="B1:R271"/>
  <sheetViews>
    <sheetView showGridLines="0" showRowColHeaders="0" zoomScale="80" zoomScaleNormal="80" workbookViewId="0">
      <pane xSplit="7" ySplit="14" topLeftCell="H15" activePane="bottomRight" state="frozen"/>
      <selection activeCell="J28" sqref="J28"/>
      <selection pane="topRight" activeCell="J28" sqref="J28"/>
      <selection pane="bottomLeft" activeCell="J28" sqref="J28"/>
      <selection pane="bottomRight" activeCell="J16" sqref="J16"/>
    </sheetView>
  </sheetViews>
  <sheetFormatPr defaultColWidth="8.88671875" defaultRowHeight="13.8" outlineLevelRow="1" x14ac:dyDescent="0.3"/>
  <cols>
    <col min="1" max="1" width="2.6640625" style="1" customWidth="1"/>
    <col min="2" max="5" width="4.6640625" style="2" customWidth="1"/>
    <col min="6" max="7" width="20.6640625" style="4" customWidth="1"/>
    <col min="8" max="8" width="15.6640625" customWidth="1"/>
    <col min="9" max="9" width="17.6640625" style="3" customWidth="1"/>
    <col min="10" max="10" width="75.6640625" style="3" customWidth="1"/>
    <col min="11" max="11" width="20.6640625" style="3" customWidth="1"/>
    <col min="12" max="15" width="20.6640625" style="4" customWidth="1"/>
    <col min="16" max="16384" width="8.88671875" style="1"/>
  </cols>
  <sheetData>
    <row r="1" spans="2:15" x14ac:dyDescent="0.3">
      <c r="H1" s="3"/>
      <c r="K1" s="4"/>
    </row>
    <row r="2" spans="2:15" outlineLevel="1" x14ac:dyDescent="0.3">
      <c r="B2" s="2" t="s">
        <v>16</v>
      </c>
      <c r="F2" s="7">
        <f ca="1">SUMIFS(INDIRECT("Tab_02.Fev["&amp;F$14&amp;"]"),Tab_02.Fev[TP],$B2,Tab_02.Fev[NV],"A")</f>
        <v>0</v>
      </c>
      <c r="G2" s="7">
        <f ca="1">SUMIFS(INDIRECT("Tab_02.Fev["&amp;G$14&amp;"]"),Tab_02.Fev[TP],$B2,Tab_02.Fev[NV],"A")</f>
        <v>0</v>
      </c>
      <c r="H2" s="3"/>
      <c r="J2" s="88" t="s">
        <v>15</v>
      </c>
      <c r="K2" s="7">
        <f ca="1">SUMIFS(INDIRECT("Tab_02.Fev["&amp;K$14&amp;"]"),Tab_02.Fev[TP],$B2,Tab_02.Fev[S/A],"A")</f>
        <v>83606494.079999998</v>
      </c>
      <c r="L2" s="7">
        <f ca="1">SUMIFS(INDIRECT("Tab_02.Fev["&amp;L$14&amp;"]"),Tab_02.Fev[TP],$B2,Tab_02.Fev[S/A],"A")</f>
        <v>2175760.2999999998</v>
      </c>
      <c r="M2" s="7">
        <f ca="1">SUMIFS(INDIRECT("Tab_02.Fev["&amp;M$14&amp;"]"),Tab_02.Fev[TP],$B2,Tab_02.Fev[S/A],"A")</f>
        <v>2936652.32</v>
      </c>
      <c r="N2" s="7">
        <f ca="1">SUMIFS(INDIRECT("Tab_02.Fev["&amp;N$14&amp;"]"),Tab_02.Fev[TP],$B2,Tab_02.Fev[S/A],"A")</f>
        <v>82845602.060000002</v>
      </c>
      <c r="O2" s="7">
        <f ca="1">SUMIFS(INDIRECT("Tab_02.Fev["&amp;O$14&amp;"]"),Tab_02.Fev[TP],$B2,Tab_02.Fev[S/A],"A")</f>
        <v>-760892.02</v>
      </c>
    </row>
    <row r="3" spans="2:15" outlineLevel="1" x14ac:dyDescent="0.3">
      <c r="B3" s="2" t="s">
        <v>116</v>
      </c>
      <c r="F3" s="7">
        <f ca="1">SUMIFS(INDIRECT("Tab_02.Fev["&amp;F$14&amp;"]"),Tab_02.Fev[TP],$B3,Tab_02.Fev[NV],"A")</f>
        <v>0</v>
      </c>
      <c r="G3" s="7">
        <f ca="1">SUMIFS(INDIRECT("Tab_02.Fev["&amp;G$14&amp;"]"),Tab_02.Fev[TP],$B3,Tab_02.Fev[NV],"A")</f>
        <v>0</v>
      </c>
      <c r="H3" s="3"/>
      <c r="J3" s="88" t="s">
        <v>110</v>
      </c>
      <c r="K3" s="7">
        <f ca="1">SUMIFS(INDIRECT("Tab_02.Fev["&amp;K$14&amp;"]"),Tab_02.Fev[TP],$B3,Tab_02.Fev[S/A],"A")</f>
        <v>-83717758.840000004</v>
      </c>
      <c r="L3" s="7">
        <f ca="1">SUMIFS(INDIRECT("Tab_02.Fev["&amp;L$14&amp;"]"),Tab_02.Fev[TP],$B3,Tab_02.Fev[S/A],"A")</f>
        <v>1470248.44</v>
      </c>
      <c r="M3" s="7">
        <f ca="1">SUMIFS(INDIRECT("Tab_02.Fev["&amp;M$14&amp;"]"),Tab_02.Fev[TP],$B3,Tab_02.Fev[S/A],"A")</f>
        <v>659640.27</v>
      </c>
      <c r="N3" s="7">
        <f ca="1">SUMIFS(INDIRECT("Tab_02.Fev["&amp;N$14&amp;"]"),Tab_02.Fev[TP],$B3,Tab_02.Fev[S/A],"A")</f>
        <v>-82907150.670000002</v>
      </c>
      <c r="O3" s="7">
        <f ca="1">SUMIFS(INDIRECT("Tab_02.Fev["&amp;O$14&amp;"]"),Tab_02.Fev[TP],$B3,Tab_02.Fev[S/A],"A")</f>
        <v>810608.17</v>
      </c>
    </row>
    <row r="4" spans="2:15" outlineLevel="1" x14ac:dyDescent="0.3">
      <c r="F4" s="8">
        <f ca="1">SUM(F$2:F$3)</f>
        <v>0</v>
      </c>
      <c r="G4" s="8">
        <f ca="1">SUM(G$2:G$3)</f>
        <v>0</v>
      </c>
      <c r="H4" s="3"/>
      <c r="J4" s="88"/>
      <c r="K4" s="8">
        <f t="shared" ref="K4:O4" ca="1" si="0">SUM(K$2:K$3)</f>
        <v>-111264.76</v>
      </c>
      <c r="L4" s="8">
        <f t="shared" ca="1" si="0"/>
        <v>3646008.74</v>
      </c>
      <c r="M4" s="8">
        <f t="shared" ca="1" si="0"/>
        <v>3596292.59</v>
      </c>
      <c r="N4" s="8">
        <f ca="1">SUM(N$2:N$3)</f>
        <v>-61548.61</v>
      </c>
      <c r="O4" s="8">
        <f t="shared" ca="1" si="0"/>
        <v>49716.15</v>
      </c>
    </row>
    <row r="5" spans="2:15" ht="5.0999999999999996" customHeight="1" outlineLevel="1" x14ac:dyDescent="0.3">
      <c r="H5" s="3"/>
      <c r="J5" s="89"/>
      <c r="K5" s="4"/>
    </row>
    <row r="6" spans="2:15" outlineLevel="1" x14ac:dyDescent="0.3">
      <c r="B6" s="2" t="s">
        <v>19</v>
      </c>
      <c r="F6" s="7">
        <f ca="1">SUMIFS(INDIRECT("Tab_02.Fev["&amp;F$14&amp;"]"),Tab_02.Fev[TP],$B6,Tab_02.Fev[NV],"A")</f>
        <v>0</v>
      </c>
      <c r="G6" s="7">
        <f ca="1">SUMIFS(INDIRECT("Tab_02.Fev["&amp;G$14&amp;"]"),Tab_02.Fev[TP],$B6,Tab_02.Fev[NV],"A")</f>
        <v>0</v>
      </c>
      <c r="H6" s="3"/>
      <c r="J6" s="88" t="s">
        <v>18</v>
      </c>
      <c r="K6" s="7">
        <f ca="1">SUMIFS(INDIRECT("Tab_02.Fev["&amp;K$14&amp;"]"),Tab_02.Fev[TP],$B6,Tab_02.Fev[S/A],"A")</f>
        <v>-1136279.73</v>
      </c>
      <c r="L6" s="7">
        <f ca="1">SUMIFS(INDIRECT("Tab_02.Fev["&amp;L$14&amp;"]"),Tab_02.Fev[TP],$B6,Tab_02.Fev[S/A],"A")</f>
        <v>0</v>
      </c>
      <c r="M6" s="7">
        <f ca="1">SUMIFS(INDIRECT("Tab_02.Fev["&amp;M$14&amp;"]"),Tab_02.Fev[TP],$B6,Tab_02.Fev[S/A],"A")</f>
        <v>524610.86</v>
      </c>
      <c r="N6" s="7">
        <f ca="1">SUMIFS(INDIRECT("Tab_02.Fev["&amp;N$14&amp;"]"),Tab_02.Fev[TP],$B6,Tab_02.Fev[S/A],"A")</f>
        <v>-1660890.59</v>
      </c>
      <c r="O6" s="7">
        <f ca="1">SUMIFS(INDIRECT("Tab_02.Fev["&amp;O$14&amp;"]"),Tab_02.Fev[TP],$B6,Tab_02.Fev[S/A],"A")</f>
        <v>-524610.86</v>
      </c>
    </row>
    <row r="7" spans="2:15" outlineLevel="1" x14ac:dyDescent="0.3">
      <c r="B7" s="2" t="s">
        <v>20</v>
      </c>
      <c r="F7" s="7">
        <f ca="1">SUMIFS(INDIRECT("Tab_02.Fev["&amp;F$14&amp;"]"),Tab_02.Fev[TP],$B7,Tab_02.Fev[NV],"A")</f>
        <v>0</v>
      </c>
      <c r="G7" s="7">
        <f ca="1">SUMIFS(INDIRECT("Tab_02.Fev["&amp;G$14&amp;"]"),Tab_02.Fev[TP],$B7,Tab_02.Fev[NV],"A")</f>
        <v>0</v>
      </c>
      <c r="H7" s="3"/>
      <c r="J7" s="88" t="s">
        <v>111</v>
      </c>
      <c r="K7" s="7">
        <f ca="1">SUMIFS(INDIRECT("Tab_02.Fev["&amp;K$14&amp;"]"),Tab_02.Fev[TP],$B7,Tab_02.Fev[S/A],"A")</f>
        <v>1247544.49</v>
      </c>
      <c r="L7" s="7">
        <f ca="1">SUMIFS(INDIRECT("Tab_02.Fev["&amp;L$14&amp;"]"),Tab_02.Fev[TP],$B7,Tab_02.Fev[S/A],"A")</f>
        <v>474894.71</v>
      </c>
      <c r="M7" s="7">
        <f ca="1">SUMIFS(INDIRECT("Tab_02.Fev["&amp;M$14&amp;"]"),Tab_02.Fev[TP],$B7,Tab_02.Fev[S/A],"A")</f>
        <v>0</v>
      </c>
      <c r="N7" s="7">
        <f ca="1">SUMIFS(INDIRECT("Tab_02.Fev["&amp;N$14&amp;"]"),Tab_02.Fev[TP],$B7,Tab_02.Fev[S/A],"A")</f>
        <v>1722439.2</v>
      </c>
      <c r="O7" s="7">
        <f ca="1">SUMIFS(INDIRECT("Tab_02.Fev["&amp;O$14&amp;"]"),Tab_02.Fev[TP],$B7,Tab_02.Fev[S/A],"A")</f>
        <v>474894.71</v>
      </c>
    </row>
    <row r="8" spans="2:15" outlineLevel="1" x14ac:dyDescent="0.3">
      <c r="F8" s="8">
        <f ca="1">SUM(F$6:F$7)</f>
        <v>0</v>
      </c>
      <c r="G8" s="8">
        <f ca="1">SUM(G$6:G$7)</f>
        <v>0</v>
      </c>
      <c r="H8" s="3"/>
      <c r="J8" s="88"/>
      <c r="K8" s="8">
        <f ca="1">SUM(K$6:K$7)</f>
        <v>111264.76</v>
      </c>
      <c r="L8" s="8">
        <f ca="1">SUM(L$6:L$7)</f>
        <v>474894.71</v>
      </c>
      <c r="M8" s="8">
        <f ca="1">SUM(M$6:M$7)</f>
        <v>524610.86</v>
      </c>
      <c r="N8" s="8">
        <f ca="1">SUM(N$6:N$7)</f>
        <v>61548.61</v>
      </c>
      <c r="O8" s="8">
        <f ca="1">SUM(O$6:O$7)</f>
        <v>-49716.15</v>
      </c>
    </row>
    <row r="9" spans="2:15" ht="5.0999999999999996" customHeight="1" outlineLevel="1" x14ac:dyDescent="0.3">
      <c r="H9" s="3"/>
      <c r="J9" s="89"/>
      <c r="K9" s="4"/>
    </row>
    <row r="10" spans="2:15" x14ac:dyDescent="0.3">
      <c r="F10" s="11">
        <f ca="1">SUM(F$4,F$8)</f>
        <v>0</v>
      </c>
      <c r="G10" s="11">
        <f ca="1">SUM(G$4,G$8)</f>
        <v>0</v>
      </c>
      <c r="H10" s="3"/>
      <c r="J10" s="88" t="s">
        <v>22</v>
      </c>
      <c r="K10" s="11">
        <f t="shared" ref="K10:O10" ca="1" si="1">SUM(K$4,K$8)</f>
        <v>0</v>
      </c>
      <c r="L10" s="11">
        <f t="shared" ca="1" si="1"/>
        <v>4120903.45</v>
      </c>
      <c r="M10" s="11">
        <f t="shared" ca="1" si="1"/>
        <v>4120903.45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H11" s="3"/>
      <c r="K11" s="4"/>
    </row>
    <row r="12" spans="2:15" x14ac:dyDescent="0.3">
      <c r="F12" s="7">
        <f>SUBTOTAL(9,Tab_02.Fev[SALDO FINAL
ANTERIOR])</f>
        <v>0</v>
      </c>
      <c r="G12" s="7">
        <f>SUBTOTAL(9,Tab_02.Fev[DIFERENÇA])</f>
        <v>0</v>
      </c>
      <c r="H12" s="3"/>
      <c r="K12" s="7">
        <f>SUBTOTAL(9,Tab_02.Fev[SALDO
ANTERIOR])</f>
        <v>0</v>
      </c>
      <c r="L12" s="7">
        <f>SUBTOTAL(9,Tab_02.Fev[DÉBITO])</f>
        <v>20604517.25</v>
      </c>
      <c r="M12" s="7">
        <f>SUBTOTAL(9,Tab_02.Fev[CRÉDITO])</f>
        <v>20604517.25</v>
      </c>
      <c r="N12" s="7">
        <f>SUBTOTAL(9,Tab_02.Fev[SALDO
ATUAL])</f>
        <v>0</v>
      </c>
      <c r="O12" s="7">
        <f>SUBTOTAL(9,Tab_02.Fev[MOVIMENTO])</f>
        <v>0</v>
      </c>
    </row>
    <row r="13" spans="2:15" ht="5.0999999999999996" customHeight="1" x14ac:dyDescent="0.3">
      <c r="H13" s="3"/>
      <c r="K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SUMIFS(Tab_01.Jan[SALDO
ATUAL],Tab_01.Jan[CONTA],$I15)</f>
        <v>83606494.079999998</v>
      </c>
      <c r="G15" s="4">
        <f>$F15-$K15</f>
        <v>0</v>
      </c>
      <c r="H15" s="89"/>
      <c r="I15" s="3">
        <v>1</v>
      </c>
      <c r="J15" s="3" t="s">
        <v>637</v>
      </c>
      <c r="K15" s="4">
        <v>83606494.079999998</v>
      </c>
      <c r="L15" s="4">
        <v>2175760.2999999998</v>
      </c>
      <c r="M15" s="4">
        <v>2936652.32</v>
      </c>
      <c r="N15" s="4">
        <v>82845602.060000002</v>
      </c>
      <c r="O15" s="4">
        <f>Tab_02.Fev[[#This Row],[DÉBITO]]-Tab_02.Fev[[#This Row],[CRÉDITO]]</f>
        <v>-760892.02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SUMIFS(Tab_01.Jan[SALDO
ATUAL],Tab_01.Jan[CONTA],$I16)</f>
        <v>10976795.77</v>
      </c>
      <c r="G16" s="4">
        <f>$F16-$K16</f>
        <v>0</v>
      </c>
      <c r="H16" s="89"/>
      <c r="I16" s="3" t="s">
        <v>197</v>
      </c>
      <c r="J16" s="3" t="s">
        <v>247</v>
      </c>
      <c r="K16" s="4">
        <v>10976795.77</v>
      </c>
      <c r="L16" s="4">
        <v>2175274.58</v>
      </c>
      <c r="M16" s="4">
        <v>2936652.32</v>
      </c>
      <c r="N16" s="4">
        <v>10215418.029999999</v>
      </c>
      <c r="O16" s="4">
        <f>Tab_02.Fev[[#This Row],[DÉBITO]]-Tab_02.Fev[[#This Row],[CRÉDITO]]</f>
        <v>-761377.74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SUMIFS(Tab_01.Jan[SALDO
ATUAL],Tab_01.Jan[CONTA],$I17)</f>
        <v>10865493.23</v>
      </c>
      <c r="G17" s="4">
        <f>$F17-$K17</f>
        <v>0</v>
      </c>
      <c r="H17" s="89"/>
      <c r="I17" s="3" t="s">
        <v>199</v>
      </c>
      <c r="J17" s="3" t="s">
        <v>638</v>
      </c>
      <c r="K17" s="4">
        <v>10865493.23</v>
      </c>
      <c r="L17" s="4">
        <v>2170272.64</v>
      </c>
      <c r="M17" s="4">
        <v>2936652.32</v>
      </c>
      <c r="N17" s="4">
        <v>10099113.550000001</v>
      </c>
      <c r="O17" s="4">
        <f>Tab_02.Fev[[#This Row],[DÉBITO]]-Tab_02.Fev[[#This Row],[CRÉDITO]]</f>
        <v>-766379.68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SUMIFS(Tab_01.Jan[SALDO
ATUAL],Tab_01.Jan[CONTA],$I18)</f>
        <v>3918.73</v>
      </c>
      <c r="G18" s="4">
        <f t="shared" ref="G18:G49" si="2">$F18-$K18</f>
        <v>0</v>
      </c>
      <c r="H18" s="89"/>
      <c r="I18" s="3" t="s">
        <v>201</v>
      </c>
      <c r="J18" s="3" t="s">
        <v>639</v>
      </c>
      <c r="K18" s="4">
        <v>3918.73</v>
      </c>
      <c r="L18" s="4">
        <v>0</v>
      </c>
      <c r="M18" s="4">
        <v>62.97</v>
      </c>
      <c r="N18" s="4">
        <v>3855.76</v>
      </c>
      <c r="O18" s="4">
        <f>Tab_02.Fev[[#This Row],[DÉBITO]]-Tab_02.Fev[[#This Row],[CRÉDITO]]</f>
        <v>-62.97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SUMIFS(Tab_01.Jan[SALDO
ATUAL],Tab_01.Jan[CONTA],$I19)</f>
        <v>3918.73</v>
      </c>
      <c r="G19" s="4">
        <f t="shared" si="2"/>
        <v>0</v>
      </c>
      <c r="H19" s="89"/>
      <c r="I19" s="3" t="s">
        <v>176</v>
      </c>
      <c r="J19" s="3" t="s">
        <v>274</v>
      </c>
      <c r="K19" s="4">
        <v>3918.73</v>
      </c>
      <c r="L19" s="4">
        <v>0</v>
      </c>
      <c r="M19" s="4">
        <v>62.97</v>
      </c>
      <c r="N19" s="4">
        <v>3855.76</v>
      </c>
      <c r="O19" s="4">
        <f>Tab_02.Fev[[#This Row],[DÉBITO]]-Tab_02.Fev[[#This Row],[CRÉDITO]]</f>
        <v>-62.97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SUMIFS(Tab_01.Jan[SALDO
ATUAL],Tab_01.Jan[CONTA],$I20)</f>
        <v>26915.9</v>
      </c>
      <c r="G20" s="4">
        <f t="shared" si="2"/>
        <v>0</v>
      </c>
      <c r="H20" s="89"/>
      <c r="I20" s="3" t="s">
        <v>202</v>
      </c>
      <c r="J20" s="3" t="s">
        <v>640</v>
      </c>
      <c r="K20" s="4">
        <v>26915.9</v>
      </c>
      <c r="L20" s="4">
        <v>1743272.64</v>
      </c>
      <c r="M20" s="4">
        <v>1717927.57</v>
      </c>
      <c r="N20" s="4">
        <v>52260.97</v>
      </c>
      <c r="O20" s="4">
        <f>Tab_02.Fev[[#This Row],[DÉBITO]]-Tab_02.Fev[[#This Row],[CRÉDITO]]</f>
        <v>25345.07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SUMIFS(Tab_01.Jan[SALDO
ATUAL],Tab_01.Jan[CONTA],$I21)</f>
        <v>1</v>
      </c>
      <c r="G21" s="4">
        <f t="shared" si="2"/>
        <v>0</v>
      </c>
      <c r="H21" s="89"/>
      <c r="I21" s="3" t="s">
        <v>277</v>
      </c>
      <c r="J21" s="3" t="s">
        <v>278</v>
      </c>
      <c r="K21" s="4">
        <v>1</v>
      </c>
      <c r="L21" s="4">
        <v>1728371.82</v>
      </c>
      <c r="M21" s="4">
        <v>1710849.71</v>
      </c>
      <c r="N21" s="4">
        <v>17523.11</v>
      </c>
      <c r="O21" s="4">
        <f>Tab_02.Fev[[#This Row],[DÉBITO]]-Tab_02.Fev[[#This Row],[CRÉDITO]]</f>
        <v>17522.11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SUMIFS(Tab_01.Jan[SALDO
ATUAL],Tab_01.Jan[CONTA],$I22)</f>
        <v>17189.240000000002</v>
      </c>
      <c r="G22" s="4">
        <f t="shared" si="2"/>
        <v>0</v>
      </c>
      <c r="H22" s="89"/>
      <c r="I22" s="3" t="s">
        <v>177</v>
      </c>
      <c r="J22" s="3" t="s">
        <v>279</v>
      </c>
      <c r="K22" s="4">
        <v>17189.240000000002</v>
      </c>
      <c r="L22" s="4">
        <v>14900.82</v>
      </c>
      <c r="M22" s="4">
        <v>6669.96</v>
      </c>
      <c r="N22" s="4">
        <v>25420.1</v>
      </c>
      <c r="O22" s="4">
        <f>Tab_02.Fev[[#This Row],[DÉBITO]]-Tab_02.Fev[[#This Row],[CRÉDITO]]</f>
        <v>8230.86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SUMIFS(Tab_01.Jan[SALDO
ATUAL],Tab_01.Jan[CONTA],$I23)</f>
        <v>4246.91</v>
      </c>
      <c r="G23" s="4">
        <f t="shared" si="2"/>
        <v>0</v>
      </c>
      <c r="H23" s="89"/>
      <c r="I23" s="3" t="s">
        <v>280</v>
      </c>
      <c r="J23" s="3" t="s">
        <v>281</v>
      </c>
      <c r="K23" s="4">
        <v>4246.91</v>
      </c>
      <c r="L23" s="4">
        <v>0</v>
      </c>
      <c r="M23" s="4">
        <v>0</v>
      </c>
      <c r="N23" s="4">
        <v>4246.91</v>
      </c>
      <c r="O23" s="4">
        <f>Tab_02.Fev[[#This Row],[DÉBITO]]-Tab_02.Fev[[#This Row],[CRÉDITO]]</f>
        <v>0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SUMIFS(Tab_01.Jan[SALDO
ATUAL],Tab_01.Jan[CONTA],$I24)</f>
        <v>5478.75</v>
      </c>
      <c r="G24" s="4">
        <f t="shared" si="2"/>
        <v>0</v>
      </c>
      <c r="H24" s="89"/>
      <c r="I24" s="3" t="s">
        <v>282</v>
      </c>
      <c r="J24" s="3" t="s">
        <v>283</v>
      </c>
      <c r="K24" s="4">
        <v>5478.75</v>
      </c>
      <c r="L24" s="4">
        <v>0</v>
      </c>
      <c r="M24" s="4">
        <v>407.9</v>
      </c>
      <c r="N24" s="4">
        <v>5070.8500000000004</v>
      </c>
      <c r="O24" s="4">
        <f>Tab_02.Fev[[#This Row],[DÉBITO]]-Tab_02.Fev[[#This Row],[CRÉDITO]]</f>
        <v>-407.9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SUMIFS(Tab_01.Jan[SALDO
ATUAL],Tab_01.Jan[CONTA],$I25)</f>
        <v>10834658.6</v>
      </c>
      <c r="G25" s="4">
        <f t="shared" si="2"/>
        <v>0</v>
      </c>
      <c r="H25" s="89"/>
      <c r="I25" s="3" t="s">
        <v>203</v>
      </c>
      <c r="J25" s="3" t="s">
        <v>641</v>
      </c>
      <c r="K25" s="4">
        <v>10834658.6</v>
      </c>
      <c r="L25" s="4">
        <v>427000</v>
      </c>
      <c r="M25" s="4">
        <v>1218661.78</v>
      </c>
      <c r="N25" s="4">
        <v>10042996.82</v>
      </c>
      <c r="O25" s="4">
        <f>Tab_02.Fev[[#This Row],[DÉBITO]]-Tab_02.Fev[[#This Row],[CRÉDITO]]</f>
        <v>-791661.78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SUMIFS(Tab_01.Jan[SALDO
ATUAL],Tab_01.Jan[CONTA],$I26)</f>
        <v>5399871.7999999998</v>
      </c>
      <c r="G26" s="4">
        <f t="shared" si="2"/>
        <v>0</v>
      </c>
      <c r="H26" s="89"/>
      <c r="I26" s="3" t="s">
        <v>178</v>
      </c>
      <c r="J26" s="3" t="s">
        <v>284</v>
      </c>
      <c r="K26" s="4">
        <v>5399871.7999999998</v>
      </c>
      <c r="L26" s="4">
        <v>427000</v>
      </c>
      <c r="M26" s="4">
        <v>1218661.78</v>
      </c>
      <c r="N26" s="4">
        <v>4608210.0199999996</v>
      </c>
      <c r="O26" s="4">
        <f>Tab_02.Fev[[#This Row],[DÉBITO]]-Tab_02.Fev[[#This Row],[CRÉDITO]]</f>
        <v>-791661.78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SUMIFS(Tab_01.Jan[SALDO
ATUAL],Tab_01.Jan[CONTA],$I27)</f>
        <v>5434786.7999999998</v>
      </c>
      <c r="G27" s="4">
        <f t="shared" si="2"/>
        <v>0</v>
      </c>
      <c r="H27" s="89"/>
      <c r="I27" s="3" t="s">
        <v>287</v>
      </c>
      <c r="J27" s="3" t="s">
        <v>288</v>
      </c>
      <c r="K27" s="4">
        <v>5434786.7999999998</v>
      </c>
      <c r="L27" s="4">
        <v>0</v>
      </c>
      <c r="M27" s="4">
        <v>0</v>
      </c>
      <c r="N27" s="4">
        <v>5434786.7999999998</v>
      </c>
      <c r="O27" s="4">
        <f>Tab_02.Fev[[#This Row],[DÉBITO]]-Tab_02.Fev[[#This Row],[CRÉDITO]]</f>
        <v>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SUMIFS(Tab_01.Jan[SALDO
ATUAL],Tab_01.Jan[CONTA],$I28)</f>
        <v>99274.97</v>
      </c>
      <c r="G28" s="4">
        <f t="shared" si="2"/>
        <v>0</v>
      </c>
      <c r="H28" s="89"/>
      <c r="I28" s="3" t="s">
        <v>204</v>
      </c>
      <c r="J28" s="3" t="s">
        <v>642</v>
      </c>
      <c r="K28" s="4">
        <v>99274.97</v>
      </c>
      <c r="L28" s="4">
        <v>0</v>
      </c>
      <c r="M28" s="4">
        <v>0</v>
      </c>
      <c r="N28" s="4">
        <v>99274.97</v>
      </c>
      <c r="O28" s="4">
        <f>Tab_02.Fev[[#This Row],[DÉBITO]]-Tab_02.Fev[[#This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SUMIFS(Tab_01.Jan[SALDO
ATUAL],Tab_01.Jan[CONTA],$I29)</f>
        <v>99274.97</v>
      </c>
      <c r="G29" s="4">
        <f t="shared" si="2"/>
        <v>0</v>
      </c>
      <c r="H29" s="89"/>
      <c r="I29" s="3" t="s">
        <v>205</v>
      </c>
      <c r="J29" s="3" t="s">
        <v>643</v>
      </c>
      <c r="K29" s="4">
        <v>99274.97</v>
      </c>
      <c r="L29" s="4">
        <v>0</v>
      </c>
      <c r="M29" s="4">
        <v>0</v>
      </c>
      <c r="N29" s="4">
        <v>99274.97</v>
      </c>
      <c r="O29" s="4">
        <f>Tab_02.Fev[[#This Row],[DÉBITO]]-Tab_02.Fev[[#This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SUMIFS(Tab_01.Jan[SALDO
ATUAL],Tab_01.Jan[CONTA],$I30)</f>
        <v>99274.97</v>
      </c>
      <c r="G30" s="4">
        <f t="shared" si="2"/>
        <v>0</v>
      </c>
      <c r="H30" s="89"/>
      <c r="I30" s="3" t="s">
        <v>291</v>
      </c>
      <c r="J30" s="3" t="s">
        <v>292</v>
      </c>
      <c r="K30" s="4">
        <v>99274.97</v>
      </c>
      <c r="L30" s="4">
        <v>0</v>
      </c>
      <c r="M30" s="4">
        <v>0</v>
      </c>
      <c r="N30" s="4">
        <v>99274.97</v>
      </c>
      <c r="O30" s="4">
        <f>Tab_02.Fev[[#This Row],[DÉBITO]]-Tab_02.Fev[[#This Row],[CRÉDITO]]</f>
        <v>0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SUMIFS(Tab_01.Jan[SALDO
ATUAL],Tab_01.Jan[CONTA],$I31)</f>
        <v>9738.24</v>
      </c>
      <c r="G31" s="4">
        <f t="shared" si="2"/>
        <v>0</v>
      </c>
      <c r="H31" s="89"/>
      <c r="I31" s="3" t="s">
        <v>206</v>
      </c>
      <c r="J31" s="3" t="s">
        <v>644</v>
      </c>
      <c r="K31" s="4">
        <v>9738.24</v>
      </c>
      <c r="L31" s="4">
        <v>5001.9399999999996</v>
      </c>
      <c r="M31" s="4">
        <v>0</v>
      </c>
      <c r="N31" s="4">
        <v>14740.18</v>
      </c>
      <c r="O31" s="4">
        <f>Tab_02.Fev[[#This Row],[DÉBITO]]-Tab_02.Fev[[#This Row],[CRÉDITO]]</f>
        <v>5001.9399999999996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SUMIFS(Tab_01.Jan[SALDO
ATUAL],Tab_01.Jan[CONTA],$I32)</f>
        <v>5256.5</v>
      </c>
      <c r="G32" s="4">
        <f t="shared" si="2"/>
        <v>0</v>
      </c>
      <c r="H32" s="89"/>
      <c r="I32" s="3" t="s">
        <v>208</v>
      </c>
      <c r="J32" s="3" t="s">
        <v>139</v>
      </c>
      <c r="K32" s="4">
        <v>5256.5</v>
      </c>
      <c r="L32" s="4">
        <v>5001.9399999999996</v>
      </c>
      <c r="M32" s="4">
        <v>0</v>
      </c>
      <c r="N32" s="4">
        <v>10258.44</v>
      </c>
      <c r="O32" s="4">
        <f>Tab_02.Fev[[#This Row],[DÉBITO]]-Tab_02.Fev[[#This Row],[CRÉDITO]]</f>
        <v>5001.9399999999996</v>
      </c>
    </row>
    <row r="33" spans="2:18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SUMIFS(Tab_01.Jan[SALDO
ATUAL],Tab_01.Jan[CONTA],$I33)</f>
        <v>44.58</v>
      </c>
      <c r="G33" s="4">
        <f t="shared" si="2"/>
        <v>0</v>
      </c>
      <c r="H33" s="89"/>
      <c r="I33" s="3" t="s">
        <v>179</v>
      </c>
      <c r="J33" s="3" t="s">
        <v>293</v>
      </c>
      <c r="K33" s="4">
        <v>44.58</v>
      </c>
      <c r="L33" s="4">
        <v>0</v>
      </c>
      <c r="M33" s="4">
        <v>0</v>
      </c>
      <c r="N33" s="4">
        <v>44.58</v>
      </c>
      <c r="O33" s="4">
        <f>Tab_02.Fev[[#This Row],[DÉBITO]]-Tab_02.Fev[[#This Row],[CRÉDITO]]</f>
        <v>0</v>
      </c>
    </row>
    <row r="34" spans="2:18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SUMIFS(Tab_01.Jan[SALDO
ATUAL],Tab_01.Jan[CONTA],$I34)</f>
        <v>5211.92</v>
      </c>
      <c r="G34" s="4">
        <f t="shared" si="2"/>
        <v>0</v>
      </c>
      <c r="H34" s="89"/>
      <c r="I34" s="3" t="s">
        <v>294</v>
      </c>
      <c r="J34" s="3" t="s">
        <v>295</v>
      </c>
      <c r="K34" s="4">
        <v>5211.92</v>
      </c>
      <c r="L34" s="4">
        <v>5001.9399999999996</v>
      </c>
      <c r="M34" s="4">
        <v>0</v>
      </c>
      <c r="N34" s="4">
        <v>10213.86</v>
      </c>
      <c r="O34" s="4">
        <f>Tab_02.Fev[[#This Row],[DÉBITO]]-Tab_02.Fev[[#This Row],[CRÉDITO]]</f>
        <v>5001.9399999999996</v>
      </c>
    </row>
    <row r="35" spans="2:18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SUMIFS(Tab_01.Jan[SALDO
ATUAL],Tab_01.Jan[CONTA],$I35)</f>
        <v>4481.74</v>
      </c>
      <c r="G35" s="4">
        <f t="shared" si="2"/>
        <v>0</v>
      </c>
      <c r="H35" s="89"/>
      <c r="I35" s="3" t="s">
        <v>551</v>
      </c>
      <c r="J35" s="3" t="s">
        <v>645</v>
      </c>
      <c r="K35" s="4">
        <v>4481.74</v>
      </c>
      <c r="L35" s="4">
        <v>0</v>
      </c>
      <c r="M35" s="4">
        <v>0</v>
      </c>
      <c r="N35" s="4">
        <v>4481.74</v>
      </c>
      <c r="O35" s="4">
        <f>Tab_02.Fev[[#This Row],[DÉBITO]]-Tab_02.Fev[[#This Row],[CRÉDITO]]</f>
        <v>0</v>
      </c>
    </row>
    <row r="36" spans="2:18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SUMIFS(Tab_01.Jan[SALDO
ATUAL],Tab_01.Jan[CONTA],$I36)</f>
        <v>4481.74</v>
      </c>
      <c r="G36" s="4">
        <f t="shared" si="2"/>
        <v>0</v>
      </c>
      <c r="H36" s="89"/>
      <c r="I36" s="3" t="s">
        <v>837</v>
      </c>
      <c r="J36" s="3" t="s">
        <v>838</v>
      </c>
      <c r="K36" s="4">
        <v>4481.74</v>
      </c>
      <c r="L36" s="4">
        <v>0</v>
      </c>
      <c r="M36" s="4">
        <v>0</v>
      </c>
      <c r="N36" s="4">
        <v>4481.74</v>
      </c>
      <c r="O36" s="4">
        <f>Tab_02.Fev[[#This Row],[DÉBITO]]-Tab_02.Fev[[#This Row],[CRÉDITO]]</f>
        <v>0</v>
      </c>
    </row>
    <row r="37" spans="2:18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SUMIFS(Tab_01.Jan[SALDO
ATUAL],Tab_01.Jan[CONTA],$I37)</f>
        <v>2289.33</v>
      </c>
      <c r="G37" s="4">
        <f t="shared" si="2"/>
        <v>0</v>
      </c>
      <c r="H37" s="89"/>
      <c r="I37" s="3" t="s">
        <v>209</v>
      </c>
      <c r="J37" s="3" t="s">
        <v>646</v>
      </c>
      <c r="K37" s="4">
        <v>2289.33</v>
      </c>
      <c r="L37" s="4">
        <v>0</v>
      </c>
      <c r="M37" s="4">
        <v>0</v>
      </c>
      <c r="N37" s="4">
        <v>2289.33</v>
      </c>
      <c r="O37" s="4">
        <f>Tab_02.Fev[[#This Row],[DÉBITO]]-Tab_02.Fev[[#This Row],[CRÉDITO]]</f>
        <v>0</v>
      </c>
    </row>
    <row r="38" spans="2:18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SUMIFS(Tab_01.Jan[SALDO
ATUAL],Tab_01.Jan[CONTA],$I38)</f>
        <v>2289.33</v>
      </c>
      <c r="G38" s="4">
        <f t="shared" si="2"/>
        <v>0</v>
      </c>
      <c r="H38" s="89"/>
      <c r="I38" s="3" t="s">
        <v>210</v>
      </c>
      <c r="J38" s="3" t="s">
        <v>646</v>
      </c>
      <c r="K38" s="4">
        <v>2289.33</v>
      </c>
      <c r="L38" s="4">
        <v>0</v>
      </c>
      <c r="M38" s="4">
        <v>0</v>
      </c>
      <c r="N38" s="4">
        <v>2289.33</v>
      </c>
      <c r="O38" s="4">
        <f>Tab_02.Fev[[#This Row],[DÉBITO]]-Tab_02.Fev[[#This Row],[CRÉDITO]]</f>
        <v>0</v>
      </c>
    </row>
    <row r="39" spans="2:18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SUMIFS(Tab_01.Jan[SALDO
ATUAL],Tab_01.Jan[CONTA],$I39)</f>
        <v>2289.33</v>
      </c>
      <c r="G39" s="4">
        <f t="shared" si="2"/>
        <v>0</v>
      </c>
      <c r="H39" s="89"/>
      <c r="I39" s="3" t="s">
        <v>298</v>
      </c>
      <c r="J39" s="3" t="s">
        <v>299</v>
      </c>
      <c r="K39" s="4">
        <v>2289.33</v>
      </c>
      <c r="L39" s="4">
        <v>0</v>
      </c>
      <c r="M39" s="4">
        <v>0</v>
      </c>
      <c r="N39" s="4">
        <v>2289.33</v>
      </c>
      <c r="O39" s="4">
        <f>Tab_02.Fev[[#This Row],[DÉBITO]]-Tab_02.Fev[[#This Row],[CRÉDITO]]</f>
        <v>0</v>
      </c>
    </row>
    <row r="40" spans="2:18" x14ac:dyDescent="0.3">
      <c r="B40" s="2" t="str">
        <f>_xlfn.XLOOKUP($I40,Tab_00.Trial[CONTA],Tab_00.Trial[TP],"",0,1)</f>
        <v>A</v>
      </c>
      <c r="C40" s="2">
        <f>_xlfn.XLOOKUP($I40,Tab_00.Trial[CONTA],Tab_00.Trial[NV],"",0,1)</f>
        <v>2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SUMIFS(Tab_01.Jan[SALDO
ATUAL],Tab_01.Jan[CONTA],$I40)</f>
        <v>72629698.310000002</v>
      </c>
      <c r="G40" s="4">
        <f t="shared" si="2"/>
        <v>0</v>
      </c>
      <c r="H40" s="89"/>
      <c r="I40" s="3" t="s">
        <v>211</v>
      </c>
      <c r="J40" s="3" t="s">
        <v>76</v>
      </c>
      <c r="K40" s="4">
        <v>72629698.310000002</v>
      </c>
      <c r="L40" s="4">
        <v>485.72</v>
      </c>
      <c r="M40" s="4">
        <v>0</v>
      </c>
      <c r="N40" s="4">
        <v>72630184.030000001</v>
      </c>
      <c r="O40" s="4">
        <f>Tab_02.Fev[[#This Row],[DÉBITO]]-Tab_02.Fev[[#This Row],[CRÉDITO]]</f>
        <v>485.72</v>
      </c>
    </row>
    <row r="41" spans="2:18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SUMIFS(Tab_01.Jan[SALDO
ATUAL],Tab_01.Jan[CONTA],$I41)</f>
        <v>252090.79</v>
      </c>
      <c r="G41" s="4">
        <f t="shared" si="2"/>
        <v>0</v>
      </c>
      <c r="H41" s="89"/>
      <c r="I41" s="3" t="s">
        <v>552</v>
      </c>
      <c r="J41" s="3" t="s">
        <v>647</v>
      </c>
      <c r="K41" s="4">
        <v>252090.79</v>
      </c>
      <c r="L41" s="4">
        <v>485.72</v>
      </c>
      <c r="M41" s="4">
        <v>0</v>
      </c>
      <c r="N41" s="4">
        <v>252576.51</v>
      </c>
      <c r="O41" s="4">
        <f>Tab_02.Fev[[#This Row],[DÉBITO]]-Tab_02.Fev[[#This Row],[CRÉDITO]]</f>
        <v>485.72</v>
      </c>
    </row>
    <row r="42" spans="2:18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SUMIFS(Tab_01.Jan[SALDO
ATUAL],Tab_01.Jan[CONTA],$I42)</f>
        <v>252090.79</v>
      </c>
      <c r="G42" s="4">
        <f t="shared" si="2"/>
        <v>0</v>
      </c>
      <c r="H42" s="89"/>
      <c r="I42" s="3" t="s">
        <v>553</v>
      </c>
      <c r="J42" s="3" t="s">
        <v>301</v>
      </c>
      <c r="K42" s="4">
        <v>252090.79</v>
      </c>
      <c r="L42" s="4">
        <v>485.72</v>
      </c>
      <c r="M42" s="4">
        <v>0</v>
      </c>
      <c r="N42" s="4">
        <v>252576.51</v>
      </c>
      <c r="O42" s="4">
        <f>Tab_02.Fev[[#This Row],[DÉBITO]]-Tab_02.Fev[[#This Row],[CRÉDITO]]</f>
        <v>485.72</v>
      </c>
    </row>
    <row r="43" spans="2:18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A</v>
      </c>
      <c r="E43" s="2">
        <f>IF($I43="","",COUNTIFS(Tab_00.Trial[CONTA],$I43))</f>
        <v>1</v>
      </c>
      <c r="F43" s="4">
        <f>SUMIFS(Tab_01.Jan[SALDO
ATUAL],Tab_01.Jan[CONTA],$I43)</f>
        <v>252090.79</v>
      </c>
      <c r="G43" s="4">
        <f t="shared" si="2"/>
        <v>0</v>
      </c>
      <c r="H43" s="89"/>
      <c r="I43" s="3" t="s">
        <v>300</v>
      </c>
      <c r="J43" s="3" t="s">
        <v>301</v>
      </c>
      <c r="K43" s="4">
        <v>252090.79</v>
      </c>
      <c r="L43" s="4">
        <v>485.72</v>
      </c>
      <c r="M43" s="4">
        <v>0</v>
      </c>
      <c r="N43" s="4">
        <v>252576.51</v>
      </c>
      <c r="O43" s="4">
        <f>Tab_02.Fev[[#This Row],[DÉBITO]]-Tab_02.Fev[[#This Row],[CRÉDITO]]</f>
        <v>485.72</v>
      </c>
    </row>
    <row r="44" spans="2:18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SUMIFS(Tab_01.Jan[SALDO
ATUAL],Tab_01.Jan[CONTA],$I44)</f>
        <v>70047290.069999993</v>
      </c>
      <c r="G44" s="4">
        <f t="shared" si="2"/>
        <v>0</v>
      </c>
      <c r="H44" s="89"/>
      <c r="I44" s="3" t="s">
        <v>554</v>
      </c>
      <c r="J44" s="3" t="s">
        <v>648</v>
      </c>
      <c r="K44" s="4">
        <v>70047290.069999993</v>
      </c>
      <c r="L44" s="4">
        <v>0</v>
      </c>
      <c r="M44" s="4">
        <v>0</v>
      </c>
      <c r="N44" s="4">
        <v>70047290.069999993</v>
      </c>
      <c r="O44" s="4">
        <f>Tab_02.Fev[[#This Row],[DÉBITO]]-Tab_02.Fev[[#This Row],[CRÉDITO]]</f>
        <v>0</v>
      </c>
    </row>
    <row r="45" spans="2:18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SUMIFS(Tab_01.Jan[SALDO
ATUAL],Tab_01.Jan[CONTA],$I45)</f>
        <v>45344232.229999997</v>
      </c>
      <c r="G45" s="4">
        <f t="shared" si="2"/>
        <v>0</v>
      </c>
      <c r="H45" s="89"/>
      <c r="I45" s="3" t="s">
        <v>555</v>
      </c>
      <c r="J45" s="3" t="s">
        <v>649</v>
      </c>
      <c r="K45" s="4">
        <v>45344232.229999997</v>
      </c>
      <c r="L45" s="4">
        <v>0</v>
      </c>
      <c r="M45" s="4">
        <v>0</v>
      </c>
      <c r="N45" s="4">
        <v>45344232.229999997</v>
      </c>
      <c r="O45" s="4">
        <f>Tab_02.Fev[[#This Row],[DÉBITO]]-Tab_02.Fev[[#This Row],[CRÉDITO]]</f>
        <v>0</v>
      </c>
    </row>
    <row r="46" spans="2:18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SUMIFS(Tab_01.Jan[SALDO
ATUAL],Tab_01.Jan[CONTA],$I46)</f>
        <v>42477392.43</v>
      </c>
      <c r="G46" s="4">
        <f t="shared" si="2"/>
        <v>0</v>
      </c>
      <c r="H46" s="89"/>
      <c r="I46" s="3" t="s">
        <v>302</v>
      </c>
      <c r="J46" s="3" t="s">
        <v>303</v>
      </c>
      <c r="K46" s="4">
        <v>42477392.43</v>
      </c>
      <c r="L46" s="4">
        <v>0</v>
      </c>
      <c r="M46" s="4">
        <v>0</v>
      </c>
      <c r="N46" s="4">
        <v>42477392.43</v>
      </c>
      <c r="O46" s="4">
        <f>Tab_02.Fev[[#This Row],[DÉBITO]]-Tab_02.Fev[[#This Row],[CRÉDITO]]</f>
        <v>0</v>
      </c>
    </row>
    <row r="47" spans="2:18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A</v>
      </c>
      <c r="E47" s="2">
        <f>IF($I47="","",COUNTIFS(Tab_00.Trial[CONTA],$I47))</f>
        <v>1</v>
      </c>
      <c r="F47" s="4">
        <f>SUMIFS(Tab_01.Jan[SALDO
ATUAL],Tab_01.Jan[CONTA],$I47)</f>
        <v>2866839.8</v>
      </c>
      <c r="G47" s="4">
        <f t="shared" si="2"/>
        <v>0</v>
      </c>
      <c r="H47" s="89"/>
      <c r="I47" s="3" t="s">
        <v>304</v>
      </c>
      <c r="J47" s="3" t="s">
        <v>305</v>
      </c>
      <c r="K47" s="4">
        <v>2866839.8</v>
      </c>
      <c r="L47" s="4">
        <v>0</v>
      </c>
      <c r="M47" s="4">
        <v>0</v>
      </c>
      <c r="N47" s="4">
        <v>2866839.8</v>
      </c>
      <c r="O47" s="4">
        <f>Tab_02.Fev[[#This Row],[DÉBITO]]-Tab_02.Fev[[#This Row],[CRÉDITO]]</f>
        <v>0</v>
      </c>
    </row>
    <row r="48" spans="2:18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SUMIFS(Tab_01.Jan[SALDO
ATUAL],Tab_01.Jan[CONTA],$I48)</f>
        <v>4760.84</v>
      </c>
      <c r="G48" s="4">
        <f t="shared" si="2"/>
        <v>0</v>
      </c>
      <c r="H48" s="89"/>
      <c r="I48" s="3" t="s">
        <v>556</v>
      </c>
      <c r="J48" s="3" t="s">
        <v>650</v>
      </c>
      <c r="K48" s="4">
        <v>4760.84</v>
      </c>
      <c r="L48" s="4">
        <v>0</v>
      </c>
      <c r="M48" s="4">
        <v>0</v>
      </c>
      <c r="N48" s="4">
        <v>4760.84</v>
      </c>
      <c r="O48" s="4">
        <f>Tab_02.Fev[[#This Row],[DÉBITO]]-Tab_02.Fev[[#This Row],[CRÉDITO]]</f>
        <v>0</v>
      </c>
      <c r="R48" s="1" t="s">
        <v>734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SUMIFS(Tab_01.Jan[SALDO
ATUAL],Tab_01.Jan[CONTA],$I49)</f>
        <v>4760.84</v>
      </c>
      <c r="G49" s="4">
        <f t="shared" si="2"/>
        <v>0</v>
      </c>
      <c r="H49" s="89"/>
      <c r="I49" s="3" t="s">
        <v>306</v>
      </c>
      <c r="J49" s="3" t="s">
        <v>307</v>
      </c>
      <c r="K49" s="4">
        <v>4760.84</v>
      </c>
      <c r="L49" s="4">
        <v>0</v>
      </c>
      <c r="M49" s="4">
        <v>0</v>
      </c>
      <c r="N49" s="4">
        <v>4760.84</v>
      </c>
      <c r="O49" s="4">
        <f>Tab_02.Fev[[#This Row],[DÉBITO]]-Tab_02.Fev[[#This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SUMIFS(Tab_01.Jan[SALDO
ATUAL],Tab_01.Jan[CONTA],$I50)</f>
        <v>24698297</v>
      </c>
      <c r="G50" s="4">
        <f t="shared" ref="G50:G81" si="3">$F50-$K50</f>
        <v>0</v>
      </c>
      <c r="H50" s="89"/>
      <c r="I50" s="3" t="s">
        <v>557</v>
      </c>
      <c r="J50" s="3" t="s">
        <v>309</v>
      </c>
      <c r="K50" s="4">
        <v>24698297</v>
      </c>
      <c r="L50" s="4">
        <v>0</v>
      </c>
      <c r="M50" s="4">
        <v>0</v>
      </c>
      <c r="N50" s="4">
        <v>24698297</v>
      </c>
      <c r="O50" s="4">
        <f>Tab_02.Fev[[#This Row],[DÉBITO]]-Tab_02.Fev[[#This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SUMIFS(Tab_01.Jan[SALDO
ATUAL],Tab_01.Jan[CONTA],$I51)</f>
        <v>24698297</v>
      </c>
      <c r="G51" s="4">
        <f t="shared" si="3"/>
        <v>0</v>
      </c>
      <c r="H51" s="89"/>
      <c r="I51" s="3" t="s">
        <v>308</v>
      </c>
      <c r="J51" s="3" t="s">
        <v>309</v>
      </c>
      <c r="K51" s="4">
        <v>24698297</v>
      </c>
      <c r="L51" s="4">
        <v>0</v>
      </c>
      <c r="M51" s="4">
        <v>0</v>
      </c>
      <c r="N51" s="4">
        <v>24698297</v>
      </c>
      <c r="O51" s="4">
        <f>Tab_02.Fev[[#This Row],[DÉBITO]]-Tab_02.Fev[[#This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S</v>
      </c>
      <c r="E52" s="2">
        <f>IF($I52="","",COUNTIFS(Tab_00.Trial[CONTA],$I52))</f>
        <v>1</v>
      </c>
      <c r="F52" s="4">
        <f>SUMIFS(Tab_01.Jan[SALDO
ATUAL],Tab_01.Jan[CONTA],$I52)</f>
        <v>2330317.4500000002</v>
      </c>
      <c r="G52" s="4">
        <f t="shared" si="3"/>
        <v>0</v>
      </c>
      <c r="H52" s="89"/>
      <c r="I52" s="3" t="s">
        <v>213</v>
      </c>
      <c r="J52" s="3" t="s">
        <v>35</v>
      </c>
      <c r="K52" s="4">
        <v>2330317.4500000002</v>
      </c>
      <c r="L52" s="4">
        <v>0</v>
      </c>
      <c r="M52" s="4">
        <v>0</v>
      </c>
      <c r="N52" s="4">
        <v>2330317.4500000002</v>
      </c>
      <c r="O52" s="4">
        <f>Tab_02.Fev[[#This Row],[DÉBITO]]-Tab_02.Fev[[#This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SUMIFS(Tab_01.Jan[SALDO
ATUAL],Tab_01.Jan[CONTA],$I53)</f>
        <v>3487455.56</v>
      </c>
      <c r="G53" s="4">
        <f t="shared" si="3"/>
        <v>0</v>
      </c>
      <c r="H53" s="89"/>
      <c r="I53" s="3" t="s">
        <v>214</v>
      </c>
      <c r="J53" s="3" t="s">
        <v>651</v>
      </c>
      <c r="K53" s="4">
        <v>3487455.56</v>
      </c>
      <c r="L53" s="4">
        <v>0</v>
      </c>
      <c r="M53" s="4">
        <v>0</v>
      </c>
      <c r="N53" s="4">
        <v>3487455.56</v>
      </c>
      <c r="O53" s="4">
        <f>Tab_02.Fev[[#This Row],[DÉBITO]]-Tab_02.Fev[[#This Row],[CRÉDITO]]</f>
        <v>0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SUMIFS(Tab_01.Jan[SALDO
ATUAL],Tab_01.Jan[CONTA],$I54)</f>
        <v>1379260.84</v>
      </c>
      <c r="G54" s="4">
        <f t="shared" si="3"/>
        <v>0</v>
      </c>
      <c r="H54" s="89"/>
      <c r="I54" s="3" t="s">
        <v>310</v>
      </c>
      <c r="J54" s="3" t="s">
        <v>311</v>
      </c>
      <c r="K54" s="4">
        <v>1379260.84</v>
      </c>
      <c r="L54" s="4">
        <v>0</v>
      </c>
      <c r="M54" s="4">
        <v>0</v>
      </c>
      <c r="N54" s="4">
        <v>1379260.84</v>
      </c>
      <c r="O54" s="4">
        <f>Tab_02.Fev[[#This Row],[DÉBITO]]-Tab_02.Fev[[#This Row],[CRÉDITO]]</f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SUMIFS(Tab_01.Jan[SALDO
ATUAL],Tab_01.Jan[CONTA],$I55)</f>
        <v>1233996.98</v>
      </c>
      <c r="G55" s="4">
        <f t="shared" si="3"/>
        <v>0</v>
      </c>
      <c r="H55" s="89"/>
      <c r="I55" s="3" t="s">
        <v>312</v>
      </c>
      <c r="J55" s="3" t="s">
        <v>313</v>
      </c>
      <c r="K55" s="4">
        <v>1233996.98</v>
      </c>
      <c r="L55" s="4">
        <v>0</v>
      </c>
      <c r="M55" s="4">
        <v>0</v>
      </c>
      <c r="N55" s="4">
        <v>1233996.98</v>
      </c>
      <c r="O55" s="4">
        <f>Tab_02.Fev[[#This Row],[DÉBITO]]-Tab_02.Fev[[#This Row],[CRÉDITO]]</f>
        <v>0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SUMIFS(Tab_01.Jan[SALDO
ATUAL],Tab_01.Jan[CONTA],$I56)</f>
        <v>23000</v>
      </c>
      <c r="G56" s="4">
        <f t="shared" si="3"/>
        <v>0</v>
      </c>
      <c r="H56" s="89"/>
      <c r="I56" s="3" t="s">
        <v>181</v>
      </c>
      <c r="J56" s="3" t="s">
        <v>314</v>
      </c>
      <c r="K56" s="4">
        <v>23000</v>
      </c>
      <c r="L56" s="4">
        <v>0</v>
      </c>
      <c r="M56" s="4">
        <v>0</v>
      </c>
      <c r="N56" s="4">
        <v>23000</v>
      </c>
      <c r="O56" s="4">
        <f>Tab_02.Fev[[#This Row],[DÉBITO]]-Tab_02.Fev[[#This Row],[CRÉDITO]]</f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SUMIFS(Tab_01.Jan[SALDO
ATUAL],Tab_01.Jan[CONTA],$I57)</f>
        <v>12594</v>
      </c>
      <c r="G57" s="4">
        <f t="shared" si="3"/>
        <v>0</v>
      </c>
      <c r="H57" s="89"/>
      <c r="I57" s="3" t="s">
        <v>182</v>
      </c>
      <c r="J57" s="3" t="s">
        <v>315</v>
      </c>
      <c r="K57" s="4">
        <v>12594</v>
      </c>
      <c r="L57" s="4">
        <v>0</v>
      </c>
      <c r="M57" s="4">
        <v>0</v>
      </c>
      <c r="N57" s="4">
        <v>12594</v>
      </c>
      <c r="O57" s="4">
        <f>Tab_02.Fev[[#This Row],[DÉBITO]]-Tab_02.Fev[[#This Row],[CRÉDITO]]</f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SUMIFS(Tab_01.Jan[SALDO
ATUAL],Tab_01.Jan[CONTA],$I58)</f>
        <v>223690.57</v>
      </c>
      <c r="G58" s="4">
        <f t="shared" si="3"/>
        <v>0</v>
      </c>
      <c r="H58" s="89"/>
      <c r="I58" s="3" t="s">
        <v>183</v>
      </c>
      <c r="J58" s="3" t="s">
        <v>316</v>
      </c>
      <c r="K58" s="4">
        <v>223690.57</v>
      </c>
      <c r="L58" s="4">
        <v>0</v>
      </c>
      <c r="M58" s="4">
        <v>0</v>
      </c>
      <c r="N58" s="4">
        <v>223690.57</v>
      </c>
      <c r="O58" s="4">
        <f>Tab_02.Fev[[#This Row],[DÉBITO]]-Tab_02.Fev[[#This Row],[CRÉDITO]]</f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SUMIFS(Tab_01.Jan[SALDO
ATUAL],Tab_01.Jan[CONTA],$I59)</f>
        <v>7349.9</v>
      </c>
      <c r="G59" s="4">
        <f t="shared" si="3"/>
        <v>0</v>
      </c>
      <c r="H59" s="89"/>
      <c r="I59" s="3" t="s">
        <v>317</v>
      </c>
      <c r="J59" s="3" t="s">
        <v>318</v>
      </c>
      <c r="K59" s="4">
        <v>7349.9</v>
      </c>
      <c r="L59" s="4">
        <v>0</v>
      </c>
      <c r="M59" s="4">
        <v>0</v>
      </c>
      <c r="N59" s="4">
        <v>7349.9</v>
      </c>
      <c r="O59" s="4">
        <f>Tab_02.Fev[[#This Row],[DÉBITO]]-Tab_02.Fev[[#This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SUMIFS(Tab_01.Jan[SALDO
ATUAL],Tab_01.Jan[CONTA],$I60)</f>
        <v>128697.03</v>
      </c>
      <c r="G60" s="4">
        <f t="shared" si="3"/>
        <v>0</v>
      </c>
      <c r="H60" s="89"/>
      <c r="I60" s="3" t="s">
        <v>184</v>
      </c>
      <c r="J60" s="3" t="s">
        <v>319</v>
      </c>
      <c r="K60" s="4">
        <v>128697.03</v>
      </c>
      <c r="L60" s="4">
        <v>0</v>
      </c>
      <c r="M60" s="4">
        <v>0</v>
      </c>
      <c r="N60" s="4">
        <v>128697.03</v>
      </c>
      <c r="O60" s="4">
        <f>Tab_02.Fev[[#This Row],[DÉBITO]]-Tab_02.Fev[[#This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SUMIFS(Tab_01.Jan[SALDO
ATUAL],Tab_01.Jan[CONTA],$I61)</f>
        <v>15029.74</v>
      </c>
      <c r="G61" s="4">
        <f t="shared" si="3"/>
        <v>0</v>
      </c>
      <c r="H61" s="89"/>
      <c r="I61" s="3" t="s">
        <v>185</v>
      </c>
      <c r="J61" s="3" t="s">
        <v>320</v>
      </c>
      <c r="K61" s="4">
        <v>15029.74</v>
      </c>
      <c r="L61" s="4">
        <v>0</v>
      </c>
      <c r="M61" s="4">
        <v>0</v>
      </c>
      <c r="N61" s="4">
        <v>15029.74</v>
      </c>
      <c r="O61" s="4">
        <f>Tab_02.Fev[[#This Row],[DÉBITO]]-Tab_02.Fev[[#This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SUMIFS(Tab_01.Jan[SALDO
ATUAL],Tab_01.Jan[CONTA],$I62)</f>
        <v>463836.5</v>
      </c>
      <c r="G62" s="4">
        <f t="shared" si="3"/>
        <v>0</v>
      </c>
      <c r="H62" s="89"/>
      <c r="I62" s="3" t="s">
        <v>321</v>
      </c>
      <c r="J62" s="3" t="s">
        <v>322</v>
      </c>
      <c r="K62" s="4">
        <v>463836.5</v>
      </c>
      <c r="L62" s="4">
        <v>0</v>
      </c>
      <c r="M62" s="4">
        <v>0</v>
      </c>
      <c r="N62" s="4">
        <v>463836.5</v>
      </c>
      <c r="O62" s="4">
        <f>Tab_02.Fev[[#This Row],[DÉBITO]]-Tab_02.Fev[[#This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S</v>
      </c>
      <c r="E63" s="2">
        <f>IF($I63="","",COUNTIFS(Tab_00.Trial[CONTA],$I63))</f>
        <v>1</v>
      </c>
      <c r="F63" s="4">
        <f>SUMIFS(Tab_01.Jan[SALDO
ATUAL],Tab_01.Jan[CONTA],$I63)</f>
        <v>-1157138.1100000001</v>
      </c>
      <c r="G63" s="4">
        <f t="shared" si="3"/>
        <v>0</v>
      </c>
      <c r="H63" s="89"/>
      <c r="I63" s="3" t="s">
        <v>215</v>
      </c>
      <c r="J63" s="3" t="s">
        <v>652</v>
      </c>
      <c r="K63" s="4">
        <v>-1157138.1100000001</v>
      </c>
      <c r="L63" s="4">
        <v>0</v>
      </c>
      <c r="M63" s="4">
        <v>0</v>
      </c>
      <c r="N63" s="4">
        <v>-1157138.1100000001</v>
      </c>
      <c r="O63" s="4">
        <f>Tab_02.Fev[[#This Row],[DÉBITO]]-Tab_02.Fev[[#This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SUMIFS(Tab_01.Jan[SALDO
ATUAL],Tab_01.Jan[CONTA],$I64)</f>
        <v>-649876.97</v>
      </c>
      <c r="G64" s="4">
        <f t="shared" si="3"/>
        <v>0</v>
      </c>
      <c r="H64" s="89"/>
      <c r="I64" s="3" t="s">
        <v>186</v>
      </c>
      <c r="J64" s="3" t="s">
        <v>313</v>
      </c>
      <c r="K64" s="4">
        <v>-649876.97</v>
      </c>
      <c r="L64" s="4">
        <v>0</v>
      </c>
      <c r="M64" s="4">
        <v>0</v>
      </c>
      <c r="N64" s="4">
        <v>-649876.97</v>
      </c>
      <c r="O64" s="4">
        <f>Tab_02.Fev[[#This Row],[DÉBITO]]-Tab_02.Fev[[#This Row],[CRÉDITO]]</f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SUMIFS(Tab_01.Jan[SALDO
ATUAL],Tab_01.Jan[CONTA],$I65)</f>
        <v>-17058.599999999999</v>
      </c>
      <c r="G65" s="4">
        <f t="shared" si="3"/>
        <v>0</v>
      </c>
      <c r="H65" s="89"/>
      <c r="I65" s="3" t="s">
        <v>187</v>
      </c>
      <c r="J65" s="3" t="s">
        <v>314</v>
      </c>
      <c r="K65" s="4">
        <v>-17058.599999999999</v>
      </c>
      <c r="L65" s="4">
        <v>0</v>
      </c>
      <c r="M65" s="4">
        <v>0</v>
      </c>
      <c r="N65" s="4">
        <v>-17058.599999999999</v>
      </c>
      <c r="O65" s="4">
        <f>Tab_02.Fev[[#This Row],[DÉBITO]]-Tab_02.Fev[[#This Row],[CRÉDITO]]</f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SUMIFS(Tab_01.Jan[SALDO
ATUAL],Tab_01.Jan[CONTA],$I66)</f>
        <v>-6159.06</v>
      </c>
      <c r="G66" s="4">
        <f t="shared" si="3"/>
        <v>0</v>
      </c>
      <c r="H66" s="89"/>
      <c r="I66" s="3" t="s">
        <v>188</v>
      </c>
      <c r="J66" s="3" t="s">
        <v>315</v>
      </c>
      <c r="K66" s="4">
        <v>-6159.06</v>
      </c>
      <c r="L66" s="4">
        <v>0</v>
      </c>
      <c r="M66" s="4">
        <v>0</v>
      </c>
      <c r="N66" s="4">
        <v>-6159.06</v>
      </c>
      <c r="O66" s="4">
        <f>Tab_02.Fev[[#This Row],[DÉBITO]]-Tab_02.Fev[[#This Row],[CRÉDITO]]</f>
        <v>0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SUMIFS(Tab_01.Jan[SALDO
ATUAL],Tab_01.Jan[CONTA],$I67)</f>
        <v>-223060.16</v>
      </c>
      <c r="G67" s="4">
        <f t="shared" si="3"/>
        <v>0</v>
      </c>
      <c r="H67" s="89"/>
      <c r="I67" s="3" t="s">
        <v>189</v>
      </c>
      <c r="J67" s="3" t="s">
        <v>316</v>
      </c>
      <c r="K67" s="4">
        <v>-223060.16</v>
      </c>
      <c r="L67" s="4">
        <v>0</v>
      </c>
      <c r="M67" s="4">
        <v>0</v>
      </c>
      <c r="N67" s="4">
        <v>-223060.16</v>
      </c>
      <c r="O67" s="4">
        <f>Tab_02.Fev[[#This Row],[DÉBITO]]-Tab_02.Fev[[#This Row],[CRÉDITO]]</f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SUMIFS(Tab_01.Jan[SALDO
ATUAL],Tab_01.Jan[CONTA],$I68)</f>
        <v>-3574.84</v>
      </c>
      <c r="G68" s="4">
        <f t="shared" si="3"/>
        <v>0</v>
      </c>
      <c r="H68" s="89"/>
      <c r="I68" s="3" t="s">
        <v>190</v>
      </c>
      <c r="J68" s="3" t="s">
        <v>318</v>
      </c>
      <c r="K68" s="4">
        <v>-3574.84</v>
      </c>
      <c r="L68" s="4">
        <v>0</v>
      </c>
      <c r="M68" s="4">
        <v>0</v>
      </c>
      <c r="N68" s="4">
        <v>-3574.84</v>
      </c>
      <c r="O68" s="4">
        <f>Tab_02.Fev[[#This Row],[DÉBITO]]-Tab_02.Fev[[#This Row],[CRÉDITO]]</f>
        <v>0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SUMIFS(Tab_01.Jan[SALDO
ATUAL],Tab_01.Jan[CONTA],$I69)</f>
        <v>-128697.03</v>
      </c>
      <c r="G69" s="4">
        <f t="shared" si="3"/>
        <v>0</v>
      </c>
      <c r="H69" s="89"/>
      <c r="I69" s="3" t="s">
        <v>323</v>
      </c>
      <c r="J69" s="3" t="s">
        <v>319</v>
      </c>
      <c r="K69" s="4">
        <v>-128697.03</v>
      </c>
      <c r="L69" s="4">
        <v>0</v>
      </c>
      <c r="M69" s="4">
        <v>0</v>
      </c>
      <c r="N69" s="4">
        <v>-128697.03</v>
      </c>
      <c r="O69" s="4">
        <f>Tab_02.Fev[[#This Row],[DÉBITO]]-Tab_02.Fev[[#This Row],[CRÉDITO]]</f>
        <v>0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SUMIFS(Tab_01.Jan[SALDO
ATUAL],Tab_01.Jan[CONTA],$I70)</f>
        <v>-15029.74</v>
      </c>
      <c r="G70" s="4">
        <f t="shared" si="3"/>
        <v>0</v>
      </c>
      <c r="H70" s="89"/>
      <c r="I70" s="3" t="s">
        <v>324</v>
      </c>
      <c r="J70" s="3" t="s">
        <v>320</v>
      </c>
      <c r="K70" s="4">
        <v>-15029.74</v>
      </c>
      <c r="L70" s="4">
        <v>0</v>
      </c>
      <c r="M70" s="4">
        <v>0</v>
      </c>
      <c r="N70" s="4">
        <v>-15029.74</v>
      </c>
      <c r="O70" s="4">
        <f>Tab_02.Fev[[#This Row],[DÉBITO]]-Tab_02.Fev[[#This Row],[CRÉDITO]]</f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SUMIFS(Tab_01.Jan[SALDO
ATUAL],Tab_01.Jan[CONTA],$I71)</f>
        <v>-113681.71</v>
      </c>
      <c r="G71" s="4">
        <f t="shared" si="3"/>
        <v>0</v>
      </c>
      <c r="H71" s="89"/>
      <c r="I71" s="3" t="s">
        <v>325</v>
      </c>
      <c r="J71" s="3" t="s">
        <v>322</v>
      </c>
      <c r="K71" s="4">
        <v>-113681.71</v>
      </c>
      <c r="L71" s="4">
        <v>0</v>
      </c>
      <c r="M71" s="4">
        <v>0</v>
      </c>
      <c r="N71" s="4">
        <v>-113681.71</v>
      </c>
      <c r="O71" s="4">
        <f>Tab_02.Fev[[#This Row],[DÉBITO]]-Tab_02.Fev[[#This Row],[CRÉDITO]]</f>
        <v>0</v>
      </c>
    </row>
    <row r="72" spans="2:15" x14ac:dyDescent="0.3">
      <c r="B72" s="2" t="str">
        <f>_xlfn.XLOOKUP($I72,Tab_00.Trial[CONTA],Tab_00.Trial[TP],"",0,1)</f>
        <v>P</v>
      </c>
      <c r="C72" s="2">
        <f>_xlfn.XLOOKUP($I72,Tab_00.Trial[CONTA],Tab_00.Trial[NV],"",0,1)</f>
        <v>1</v>
      </c>
      <c r="D72" s="2" t="str">
        <f>_xlfn.XLOOKUP($I72,Tab_00.Trial[CONTA],Tab_00.Trial[S/A],"",0,1)</f>
        <v>S</v>
      </c>
      <c r="E72" s="2">
        <f>IF($I72="","",COUNTIFS(Tab_00.Trial[CONTA],$I72))</f>
        <v>1</v>
      </c>
      <c r="F72" s="4">
        <f>SUMIFS(Tab_01.Jan[SALDO
ATUAL],Tab_01.Jan[CONTA],$I72)</f>
        <v>-83717758.840000004</v>
      </c>
      <c r="G72" s="4">
        <f t="shared" si="3"/>
        <v>0</v>
      </c>
      <c r="H72" s="89"/>
      <c r="I72" s="3">
        <v>2</v>
      </c>
      <c r="J72" s="3" t="s">
        <v>653</v>
      </c>
      <c r="K72" s="4">
        <v>-83717758.840000004</v>
      </c>
      <c r="L72" s="4">
        <v>1470248.44</v>
      </c>
      <c r="M72" s="4">
        <v>659640.27</v>
      </c>
      <c r="N72" s="4">
        <v>-82907150.670000002</v>
      </c>
      <c r="O72" s="4">
        <f>Tab_02.Fev[[#This Row],[DÉBITO]]-Tab_02.Fev[[#This Row],[CRÉDITO]]</f>
        <v>810608.17</v>
      </c>
    </row>
    <row r="73" spans="2:15" x14ac:dyDescent="0.3">
      <c r="B73" s="2" t="str">
        <f>_xlfn.XLOOKUP($I73,Tab_00.Trial[CONTA],Tab_00.Trial[TP],"",0,1)</f>
        <v>P</v>
      </c>
      <c r="C73" s="2">
        <f>_xlfn.XLOOKUP($I73,Tab_00.Trial[CONTA],Tab_00.Trial[NV],"",0,1)</f>
        <v>2</v>
      </c>
      <c r="D73" s="2" t="str">
        <f>_xlfn.XLOOKUP($I73,Tab_00.Trial[CONTA],Tab_00.Trial[S/A],"",0,1)</f>
        <v>S</v>
      </c>
      <c r="E73" s="2">
        <f>IF($I73="","",COUNTIFS(Tab_00.Trial[CONTA],$I73))</f>
        <v>1</v>
      </c>
      <c r="F73" s="4">
        <f>SUMIFS(Tab_01.Jan[SALDO
ATUAL],Tab_01.Jan[CONTA],$I73)</f>
        <v>-1815294.31</v>
      </c>
      <c r="G73" s="4">
        <f t="shared" si="3"/>
        <v>0</v>
      </c>
      <c r="H73" s="89"/>
      <c r="I73" s="3" t="s">
        <v>216</v>
      </c>
      <c r="J73" s="3" t="s">
        <v>31</v>
      </c>
      <c r="K73" s="4">
        <v>-1815294.31</v>
      </c>
      <c r="L73" s="4">
        <v>1470248.44</v>
      </c>
      <c r="M73" s="4">
        <v>659640.27</v>
      </c>
      <c r="N73" s="4">
        <v>-1004686.14</v>
      </c>
      <c r="O73" s="4">
        <f>Tab_02.Fev[[#This Row],[DÉBITO]]-Tab_02.Fev[[#This Row],[CRÉDITO]]</f>
        <v>810608.17</v>
      </c>
    </row>
    <row r="74" spans="2:15" x14ac:dyDescent="0.3">
      <c r="B74" s="2" t="str">
        <f>_xlfn.XLOOKUP($I74,Tab_00.Trial[CONTA],Tab_00.Trial[TP],"",0,1)</f>
        <v>P</v>
      </c>
      <c r="C74" s="2">
        <f>_xlfn.XLOOKUP($I74,Tab_00.Trial[CONTA],Tab_00.Trial[NV],"",0,1)</f>
        <v>5</v>
      </c>
      <c r="D74" s="2" t="str">
        <f>_xlfn.XLOOKUP($I74,Tab_00.Trial[CONTA],Tab_00.Trial[S/A],"",0,1)</f>
        <v>S</v>
      </c>
      <c r="E74" s="2">
        <f>IF($I74="","",COUNTIFS(Tab_00.Trial[CONTA],$I74))</f>
        <v>1</v>
      </c>
      <c r="F74" s="4">
        <f>SUMIFS(Tab_01.Jan[SALDO
ATUAL],Tab_01.Jan[CONTA],$I74)</f>
        <v>-368637.38</v>
      </c>
      <c r="G74" s="4">
        <f t="shared" si="3"/>
        <v>0</v>
      </c>
      <c r="H74" s="89"/>
      <c r="I74" s="3" t="s">
        <v>558</v>
      </c>
      <c r="J74" s="3" t="s">
        <v>654</v>
      </c>
      <c r="K74" s="4">
        <v>-368637.38</v>
      </c>
      <c r="L74" s="4">
        <v>456407.39</v>
      </c>
      <c r="M74" s="4">
        <v>212313.42</v>
      </c>
      <c r="N74" s="4">
        <v>-124543.41</v>
      </c>
      <c r="O74" s="4">
        <f>Tab_02.Fev[[#This Row],[DÉBITO]]-Tab_02.Fev[[#This Row],[CRÉDITO]]</f>
        <v>244093.97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5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SUMIFS(Tab_01.Jan[SALDO
ATUAL],Tab_01.Jan[CONTA],$I75)</f>
        <v>0</v>
      </c>
      <c r="G75" s="4">
        <f t="shared" si="3"/>
        <v>0</v>
      </c>
      <c r="H75" s="89"/>
      <c r="I75" s="3" t="s">
        <v>559</v>
      </c>
      <c r="J75" s="3" t="s">
        <v>655</v>
      </c>
      <c r="K75" s="4">
        <v>0</v>
      </c>
      <c r="L75" s="4">
        <v>183790.11</v>
      </c>
      <c r="M75" s="4">
        <v>0</v>
      </c>
      <c r="N75" s="4">
        <v>183790.11</v>
      </c>
      <c r="O75" s="4">
        <f>Tab_02.Fev[[#This Row],[DÉBITO]]-Tab_02.Fev[[#This Row],[CRÉDITO]]</f>
        <v>183790.11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SUMIFS(Tab_01.Jan[SALDO
ATUAL],Tab_01.Jan[CONTA],$I76)</f>
        <v>0</v>
      </c>
      <c r="G76" s="4">
        <f t="shared" si="3"/>
        <v>0</v>
      </c>
      <c r="H76" s="89"/>
      <c r="I76" s="3" t="s">
        <v>328</v>
      </c>
      <c r="J76" s="3" t="s">
        <v>329</v>
      </c>
      <c r="K76" s="4">
        <v>0</v>
      </c>
      <c r="L76" s="4">
        <v>183790.11</v>
      </c>
      <c r="M76" s="4">
        <v>0</v>
      </c>
      <c r="N76" s="4">
        <v>183790.11</v>
      </c>
      <c r="O76" s="4">
        <f>Tab_02.Fev[[#This Row],[DÉBITO]]-Tab_02.Fev[[#This Row],[CRÉDITO]]</f>
        <v>183790.11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SUMIFS(Tab_01.Jan[SALDO
ATUAL],Tab_01.Jan[CONTA],$I77)</f>
        <v>-15301.97</v>
      </c>
      <c r="G77" s="4">
        <f t="shared" si="3"/>
        <v>0</v>
      </c>
      <c r="H77" s="89"/>
      <c r="I77" s="3" t="s">
        <v>560</v>
      </c>
      <c r="J77" s="3" t="s">
        <v>656</v>
      </c>
      <c r="K77" s="4">
        <v>-15301.97</v>
      </c>
      <c r="L77" s="4">
        <v>0</v>
      </c>
      <c r="M77" s="4">
        <v>0</v>
      </c>
      <c r="N77" s="4">
        <v>-15301.97</v>
      </c>
      <c r="O77" s="4">
        <f>Tab_02.Fev[[#This Row],[DÉBITO]]-Tab_02.Fev[[#This Row],[CRÉDITO]]</f>
        <v>0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A</v>
      </c>
      <c r="E78" s="2">
        <f>IF($I78="","",COUNTIFS(Tab_00.Trial[CONTA],$I78))</f>
        <v>1</v>
      </c>
      <c r="F78" s="4">
        <f>SUMIFS(Tab_01.Jan[SALDO
ATUAL],Tab_01.Jan[CONTA],$I78)</f>
        <v>-11268.08</v>
      </c>
      <c r="G78" s="4">
        <f t="shared" si="3"/>
        <v>0</v>
      </c>
      <c r="H78" s="89"/>
      <c r="I78" s="3" t="s">
        <v>332</v>
      </c>
      <c r="J78" s="3" t="s">
        <v>333</v>
      </c>
      <c r="K78" s="4">
        <v>-11268.08</v>
      </c>
      <c r="L78" s="4">
        <v>0</v>
      </c>
      <c r="M78" s="4">
        <v>0</v>
      </c>
      <c r="N78" s="4">
        <v>-11268.08</v>
      </c>
      <c r="O78" s="4">
        <f>Tab_02.Fev[[#This Row],[DÉBITO]]-Tab_02.Fev[[#This Row],[CRÉDITO]]</f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SUMIFS(Tab_01.Jan[SALDO
ATUAL],Tab_01.Jan[CONTA],$I79)</f>
        <v>-901.38</v>
      </c>
      <c r="G79" s="4">
        <f t="shared" si="3"/>
        <v>0</v>
      </c>
      <c r="H79" s="89"/>
      <c r="I79" s="3" t="s">
        <v>784</v>
      </c>
      <c r="J79" s="3" t="s">
        <v>785</v>
      </c>
      <c r="K79" s="4">
        <v>-901.38</v>
      </c>
      <c r="L79" s="4">
        <v>0</v>
      </c>
      <c r="M79" s="4">
        <v>0</v>
      </c>
      <c r="N79" s="4">
        <v>-901.38</v>
      </c>
      <c r="O79" s="4">
        <f>Tab_02.Fev[[#This Row],[DÉBITO]]-Tab_02.Fev[[#This Row],[CRÉDITO]]</f>
        <v>0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SUMIFS(Tab_01.Jan[SALDO
ATUAL],Tab_01.Jan[CONTA],$I80)</f>
        <v>-112.67</v>
      </c>
      <c r="G80" s="4">
        <f t="shared" si="3"/>
        <v>0</v>
      </c>
      <c r="H80" s="89"/>
      <c r="I80" s="3" t="s">
        <v>786</v>
      </c>
      <c r="J80" s="3" t="s">
        <v>787</v>
      </c>
      <c r="K80" s="4">
        <v>-112.67</v>
      </c>
      <c r="L80" s="4">
        <v>0</v>
      </c>
      <c r="M80" s="4">
        <v>0</v>
      </c>
      <c r="N80" s="4">
        <v>-112.67</v>
      </c>
      <c r="O80" s="4">
        <f>Tab_02.Fev[[#This Row],[DÉBITO]]-Tab_02.Fev[[#This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SUMIFS(Tab_01.Jan[SALDO
ATUAL],Tab_01.Jan[CONTA],$I81)</f>
        <v>-3019.84</v>
      </c>
      <c r="G81" s="4">
        <f t="shared" si="3"/>
        <v>0</v>
      </c>
      <c r="H81" s="89"/>
      <c r="I81" s="3" t="s">
        <v>788</v>
      </c>
      <c r="J81" s="3" t="s">
        <v>789</v>
      </c>
      <c r="K81" s="4">
        <v>-3019.84</v>
      </c>
      <c r="L81" s="4">
        <v>0</v>
      </c>
      <c r="M81" s="4">
        <v>0</v>
      </c>
      <c r="N81" s="4">
        <v>-3019.84</v>
      </c>
      <c r="O81" s="4">
        <f>Tab_02.Fev[[#This Row],[DÉBITO]]-Tab_02.Fev[[#This Row],[CRÉDITO]]</f>
        <v>0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S</v>
      </c>
      <c r="E82" s="2">
        <f>IF($I82="","",COUNTIFS(Tab_00.Trial[CONTA],$I82))</f>
        <v>1</v>
      </c>
      <c r="F82" s="4">
        <f>SUMIFS(Tab_01.Jan[SALDO
ATUAL],Tab_01.Jan[CONTA],$I82)</f>
        <v>-281798.96000000002</v>
      </c>
      <c r="G82" s="4">
        <f t="shared" ref="G82:G113" si="4">$F82-$K82</f>
        <v>0</v>
      </c>
      <c r="H82" s="89"/>
      <c r="I82" s="3" t="s">
        <v>561</v>
      </c>
      <c r="J82" s="3" t="s">
        <v>657</v>
      </c>
      <c r="K82" s="4">
        <v>-281798.96000000002</v>
      </c>
      <c r="L82" s="4">
        <v>0</v>
      </c>
      <c r="M82" s="4">
        <v>0</v>
      </c>
      <c r="N82" s="4">
        <v>-281798.96000000002</v>
      </c>
      <c r="O82" s="4">
        <f>Tab_02.Fev[[#This Row],[DÉBITO]]-Tab_02.Fev[[#This Row],[CRÉDITO]]</f>
        <v>0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SUMIFS(Tab_01.Jan[SALDO
ATUAL],Tab_01.Jan[CONTA],$I83)</f>
        <v>-207351.84</v>
      </c>
      <c r="G83" s="4">
        <f t="shared" si="4"/>
        <v>0</v>
      </c>
      <c r="H83" s="89"/>
      <c r="I83" s="3" t="s">
        <v>334</v>
      </c>
      <c r="J83" s="3" t="s">
        <v>335</v>
      </c>
      <c r="K83" s="4">
        <v>-207351.84</v>
      </c>
      <c r="L83" s="4">
        <v>0</v>
      </c>
      <c r="M83" s="4">
        <v>0</v>
      </c>
      <c r="N83" s="4">
        <v>-207351.84</v>
      </c>
      <c r="O83" s="4">
        <f>Tab_02.Fev[[#This Row],[DÉBITO]]-Tab_02.Fev[[#This Row],[CRÉDITO]]</f>
        <v>0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SUMIFS(Tab_01.Jan[SALDO
ATUAL],Tab_01.Jan[CONTA],$I84)</f>
        <v>-16551.36</v>
      </c>
      <c r="G84" s="4">
        <f t="shared" si="4"/>
        <v>0</v>
      </c>
      <c r="H84" s="89"/>
      <c r="I84" s="3" t="s">
        <v>790</v>
      </c>
      <c r="J84" s="3" t="s">
        <v>791</v>
      </c>
      <c r="K84" s="4">
        <v>-16551.36</v>
      </c>
      <c r="L84" s="4">
        <v>0</v>
      </c>
      <c r="M84" s="4">
        <v>0</v>
      </c>
      <c r="N84" s="4">
        <v>-16551.36</v>
      </c>
      <c r="O84" s="4">
        <f>Tab_02.Fev[[#This Row],[DÉBITO]]-Tab_02.Fev[[#This Row],[CRÉDITO]]</f>
        <v>0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SUMIFS(Tab_01.Jan[SALDO
ATUAL],Tab_01.Jan[CONTA],$I85)</f>
        <v>-2448.34</v>
      </c>
      <c r="G85" s="4">
        <f t="shared" si="4"/>
        <v>0</v>
      </c>
      <c r="H85" s="89"/>
      <c r="I85" s="3" t="s">
        <v>792</v>
      </c>
      <c r="J85" s="3" t="s">
        <v>793</v>
      </c>
      <c r="K85" s="4">
        <v>-2448.34</v>
      </c>
      <c r="L85" s="4">
        <v>0</v>
      </c>
      <c r="M85" s="4">
        <v>0</v>
      </c>
      <c r="N85" s="4">
        <v>-2448.34</v>
      </c>
      <c r="O85" s="4">
        <f>Tab_02.Fev[[#This Row],[DÉBITO]]-Tab_02.Fev[[#This Row],[CRÉDITO]]</f>
        <v>0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SUMIFS(Tab_01.Jan[SALDO
ATUAL],Tab_01.Jan[CONTA],$I86)</f>
        <v>-55447.42</v>
      </c>
      <c r="G86" s="4">
        <f t="shared" si="4"/>
        <v>0</v>
      </c>
      <c r="H86" s="89"/>
      <c r="I86" s="3" t="s">
        <v>794</v>
      </c>
      <c r="J86" s="3" t="s">
        <v>795</v>
      </c>
      <c r="K86" s="4">
        <v>-55447.42</v>
      </c>
      <c r="L86" s="4">
        <v>0</v>
      </c>
      <c r="M86" s="4">
        <v>0</v>
      </c>
      <c r="N86" s="4">
        <v>-55447.42</v>
      </c>
      <c r="O86" s="4">
        <f>Tab_02.Fev[[#This Row],[DÉBITO]]-Tab_02.Fev[[#This Row],[CRÉDITO]]</f>
        <v>0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S</v>
      </c>
      <c r="E87" s="2">
        <f>IF($I87="","",COUNTIFS(Tab_00.Trial[CONTA],$I87))</f>
        <v>1</v>
      </c>
      <c r="F87" s="4">
        <f>SUMIFS(Tab_01.Jan[SALDO
ATUAL],Tab_01.Jan[CONTA],$I87)</f>
        <v>-48287.58</v>
      </c>
      <c r="G87" s="4">
        <f t="shared" si="4"/>
        <v>0</v>
      </c>
      <c r="H87" s="89"/>
      <c r="I87" s="3" t="s">
        <v>562</v>
      </c>
      <c r="J87" s="3" t="s">
        <v>658</v>
      </c>
      <c r="K87" s="4">
        <v>-48287.58</v>
      </c>
      <c r="L87" s="4">
        <v>70910.11</v>
      </c>
      <c r="M87" s="4">
        <v>23648.47</v>
      </c>
      <c r="N87" s="4">
        <v>-1025.94</v>
      </c>
      <c r="O87" s="4">
        <f>Tab_02.Fev[[#This Row],[DÉBITO]]-Tab_02.Fev[[#This Row],[CRÉDITO]]</f>
        <v>47261.64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SUMIFS(Tab_01.Jan[SALDO
ATUAL],Tab_01.Jan[CONTA],$I88)</f>
        <v>-47261.64</v>
      </c>
      <c r="G88" s="4">
        <f t="shared" si="4"/>
        <v>0</v>
      </c>
      <c r="H88" s="89"/>
      <c r="I88" s="3" t="s">
        <v>336</v>
      </c>
      <c r="J88" s="3" t="s">
        <v>337</v>
      </c>
      <c r="K88" s="4">
        <v>-47261.64</v>
      </c>
      <c r="L88" s="4">
        <v>70397.13</v>
      </c>
      <c r="M88" s="4">
        <v>23135.49</v>
      </c>
      <c r="N88" s="4">
        <v>0</v>
      </c>
      <c r="O88" s="4">
        <f>Tab_02.Fev[[#This Row],[DÉBITO]]-Tab_02.Fev[[#This Row],[CRÉDITO]]</f>
        <v>47261.64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SUMIFS(Tab_01.Jan[SALDO
ATUAL],Tab_01.Jan[CONTA],$I89)</f>
        <v>-1025.94</v>
      </c>
      <c r="G89" s="4">
        <f t="shared" si="4"/>
        <v>0</v>
      </c>
      <c r="H89" s="89"/>
      <c r="I89" s="3" t="s">
        <v>338</v>
      </c>
      <c r="J89" s="3" t="s">
        <v>339</v>
      </c>
      <c r="K89" s="4">
        <v>-1025.94</v>
      </c>
      <c r="L89" s="4">
        <v>512.98</v>
      </c>
      <c r="M89" s="4">
        <v>512.98</v>
      </c>
      <c r="N89" s="4">
        <v>-1025.94</v>
      </c>
      <c r="O89" s="4">
        <f>Tab_02.Fev[[#This Row],[DÉBITO]]-Tab_02.Fev[[#This Row],[CRÉDITO]]</f>
        <v>0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S</v>
      </c>
      <c r="E90" s="2">
        <f>IF($I90="","",COUNTIFS(Tab_00.Trial[CONTA],$I90))</f>
        <v>1</v>
      </c>
      <c r="F90" s="4">
        <f>SUMIFS(Tab_01.Jan[SALDO
ATUAL],Tab_01.Jan[CONTA],$I90)</f>
        <v>-23248.87</v>
      </c>
      <c r="G90" s="4">
        <f t="shared" si="4"/>
        <v>0</v>
      </c>
      <c r="H90" s="89"/>
      <c r="I90" s="3" t="s">
        <v>563</v>
      </c>
      <c r="J90" s="3" t="s">
        <v>659</v>
      </c>
      <c r="K90" s="4">
        <v>-23248.87</v>
      </c>
      <c r="L90" s="4">
        <v>201707.17</v>
      </c>
      <c r="M90" s="4">
        <v>188664.95</v>
      </c>
      <c r="N90" s="4">
        <v>-10206.65</v>
      </c>
      <c r="O90" s="4">
        <f>Tab_02.Fev[[#This Row],[DÉBITO]]-Tab_02.Fev[[#This Row],[CRÉDITO]]</f>
        <v>13042.22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SUMIFS(Tab_01.Jan[SALDO
ATUAL],Tab_01.Jan[CONTA],$I91)</f>
        <v>-21799.74</v>
      </c>
      <c r="G91" s="4">
        <f t="shared" si="4"/>
        <v>0</v>
      </c>
      <c r="H91" s="89"/>
      <c r="I91" s="3" t="s">
        <v>340</v>
      </c>
      <c r="J91" s="3" t="s">
        <v>341</v>
      </c>
      <c r="K91" s="4">
        <v>-21799.74</v>
      </c>
      <c r="L91" s="4">
        <v>200258.04</v>
      </c>
      <c r="M91" s="4">
        <v>188664.95</v>
      </c>
      <c r="N91" s="4">
        <v>-10206.65</v>
      </c>
      <c r="O91" s="4">
        <f>Tab_02.Fev[[#This Row],[DÉBITO]]-Tab_02.Fev[[#This Row],[CRÉDITO]]</f>
        <v>11593.09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SUMIFS(Tab_01.Jan[SALDO
ATUAL],Tab_01.Jan[CONTA],$I92)</f>
        <v>-1449.13</v>
      </c>
      <c r="G92" s="4">
        <f t="shared" si="4"/>
        <v>0</v>
      </c>
      <c r="H92" s="89"/>
      <c r="I92" s="3" t="s">
        <v>342</v>
      </c>
      <c r="J92" s="3" t="s">
        <v>343</v>
      </c>
      <c r="K92" s="4">
        <v>-1449.13</v>
      </c>
      <c r="L92" s="4">
        <v>1449.13</v>
      </c>
      <c r="M92" s="4">
        <v>0</v>
      </c>
      <c r="N92" s="4">
        <v>0</v>
      </c>
      <c r="O92" s="4">
        <f>Tab_02.Fev[[#This Row],[DÉBITO]]-Tab_02.Fev[[#This Row],[CRÉDITO]]</f>
        <v>1449.13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S</v>
      </c>
      <c r="E93" s="2">
        <f>IF($I93="","",COUNTIFS(Tab_00.Trial[CONTA],$I93))</f>
        <v>1</v>
      </c>
      <c r="F93" s="4">
        <f>SUMIFS(Tab_01.Jan[SALDO
ATUAL],Tab_01.Jan[CONTA],$I93)</f>
        <v>-1396034.98</v>
      </c>
      <c r="G93" s="4">
        <f t="shared" si="4"/>
        <v>0</v>
      </c>
      <c r="H93" s="89"/>
      <c r="I93" s="3" t="s">
        <v>218</v>
      </c>
      <c r="J93" s="3" t="s">
        <v>660</v>
      </c>
      <c r="K93" s="4">
        <v>-1396034.98</v>
      </c>
      <c r="L93" s="4">
        <v>988187.5</v>
      </c>
      <c r="M93" s="4">
        <v>443968.52</v>
      </c>
      <c r="N93" s="4">
        <v>-851816</v>
      </c>
      <c r="O93" s="4">
        <f>Tab_02.Fev[[#This Row],[DÉBITO]]-Tab_02.Fev[[#This Row],[CRÉDITO]]</f>
        <v>544218.98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SUMIFS(Tab_01.Jan[SALDO
ATUAL],Tab_01.Jan[CONTA],$I94)</f>
        <v>-646686.39</v>
      </c>
      <c r="G94" s="4">
        <f t="shared" si="4"/>
        <v>0</v>
      </c>
      <c r="H94" s="89"/>
      <c r="I94" s="3" t="s">
        <v>219</v>
      </c>
      <c r="J94" s="3" t="s">
        <v>56</v>
      </c>
      <c r="K94" s="4">
        <v>-646686.39</v>
      </c>
      <c r="L94" s="4">
        <v>810808.44</v>
      </c>
      <c r="M94" s="4">
        <v>266589.46000000002</v>
      </c>
      <c r="N94" s="4">
        <v>-102467.41</v>
      </c>
      <c r="O94" s="4">
        <f>Tab_02.Fev[[#This Row],[DÉBITO]]-Tab_02.Fev[[#This Row],[CRÉDITO]]</f>
        <v>544218.98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SUMIFS(Tab_01.Jan[SALDO
ATUAL],Tab_01.Jan[CONTA],$I95)</f>
        <v>-646686.39</v>
      </c>
      <c r="G95" s="4">
        <f t="shared" si="4"/>
        <v>0</v>
      </c>
      <c r="H95" s="89"/>
      <c r="I95" s="3" t="s">
        <v>344</v>
      </c>
      <c r="J95" s="3" t="s">
        <v>56</v>
      </c>
      <c r="K95" s="4">
        <v>-646686.39</v>
      </c>
      <c r="L95" s="4">
        <v>810808.44</v>
      </c>
      <c r="M95" s="4">
        <v>266589.46000000002</v>
      </c>
      <c r="N95" s="4">
        <v>-102467.41</v>
      </c>
      <c r="O95" s="4">
        <f>Tab_02.Fev[[#This Row],[DÉBITO]]-Tab_02.Fev[[#This Row],[CRÉDITO]]</f>
        <v>544218.98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SUMIFS(Tab_01.Jan[SALDO
ATUAL],Tab_01.Jan[CONTA],$I96)</f>
        <v>-749348.59</v>
      </c>
      <c r="G96" s="4">
        <f t="shared" si="4"/>
        <v>0</v>
      </c>
      <c r="H96" s="89"/>
      <c r="I96" s="3" t="s">
        <v>220</v>
      </c>
      <c r="J96" s="3" t="s">
        <v>346</v>
      </c>
      <c r="K96" s="4">
        <v>-749348.59</v>
      </c>
      <c r="L96" s="4">
        <v>177379.06</v>
      </c>
      <c r="M96" s="4">
        <v>177379.06</v>
      </c>
      <c r="N96" s="4">
        <v>-749348.59</v>
      </c>
      <c r="O96" s="4">
        <f>Tab_02.Fev[[#This Row],[DÉBITO]]-Tab_02.Fev[[#This Row],[CRÉDITO]]</f>
        <v>0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SUMIFS(Tab_01.Jan[SALDO
ATUAL],Tab_01.Jan[CONTA],$I97)</f>
        <v>-749348.59</v>
      </c>
      <c r="G97" s="4">
        <f t="shared" si="4"/>
        <v>0</v>
      </c>
      <c r="H97" s="89"/>
      <c r="I97" s="3" t="s">
        <v>345</v>
      </c>
      <c r="J97" s="3" t="s">
        <v>346</v>
      </c>
      <c r="K97" s="4">
        <v>-749348.59</v>
      </c>
      <c r="L97" s="4">
        <v>177379.06</v>
      </c>
      <c r="M97" s="4">
        <v>177379.06</v>
      </c>
      <c r="N97" s="4">
        <v>-749348.59</v>
      </c>
      <c r="O97" s="4">
        <f>Tab_02.Fev[[#This Row],[DÉBITO]]-Tab_02.Fev[[#This Row],[CRÉDITO]]</f>
        <v>0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SUMIFS(Tab_01.Jan[SALDO
ATUAL],Tab_01.Jan[CONTA],$I98)</f>
        <v>-24303.84</v>
      </c>
      <c r="G98" s="4">
        <f t="shared" si="4"/>
        <v>0</v>
      </c>
      <c r="H98" s="89"/>
      <c r="I98" s="3" t="s">
        <v>221</v>
      </c>
      <c r="J98" s="3" t="s">
        <v>661</v>
      </c>
      <c r="K98" s="4">
        <v>-24303.84</v>
      </c>
      <c r="L98" s="4">
        <v>25066.42</v>
      </c>
      <c r="M98" s="4">
        <v>2733.42</v>
      </c>
      <c r="N98" s="4">
        <v>-1970.84</v>
      </c>
      <c r="O98" s="4">
        <f>Tab_02.Fev[[#This Row],[DÉBITO]]-Tab_02.Fev[[#This Row],[CRÉDITO]]</f>
        <v>22333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SUMIFS(Tab_01.Jan[SALDO
ATUAL],Tab_01.Jan[CONTA],$I99)</f>
        <v>-23819.66</v>
      </c>
      <c r="G99" s="4">
        <f t="shared" si="4"/>
        <v>0</v>
      </c>
      <c r="H99" s="89"/>
      <c r="I99" s="3" t="s">
        <v>222</v>
      </c>
      <c r="J99" s="3" t="s">
        <v>662</v>
      </c>
      <c r="K99" s="4">
        <v>-23819.66</v>
      </c>
      <c r="L99" s="4">
        <v>25066.42</v>
      </c>
      <c r="M99" s="4">
        <v>2733.42</v>
      </c>
      <c r="N99" s="4">
        <v>-1486.66</v>
      </c>
      <c r="O99" s="4">
        <f>Tab_02.Fev[[#This Row],[DÉBITO]]-Tab_02.Fev[[#This Row],[CRÉDITO]]</f>
        <v>22333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A</v>
      </c>
      <c r="E100" s="2">
        <f>IF($I100="","",COUNTIFS(Tab_00.Trial[CONTA],$I100))</f>
        <v>1</v>
      </c>
      <c r="F100" s="4">
        <f>SUMIFS(Tab_01.Jan[SALDO
ATUAL],Tab_01.Jan[CONTA],$I100)</f>
        <v>-409</v>
      </c>
      <c r="G100" s="4">
        <f t="shared" si="4"/>
        <v>0</v>
      </c>
      <c r="H100" s="89"/>
      <c r="I100" s="3" t="s">
        <v>191</v>
      </c>
      <c r="J100" s="3" t="s">
        <v>347</v>
      </c>
      <c r="K100" s="4">
        <v>-409</v>
      </c>
      <c r="L100" s="4">
        <v>575.26</v>
      </c>
      <c r="M100" s="4">
        <v>584.57000000000005</v>
      </c>
      <c r="N100" s="4">
        <v>-418.31</v>
      </c>
      <c r="O100" s="4">
        <f>Tab_02.Fev[[#This Row],[DÉBITO]]-Tab_02.Fev[[#This Row],[CRÉDITO]]</f>
        <v>-9.31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SUMIFS(Tab_01.Jan[SALDO
ATUAL],Tab_01.Jan[CONTA],$I101)</f>
        <v>-21686.36</v>
      </c>
      <c r="G101" s="4">
        <f t="shared" si="4"/>
        <v>0</v>
      </c>
      <c r="H101" s="89"/>
      <c r="I101" s="3" t="s">
        <v>192</v>
      </c>
      <c r="J101" s="3" t="s">
        <v>348</v>
      </c>
      <c r="K101" s="4">
        <v>-21686.36</v>
      </c>
      <c r="L101" s="4">
        <v>21686.36</v>
      </c>
      <c r="M101" s="4">
        <v>0</v>
      </c>
      <c r="N101" s="4">
        <v>0</v>
      </c>
      <c r="O101" s="4">
        <f>Tab_02.Fev[[#This Row],[DÉBITO]]-Tab_02.Fev[[#This Row],[CRÉDITO]]</f>
        <v>21686.36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SUMIFS(Tab_01.Jan[SALDO
ATUAL],Tab_01.Jan[CONTA],$I102)</f>
        <v>-120.94</v>
      </c>
      <c r="G102" s="4">
        <f t="shared" si="4"/>
        <v>0</v>
      </c>
      <c r="H102" s="89"/>
      <c r="I102" s="3" t="s">
        <v>264</v>
      </c>
      <c r="J102" s="3" t="s">
        <v>349</v>
      </c>
      <c r="K102" s="4">
        <v>-120.94</v>
      </c>
      <c r="L102" s="4">
        <v>0</v>
      </c>
      <c r="M102" s="4">
        <v>0</v>
      </c>
      <c r="N102" s="4">
        <v>-120.94</v>
      </c>
      <c r="O102" s="4">
        <f>Tab_02.Fev[[#This Row],[DÉBITO]]-Tab_02.Fev[[#This Row],[CRÉDITO]]</f>
        <v>0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SUMIFS(Tab_01.Jan[SALDO
ATUAL],Tab_01.Jan[CONTA],$I103)</f>
        <v>-1580.91</v>
      </c>
      <c r="G103" s="4">
        <f t="shared" si="4"/>
        <v>0</v>
      </c>
      <c r="H103" s="89"/>
      <c r="I103" s="3" t="s">
        <v>350</v>
      </c>
      <c r="J103" s="3" t="s">
        <v>351</v>
      </c>
      <c r="K103" s="4">
        <v>-1580.91</v>
      </c>
      <c r="L103" s="4">
        <v>2793.63</v>
      </c>
      <c r="M103" s="4">
        <v>2137.6799999999998</v>
      </c>
      <c r="N103" s="4">
        <v>-924.96</v>
      </c>
      <c r="O103" s="4">
        <f>Tab_02.Fev[[#This Row],[DÉBITO]]-Tab_02.Fev[[#This Row],[CRÉDITO]]</f>
        <v>655.95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SUMIFS(Tab_01.Jan[SALDO
ATUAL],Tab_01.Jan[CONTA],$I104)</f>
        <v>-22.45</v>
      </c>
      <c r="G104" s="4">
        <f t="shared" si="4"/>
        <v>0</v>
      </c>
      <c r="H104" s="89"/>
      <c r="I104" s="3" t="s">
        <v>352</v>
      </c>
      <c r="J104" s="3" t="s">
        <v>353</v>
      </c>
      <c r="K104" s="4">
        <v>-22.45</v>
      </c>
      <c r="L104" s="4">
        <v>11.17</v>
      </c>
      <c r="M104" s="4">
        <v>11.17</v>
      </c>
      <c r="N104" s="4">
        <v>-22.45</v>
      </c>
      <c r="O104" s="4">
        <f>Tab_02.Fev[[#This Row],[DÉBITO]]-Tab_02.Fev[[#This Row],[CRÉDITO]]</f>
        <v>0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S</v>
      </c>
      <c r="E105" s="2">
        <f>IF($I105="","",COUNTIFS(Tab_00.Trial[CONTA],$I105))</f>
        <v>1</v>
      </c>
      <c r="F105" s="4">
        <f>SUMIFS(Tab_01.Jan[SALDO
ATUAL],Tab_01.Jan[CONTA],$I105)</f>
        <v>-484.18</v>
      </c>
      <c r="G105" s="4">
        <f t="shared" si="4"/>
        <v>0</v>
      </c>
      <c r="H105" s="89"/>
      <c r="I105" s="3" t="s">
        <v>223</v>
      </c>
      <c r="J105" s="3" t="s">
        <v>663</v>
      </c>
      <c r="K105" s="4">
        <v>-484.18</v>
      </c>
      <c r="L105" s="4">
        <v>0</v>
      </c>
      <c r="M105" s="4">
        <v>0</v>
      </c>
      <c r="N105" s="4">
        <v>-484.18</v>
      </c>
      <c r="O105" s="4">
        <f>Tab_02.Fev[[#This Row],[DÉBITO]]-Tab_02.Fev[[#This Row],[CRÉDITO]]</f>
        <v>0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SUMIFS(Tab_01.Jan[SALDO
ATUAL],Tab_01.Jan[CONTA],$I106)</f>
        <v>-484.18</v>
      </c>
      <c r="G106" s="4">
        <f t="shared" si="4"/>
        <v>0</v>
      </c>
      <c r="H106" s="89"/>
      <c r="I106" s="3" t="s">
        <v>354</v>
      </c>
      <c r="J106" s="3" t="s">
        <v>355</v>
      </c>
      <c r="K106" s="4">
        <v>-484.18</v>
      </c>
      <c r="L106" s="4">
        <v>0</v>
      </c>
      <c r="M106" s="4">
        <v>0</v>
      </c>
      <c r="N106" s="4">
        <v>-484.18</v>
      </c>
      <c r="O106" s="4">
        <f>Tab_02.Fev[[#This Row],[DÉBITO]]-Tab_02.Fev[[#This Row],[CRÉDITO]]</f>
        <v>0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S</v>
      </c>
      <c r="E107" s="2">
        <f>IF($I107="","",COUNTIFS(Tab_00.Trial[CONTA],$I107))</f>
        <v>1</v>
      </c>
      <c r="F107" s="4">
        <f>SUMIFS(Tab_01.Jan[SALDO
ATUAL],Tab_01.Jan[CONTA],$I107)</f>
        <v>-22468.91</v>
      </c>
      <c r="G107" s="4">
        <f t="shared" si="4"/>
        <v>0</v>
      </c>
      <c r="H107" s="89"/>
      <c r="I107" s="3" t="s">
        <v>224</v>
      </c>
      <c r="J107" s="3" t="s">
        <v>664</v>
      </c>
      <c r="K107" s="4">
        <v>-22468.91</v>
      </c>
      <c r="L107" s="4">
        <v>587.13</v>
      </c>
      <c r="M107" s="4">
        <v>624.91</v>
      </c>
      <c r="N107" s="4">
        <v>-22506.69</v>
      </c>
      <c r="O107" s="4">
        <f>Tab_02.Fev[[#This Row],[DÉBITO]]-Tab_02.Fev[[#This Row],[CRÉDITO]]</f>
        <v>-37.78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S</v>
      </c>
      <c r="E108" s="2">
        <f>IF($I108="","",COUNTIFS(Tab_00.Trial[CONTA],$I108))</f>
        <v>1</v>
      </c>
      <c r="F108" s="4">
        <f>SUMIFS(Tab_01.Jan[SALDO
ATUAL],Tab_01.Jan[CONTA],$I108)</f>
        <v>-22468.91</v>
      </c>
      <c r="G108" s="4">
        <f t="shared" si="4"/>
        <v>0</v>
      </c>
      <c r="H108" s="89"/>
      <c r="I108" s="3" t="s">
        <v>225</v>
      </c>
      <c r="J108" s="3" t="s">
        <v>665</v>
      </c>
      <c r="K108" s="4">
        <v>-22468.91</v>
      </c>
      <c r="L108" s="4">
        <v>587.13</v>
      </c>
      <c r="M108" s="4">
        <v>624.91</v>
      </c>
      <c r="N108" s="4">
        <v>-22506.69</v>
      </c>
      <c r="O108" s="4">
        <f>Tab_02.Fev[[#This Row],[DÉBITO]]-Tab_02.Fev[[#This Row],[CRÉDITO]]</f>
        <v>-37.78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SUMIFS(Tab_01.Jan[SALDO
ATUAL],Tab_01.Jan[CONTA],$I109)</f>
        <v>-22468.91</v>
      </c>
      <c r="G109" s="4">
        <f t="shared" si="4"/>
        <v>0</v>
      </c>
      <c r="H109" s="89"/>
      <c r="I109" s="3" t="s">
        <v>356</v>
      </c>
      <c r="J109" s="3" t="s">
        <v>357</v>
      </c>
      <c r="K109" s="4">
        <v>-22468.91</v>
      </c>
      <c r="L109" s="4">
        <v>587.13</v>
      </c>
      <c r="M109" s="4">
        <v>624.91</v>
      </c>
      <c r="N109" s="4">
        <v>-22506.69</v>
      </c>
      <c r="O109" s="4">
        <f>Tab_02.Fev[[#This Row],[DÉBITO]]-Tab_02.Fev[[#This Row],[CRÉDITO]]</f>
        <v>-37.78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SUMIFS(Tab_01.Jan[SALDO
ATUAL],Tab_01.Jan[CONTA],$I110)</f>
        <v>-3849.2</v>
      </c>
      <c r="G110" s="4">
        <f t="shared" si="4"/>
        <v>0</v>
      </c>
      <c r="H110" s="89"/>
      <c r="I110" s="3" t="s">
        <v>564</v>
      </c>
      <c r="J110" s="3" t="s">
        <v>666</v>
      </c>
      <c r="K110" s="4">
        <v>-3849.2</v>
      </c>
      <c r="L110" s="4">
        <v>0</v>
      </c>
      <c r="M110" s="4">
        <v>0</v>
      </c>
      <c r="N110" s="4">
        <v>-3849.2</v>
      </c>
      <c r="O110" s="4">
        <f>Tab_02.Fev[[#This Row],[DÉBITO]]-Tab_02.Fev[[#This Row],[CRÉDITO]]</f>
        <v>0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SUMIFS(Tab_01.Jan[SALDO
ATUAL],Tab_01.Jan[CONTA],$I111)</f>
        <v>-3849.2</v>
      </c>
      <c r="G111" s="4">
        <f t="shared" si="4"/>
        <v>0</v>
      </c>
      <c r="H111" s="89"/>
      <c r="I111" s="3" t="s">
        <v>565</v>
      </c>
      <c r="J111" s="3" t="s">
        <v>667</v>
      </c>
      <c r="K111" s="4">
        <v>-3849.2</v>
      </c>
      <c r="L111" s="4">
        <v>0</v>
      </c>
      <c r="M111" s="4">
        <v>0</v>
      </c>
      <c r="N111" s="4">
        <v>-3849.2</v>
      </c>
      <c r="O111" s="4">
        <f>Tab_02.Fev[[#This Row],[DÉBITO]]-Tab_02.Fev[[#This Row],[CRÉDITO]]</f>
        <v>0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A</v>
      </c>
      <c r="E112" s="2">
        <f>IF($I112="","",COUNTIFS(Tab_00.Trial[CONTA],$I112))</f>
        <v>1</v>
      </c>
      <c r="F112" s="4">
        <f>SUMIFS(Tab_01.Jan[SALDO
ATUAL],Tab_01.Jan[CONTA],$I112)</f>
        <v>-3849.2</v>
      </c>
      <c r="G112" s="4">
        <f t="shared" si="4"/>
        <v>0</v>
      </c>
      <c r="H112" s="89"/>
      <c r="I112" s="3" t="s">
        <v>358</v>
      </c>
      <c r="J112" s="3" t="s">
        <v>359</v>
      </c>
      <c r="K112" s="4">
        <v>-3849.2</v>
      </c>
      <c r="L112" s="4">
        <v>0</v>
      </c>
      <c r="M112" s="4">
        <v>0</v>
      </c>
      <c r="N112" s="4">
        <v>-3849.2</v>
      </c>
      <c r="O112" s="4">
        <f>Tab_02.Fev[[#This Row],[DÉBITO]]-Tab_02.Fev[[#This Row],[CRÉDITO]]</f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2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SUMIFS(Tab_01.Jan[SALDO
ATUAL],Tab_01.Jan[CONTA],$I113)</f>
        <v>-46934.04</v>
      </c>
      <c r="G113" s="4">
        <f t="shared" si="4"/>
        <v>0</v>
      </c>
      <c r="H113" s="89"/>
      <c r="I113" s="3" t="s">
        <v>226</v>
      </c>
      <c r="J113" s="3" t="s">
        <v>76</v>
      </c>
      <c r="K113" s="4">
        <v>-46934.04</v>
      </c>
      <c r="L113" s="4">
        <v>0</v>
      </c>
      <c r="M113" s="4">
        <v>0</v>
      </c>
      <c r="N113" s="4">
        <v>-46934.04</v>
      </c>
      <c r="O113" s="4">
        <f>Tab_02.Fev[[#This Row],[DÉBITO]]-Tab_02.Fev[[#This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SUMIFS(Tab_01.Jan[SALDO
ATUAL],Tab_01.Jan[CONTA],$I114)</f>
        <v>-46934.04</v>
      </c>
      <c r="G114" s="4">
        <f t="shared" ref="G114:G145" si="5">$F114-$K114</f>
        <v>0</v>
      </c>
      <c r="H114" s="89"/>
      <c r="I114" s="3" t="s">
        <v>566</v>
      </c>
      <c r="J114" s="3" t="s">
        <v>668</v>
      </c>
      <c r="K114" s="4">
        <v>-46934.04</v>
      </c>
      <c r="L114" s="4">
        <v>0</v>
      </c>
      <c r="M114" s="4">
        <v>0</v>
      </c>
      <c r="N114" s="4">
        <v>-46934.04</v>
      </c>
      <c r="O114" s="4">
        <f>Tab_02.Fev[[#This Row],[DÉBITO]]-Tab_02.Fev[[#This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SUMIFS(Tab_01.Jan[SALDO
ATUAL],Tab_01.Jan[CONTA],$I115)</f>
        <v>-46934.04</v>
      </c>
      <c r="G115" s="4">
        <f t="shared" si="5"/>
        <v>0</v>
      </c>
      <c r="H115" s="89"/>
      <c r="I115" s="3" t="s">
        <v>567</v>
      </c>
      <c r="J115" s="3" t="s">
        <v>669</v>
      </c>
      <c r="K115" s="4">
        <v>-46934.04</v>
      </c>
      <c r="L115" s="4">
        <v>0</v>
      </c>
      <c r="M115" s="4">
        <v>0</v>
      </c>
      <c r="N115" s="4">
        <v>-46934.04</v>
      </c>
      <c r="O115" s="4">
        <f>Tab_02.Fev[[#This Row],[DÉBITO]]-Tab_02.Fev[[#This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A</v>
      </c>
      <c r="E116" s="2">
        <f>IF($I116="","",COUNTIFS(Tab_00.Trial[CONTA],$I116))</f>
        <v>1</v>
      </c>
      <c r="F116" s="4">
        <f>SUMIFS(Tab_01.Jan[SALDO
ATUAL],Tab_01.Jan[CONTA],$I116)</f>
        <v>-31934.04</v>
      </c>
      <c r="G116" s="4">
        <f t="shared" si="5"/>
        <v>0</v>
      </c>
      <c r="H116" s="89"/>
      <c r="I116" s="3" t="s">
        <v>360</v>
      </c>
      <c r="J116" s="3" t="s">
        <v>361</v>
      </c>
      <c r="K116" s="4">
        <v>-31934.04</v>
      </c>
      <c r="L116" s="4">
        <v>0</v>
      </c>
      <c r="M116" s="4">
        <v>0</v>
      </c>
      <c r="N116" s="4">
        <v>-31934.04</v>
      </c>
      <c r="O116" s="4">
        <f>Tab_02.Fev[[#This Row],[DÉBITO]]-Tab_02.Fev[[#This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A</v>
      </c>
      <c r="E117" s="2">
        <f>IF($I117="","",COUNTIFS(Tab_00.Trial[CONTA],$I117))</f>
        <v>1</v>
      </c>
      <c r="F117" s="4">
        <f>SUMIFS(Tab_01.Jan[SALDO
ATUAL],Tab_01.Jan[CONTA],$I117)</f>
        <v>-15000</v>
      </c>
      <c r="G117" s="4">
        <f t="shared" si="5"/>
        <v>0</v>
      </c>
      <c r="H117" s="89"/>
      <c r="I117" s="3" t="s">
        <v>362</v>
      </c>
      <c r="J117" s="3" t="s">
        <v>363</v>
      </c>
      <c r="K117" s="4">
        <v>-15000</v>
      </c>
      <c r="L117" s="4">
        <v>0</v>
      </c>
      <c r="M117" s="4">
        <v>0</v>
      </c>
      <c r="N117" s="4">
        <v>-15000</v>
      </c>
      <c r="O117" s="4">
        <f>Tab_02.Fev[[#This Row],[DÉBITO]]-Tab_02.Fev[[#This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2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SUMIFS(Tab_01.Jan[SALDO
ATUAL],Tab_01.Jan[CONTA],$I118)</f>
        <v>-81855530.489999995</v>
      </c>
      <c r="G118" s="4">
        <f t="shared" si="5"/>
        <v>0</v>
      </c>
      <c r="H118" s="89"/>
      <c r="I118" s="3" t="s">
        <v>228</v>
      </c>
      <c r="J118" s="3" t="s">
        <v>670</v>
      </c>
      <c r="K118" s="4">
        <v>-81855530.489999995</v>
      </c>
      <c r="L118" s="4">
        <v>0</v>
      </c>
      <c r="M118" s="4">
        <v>0</v>
      </c>
      <c r="N118" s="4">
        <v>-81855530.489999995</v>
      </c>
      <c r="O118" s="4">
        <f>Tab_02.Fev[[#This Row],[DÉBITO]]-Tab_02.Fev[[#This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SUMIFS(Tab_01.Jan[SALDO
ATUAL],Tab_01.Jan[CONTA],$I119)</f>
        <v>-81855530.489999995</v>
      </c>
      <c r="G119" s="4">
        <f t="shared" si="5"/>
        <v>0</v>
      </c>
      <c r="H119" s="89"/>
      <c r="I119" s="3" t="s">
        <v>229</v>
      </c>
      <c r="J119" s="3" t="s">
        <v>670</v>
      </c>
      <c r="K119" s="4">
        <v>-81855530.489999995</v>
      </c>
      <c r="L119" s="4">
        <v>0</v>
      </c>
      <c r="M119" s="4">
        <v>0</v>
      </c>
      <c r="N119" s="4">
        <v>-81855530.489999995</v>
      </c>
      <c r="O119" s="4">
        <f>Tab_02.Fev[[#This Row],[DÉBITO]]-Tab_02.Fev[[#This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SUMIFS(Tab_01.Jan[SALDO
ATUAL],Tab_01.Jan[CONTA],$I120)</f>
        <v>-104784619.59999999</v>
      </c>
      <c r="G120" s="4">
        <f t="shared" si="5"/>
        <v>0</v>
      </c>
      <c r="H120" s="89"/>
      <c r="I120" s="3" t="s">
        <v>230</v>
      </c>
      <c r="J120" s="3" t="s">
        <v>364</v>
      </c>
      <c r="K120" s="4">
        <v>-104784619.59999999</v>
      </c>
      <c r="L120" s="4">
        <v>0</v>
      </c>
      <c r="M120" s="4">
        <v>0</v>
      </c>
      <c r="N120" s="4">
        <v>-104784619.59999999</v>
      </c>
      <c r="O120" s="4">
        <f>Tab_02.Fev[[#This Row],[DÉBITO]]-Tab_02.Fev[[#This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A</v>
      </c>
      <c r="E121" s="2">
        <f>IF($I121="","",COUNTIFS(Tab_00.Trial[CONTA],$I121))</f>
        <v>1</v>
      </c>
      <c r="F121" s="4">
        <f>SUMIFS(Tab_01.Jan[SALDO
ATUAL],Tab_01.Jan[CONTA],$I121)</f>
        <v>-104784619.59999999</v>
      </c>
      <c r="G121" s="4">
        <f t="shared" si="5"/>
        <v>0</v>
      </c>
      <c r="H121" s="89"/>
      <c r="I121" s="3" t="s">
        <v>193</v>
      </c>
      <c r="J121" s="3" t="s">
        <v>364</v>
      </c>
      <c r="K121" s="4">
        <v>-104784619.59999999</v>
      </c>
      <c r="L121" s="4">
        <v>0</v>
      </c>
      <c r="M121" s="4">
        <v>0</v>
      </c>
      <c r="N121" s="4">
        <v>-104784619.59999999</v>
      </c>
      <c r="O121" s="4">
        <f>Tab_02.Fev[[#This Row],[DÉBITO]]-Tab_02.Fev[[#This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SUMIFS(Tab_01.Jan[SALDO
ATUAL],Tab_01.Jan[CONTA],$I122)</f>
        <v>32587250.850000001</v>
      </c>
      <c r="G122" s="4">
        <f t="shared" si="5"/>
        <v>0</v>
      </c>
      <c r="H122" s="89"/>
      <c r="I122" s="3" t="s">
        <v>568</v>
      </c>
      <c r="J122" s="3" t="s">
        <v>671</v>
      </c>
      <c r="K122" s="4">
        <v>32587250.850000001</v>
      </c>
      <c r="L122" s="4">
        <v>0</v>
      </c>
      <c r="M122" s="4">
        <v>0</v>
      </c>
      <c r="N122" s="4">
        <v>32587250.850000001</v>
      </c>
      <c r="O122" s="4">
        <f>Tab_02.Fev[[#This Row],[DÉBITO]]-Tab_02.Fev[[#This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SUMIFS(Tab_01.Jan[SALDO
ATUAL],Tab_01.Jan[CONTA],$I123)</f>
        <v>-827719.82</v>
      </c>
      <c r="G123" s="4">
        <f t="shared" si="5"/>
        <v>0</v>
      </c>
      <c r="H123" s="89"/>
      <c r="I123" s="3" t="s">
        <v>743</v>
      </c>
      <c r="J123" s="3" t="s">
        <v>744</v>
      </c>
      <c r="K123" s="4">
        <v>-827719.82</v>
      </c>
      <c r="L123" s="4">
        <v>0</v>
      </c>
      <c r="M123" s="4">
        <v>0</v>
      </c>
      <c r="N123" s="4">
        <v>-827719.82</v>
      </c>
      <c r="O123" s="4">
        <f>Tab_02.Fev[[#This Row],[DÉBITO]]-Tab_02.Fev[[#This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A</v>
      </c>
      <c r="E124" s="2">
        <f>IF($I124="","",COUNTIFS(Tab_00.Trial[CONTA],$I124))</f>
        <v>1</v>
      </c>
      <c r="F124" s="4">
        <f>SUMIFS(Tab_01.Jan[SALDO
ATUAL],Tab_01.Jan[CONTA],$I124)</f>
        <v>33414970.670000002</v>
      </c>
      <c r="G124" s="4">
        <f t="shared" si="5"/>
        <v>0</v>
      </c>
      <c r="H124" s="89"/>
      <c r="I124" s="3" t="s">
        <v>365</v>
      </c>
      <c r="J124" s="3" t="s">
        <v>366</v>
      </c>
      <c r="K124" s="4">
        <v>33414970.670000002</v>
      </c>
      <c r="L124" s="4">
        <v>0</v>
      </c>
      <c r="M124" s="4">
        <v>0</v>
      </c>
      <c r="N124" s="4">
        <v>33414970.670000002</v>
      </c>
      <c r="O124" s="4">
        <f>Tab_02.Fev[[#This Row],[DÉBITO]]-Tab_02.Fev[[#This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SUMIFS(Tab_01.Jan[SALDO
ATUAL],Tab_01.Jan[CONTA],$I125)</f>
        <v>-9658161.7400000002</v>
      </c>
      <c r="G125" s="4">
        <f t="shared" si="5"/>
        <v>0</v>
      </c>
      <c r="H125" s="89"/>
      <c r="I125" s="3" t="s">
        <v>745</v>
      </c>
      <c r="J125" s="3" t="s">
        <v>746</v>
      </c>
      <c r="K125" s="4">
        <v>-9658161.7400000002</v>
      </c>
      <c r="L125" s="4">
        <v>0</v>
      </c>
      <c r="M125" s="4">
        <v>0</v>
      </c>
      <c r="N125" s="4">
        <v>-9658161.7400000002</v>
      </c>
      <c r="O125" s="4">
        <f>Tab_02.Fev[[#This Row],[DÉBITO]]-Tab_02.Fev[[#This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SUMIFS(Tab_01.Jan[SALDO
ATUAL],Tab_01.Jan[CONTA],$I126)</f>
        <v>-9658161.7400000002</v>
      </c>
      <c r="G126" s="4">
        <f t="shared" si="5"/>
        <v>0</v>
      </c>
      <c r="H126" s="89"/>
      <c r="I126" s="3" t="s">
        <v>747</v>
      </c>
      <c r="J126" s="3" t="s">
        <v>746</v>
      </c>
      <c r="K126" s="4">
        <v>-9658161.7400000002</v>
      </c>
      <c r="L126" s="4">
        <v>0</v>
      </c>
      <c r="M126" s="4">
        <v>0</v>
      </c>
      <c r="N126" s="4">
        <v>-9658161.7400000002</v>
      </c>
      <c r="O126" s="4">
        <f>Tab_02.Fev[[#This Row],[DÉBITO]]-Tab_02.Fev[[#This Row],[CRÉDITO]]</f>
        <v>0</v>
      </c>
    </row>
    <row r="127" spans="2:15" x14ac:dyDescent="0.3">
      <c r="B127" s="2" t="str">
        <f>_xlfn.XLOOKUP($I127,Tab_00.Trial[CONTA],Tab_00.Trial[TP],"",0,1)</f>
        <v>R</v>
      </c>
      <c r="C127" s="2">
        <f>_xlfn.XLOOKUP($I127,Tab_00.Trial[CONTA],Tab_00.Trial[NV],"",0,1)</f>
        <v>1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SUMIFS(Tab_01.Jan[SALDO
ATUAL],Tab_01.Jan[CONTA],$I127)</f>
        <v>-1136279.73</v>
      </c>
      <c r="G127" s="4">
        <f t="shared" si="5"/>
        <v>0</v>
      </c>
      <c r="H127" s="89"/>
      <c r="I127" s="3">
        <v>3</v>
      </c>
      <c r="J127" s="3" t="s">
        <v>672</v>
      </c>
      <c r="K127" s="4">
        <v>-1136279.73</v>
      </c>
      <c r="L127" s="4">
        <v>0</v>
      </c>
      <c r="M127" s="4">
        <v>524610.86</v>
      </c>
      <c r="N127" s="4">
        <v>-1660890.59</v>
      </c>
      <c r="O127" s="4">
        <f>Tab_02.Fev[[#This Row],[DÉBITO]]-Tab_02.Fev[[#This Row],[CRÉDITO]]</f>
        <v>-524610.86</v>
      </c>
    </row>
    <row r="128" spans="2:15" x14ac:dyDescent="0.3">
      <c r="B128" s="2" t="str">
        <f>_xlfn.XLOOKUP($I128,Tab_00.Trial[CONTA],Tab_00.Trial[TP],"",0,1)</f>
        <v>R</v>
      </c>
      <c r="C128" s="2">
        <f>_xlfn.XLOOKUP($I128,Tab_00.Trial[CONTA],Tab_00.Trial[NV],"",0,1)</f>
        <v>2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SUMIFS(Tab_01.Jan[SALDO
ATUAL],Tab_01.Jan[CONTA],$I128)</f>
        <v>-511729.22</v>
      </c>
      <c r="G128" s="4">
        <f t="shared" si="5"/>
        <v>0</v>
      </c>
      <c r="H128" s="89"/>
      <c r="I128" s="3" t="s">
        <v>231</v>
      </c>
      <c r="J128" s="3" t="s">
        <v>673</v>
      </c>
      <c r="K128" s="4">
        <v>-511729.22</v>
      </c>
      <c r="L128" s="4">
        <v>0</v>
      </c>
      <c r="M128" s="4">
        <v>89853</v>
      </c>
      <c r="N128" s="4">
        <v>-601582.22</v>
      </c>
      <c r="O128" s="4">
        <f>Tab_02.Fev[[#This Row],[DÉBITO]]-Tab_02.Fev[[#This Row],[CRÉDITO]]</f>
        <v>-89853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5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SUMIFS(Tab_01.Jan[SALDO
ATUAL],Tab_01.Jan[CONTA],$I129)</f>
        <v>-309988.61</v>
      </c>
      <c r="G129" s="4">
        <f t="shared" si="5"/>
        <v>0</v>
      </c>
      <c r="H129" s="89"/>
      <c r="I129" s="3" t="s">
        <v>232</v>
      </c>
      <c r="J129" s="3" t="s">
        <v>674</v>
      </c>
      <c r="K129" s="4">
        <v>-309988.61</v>
      </c>
      <c r="L129" s="4">
        <v>0</v>
      </c>
      <c r="M129" s="4">
        <v>0</v>
      </c>
      <c r="N129" s="4">
        <v>-309988.61</v>
      </c>
      <c r="O129" s="4">
        <f>Tab_02.Fev[[#This Row],[DÉBITO]]-Tab_02.Fev[[#This Row],[CRÉDITO]]</f>
        <v>0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5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SUMIFS(Tab_01.Jan[SALDO
ATUAL],Tab_01.Jan[CONTA],$I130)</f>
        <v>-122569.24</v>
      </c>
      <c r="G130" s="4">
        <f t="shared" si="5"/>
        <v>0</v>
      </c>
      <c r="H130" s="89"/>
      <c r="I130" s="3" t="s">
        <v>233</v>
      </c>
      <c r="J130" s="3" t="s">
        <v>675</v>
      </c>
      <c r="K130" s="4">
        <v>-122569.24</v>
      </c>
      <c r="L130" s="4">
        <v>0</v>
      </c>
      <c r="M130" s="4">
        <v>0</v>
      </c>
      <c r="N130" s="4">
        <v>-122569.24</v>
      </c>
      <c r="O130" s="4">
        <f>Tab_02.Fev[[#This Row],[DÉBITO]]-Tab_02.Fev[[#This Row],[CRÉDITO]]</f>
        <v>0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A</v>
      </c>
      <c r="E131" s="2">
        <f>IF($I131="","",COUNTIFS(Tab_00.Trial[CONTA],$I131))</f>
        <v>1</v>
      </c>
      <c r="F131" s="4">
        <f>SUMIFS(Tab_01.Jan[SALDO
ATUAL],Tab_01.Jan[CONTA],$I131)</f>
        <v>-122569.24</v>
      </c>
      <c r="G131" s="4">
        <f t="shared" si="5"/>
        <v>0</v>
      </c>
      <c r="H131" s="89"/>
      <c r="I131" s="3" t="s">
        <v>194</v>
      </c>
      <c r="J131" s="3" t="s">
        <v>367</v>
      </c>
      <c r="K131" s="4">
        <v>-122569.24</v>
      </c>
      <c r="L131" s="4">
        <v>0</v>
      </c>
      <c r="M131" s="4">
        <v>0</v>
      </c>
      <c r="N131" s="4">
        <v>-122569.24</v>
      </c>
      <c r="O131" s="4">
        <f>Tab_02.Fev[[#This Row],[DÉBITO]]-Tab_02.Fev[[#This Row],[CRÉDITO]]</f>
        <v>0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SUMIFS(Tab_01.Jan[SALDO
ATUAL],Tab_01.Jan[CONTA],$I132)</f>
        <v>-187419.37</v>
      </c>
      <c r="G132" s="4">
        <f t="shared" si="5"/>
        <v>0</v>
      </c>
      <c r="H132" s="89"/>
      <c r="I132" s="3" t="s">
        <v>735</v>
      </c>
      <c r="J132" s="3" t="s">
        <v>736</v>
      </c>
      <c r="K132" s="4">
        <v>-187419.37</v>
      </c>
      <c r="L132" s="4">
        <v>0</v>
      </c>
      <c r="M132" s="4">
        <v>0</v>
      </c>
      <c r="N132" s="4">
        <v>-187419.37</v>
      </c>
      <c r="O132" s="4">
        <f>Tab_02.Fev[[#This Row],[DÉBITO]]-Tab_02.Fev[[#This Row],[CRÉDITO]]</f>
        <v>0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A</v>
      </c>
      <c r="E133" s="2">
        <f>IF($I133="","",COUNTIFS(Tab_00.Trial[CONTA],$I133))</f>
        <v>1</v>
      </c>
      <c r="F133" s="4">
        <f>SUMIFS(Tab_01.Jan[SALDO
ATUAL],Tab_01.Jan[CONTA],$I133)</f>
        <v>-187419.37</v>
      </c>
      <c r="G133" s="4">
        <f t="shared" si="5"/>
        <v>0</v>
      </c>
      <c r="H133" s="89"/>
      <c r="I133" s="3" t="s">
        <v>737</v>
      </c>
      <c r="J133" s="3" t="s">
        <v>820</v>
      </c>
      <c r="K133" s="4">
        <v>-187419.37</v>
      </c>
      <c r="L133" s="4">
        <v>0</v>
      </c>
      <c r="M133" s="4">
        <v>0</v>
      </c>
      <c r="N133" s="4">
        <v>-187419.37</v>
      </c>
      <c r="O133" s="4">
        <f>Tab_02.Fev[[#This Row],[DÉBITO]]-Tab_02.Fev[[#This Row],[CRÉDITO]]</f>
        <v>0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SUMIFS(Tab_01.Jan[SALDO
ATUAL],Tab_01.Jan[CONTA],$I134)</f>
        <v>-201740.61</v>
      </c>
      <c r="G134" s="4">
        <f t="shared" si="5"/>
        <v>0</v>
      </c>
      <c r="H134" s="89"/>
      <c r="I134" s="3" t="s">
        <v>569</v>
      </c>
      <c r="J134" s="3" t="s">
        <v>676</v>
      </c>
      <c r="K134" s="4">
        <v>-201740.61</v>
      </c>
      <c r="L134" s="4">
        <v>0</v>
      </c>
      <c r="M134" s="4">
        <v>89853</v>
      </c>
      <c r="N134" s="4">
        <v>-291593.61</v>
      </c>
      <c r="O134" s="4">
        <f>Tab_02.Fev[[#This Row],[DÉBITO]]-Tab_02.Fev[[#This Row],[CRÉDITO]]</f>
        <v>-89853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SUMIFS(Tab_01.Jan[SALDO
ATUAL],Tab_01.Jan[CONTA],$I135)</f>
        <v>-118774.53</v>
      </c>
      <c r="G135" s="4">
        <f t="shared" si="5"/>
        <v>0</v>
      </c>
      <c r="H135" s="89"/>
      <c r="I135" s="3" t="s">
        <v>570</v>
      </c>
      <c r="J135" s="3" t="s">
        <v>677</v>
      </c>
      <c r="K135" s="4">
        <v>-118774.53</v>
      </c>
      <c r="L135" s="4">
        <v>0</v>
      </c>
      <c r="M135" s="4">
        <v>89853</v>
      </c>
      <c r="N135" s="4">
        <v>-208627.53</v>
      </c>
      <c r="O135" s="4">
        <f>Tab_02.Fev[[#This Row],[DÉBITO]]-Tab_02.Fev[[#This Row],[CRÉDITO]]</f>
        <v>-89853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A</v>
      </c>
      <c r="E136" s="2">
        <f>IF($I136="","",COUNTIFS(Tab_00.Trial[CONTA],$I136))</f>
        <v>1</v>
      </c>
      <c r="F136" s="4">
        <f>SUMIFS(Tab_01.Jan[SALDO
ATUAL],Tab_01.Jan[CONTA],$I136)</f>
        <v>-52200</v>
      </c>
      <c r="G136" s="4">
        <f t="shared" si="5"/>
        <v>0</v>
      </c>
      <c r="H136" s="89"/>
      <c r="I136" s="3" t="s">
        <v>368</v>
      </c>
      <c r="J136" s="3" t="s">
        <v>369</v>
      </c>
      <c r="K136" s="4">
        <v>-52200</v>
      </c>
      <c r="L136" s="4">
        <v>0</v>
      </c>
      <c r="M136" s="4">
        <v>32300.240000000002</v>
      </c>
      <c r="N136" s="4">
        <v>-84500.24</v>
      </c>
      <c r="O136" s="4">
        <f>Tab_02.Fev[[#This Row],[DÉBITO]]-Tab_02.Fev[[#This Row],[CRÉDITO]]</f>
        <v>-32300.240000000002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SUMIFS(Tab_01.Jan[SALDO
ATUAL],Tab_01.Jan[CONTA],$I137)</f>
        <v>-66574.53</v>
      </c>
      <c r="G137" s="4">
        <f t="shared" si="5"/>
        <v>0</v>
      </c>
      <c r="H137" s="89"/>
      <c r="I137" s="3" t="s">
        <v>370</v>
      </c>
      <c r="J137" s="3" t="s">
        <v>371</v>
      </c>
      <c r="K137" s="4">
        <v>-66574.53</v>
      </c>
      <c r="L137" s="4">
        <v>0</v>
      </c>
      <c r="M137" s="4">
        <v>51882.6</v>
      </c>
      <c r="N137" s="4">
        <v>-118457.13</v>
      </c>
      <c r="O137" s="4">
        <f>Tab_02.Fev[[#This Row],[DÉBITO]]-Tab_02.Fev[[#This Row],[CRÉDITO]]</f>
        <v>-51882.6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SUMIFS(Tab_01.Jan[SALDO
ATUAL],Tab_01.Jan[CONTA],$I138)</f>
        <v>0</v>
      </c>
      <c r="G138" s="4">
        <f t="shared" si="5"/>
        <v>0</v>
      </c>
      <c r="H138" s="89"/>
      <c r="I138" s="3" t="s">
        <v>372</v>
      </c>
      <c r="J138" s="3" t="s">
        <v>373</v>
      </c>
      <c r="K138" s="4">
        <v>0</v>
      </c>
      <c r="L138" s="4">
        <v>0</v>
      </c>
      <c r="M138" s="4">
        <v>5670.16</v>
      </c>
      <c r="N138" s="4">
        <v>-5670.16</v>
      </c>
      <c r="O138" s="4">
        <f>Tab_02.Fev[[#This Row],[DÉBITO]]-Tab_02.Fev[[#This Row],[CRÉDITO]]</f>
        <v>-5670.16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SUMIFS(Tab_01.Jan[SALDO
ATUAL],Tab_01.Jan[CONTA],$I139)</f>
        <v>-82966.080000000002</v>
      </c>
      <c r="G139" s="4">
        <f t="shared" si="5"/>
        <v>0</v>
      </c>
      <c r="H139" s="89"/>
      <c r="I139" s="3" t="s">
        <v>571</v>
      </c>
      <c r="J139" s="3" t="s">
        <v>377</v>
      </c>
      <c r="K139" s="4">
        <v>-82966.080000000002</v>
      </c>
      <c r="L139" s="4">
        <v>0</v>
      </c>
      <c r="M139" s="4">
        <v>0</v>
      </c>
      <c r="N139" s="4">
        <v>-82966.080000000002</v>
      </c>
      <c r="O139" s="4">
        <f>Tab_02.Fev[[#This Row],[DÉBITO]]-Tab_02.Fev[[#This Row],[CRÉDITO]]</f>
        <v>0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SUMIFS(Tab_01.Jan[SALDO
ATUAL],Tab_01.Jan[CONTA],$I140)</f>
        <v>-82966.080000000002</v>
      </c>
      <c r="G140" s="4">
        <f t="shared" si="5"/>
        <v>0</v>
      </c>
      <c r="H140" s="89"/>
      <c r="I140" s="3" t="s">
        <v>376</v>
      </c>
      <c r="J140" s="3" t="s">
        <v>377</v>
      </c>
      <c r="K140" s="4">
        <v>-82966.080000000002</v>
      </c>
      <c r="L140" s="4">
        <v>0</v>
      </c>
      <c r="M140" s="4">
        <v>0</v>
      </c>
      <c r="N140" s="4">
        <v>-82966.080000000002</v>
      </c>
      <c r="O140" s="4">
        <f>Tab_02.Fev[[#This Row],[DÉBITO]]-Tab_02.Fev[[#This Row],[CRÉDITO]]</f>
        <v>0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2</v>
      </c>
      <c r="D141" s="2" t="str">
        <f>_xlfn.XLOOKUP($I141,Tab_00.Trial[CONTA],Tab_00.Trial[S/A],"",0,1)</f>
        <v>S</v>
      </c>
      <c r="E141" s="2">
        <f>IF($I141="","",COUNTIFS(Tab_00.Trial[CONTA],$I141))</f>
        <v>1</v>
      </c>
      <c r="F141" s="4">
        <f>SUMIFS(Tab_01.Jan[SALDO
ATUAL],Tab_01.Jan[CONTA],$I141)</f>
        <v>-421470.98</v>
      </c>
      <c r="G141" s="4">
        <f t="shared" si="5"/>
        <v>0</v>
      </c>
      <c r="H141" s="89"/>
      <c r="I141" s="3" t="s">
        <v>574</v>
      </c>
      <c r="J141" s="3" t="s">
        <v>680</v>
      </c>
      <c r="K141" s="4">
        <v>-421470.98</v>
      </c>
      <c r="L141" s="4">
        <v>0</v>
      </c>
      <c r="M141" s="4">
        <v>434107.84</v>
      </c>
      <c r="N141" s="4">
        <v>-855578.82</v>
      </c>
      <c r="O141" s="4">
        <f>Tab_02.Fev[[#This Row],[DÉBITO]]-Tab_02.Fev[[#This Row],[CRÉDITO]]</f>
        <v>-434107.84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SUMIFS(Tab_01.Jan[SALDO
ATUAL],Tab_01.Jan[CONTA],$I142)</f>
        <v>-421470.98</v>
      </c>
      <c r="G142" s="4">
        <f t="shared" si="5"/>
        <v>0</v>
      </c>
      <c r="H142" s="89"/>
      <c r="I142" s="3" t="s">
        <v>580</v>
      </c>
      <c r="J142" s="3" t="s">
        <v>822</v>
      </c>
      <c r="K142" s="4">
        <v>-421470.98</v>
      </c>
      <c r="L142" s="4">
        <v>0</v>
      </c>
      <c r="M142" s="4">
        <v>434107.84</v>
      </c>
      <c r="N142" s="4">
        <v>-855578.82</v>
      </c>
      <c r="O142" s="4">
        <f>Tab_02.Fev[[#This Row],[DÉBITO]]-Tab_02.Fev[[#This Row],[CRÉDITO]]</f>
        <v>-434107.84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S</v>
      </c>
      <c r="E143" s="2">
        <f>IF($I143="","",COUNTIFS(Tab_00.Trial[CONTA],$I143))</f>
        <v>1</v>
      </c>
      <c r="F143" s="4">
        <f>SUMIFS(Tab_01.Jan[SALDO
ATUAL],Tab_01.Jan[CONTA],$I143)</f>
        <v>-421470.98</v>
      </c>
      <c r="G143" s="4">
        <f t="shared" si="5"/>
        <v>0</v>
      </c>
      <c r="H143" s="89"/>
      <c r="I143" s="3" t="s">
        <v>581</v>
      </c>
      <c r="J143" s="3" t="s">
        <v>687</v>
      </c>
      <c r="K143" s="4">
        <v>-421470.98</v>
      </c>
      <c r="L143" s="4">
        <v>0</v>
      </c>
      <c r="M143" s="4">
        <v>434107.84</v>
      </c>
      <c r="N143" s="4">
        <v>-855578.82</v>
      </c>
      <c r="O143" s="4">
        <f>Tab_02.Fev[[#This Row],[DÉBITO]]-Tab_02.Fev[[#This Row],[CRÉDITO]]</f>
        <v>-434107.84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SUMIFS(Tab_01.Jan[SALDO
ATUAL],Tab_01.Jan[CONTA],$I144)</f>
        <v>-421470.98</v>
      </c>
      <c r="G144" s="4">
        <f t="shared" si="5"/>
        <v>0</v>
      </c>
      <c r="H144" s="89"/>
      <c r="I144" s="3" t="s">
        <v>387</v>
      </c>
      <c r="J144" s="3" t="s">
        <v>388</v>
      </c>
      <c r="K144" s="4">
        <v>-421470.98</v>
      </c>
      <c r="L144" s="4">
        <v>0</v>
      </c>
      <c r="M144" s="4">
        <v>421470.98</v>
      </c>
      <c r="N144" s="4">
        <v>-842941.96</v>
      </c>
      <c r="O144" s="4">
        <f>Tab_02.Fev[[#This Row],[DÉBITO]]-Tab_02.Fev[[#This Row],[CRÉDITO]]</f>
        <v>-421470.98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SUMIFS(Tab_01.Jan[SALDO
ATUAL],Tab_01.Jan[CONTA],$I145)</f>
        <v>0</v>
      </c>
      <c r="G145" s="4">
        <f t="shared" si="5"/>
        <v>0</v>
      </c>
      <c r="H145" s="89"/>
      <c r="I145" s="3" t="s">
        <v>389</v>
      </c>
      <c r="J145" s="3" t="s">
        <v>390</v>
      </c>
      <c r="K145" s="4">
        <v>0</v>
      </c>
      <c r="L145" s="4">
        <v>0</v>
      </c>
      <c r="M145" s="4">
        <v>12636.86</v>
      </c>
      <c r="N145" s="4">
        <v>-12636.86</v>
      </c>
      <c r="O145" s="4">
        <f>Tab_02.Fev[[#This Row],[DÉBITO]]-Tab_02.Fev[[#This Row],[CRÉDITO]]</f>
        <v>-12636.86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2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SUMIFS(Tab_01.Jan[SALDO
ATUAL],Tab_01.Jan[CONTA],$I146)</f>
        <v>-203029.53</v>
      </c>
      <c r="G146" s="4">
        <f t="shared" ref="G146:G155" si="6">$F146-$K146</f>
        <v>0</v>
      </c>
      <c r="H146" s="89"/>
      <c r="I146" s="3" t="s">
        <v>582</v>
      </c>
      <c r="J146" s="3" t="s">
        <v>688</v>
      </c>
      <c r="K146" s="4">
        <v>-203029.53</v>
      </c>
      <c r="L146" s="4">
        <v>0</v>
      </c>
      <c r="M146" s="4">
        <v>0.02</v>
      </c>
      <c r="N146" s="4">
        <v>-203029.55</v>
      </c>
      <c r="O146" s="4">
        <f>Tab_02.Fev[[#This Row],[DÉBITO]]-Tab_02.Fev[[#This Row],[CRÉDITO]]</f>
        <v>-0.02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SUMIFS(Tab_01.Jan[SALDO
ATUAL],Tab_01.Jan[CONTA],$I147)</f>
        <v>-0.05</v>
      </c>
      <c r="G147" s="4">
        <f t="shared" si="6"/>
        <v>0</v>
      </c>
      <c r="H147" s="89"/>
      <c r="I147" s="3" t="s">
        <v>583</v>
      </c>
      <c r="J147" s="3" t="s">
        <v>689</v>
      </c>
      <c r="K147" s="4">
        <v>-0.05</v>
      </c>
      <c r="L147" s="4">
        <v>0</v>
      </c>
      <c r="M147" s="4">
        <v>0.02</v>
      </c>
      <c r="N147" s="4">
        <v>-7.0000000000000007E-2</v>
      </c>
      <c r="O147" s="4">
        <f>Tab_02.Fev[[#This Row],[DÉBITO]]-Tab_02.Fev[[#This Row],[CRÉDITO]]</f>
        <v>-0.02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SUMIFS(Tab_01.Jan[SALDO
ATUAL],Tab_01.Jan[CONTA],$I148)</f>
        <v>-0.05</v>
      </c>
      <c r="G148" s="4">
        <f t="shared" si="6"/>
        <v>0</v>
      </c>
      <c r="H148" s="89"/>
      <c r="I148" s="3" t="s">
        <v>584</v>
      </c>
      <c r="J148" s="3" t="s">
        <v>689</v>
      </c>
      <c r="K148" s="4">
        <v>-0.05</v>
      </c>
      <c r="L148" s="4">
        <v>0</v>
      </c>
      <c r="M148" s="4">
        <v>0.02</v>
      </c>
      <c r="N148" s="4">
        <v>-7.0000000000000007E-2</v>
      </c>
      <c r="O148" s="4">
        <f>Tab_02.Fev[[#This Row],[DÉBITO]]-Tab_02.Fev[[#This Row],[CRÉDITO]]</f>
        <v>-0.02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A</v>
      </c>
      <c r="E149" s="2">
        <f>IF($I149="","",COUNTIFS(Tab_00.Trial[CONTA],$I149))</f>
        <v>1</v>
      </c>
      <c r="F149" s="4">
        <f>SUMIFS(Tab_01.Jan[SALDO
ATUAL],Tab_01.Jan[CONTA],$I149)</f>
        <v>-0.05</v>
      </c>
      <c r="G149" s="4">
        <f t="shared" si="6"/>
        <v>0</v>
      </c>
      <c r="H149" s="89"/>
      <c r="I149" s="3" t="s">
        <v>391</v>
      </c>
      <c r="J149" s="3" t="s">
        <v>392</v>
      </c>
      <c r="K149" s="4">
        <v>-0.05</v>
      </c>
      <c r="L149" s="4">
        <v>0</v>
      </c>
      <c r="M149" s="4">
        <v>0.02</v>
      </c>
      <c r="N149" s="4">
        <v>-7.0000000000000007E-2</v>
      </c>
      <c r="O149" s="4">
        <f>Tab_02.Fev[[#This Row],[DÉBITO]]-Tab_02.Fev[[#This Row],[CRÉDITO]]</f>
        <v>-0.02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SUMIFS(Tab_01.Jan[SALDO
ATUAL],Tab_01.Jan[CONTA],$I150)</f>
        <v>-203029.48</v>
      </c>
      <c r="G150" s="4">
        <f t="shared" si="6"/>
        <v>0</v>
      </c>
      <c r="H150" s="89"/>
      <c r="I150" s="3" t="s">
        <v>585</v>
      </c>
      <c r="J150" s="3" t="s">
        <v>690</v>
      </c>
      <c r="K150" s="4">
        <v>-203029.48</v>
      </c>
      <c r="L150" s="4">
        <v>0</v>
      </c>
      <c r="M150" s="4">
        <v>0</v>
      </c>
      <c r="N150" s="4">
        <v>-203029.48</v>
      </c>
      <c r="O150" s="4">
        <f>Tab_02.Fev[[#This Row],[DÉBITO]]-Tab_02.Fev[[#This Row],[CRÉDITO]]</f>
        <v>0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SUMIFS(Tab_01.Jan[SALDO
ATUAL],Tab_01.Jan[CONTA],$I151)</f>
        <v>-203029.48</v>
      </c>
      <c r="G151" s="4">
        <f t="shared" si="6"/>
        <v>0</v>
      </c>
      <c r="H151" s="89"/>
      <c r="I151" s="3" t="s">
        <v>586</v>
      </c>
      <c r="J151" s="3" t="s">
        <v>394</v>
      </c>
      <c r="K151" s="4">
        <v>-203029.48</v>
      </c>
      <c r="L151" s="4">
        <v>0</v>
      </c>
      <c r="M151" s="4">
        <v>0</v>
      </c>
      <c r="N151" s="4">
        <v>-203029.48</v>
      </c>
      <c r="O151" s="4">
        <f>Tab_02.Fev[[#This Row],[DÉBITO]]-Tab_02.Fev[[#This Row],[CRÉDITO]]</f>
        <v>0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SUMIFS(Tab_01.Jan[SALDO
ATUAL],Tab_01.Jan[CONTA],$I152)</f>
        <v>-203029.48</v>
      </c>
      <c r="G152" s="4">
        <f t="shared" si="6"/>
        <v>0</v>
      </c>
      <c r="H152" s="89"/>
      <c r="I152" s="3" t="s">
        <v>393</v>
      </c>
      <c r="J152" s="3" t="s">
        <v>394</v>
      </c>
      <c r="K152" s="4">
        <v>-203029.48</v>
      </c>
      <c r="L152" s="4">
        <v>0</v>
      </c>
      <c r="M152" s="4">
        <v>0</v>
      </c>
      <c r="N152" s="4">
        <v>-203029.48</v>
      </c>
      <c r="O152" s="4">
        <f>Tab_02.Fev[[#This Row],[DÉBITO]]-Tab_02.Fev[[#This Row],[CRÉDITO]]</f>
        <v>0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2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SUMIFS(Tab_01.Jan[SALDO
ATUAL],Tab_01.Jan[CONTA],$I153)</f>
        <v>-50</v>
      </c>
      <c r="G153" s="4">
        <f t="shared" si="6"/>
        <v>0</v>
      </c>
      <c r="H153" s="89"/>
      <c r="I153" s="3" t="s">
        <v>587</v>
      </c>
      <c r="J153" s="3" t="s">
        <v>691</v>
      </c>
      <c r="K153" s="4">
        <v>-50</v>
      </c>
      <c r="L153" s="4">
        <v>0</v>
      </c>
      <c r="M153" s="4">
        <v>650</v>
      </c>
      <c r="N153" s="4">
        <v>-700</v>
      </c>
      <c r="O153" s="4">
        <f>Tab_02.Fev[[#This Row],[DÉBITO]]-Tab_02.Fev[[#This Row],[CRÉDITO]]</f>
        <v>-650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SUMIFS(Tab_01.Jan[SALDO
ATUAL],Tab_01.Jan[CONTA],$I154)</f>
        <v>-50</v>
      </c>
      <c r="G154" s="4">
        <f t="shared" si="6"/>
        <v>0</v>
      </c>
      <c r="H154" s="89"/>
      <c r="I154" s="3" t="s">
        <v>588</v>
      </c>
      <c r="J154" s="3" t="s">
        <v>692</v>
      </c>
      <c r="K154" s="4">
        <v>-50</v>
      </c>
      <c r="L154" s="4">
        <v>0</v>
      </c>
      <c r="M154" s="4">
        <v>650</v>
      </c>
      <c r="N154" s="4">
        <v>-700</v>
      </c>
      <c r="O154" s="4">
        <f>Tab_02.Fev[[#This Row],[DÉBITO]]-Tab_02.Fev[[#This Row],[CRÉDITO]]</f>
        <v>-650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SUMIFS(Tab_01.Jan[SALDO
ATUAL],Tab_01.Jan[CONTA],$I155)</f>
        <v>-50</v>
      </c>
      <c r="G155" s="4">
        <f t="shared" si="6"/>
        <v>0</v>
      </c>
      <c r="H155" s="89"/>
      <c r="I155" s="3" t="s">
        <v>589</v>
      </c>
      <c r="J155" s="3" t="s">
        <v>692</v>
      </c>
      <c r="K155" s="4">
        <v>-50</v>
      </c>
      <c r="L155" s="4">
        <v>0</v>
      </c>
      <c r="M155" s="4">
        <v>650</v>
      </c>
      <c r="N155" s="4">
        <v>-700</v>
      </c>
      <c r="O155" s="4">
        <f>Tab_02.Fev[[#This Row],[DÉBITO]]-Tab_02.Fev[[#This Row],[CRÉDITO]]</f>
        <v>-650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SUMIFS(Tab_01.Jan[SALDO
ATUAL],Tab_01.Jan[CONTA],$I156)</f>
        <v>-50</v>
      </c>
      <c r="G156" s="4">
        <f t="shared" ref="G156:G188" si="7">$F156-$K156</f>
        <v>0</v>
      </c>
      <c r="H156" s="89"/>
      <c r="I156" s="3" t="s">
        <v>395</v>
      </c>
      <c r="J156" s="3" t="s">
        <v>396</v>
      </c>
      <c r="K156" s="4">
        <v>-50</v>
      </c>
      <c r="L156" s="4">
        <v>0</v>
      </c>
      <c r="M156" s="4">
        <v>650</v>
      </c>
      <c r="N156" s="4">
        <v>-700</v>
      </c>
      <c r="O156" s="4">
        <f>Tab_02.Fev[[#This Row],[DÉBITO]]-Tab_02.Fev[[#This Row],[CRÉDITO]]</f>
        <v>-650</v>
      </c>
    </row>
    <row r="157" spans="2:15" x14ac:dyDescent="0.3">
      <c r="B157" s="2" t="str">
        <f>_xlfn.XLOOKUP($I157,Tab_00.Trial[CONTA],Tab_00.Trial[TP],"",0,1)</f>
        <v>C</v>
      </c>
      <c r="C157" s="2">
        <f>_xlfn.XLOOKUP($I157,Tab_00.Trial[CONTA],Tab_00.Trial[NV],"",0,1)</f>
        <v>1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SUMIFS(Tab_01.Jan[SALDO
ATUAL],Tab_01.Jan[CONTA],$I157)</f>
        <v>978219.9</v>
      </c>
      <c r="G157" s="4">
        <f t="shared" si="7"/>
        <v>0</v>
      </c>
      <c r="H157" s="89"/>
      <c r="I157" s="3">
        <v>4</v>
      </c>
      <c r="J157" s="3" t="s">
        <v>693</v>
      </c>
      <c r="K157" s="4">
        <v>978219.9</v>
      </c>
      <c r="L157" s="4">
        <v>226607.49</v>
      </c>
      <c r="M157" s="4">
        <v>0</v>
      </c>
      <c r="N157" s="4">
        <v>1204827.3899999999</v>
      </c>
      <c r="O157" s="4">
        <f>Tab_02.Fev[[#This Row],[DÉBITO]]-Tab_02.Fev[[#This Row],[CRÉDITO]]</f>
        <v>226607.49</v>
      </c>
    </row>
    <row r="158" spans="2:15" x14ac:dyDescent="0.3">
      <c r="B158" s="2" t="str">
        <f>_xlfn.XLOOKUP($I158,Tab_00.Trial[CONTA],Tab_00.Trial[TP],"",0,1)</f>
        <v>C</v>
      </c>
      <c r="C158" s="2">
        <f>_xlfn.XLOOKUP($I158,Tab_00.Trial[CONTA],Tab_00.Trial[NV],"",0,1)</f>
        <v>2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SUMIFS(Tab_01.Jan[SALDO
ATUAL],Tab_01.Jan[CONTA],$I158)</f>
        <v>978219.9</v>
      </c>
      <c r="G158" s="4">
        <f t="shared" si="7"/>
        <v>0</v>
      </c>
      <c r="H158" s="89"/>
      <c r="I158" s="3" t="s">
        <v>234</v>
      </c>
      <c r="J158" s="3" t="s">
        <v>823</v>
      </c>
      <c r="K158" s="4">
        <v>978219.9</v>
      </c>
      <c r="L158" s="4">
        <v>226607.49</v>
      </c>
      <c r="M158" s="4">
        <v>0</v>
      </c>
      <c r="N158" s="4">
        <v>1204827.3899999999</v>
      </c>
      <c r="O158" s="4">
        <f>Tab_02.Fev[[#This Row],[DÉBITO]]-Tab_02.Fev[[#This Row],[CRÉDITO]]</f>
        <v>226607.49</v>
      </c>
    </row>
    <row r="159" spans="2:15" x14ac:dyDescent="0.3">
      <c r="B159" s="2" t="str">
        <f>_xlfn.XLOOKUP($I159,Tab_00.Trial[CONTA],Tab_00.Trial[TP],"",0,1)</f>
        <v>C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SUMIFS(Tab_01.Jan[SALDO
ATUAL],Tab_01.Jan[CONTA],$I159)</f>
        <v>125780.71</v>
      </c>
      <c r="G159" s="4">
        <f t="shared" si="7"/>
        <v>0</v>
      </c>
      <c r="H159" s="89"/>
      <c r="I159" s="3" t="s">
        <v>235</v>
      </c>
      <c r="J159" s="3" t="s">
        <v>824</v>
      </c>
      <c r="K159" s="4">
        <v>125780.71</v>
      </c>
      <c r="L159" s="4">
        <v>49228.43</v>
      </c>
      <c r="M159" s="4">
        <v>0</v>
      </c>
      <c r="N159" s="4">
        <v>175009.14</v>
      </c>
      <c r="O159" s="4">
        <f>Tab_02.Fev[[#This Row],[DÉBITO]]-Tab_02.Fev[[#This Row],[CRÉDITO]]</f>
        <v>49228.43</v>
      </c>
    </row>
    <row r="160" spans="2:15" x14ac:dyDescent="0.3">
      <c r="B160" s="2" t="str">
        <f>_xlfn.XLOOKUP($I160,Tab_00.Trial[CONTA],Tab_00.Trial[TP],"",0,1)</f>
        <v>C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SUMIFS(Tab_01.Jan[SALDO
ATUAL],Tab_01.Jan[CONTA],$I160)</f>
        <v>54534.01</v>
      </c>
      <c r="G160" s="4">
        <f t="shared" si="7"/>
        <v>0</v>
      </c>
      <c r="H160" s="89"/>
      <c r="I160" s="3" t="s">
        <v>236</v>
      </c>
      <c r="J160" s="3" t="s">
        <v>696</v>
      </c>
      <c r="K160" s="4">
        <v>54534.01</v>
      </c>
      <c r="L160" s="4">
        <v>0</v>
      </c>
      <c r="M160" s="4">
        <v>0</v>
      </c>
      <c r="N160" s="4">
        <v>54534.01</v>
      </c>
      <c r="O160" s="4">
        <f>Tab_02.Fev[[#This Row],[DÉBITO]]-Tab_02.Fev[[#This Row],[CRÉDITO]]</f>
        <v>0</v>
      </c>
    </row>
    <row r="161" spans="2:15" x14ac:dyDescent="0.3">
      <c r="B161" s="2" t="str">
        <f>_xlfn.XLOOKUP($I161,Tab_00.Trial[CONTA],Tab_00.Trial[TP],"",0,1)</f>
        <v>C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SUMIFS(Tab_01.Jan[SALDO
ATUAL],Tab_01.Jan[CONTA],$I161)</f>
        <v>-9283.35</v>
      </c>
      <c r="G161" s="4">
        <f t="shared" si="7"/>
        <v>0</v>
      </c>
      <c r="H161" s="89"/>
      <c r="I161" s="3" t="s">
        <v>195</v>
      </c>
      <c r="J161" s="3" t="s">
        <v>427</v>
      </c>
      <c r="K161" s="4">
        <v>-9283.35</v>
      </c>
      <c r="L161" s="4">
        <v>0</v>
      </c>
      <c r="M161" s="4">
        <v>0</v>
      </c>
      <c r="N161" s="4">
        <v>-9283.35</v>
      </c>
      <c r="O161" s="4">
        <f>Tab_02.Fev[[#This Row],[DÉBITO]]-Tab_02.Fev[[#This Row],[CRÉDITO]]</f>
        <v>0</v>
      </c>
    </row>
    <row r="162" spans="2:15" x14ac:dyDescent="0.3">
      <c r="B162" s="2" t="str">
        <f>_xlfn.XLOOKUP($I162,Tab_00.Trial[CONTA],Tab_00.Trial[TP],"",0,1)</f>
        <v>C</v>
      </c>
      <c r="C162" s="2">
        <f>_xlfn.XLOOKUP($I162,Tab_00.Trial[CONTA],Tab_00.Trial[NV],"",0,1)</f>
        <v>5</v>
      </c>
      <c r="D162" s="2" t="str">
        <f>_xlfn.XLOOKUP($I162,Tab_00.Trial[CONTA],Tab_00.Trial[S/A],"",0,1)</f>
        <v>A</v>
      </c>
      <c r="E162" s="2">
        <f>IF($I162="","",COUNTIFS(Tab_00.Trial[CONTA],$I162))</f>
        <v>1</v>
      </c>
      <c r="F162" s="4">
        <f>SUMIFS(Tab_01.Jan[SALDO
ATUAL],Tab_01.Jan[CONTA],$I162)</f>
        <v>7059.76</v>
      </c>
      <c r="G162" s="4">
        <f t="shared" si="7"/>
        <v>0</v>
      </c>
      <c r="H162" s="89"/>
      <c r="I162" s="3" t="s">
        <v>430</v>
      </c>
      <c r="J162" s="3" t="s">
        <v>431</v>
      </c>
      <c r="K162" s="4">
        <v>7059.76</v>
      </c>
      <c r="L162" s="4">
        <v>0</v>
      </c>
      <c r="M162" s="4">
        <v>0</v>
      </c>
      <c r="N162" s="4">
        <v>7059.76</v>
      </c>
      <c r="O162" s="4">
        <f>Tab_02.Fev[[#This Row],[DÉBITO]]-Tab_02.Fev[[#This Row],[CRÉDITO]]</f>
        <v>0</v>
      </c>
    </row>
    <row r="163" spans="2:15" x14ac:dyDescent="0.3">
      <c r="B163" s="2" t="str">
        <f>_xlfn.XLOOKUP($I163,Tab_00.Trial[CONTA],Tab_00.Trial[TP],"",0,1)</f>
        <v>C</v>
      </c>
      <c r="C163" s="2">
        <f>_xlfn.XLOOKUP($I163,Tab_00.Trial[CONTA],Tab_00.Trial[NV],"",0,1)</f>
        <v>5</v>
      </c>
      <c r="D163" s="2" t="str">
        <f>_xlfn.XLOOKUP($I163,Tab_00.Trial[CONTA],Tab_00.Trial[S/A],"",0,1)</f>
        <v>A</v>
      </c>
      <c r="E163" s="2">
        <f>IF($I163="","",COUNTIFS(Tab_00.Trial[CONTA],$I163))</f>
        <v>1</v>
      </c>
      <c r="F163" s="4">
        <f>SUMIFS(Tab_01.Jan[SALDO
ATUAL],Tab_01.Jan[CONTA],$I163)</f>
        <v>5045.03</v>
      </c>
      <c r="G163" s="4">
        <f t="shared" si="7"/>
        <v>0</v>
      </c>
      <c r="H163" s="89"/>
      <c r="I163" s="3" t="s">
        <v>432</v>
      </c>
      <c r="J163" s="3" t="s">
        <v>433</v>
      </c>
      <c r="K163" s="4">
        <v>5045.03</v>
      </c>
      <c r="L163" s="4">
        <v>0</v>
      </c>
      <c r="M163" s="4">
        <v>0</v>
      </c>
      <c r="N163" s="4">
        <v>5045.03</v>
      </c>
      <c r="O163" s="4">
        <f>Tab_02.Fev[[#This Row],[DÉBITO]]-Tab_02.Fev[[#This Row],[CRÉDITO]]</f>
        <v>0</v>
      </c>
    </row>
    <row r="164" spans="2:15" x14ac:dyDescent="0.3">
      <c r="B164" s="2" t="str">
        <f>_xlfn.XLOOKUP($I164,Tab_00.Trial[CONTA],Tab_00.Trial[TP],"",0,1)</f>
        <v>C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SUMIFS(Tab_01.Jan[SALDO
ATUAL],Tab_01.Jan[CONTA],$I164)</f>
        <v>49658.59</v>
      </c>
      <c r="G164" s="4">
        <f t="shared" si="7"/>
        <v>0</v>
      </c>
      <c r="H164" s="89"/>
      <c r="I164" s="3" t="s">
        <v>796</v>
      </c>
      <c r="J164" s="3" t="s">
        <v>797</v>
      </c>
      <c r="K164" s="4">
        <v>49658.59</v>
      </c>
      <c r="L164" s="4">
        <v>0</v>
      </c>
      <c r="M164" s="4">
        <v>0</v>
      </c>
      <c r="N164" s="4">
        <v>49658.59</v>
      </c>
      <c r="O164" s="4">
        <f>Tab_02.Fev[[#This Row],[DÉBITO]]-Tab_02.Fev[[#This Row],[CRÉDITO]]</f>
        <v>0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5</v>
      </c>
      <c r="D165" s="2" t="str">
        <f>_xlfn.XLOOKUP($I165,Tab_00.Trial[CONTA],Tab_00.Trial[S/A],"",0,1)</f>
        <v>A</v>
      </c>
      <c r="E165" s="2">
        <f>IF($I165="","",COUNTIFS(Tab_00.Trial[CONTA],$I165))</f>
        <v>1</v>
      </c>
      <c r="F165" s="4">
        <f>SUMIFS(Tab_01.Jan[SALDO
ATUAL],Tab_01.Jan[CONTA],$I165)</f>
        <v>179.93</v>
      </c>
      <c r="G165" s="4">
        <f t="shared" si="7"/>
        <v>0</v>
      </c>
      <c r="H165" s="89"/>
      <c r="I165" s="3" t="s">
        <v>798</v>
      </c>
      <c r="J165" s="3" t="s">
        <v>799</v>
      </c>
      <c r="K165" s="4">
        <v>179.93</v>
      </c>
      <c r="L165" s="4">
        <v>0</v>
      </c>
      <c r="M165" s="4">
        <v>0</v>
      </c>
      <c r="N165" s="4">
        <v>179.93</v>
      </c>
      <c r="O165" s="4">
        <f>Tab_02.Fev[[#This Row],[DÉBITO]]-Tab_02.Fev[[#This Row],[CRÉDITO]]</f>
        <v>0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5</v>
      </c>
      <c r="D166" s="2" t="str">
        <f>_xlfn.XLOOKUP($I166,Tab_00.Trial[CONTA],Tab_00.Trial[S/A],"",0,1)</f>
        <v>A</v>
      </c>
      <c r="E166" s="2">
        <f>IF($I166="","",COUNTIFS(Tab_00.Trial[CONTA],$I166))</f>
        <v>1</v>
      </c>
      <c r="F166" s="4">
        <f>SUMIFS(Tab_01.Jan[SALDO
ATUAL],Tab_01.Jan[CONTA],$I166)</f>
        <v>67.97</v>
      </c>
      <c r="G166" s="4">
        <f t="shared" si="7"/>
        <v>0</v>
      </c>
      <c r="H166" s="89"/>
      <c r="I166" s="3" t="s">
        <v>800</v>
      </c>
      <c r="J166" s="3" t="s">
        <v>801</v>
      </c>
      <c r="K166" s="4">
        <v>67.97</v>
      </c>
      <c r="L166" s="4">
        <v>0</v>
      </c>
      <c r="M166" s="4">
        <v>0</v>
      </c>
      <c r="N166" s="4">
        <v>67.97</v>
      </c>
      <c r="O166" s="4">
        <f>Tab_02.Fev[[#This Row],[DÉBITO]]-Tab_02.Fev[[#This Row],[CRÉDITO]]</f>
        <v>0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SUMIFS(Tab_01.Jan[SALDO
ATUAL],Tab_01.Jan[CONTA],$I167)</f>
        <v>1352.06</v>
      </c>
      <c r="G167" s="4">
        <f t="shared" si="7"/>
        <v>0</v>
      </c>
      <c r="H167" s="89"/>
      <c r="I167" s="3" t="s">
        <v>802</v>
      </c>
      <c r="J167" s="3" t="s">
        <v>803</v>
      </c>
      <c r="K167" s="4">
        <v>1352.06</v>
      </c>
      <c r="L167" s="4">
        <v>0</v>
      </c>
      <c r="M167" s="4">
        <v>0</v>
      </c>
      <c r="N167" s="4">
        <v>1352.06</v>
      </c>
      <c r="O167" s="4">
        <f>Tab_02.Fev[[#This Row],[DÉBITO]]-Tab_02.Fev[[#This Row],[CRÉDITO]]</f>
        <v>0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SUMIFS(Tab_01.Jan[SALDO
ATUAL],Tab_01.Jan[CONTA],$I168)</f>
        <v>403.57</v>
      </c>
      <c r="G168" s="4">
        <f t="shared" si="7"/>
        <v>0</v>
      </c>
      <c r="H168" s="89"/>
      <c r="I168" s="3" t="s">
        <v>804</v>
      </c>
      <c r="J168" s="3" t="s">
        <v>805</v>
      </c>
      <c r="K168" s="4">
        <v>403.57</v>
      </c>
      <c r="L168" s="4">
        <v>0</v>
      </c>
      <c r="M168" s="4">
        <v>0</v>
      </c>
      <c r="N168" s="4">
        <v>403.57</v>
      </c>
      <c r="O168" s="4">
        <f>Tab_02.Fev[[#This Row],[DÉBITO]]-Tab_02.Fev[[#This Row],[CRÉDITO]]</f>
        <v>0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SUMIFS(Tab_01.Jan[SALDO
ATUAL],Tab_01.Jan[CONTA],$I169)</f>
        <v>50.45</v>
      </c>
      <c r="G169" s="4">
        <f t="shared" si="7"/>
        <v>0</v>
      </c>
      <c r="H169" s="89"/>
      <c r="I169" s="3" t="s">
        <v>806</v>
      </c>
      <c r="J169" s="3" t="s">
        <v>807</v>
      </c>
      <c r="K169" s="4">
        <v>50.45</v>
      </c>
      <c r="L169" s="4">
        <v>0</v>
      </c>
      <c r="M169" s="4">
        <v>0</v>
      </c>
      <c r="N169" s="4">
        <v>50.45</v>
      </c>
      <c r="O169" s="4">
        <f>Tab_02.Fev[[#This Row],[DÉBITO]]-Tab_02.Fev[[#This Row],[CRÉDITO]]</f>
        <v>0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S</v>
      </c>
      <c r="E170" s="2">
        <f>IF($I170="","",COUNTIFS(Tab_00.Trial[CONTA],$I170))</f>
        <v>1</v>
      </c>
      <c r="F170" s="4">
        <f>SUMIFS(Tab_01.Jan[SALDO
ATUAL],Tab_01.Jan[CONTA],$I170)</f>
        <v>16378.13</v>
      </c>
      <c r="G170" s="4">
        <f t="shared" si="7"/>
        <v>0</v>
      </c>
      <c r="H170" s="89"/>
      <c r="I170" s="3" t="s">
        <v>590</v>
      </c>
      <c r="J170" s="3" t="s">
        <v>697</v>
      </c>
      <c r="K170" s="4">
        <v>16378.13</v>
      </c>
      <c r="L170" s="4">
        <v>19325.21</v>
      </c>
      <c r="M170" s="4">
        <v>0</v>
      </c>
      <c r="N170" s="4">
        <v>35703.339999999997</v>
      </c>
      <c r="O170" s="4">
        <f>Tab_02.Fev[[#This Row],[DÉBITO]]-Tab_02.Fev[[#This Row],[CRÉDITO]]</f>
        <v>19325.21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SUMIFS(Tab_01.Jan[SALDO
ATUAL],Tab_01.Jan[CONTA],$I171)</f>
        <v>15206.61</v>
      </c>
      <c r="G171" s="4">
        <f t="shared" si="7"/>
        <v>0</v>
      </c>
      <c r="H171" s="89"/>
      <c r="I171" s="3" t="s">
        <v>434</v>
      </c>
      <c r="J171" s="3" t="s">
        <v>435</v>
      </c>
      <c r="K171" s="4">
        <v>15206.61</v>
      </c>
      <c r="L171" s="4">
        <v>17072.71</v>
      </c>
      <c r="M171" s="4">
        <v>0</v>
      </c>
      <c r="N171" s="4">
        <v>32279.32</v>
      </c>
      <c r="O171" s="4">
        <f>Tab_02.Fev[[#This Row],[DÉBITO]]-Tab_02.Fev[[#This Row],[CRÉDITO]]</f>
        <v>17072.71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SUMIFS(Tab_01.Jan[SALDO
ATUAL],Tab_01.Jan[CONTA],$I172)</f>
        <v>1171.52</v>
      </c>
      <c r="G172" s="4">
        <f t="shared" si="7"/>
        <v>0</v>
      </c>
      <c r="H172" s="89"/>
      <c r="I172" s="3" t="s">
        <v>750</v>
      </c>
      <c r="J172" s="3" t="s">
        <v>751</v>
      </c>
      <c r="K172" s="4">
        <v>1171.52</v>
      </c>
      <c r="L172" s="4">
        <v>2252.5</v>
      </c>
      <c r="M172" s="4">
        <v>0</v>
      </c>
      <c r="N172" s="4">
        <v>3424.02</v>
      </c>
      <c r="O172" s="4">
        <f>Tab_02.Fev[[#This Row],[DÉBITO]]-Tab_02.Fev[[#This Row],[CRÉDITO]]</f>
        <v>2252.5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S</v>
      </c>
      <c r="E173" s="2">
        <f>IF($I173="","",COUNTIFS(Tab_00.Trial[CONTA],$I173))</f>
        <v>1</v>
      </c>
      <c r="F173" s="4">
        <f>SUMIFS(Tab_01.Jan[SALDO
ATUAL],Tab_01.Jan[CONTA],$I173)</f>
        <v>16434.849999999999</v>
      </c>
      <c r="G173" s="4">
        <f t="shared" si="7"/>
        <v>0</v>
      </c>
      <c r="H173" s="89"/>
      <c r="I173" s="3" t="s">
        <v>591</v>
      </c>
      <c r="J173" s="3" t="s">
        <v>698</v>
      </c>
      <c r="K173" s="4">
        <v>16434.849999999999</v>
      </c>
      <c r="L173" s="4">
        <v>0</v>
      </c>
      <c r="M173" s="4">
        <v>0</v>
      </c>
      <c r="N173" s="4">
        <v>16434.849999999999</v>
      </c>
      <c r="O173" s="4">
        <f>Tab_02.Fev[[#This Row],[DÉBITO]]-Tab_02.Fev[[#This Row],[CRÉDITO]]</f>
        <v>0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SUMIFS(Tab_01.Jan[SALDO
ATUAL],Tab_01.Jan[CONTA],$I174)</f>
        <v>13434.9</v>
      </c>
      <c r="G174" s="4">
        <f t="shared" si="7"/>
        <v>0</v>
      </c>
      <c r="H174" s="89"/>
      <c r="I174" s="3" t="s">
        <v>436</v>
      </c>
      <c r="J174" s="3" t="s">
        <v>437</v>
      </c>
      <c r="K174" s="4">
        <v>13434.9</v>
      </c>
      <c r="L174" s="4">
        <v>0</v>
      </c>
      <c r="M174" s="4">
        <v>0</v>
      </c>
      <c r="N174" s="4">
        <v>13434.9</v>
      </c>
      <c r="O174" s="4">
        <f>Tab_02.Fev[[#This Row],[DÉBITO]]-Tab_02.Fev[[#This Row],[CRÉDITO]]</f>
        <v>0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SUMIFS(Tab_01.Jan[SALDO
ATUAL],Tab_01.Jan[CONTA],$I175)</f>
        <v>2354.0700000000002</v>
      </c>
      <c r="G175" s="4">
        <f t="shared" si="7"/>
        <v>0</v>
      </c>
      <c r="H175" s="89"/>
      <c r="I175" s="3" t="s">
        <v>438</v>
      </c>
      <c r="J175" s="3" t="s">
        <v>196</v>
      </c>
      <c r="K175" s="4">
        <v>2354.0700000000002</v>
      </c>
      <c r="L175" s="4">
        <v>0</v>
      </c>
      <c r="M175" s="4">
        <v>0</v>
      </c>
      <c r="N175" s="4">
        <v>2354.0700000000002</v>
      </c>
      <c r="O175" s="4">
        <f>Tab_02.Fev[[#This Row],[DÉBITO]]-Tab_02.Fev[[#This Row],[CRÉDITO]]</f>
        <v>0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SUMIFS(Tab_01.Jan[SALDO
ATUAL],Tab_01.Jan[CONTA],$I176)</f>
        <v>645.88</v>
      </c>
      <c r="G176" s="4">
        <f t="shared" si="7"/>
        <v>0</v>
      </c>
      <c r="H176" s="89"/>
      <c r="I176" s="3" t="s">
        <v>439</v>
      </c>
      <c r="J176" s="3" t="s">
        <v>440</v>
      </c>
      <c r="K176" s="4">
        <v>645.88</v>
      </c>
      <c r="L176" s="4">
        <v>0</v>
      </c>
      <c r="M176" s="4">
        <v>0</v>
      </c>
      <c r="N176" s="4">
        <v>645.88</v>
      </c>
      <c r="O176" s="4">
        <f>Tab_02.Fev[[#This Row],[DÉBITO]]-Tab_02.Fev[[#This Row],[CRÉDITO]]</f>
        <v>0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S</v>
      </c>
      <c r="E177" s="2">
        <f>IF($I177="","",COUNTIFS(Tab_00.Trial[CONTA],$I177))</f>
        <v>1</v>
      </c>
      <c r="F177" s="4">
        <f>SUMIFS(Tab_01.Jan[SALDO
ATUAL],Tab_01.Jan[CONTA],$I177)</f>
        <v>2235.4699999999998</v>
      </c>
      <c r="G177" s="4">
        <f t="shared" si="7"/>
        <v>0</v>
      </c>
      <c r="H177" s="89"/>
      <c r="I177" s="3" t="s">
        <v>592</v>
      </c>
      <c r="J177" s="3" t="s">
        <v>699</v>
      </c>
      <c r="K177" s="4">
        <v>2235.4699999999998</v>
      </c>
      <c r="L177" s="4">
        <v>0</v>
      </c>
      <c r="M177" s="4">
        <v>0</v>
      </c>
      <c r="N177" s="4">
        <v>2235.4699999999998</v>
      </c>
      <c r="O177" s="4">
        <f>Tab_02.Fev[[#This Row],[DÉBITO]]-Tab_02.Fev[[#This Row],[CRÉDITO]]</f>
        <v>0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SUMIFS(Tab_01.Jan[SALDO
ATUAL],Tab_01.Jan[CONTA],$I178)</f>
        <v>2235.4699999999998</v>
      </c>
      <c r="G178" s="4">
        <f t="shared" si="7"/>
        <v>0</v>
      </c>
      <c r="H178" s="89"/>
      <c r="I178" s="3" t="s">
        <v>397</v>
      </c>
      <c r="J178" s="3" t="s">
        <v>398</v>
      </c>
      <c r="K178" s="4">
        <v>2235.4699999999998</v>
      </c>
      <c r="L178" s="4">
        <v>0</v>
      </c>
      <c r="M178" s="4">
        <v>0</v>
      </c>
      <c r="N178" s="4">
        <v>2235.4699999999998</v>
      </c>
      <c r="O178" s="4">
        <f>Tab_02.Fev[[#This Row],[DÉBITO]]-Tab_02.Fev[[#This Row],[CRÉDITO]]</f>
        <v>0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S</v>
      </c>
      <c r="E179" s="2">
        <f>IF($I179="","",COUNTIFS(Tab_00.Trial[CONTA],$I179))</f>
        <v>1</v>
      </c>
      <c r="F179" s="4">
        <f>SUMIFS(Tab_01.Jan[SALDO
ATUAL],Tab_01.Jan[CONTA],$I179)</f>
        <v>34180.15</v>
      </c>
      <c r="G179" s="4">
        <f t="shared" si="7"/>
        <v>0</v>
      </c>
      <c r="H179" s="89"/>
      <c r="I179" s="3" t="s">
        <v>593</v>
      </c>
      <c r="J179" s="3" t="s">
        <v>711</v>
      </c>
      <c r="K179" s="4">
        <v>34180.15</v>
      </c>
      <c r="L179" s="4">
        <v>29475.96</v>
      </c>
      <c r="M179" s="4">
        <v>0</v>
      </c>
      <c r="N179" s="4">
        <v>63656.11</v>
      </c>
      <c r="O179" s="4">
        <f>Tab_02.Fev[[#This Row],[DÉBITO]]-Tab_02.Fev[[#This Row],[CRÉDITO]]</f>
        <v>29475.96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SUMIFS(Tab_01.Jan[SALDO
ATUAL],Tab_01.Jan[CONTA],$I180)</f>
        <v>4135.96</v>
      </c>
      <c r="G180" s="4">
        <f t="shared" si="7"/>
        <v>0</v>
      </c>
      <c r="H180" s="89"/>
      <c r="I180" s="3" t="s">
        <v>403</v>
      </c>
      <c r="J180" s="3" t="s">
        <v>404</v>
      </c>
      <c r="K180" s="4">
        <v>4135.96</v>
      </c>
      <c r="L180" s="4">
        <v>4135.96</v>
      </c>
      <c r="M180" s="4">
        <v>0</v>
      </c>
      <c r="N180" s="4">
        <v>8271.92</v>
      </c>
      <c r="O180" s="4">
        <f>Tab_02.Fev[[#This Row],[DÉBITO]]-Tab_02.Fev[[#This Row],[CRÉDITO]]</f>
        <v>4135.96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SUMIFS(Tab_01.Jan[SALDO
ATUAL],Tab_01.Jan[CONTA],$I181)</f>
        <v>27797</v>
      </c>
      <c r="G181" s="4">
        <f t="shared" si="7"/>
        <v>0</v>
      </c>
      <c r="H181" s="89"/>
      <c r="I181" s="3" t="s">
        <v>405</v>
      </c>
      <c r="J181" s="3" t="s">
        <v>406</v>
      </c>
      <c r="K181" s="4">
        <v>27797</v>
      </c>
      <c r="L181" s="4">
        <v>25340</v>
      </c>
      <c r="M181" s="4">
        <v>0</v>
      </c>
      <c r="N181" s="4">
        <v>53137</v>
      </c>
      <c r="O181" s="4">
        <f>Tab_02.Fev[[#This Row],[DÉBITO]]-Tab_02.Fev[[#This Row],[CRÉDITO]]</f>
        <v>25340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SUMIFS(Tab_01.Jan[SALDO
ATUAL],Tab_01.Jan[CONTA],$I182)</f>
        <v>2247.19</v>
      </c>
      <c r="G182" s="4">
        <f t="shared" si="7"/>
        <v>0</v>
      </c>
      <c r="H182" s="89"/>
      <c r="I182" s="3" t="s">
        <v>407</v>
      </c>
      <c r="J182" s="3" t="s">
        <v>408</v>
      </c>
      <c r="K182" s="4">
        <v>2247.19</v>
      </c>
      <c r="L182" s="4">
        <v>0</v>
      </c>
      <c r="M182" s="4">
        <v>0</v>
      </c>
      <c r="N182" s="4">
        <v>2247.19</v>
      </c>
      <c r="O182" s="4">
        <f>Tab_02.Fev[[#This Row],[DÉBITO]]-Tab_02.Fev[[#This Row],[CRÉDITO]]</f>
        <v>0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S</v>
      </c>
      <c r="E183" s="2">
        <f>IF($I183="","",COUNTIFS(Tab_00.Trial[CONTA],$I183))</f>
        <v>1</v>
      </c>
      <c r="F183" s="4">
        <f>SUMIFS(Tab_01.Jan[SALDO
ATUAL],Tab_01.Jan[CONTA],$I183)</f>
        <v>1590.84</v>
      </c>
      <c r="G183" s="4">
        <f t="shared" si="7"/>
        <v>0</v>
      </c>
      <c r="H183" s="89"/>
      <c r="I183" s="3" t="s">
        <v>594</v>
      </c>
      <c r="J183" s="3" t="s">
        <v>825</v>
      </c>
      <c r="K183" s="4">
        <v>1590.84</v>
      </c>
      <c r="L183" s="4">
        <v>0</v>
      </c>
      <c r="M183" s="4">
        <v>0</v>
      </c>
      <c r="N183" s="4">
        <v>1590.84</v>
      </c>
      <c r="O183" s="4">
        <f>Tab_02.Fev[[#This Row],[DÉBITO]]-Tab_02.Fev[[#This Row],[CRÉDITO]]</f>
        <v>0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SUMIFS(Tab_01.Jan[SALDO
ATUAL],Tab_01.Jan[CONTA],$I184)</f>
        <v>300</v>
      </c>
      <c r="G184" s="4">
        <f t="shared" si="7"/>
        <v>0</v>
      </c>
      <c r="H184" s="89"/>
      <c r="I184" s="3" t="s">
        <v>411</v>
      </c>
      <c r="J184" s="3" t="s">
        <v>412</v>
      </c>
      <c r="K184" s="4">
        <v>300</v>
      </c>
      <c r="L184" s="4">
        <v>0</v>
      </c>
      <c r="M184" s="4">
        <v>0</v>
      </c>
      <c r="N184" s="4">
        <v>300</v>
      </c>
      <c r="O184" s="4">
        <f>Tab_02.Fev[[#This Row],[DÉBITO]]-Tab_02.Fev[[#This Row],[CRÉDITO]]</f>
        <v>0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SUMIFS(Tab_01.Jan[SALDO
ATUAL],Tab_01.Jan[CONTA],$I185)</f>
        <v>1290.8399999999999</v>
      </c>
      <c r="G185" s="4">
        <f t="shared" si="7"/>
        <v>0</v>
      </c>
      <c r="H185" s="89"/>
      <c r="I185" s="3" t="s">
        <v>413</v>
      </c>
      <c r="J185" s="3" t="s">
        <v>414</v>
      </c>
      <c r="K185" s="4">
        <v>1290.8399999999999</v>
      </c>
      <c r="L185" s="4">
        <v>0</v>
      </c>
      <c r="M185" s="4">
        <v>0</v>
      </c>
      <c r="N185" s="4">
        <v>1290.8399999999999</v>
      </c>
      <c r="O185" s="4">
        <f>Tab_02.Fev[[#This Row],[DÉBITO]]-Tab_02.Fev[[#This Row],[CRÉDITO]]</f>
        <v>0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S</v>
      </c>
      <c r="E186" s="2">
        <f>IF($I186="","",COUNTIFS(Tab_00.Trial[CONTA],$I186))</f>
        <v>1</v>
      </c>
      <c r="F186" s="4">
        <f>SUMIFS(Tab_01.Jan[SALDO
ATUAL],Tab_01.Jan[CONTA],$I186)</f>
        <v>427.26</v>
      </c>
      <c r="G186" s="4">
        <f t="shared" si="7"/>
        <v>0</v>
      </c>
      <c r="H186" s="89"/>
      <c r="I186" s="3" t="s">
        <v>595</v>
      </c>
      <c r="J186" s="3" t="s">
        <v>420</v>
      </c>
      <c r="K186" s="4">
        <v>427.26</v>
      </c>
      <c r="L186" s="4">
        <v>427.26</v>
      </c>
      <c r="M186" s="4">
        <v>0</v>
      </c>
      <c r="N186" s="4">
        <v>854.52</v>
      </c>
      <c r="O186" s="4">
        <f>Tab_02.Fev[[#This Row],[DÉBITO]]-Tab_02.Fev[[#This Row],[CRÉDITO]]</f>
        <v>427.26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SUMIFS(Tab_01.Jan[SALDO
ATUAL],Tab_01.Jan[CONTA],$I187)</f>
        <v>427.26</v>
      </c>
      <c r="G187" s="4">
        <f t="shared" si="7"/>
        <v>0</v>
      </c>
      <c r="H187" s="89"/>
      <c r="I187" s="3" t="s">
        <v>419</v>
      </c>
      <c r="J187" s="3" t="s">
        <v>420</v>
      </c>
      <c r="K187" s="4">
        <v>427.26</v>
      </c>
      <c r="L187" s="4">
        <v>427.26</v>
      </c>
      <c r="M187" s="4">
        <v>0</v>
      </c>
      <c r="N187" s="4">
        <v>854.52</v>
      </c>
      <c r="O187" s="4">
        <f>Tab_02.Fev[[#This Row],[DÉBITO]]-Tab_02.Fev[[#This Row],[CRÉDITO]]</f>
        <v>427.26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SUMIFS(Tab_01.Jan[SALDO
ATUAL],Tab_01.Jan[CONTA],$I188)</f>
        <v>852439.19</v>
      </c>
      <c r="G188" s="4">
        <f t="shared" si="7"/>
        <v>0</v>
      </c>
      <c r="H188" s="89"/>
      <c r="I188" s="3" t="s">
        <v>237</v>
      </c>
      <c r="J188" s="3" t="s">
        <v>702</v>
      </c>
      <c r="K188" s="4">
        <v>852439.19</v>
      </c>
      <c r="L188" s="4">
        <v>177379.06</v>
      </c>
      <c r="M188" s="4">
        <v>0</v>
      </c>
      <c r="N188" s="4">
        <v>1029818.25</v>
      </c>
      <c r="O188" s="4">
        <f>Tab_02.Fev[[#This Row],[DÉBITO]]-Tab_02.Fev[[#This Row],[CRÉDITO]]</f>
        <v>177379.06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S</v>
      </c>
      <c r="E189" s="2">
        <f>IF($I189="","",COUNTIFS(Tab_00.Trial[CONTA],$I189))</f>
        <v>1</v>
      </c>
      <c r="F189" s="4">
        <f>SUMIFS(Tab_01.Jan[SALDO
ATUAL],Tab_01.Jan[CONTA],$I189)</f>
        <v>852439.19</v>
      </c>
      <c r="G189" s="4">
        <f t="shared" ref="G189" si="8">$F189-$K189</f>
        <v>0</v>
      </c>
      <c r="H189" s="89"/>
      <c r="I189" s="3" t="s">
        <v>238</v>
      </c>
      <c r="J189" s="3" t="s">
        <v>826</v>
      </c>
      <c r="K189" s="4">
        <v>852439.19</v>
      </c>
      <c r="L189" s="4">
        <v>177379.06</v>
      </c>
      <c r="M189" s="4">
        <v>0</v>
      </c>
      <c r="N189" s="4">
        <v>1029818.25</v>
      </c>
      <c r="O189" s="4">
        <f>Tab_02.Fev[[#This Row],[DÉBITO]]-Tab_02.Fev[[#This Row],[CRÉDITO]]</f>
        <v>177379.06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SUMIFS(Tab_01.Jan[SALDO
ATUAL],Tab_01.Jan[CONTA],$I190)</f>
        <v>187419.37</v>
      </c>
      <c r="G190" s="4">
        <f>$F190-$K190</f>
        <v>0</v>
      </c>
      <c r="H190" s="89"/>
      <c r="I190" s="3" t="s">
        <v>421</v>
      </c>
      <c r="J190" s="3" t="s">
        <v>422</v>
      </c>
      <c r="K190" s="4">
        <v>187419.37</v>
      </c>
      <c r="L190" s="4">
        <v>0</v>
      </c>
      <c r="M190" s="4">
        <v>0</v>
      </c>
      <c r="N190" s="4">
        <v>187419.37</v>
      </c>
      <c r="O190" s="4">
        <f>Tab_02.Fev[[#This Row],[DÉBITO]]-Tab_02.Fev[[#This Row],[CRÉDITO]]</f>
        <v>0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SUMIFS(Tab_01.Jan[SALDO
ATUAL],Tab_01.Jan[CONTA],$I191)</f>
        <v>122569.24</v>
      </c>
      <c r="G191" s="4">
        <f>$F191-$K191</f>
        <v>0</v>
      </c>
      <c r="H191" s="89"/>
      <c r="I191" s="3" t="s">
        <v>738</v>
      </c>
      <c r="J191" s="3" t="s">
        <v>367</v>
      </c>
      <c r="K191" s="4">
        <v>122569.24</v>
      </c>
      <c r="L191" s="4">
        <v>0</v>
      </c>
      <c r="M191" s="4">
        <v>0</v>
      </c>
      <c r="N191" s="4">
        <v>122569.24</v>
      </c>
      <c r="O191" s="4">
        <f>Tab_02.Fev[[#This Row],[DÉBITO]]-Tab_02.Fev[[#This Row],[CRÉDITO]]</f>
        <v>0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SUMIFS(Tab_01.Jan[SALDO
ATUAL],Tab_01.Jan[CONTA],$I192)</f>
        <v>542450.57999999996</v>
      </c>
      <c r="G192" s="4">
        <f t="shared" ref="G192:G222" si="9">$F192-$K192</f>
        <v>0</v>
      </c>
      <c r="H192" s="89"/>
      <c r="I192" s="3" t="s">
        <v>423</v>
      </c>
      <c r="J192" s="3" t="s">
        <v>424</v>
      </c>
      <c r="K192" s="4">
        <v>542450.57999999996</v>
      </c>
      <c r="L192" s="4">
        <v>177379.06</v>
      </c>
      <c r="M192" s="4">
        <v>0</v>
      </c>
      <c r="N192" s="4">
        <v>719829.64</v>
      </c>
      <c r="O192" s="4">
        <f>Tab_02.Fev[[#This Row],[DÉBITO]]-Tab_02.Fev[[#This Row],[CRÉDITO]]</f>
        <v>177379.06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1</v>
      </c>
      <c r="D193" s="2" t="str">
        <f>_xlfn.XLOOKUP($I193,Tab_00.Trial[CONTA],Tab_00.Trial[S/A],"",0,1)</f>
        <v>S</v>
      </c>
      <c r="E193" s="2">
        <f>IF($I193="","",COUNTIFS(Tab_00.Trial[CONTA],$I193))</f>
        <v>1</v>
      </c>
      <c r="F193" s="4">
        <f>SUMIFS(Tab_01.Jan[SALDO
ATUAL],Tab_01.Jan[CONTA],$I193)</f>
        <v>269324.59000000003</v>
      </c>
      <c r="G193" s="4">
        <f t="shared" si="9"/>
        <v>0</v>
      </c>
      <c r="H193" s="89"/>
      <c r="I193" s="3">
        <v>5</v>
      </c>
      <c r="J193" s="3" t="s">
        <v>705</v>
      </c>
      <c r="K193" s="4">
        <v>269324.59000000003</v>
      </c>
      <c r="L193" s="4">
        <v>248287.22</v>
      </c>
      <c r="M193" s="4">
        <v>0</v>
      </c>
      <c r="N193" s="4">
        <v>517611.81</v>
      </c>
      <c r="O193" s="4">
        <f>Tab_02.Fev[[#This Row],[DÉBITO]]-Tab_02.Fev[[#This Row],[CRÉDITO]]</f>
        <v>248287.22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2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SUMIFS(Tab_01.Jan[SALDO
ATUAL],Tab_01.Jan[CONTA],$I194)</f>
        <v>269513.59000000003</v>
      </c>
      <c r="G194" s="4">
        <f t="shared" si="9"/>
        <v>0</v>
      </c>
      <c r="H194" s="89"/>
      <c r="I194" s="3" t="s">
        <v>599</v>
      </c>
      <c r="J194" s="3" t="s">
        <v>827</v>
      </c>
      <c r="K194" s="4">
        <v>269513.59000000003</v>
      </c>
      <c r="L194" s="4">
        <v>248017.22</v>
      </c>
      <c r="M194" s="4">
        <v>0</v>
      </c>
      <c r="N194" s="4">
        <v>517530.81</v>
      </c>
      <c r="O194" s="4">
        <f>Tab_02.Fev[[#This Row],[DÉBITO]]-Tab_02.Fev[[#This Row],[CRÉDITO]]</f>
        <v>248017.22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SUMIFS(Tab_01.Jan[SALDO
ATUAL],Tab_01.Jan[CONTA],$I195)</f>
        <v>114421.35</v>
      </c>
      <c r="G195" s="4">
        <f t="shared" si="9"/>
        <v>0</v>
      </c>
      <c r="H195" s="89"/>
      <c r="I195" s="3" t="s">
        <v>600</v>
      </c>
      <c r="J195" s="3" t="s">
        <v>706</v>
      </c>
      <c r="K195" s="4">
        <v>114421.35</v>
      </c>
      <c r="L195" s="4">
        <v>188899.95</v>
      </c>
      <c r="M195" s="4">
        <v>0</v>
      </c>
      <c r="N195" s="4">
        <v>303321.3</v>
      </c>
      <c r="O195" s="4">
        <f>Tab_02.Fev[[#This Row],[DÉBITO]]-Tab_02.Fev[[#This Row],[CRÉDITO]]</f>
        <v>188899.95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S</v>
      </c>
      <c r="E196" s="2">
        <f>IF($I196="","",COUNTIFS(Tab_00.Trial[CONTA],$I196))</f>
        <v>1</v>
      </c>
      <c r="F196" s="4">
        <f>SUMIFS(Tab_01.Jan[SALDO
ATUAL],Tab_01.Jan[CONTA],$I196)</f>
        <v>88515.91</v>
      </c>
      <c r="G196" s="4">
        <f t="shared" si="9"/>
        <v>0</v>
      </c>
      <c r="H196" s="89"/>
      <c r="I196" s="3" t="s">
        <v>601</v>
      </c>
      <c r="J196" s="3" t="s">
        <v>707</v>
      </c>
      <c r="K196" s="4">
        <v>88515.91</v>
      </c>
      <c r="L196" s="4">
        <v>0</v>
      </c>
      <c r="M196" s="4">
        <v>0</v>
      </c>
      <c r="N196" s="4">
        <v>88515.91</v>
      </c>
      <c r="O196" s="4">
        <f>Tab_02.Fev[[#This Row],[DÉBITO]]-Tab_02.Fev[[#This Row],[CRÉDITO]]</f>
        <v>0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SUMIFS(Tab_01.Jan[SALDO
ATUAL],Tab_01.Jan[CONTA],$I197)</f>
        <v>54518.48</v>
      </c>
      <c r="G197" s="4">
        <f t="shared" si="9"/>
        <v>0</v>
      </c>
      <c r="H197" s="89"/>
      <c r="I197" s="3" t="s">
        <v>441</v>
      </c>
      <c r="J197" s="3" t="s">
        <v>427</v>
      </c>
      <c r="K197" s="4">
        <v>54518.48</v>
      </c>
      <c r="L197" s="4">
        <v>0</v>
      </c>
      <c r="M197" s="4">
        <v>0</v>
      </c>
      <c r="N197" s="4">
        <v>54518.48</v>
      </c>
      <c r="O197" s="4">
        <f>Tab_02.Fev[[#This Row],[DÉBITO]]-Tab_02.Fev[[#This Row],[CRÉDITO]]</f>
        <v>0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SUMIFS(Tab_01.Jan[SALDO
ATUAL],Tab_01.Jan[CONTA],$I198)</f>
        <v>10254.450000000001</v>
      </c>
      <c r="G198" s="4">
        <f t="shared" si="9"/>
        <v>0</v>
      </c>
      <c r="H198" s="89"/>
      <c r="I198" s="3" t="s">
        <v>443</v>
      </c>
      <c r="J198" s="3" t="s">
        <v>431</v>
      </c>
      <c r="K198" s="4">
        <v>10254.450000000001</v>
      </c>
      <c r="L198" s="4">
        <v>0</v>
      </c>
      <c r="M198" s="4">
        <v>0</v>
      </c>
      <c r="N198" s="4">
        <v>10254.450000000001</v>
      </c>
      <c r="O198" s="4">
        <f>Tab_02.Fev[[#This Row],[DÉBITO]]-Tab_02.Fev[[#This Row],[CRÉDITO]]</f>
        <v>0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SUMIFS(Tab_01.Jan[SALDO
ATUAL],Tab_01.Jan[CONTA],$I199)</f>
        <v>6223.05</v>
      </c>
      <c r="G199" s="4">
        <f t="shared" si="9"/>
        <v>0</v>
      </c>
      <c r="H199" s="89"/>
      <c r="I199" s="3" t="s">
        <v>444</v>
      </c>
      <c r="J199" s="3" t="s">
        <v>433</v>
      </c>
      <c r="K199" s="4">
        <v>6223.05</v>
      </c>
      <c r="L199" s="4">
        <v>0</v>
      </c>
      <c r="M199" s="4">
        <v>0</v>
      </c>
      <c r="N199" s="4">
        <v>6223.05</v>
      </c>
      <c r="O199" s="4">
        <f>Tab_02.Fev[[#This Row],[DÉBITO]]-Tab_02.Fev[[#This Row],[CRÉDITO]]</f>
        <v>0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SUMIFS(Tab_01.Jan[SALDO
ATUAL],Tab_01.Jan[CONTA],$I200)</f>
        <v>862.74</v>
      </c>
      <c r="G200" s="4">
        <f t="shared" si="9"/>
        <v>0</v>
      </c>
      <c r="H200" s="89"/>
      <c r="I200" s="3" t="s">
        <v>808</v>
      </c>
      <c r="J200" s="3" t="s">
        <v>797</v>
      </c>
      <c r="K200" s="4">
        <v>862.74</v>
      </c>
      <c r="L200" s="4">
        <v>0</v>
      </c>
      <c r="M200" s="4">
        <v>0</v>
      </c>
      <c r="N200" s="4">
        <v>862.74</v>
      </c>
      <c r="O200" s="4">
        <f>Tab_02.Fev[[#This Row],[DÉBITO]]-Tab_02.Fev[[#This Row],[CRÉDITO]]</f>
        <v>0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SUMIFS(Tab_01.Jan[SALDO
ATUAL],Tab_01.Jan[CONTA],$I201)</f>
        <v>14346.41</v>
      </c>
      <c r="G201" s="4">
        <f t="shared" si="9"/>
        <v>0</v>
      </c>
      <c r="H201" s="89"/>
      <c r="I201" s="3" t="s">
        <v>809</v>
      </c>
      <c r="J201" s="3" t="s">
        <v>799</v>
      </c>
      <c r="K201" s="4">
        <v>14346.41</v>
      </c>
      <c r="L201" s="4">
        <v>0</v>
      </c>
      <c r="M201" s="4">
        <v>0</v>
      </c>
      <c r="N201" s="4">
        <v>14346.41</v>
      </c>
      <c r="O201" s="4">
        <f>Tab_02.Fev[[#This Row],[DÉBITO]]-Tab_02.Fev[[#This Row],[CRÉDITO]]</f>
        <v>0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SUMIFS(Tab_01.Jan[SALDO
ATUAL],Tab_01.Jan[CONTA],$I202)</f>
        <v>82.97</v>
      </c>
      <c r="G202" s="4">
        <f t="shared" si="9"/>
        <v>0</v>
      </c>
      <c r="H202" s="89"/>
      <c r="I202" s="3" t="s">
        <v>810</v>
      </c>
      <c r="J202" s="3" t="s">
        <v>801</v>
      </c>
      <c r="K202" s="4">
        <v>82.97</v>
      </c>
      <c r="L202" s="4">
        <v>0</v>
      </c>
      <c r="M202" s="4">
        <v>0</v>
      </c>
      <c r="N202" s="4">
        <v>82.97</v>
      </c>
      <c r="O202" s="4">
        <f>Tab_02.Fev[[#This Row],[DÉBITO]]-Tab_02.Fev[[#This Row],[CRÉDITO]]</f>
        <v>0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SUMIFS(Tab_01.Jan[SALDO
ATUAL],Tab_01.Jan[CONTA],$I203)</f>
        <v>1667.78</v>
      </c>
      <c r="G203" s="4">
        <f t="shared" si="9"/>
        <v>0</v>
      </c>
      <c r="H203" s="89"/>
      <c r="I203" s="3" t="s">
        <v>811</v>
      </c>
      <c r="J203" s="3" t="s">
        <v>803</v>
      </c>
      <c r="K203" s="4">
        <v>1667.78</v>
      </c>
      <c r="L203" s="4">
        <v>0</v>
      </c>
      <c r="M203" s="4">
        <v>0</v>
      </c>
      <c r="N203" s="4">
        <v>1667.78</v>
      </c>
      <c r="O203" s="4">
        <f>Tab_02.Fev[[#This Row],[DÉBITO]]-Tab_02.Fev[[#This Row],[CRÉDITO]]</f>
        <v>0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SUMIFS(Tab_01.Jan[SALDO
ATUAL],Tab_01.Jan[CONTA],$I204)</f>
        <v>497.81</v>
      </c>
      <c r="G204" s="4">
        <f t="shared" si="9"/>
        <v>0</v>
      </c>
      <c r="H204" s="89"/>
      <c r="I204" s="3" t="s">
        <v>812</v>
      </c>
      <c r="J204" s="3" t="s">
        <v>805</v>
      </c>
      <c r="K204" s="4">
        <v>497.81</v>
      </c>
      <c r="L204" s="4">
        <v>0</v>
      </c>
      <c r="M204" s="4">
        <v>0</v>
      </c>
      <c r="N204" s="4">
        <v>497.81</v>
      </c>
      <c r="O204" s="4">
        <f>Tab_02.Fev[[#This Row],[DÉBITO]]-Tab_02.Fev[[#This Row],[CRÉDITO]]</f>
        <v>0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SUMIFS(Tab_01.Jan[SALDO
ATUAL],Tab_01.Jan[CONTA],$I205)</f>
        <v>62.22</v>
      </c>
      <c r="G205" s="4">
        <f t="shared" si="9"/>
        <v>0</v>
      </c>
      <c r="H205" s="89"/>
      <c r="I205" s="3" t="s">
        <v>813</v>
      </c>
      <c r="J205" s="3" t="s">
        <v>807</v>
      </c>
      <c r="K205" s="4">
        <v>62.22</v>
      </c>
      <c r="L205" s="4">
        <v>0</v>
      </c>
      <c r="M205" s="4">
        <v>0</v>
      </c>
      <c r="N205" s="4">
        <v>62.22</v>
      </c>
      <c r="O205" s="4">
        <f>Tab_02.Fev[[#This Row],[DÉBITO]]-Tab_02.Fev[[#This Row],[CRÉDITO]]</f>
        <v>0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S</v>
      </c>
      <c r="E206" s="2">
        <f>IF($I206="","",COUNTIFS(Tab_00.Trial[CONTA],$I206))</f>
        <v>1</v>
      </c>
      <c r="F206" s="4">
        <f>SUMIFS(Tab_01.Jan[SALDO
ATUAL],Tab_01.Jan[CONTA],$I206)</f>
        <v>1014</v>
      </c>
      <c r="G206" s="4">
        <f t="shared" si="9"/>
        <v>0</v>
      </c>
      <c r="H206" s="89"/>
      <c r="I206" s="3" t="s">
        <v>602</v>
      </c>
      <c r="J206" s="3" t="s">
        <v>708</v>
      </c>
      <c r="K206" s="4">
        <v>1014</v>
      </c>
      <c r="L206" s="4">
        <v>0</v>
      </c>
      <c r="M206" s="4">
        <v>0</v>
      </c>
      <c r="N206" s="4">
        <v>1014</v>
      </c>
      <c r="O206" s="4">
        <f>Tab_02.Fev[[#This Row],[DÉBITO]]-Tab_02.Fev[[#This Row],[CRÉDITO]]</f>
        <v>0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SUMIFS(Tab_01.Jan[SALDO
ATUAL],Tab_01.Jan[CONTA],$I207)</f>
        <v>1014</v>
      </c>
      <c r="G207" s="4">
        <f t="shared" si="9"/>
        <v>0</v>
      </c>
      <c r="H207" s="89"/>
      <c r="I207" s="3" t="s">
        <v>455</v>
      </c>
      <c r="J207" s="3" t="s">
        <v>456</v>
      </c>
      <c r="K207" s="4">
        <v>1014</v>
      </c>
      <c r="L207" s="4">
        <v>0</v>
      </c>
      <c r="M207" s="4">
        <v>0</v>
      </c>
      <c r="N207" s="4">
        <v>1014</v>
      </c>
      <c r="O207" s="4">
        <f>Tab_02.Fev[[#This Row],[DÉBITO]]-Tab_02.Fev[[#This Row],[CRÉDITO]]</f>
        <v>0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S</v>
      </c>
      <c r="E208" s="2">
        <f>IF($I208="","",COUNTIFS(Tab_00.Trial[CONTA],$I208))</f>
        <v>1</v>
      </c>
      <c r="F208" s="4">
        <f>SUMIFS(Tab_01.Jan[SALDO
ATUAL],Tab_01.Jan[CONTA],$I208)</f>
        <v>24701.439999999999</v>
      </c>
      <c r="G208" s="4">
        <f t="shared" si="9"/>
        <v>0</v>
      </c>
      <c r="H208" s="89"/>
      <c r="I208" s="3" t="s">
        <v>603</v>
      </c>
      <c r="J208" s="3" t="s">
        <v>709</v>
      </c>
      <c r="K208" s="4">
        <v>24701.439999999999</v>
      </c>
      <c r="L208" s="4">
        <v>188664.95</v>
      </c>
      <c r="M208" s="4">
        <v>0</v>
      </c>
      <c r="N208" s="4">
        <v>213366.39</v>
      </c>
      <c r="O208" s="4">
        <f>Tab_02.Fev[[#This Row],[DÉBITO]]-Tab_02.Fev[[#This Row],[CRÉDITO]]</f>
        <v>188664.95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SUMIFS(Tab_01.Jan[SALDO
ATUAL],Tab_01.Jan[CONTA],$I209)</f>
        <v>18491.599999999999</v>
      </c>
      <c r="G209" s="4">
        <f t="shared" si="9"/>
        <v>0</v>
      </c>
      <c r="H209" s="89"/>
      <c r="I209" s="3" t="s">
        <v>451</v>
      </c>
      <c r="J209" s="3" t="s">
        <v>437</v>
      </c>
      <c r="K209" s="4">
        <v>18491.599999999999</v>
      </c>
      <c r="L209" s="4">
        <v>0</v>
      </c>
      <c r="M209" s="4">
        <v>0</v>
      </c>
      <c r="N209" s="4">
        <v>18491.599999999999</v>
      </c>
      <c r="O209" s="4">
        <f>Tab_02.Fev[[#This Row],[DÉBITO]]-Tab_02.Fev[[#This Row],[CRÉDITO]]</f>
        <v>0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SUMIFS(Tab_01.Jan[SALDO
ATUAL],Tab_01.Jan[CONTA],$I210)</f>
        <v>5519.86</v>
      </c>
      <c r="G210" s="4">
        <f t="shared" si="9"/>
        <v>0</v>
      </c>
      <c r="H210" s="89"/>
      <c r="I210" s="3" t="s">
        <v>452</v>
      </c>
      <c r="J210" s="3" t="s">
        <v>196</v>
      </c>
      <c r="K210" s="4">
        <v>5519.86</v>
      </c>
      <c r="L210" s="4">
        <v>188664.95</v>
      </c>
      <c r="M210" s="4">
        <v>0</v>
      </c>
      <c r="N210" s="4">
        <v>194184.81</v>
      </c>
      <c r="O210" s="4">
        <f>Tab_02.Fev[[#This Row],[DÉBITO]]-Tab_02.Fev[[#This Row],[CRÉDITO]]</f>
        <v>188664.95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SUMIFS(Tab_01.Jan[SALDO
ATUAL],Tab_01.Jan[CONTA],$I211)</f>
        <v>689.98</v>
      </c>
      <c r="G211" s="4">
        <f t="shared" si="9"/>
        <v>0</v>
      </c>
      <c r="H211" s="89"/>
      <c r="I211" s="3" t="s">
        <v>453</v>
      </c>
      <c r="J211" s="3" t="s">
        <v>454</v>
      </c>
      <c r="K211" s="4">
        <v>689.98</v>
      </c>
      <c r="L211" s="4">
        <v>0</v>
      </c>
      <c r="M211" s="4">
        <v>0</v>
      </c>
      <c r="N211" s="4">
        <v>689.98</v>
      </c>
      <c r="O211" s="4">
        <f>Tab_02.Fev[[#This Row],[DÉBITO]]-Tab_02.Fev[[#This Row],[CRÉDITO]]</f>
        <v>0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S</v>
      </c>
      <c r="E212" s="2">
        <f>IF($I212="","",COUNTIFS(Tab_00.Trial[CONTA],$I212))</f>
        <v>1</v>
      </c>
      <c r="F212" s="4">
        <f>SUMIFS(Tab_01.Jan[SALDO
ATUAL],Tab_01.Jan[CONTA],$I212)</f>
        <v>190</v>
      </c>
      <c r="G212" s="4">
        <f t="shared" si="9"/>
        <v>0</v>
      </c>
      <c r="H212" s="89"/>
      <c r="I212" s="3" t="s">
        <v>604</v>
      </c>
      <c r="J212" s="3" t="s">
        <v>710</v>
      </c>
      <c r="K212" s="4">
        <v>190</v>
      </c>
      <c r="L212" s="4">
        <v>235</v>
      </c>
      <c r="M212" s="4">
        <v>0</v>
      </c>
      <c r="N212" s="4">
        <v>425</v>
      </c>
      <c r="O212" s="4">
        <f>Tab_02.Fev[[#This Row],[DÉBITO]]-Tab_02.Fev[[#This Row],[CRÉDITO]]</f>
        <v>235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SUMIFS(Tab_01.Jan[SALDO
ATUAL],Tab_01.Jan[CONTA],$I213)</f>
        <v>190</v>
      </c>
      <c r="G213" s="4">
        <f t="shared" si="9"/>
        <v>0</v>
      </c>
      <c r="H213" s="89"/>
      <c r="I213" s="3" t="s">
        <v>457</v>
      </c>
      <c r="J213" s="3" t="s">
        <v>458</v>
      </c>
      <c r="K213" s="4">
        <v>190</v>
      </c>
      <c r="L213" s="4">
        <v>235</v>
      </c>
      <c r="M213" s="4">
        <v>0</v>
      </c>
      <c r="N213" s="4">
        <v>425</v>
      </c>
      <c r="O213" s="4">
        <f>Tab_02.Fev[[#This Row],[DÉBITO]]-Tab_02.Fev[[#This Row],[CRÉDITO]]</f>
        <v>235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S</v>
      </c>
      <c r="E214" s="2">
        <f>IF($I214="","",COUNTIFS(Tab_00.Trial[CONTA],$I214))</f>
        <v>1</v>
      </c>
      <c r="F214" s="4">
        <f>SUMIFS(Tab_01.Jan[SALDO
ATUAL],Tab_01.Jan[CONTA],$I214)</f>
        <v>128411.32</v>
      </c>
      <c r="G214" s="4">
        <f t="shared" si="9"/>
        <v>0</v>
      </c>
      <c r="H214" s="89"/>
      <c r="I214" s="3" t="s">
        <v>605</v>
      </c>
      <c r="J214" s="3" t="s">
        <v>711</v>
      </c>
      <c r="K214" s="4">
        <v>128411.32</v>
      </c>
      <c r="L214" s="4">
        <v>41863.51</v>
      </c>
      <c r="M214" s="4">
        <v>0</v>
      </c>
      <c r="N214" s="4">
        <v>170274.83</v>
      </c>
      <c r="O214" s="4">
        <f>Tab_02.Fev[[#This Row],[DÉBITO]]-Tab_02.Fev[[#This Row],[CRÉDITO]]</f>
        <v>41863.51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S</v>
      </c>
      <c r="E215" s="2">
        <f>IF($I215="","",COUNTIFS(Tab_00.Trial[CONTA],$I215))</f>
        <v>1</v>
      </c>
      <c r="F215" s="4">
        <f>SUMIFS(Tab_01.Jan[SALDO
ATUAL],Tab_01.Jan[CONTA],$I215)</f>
        <v>45445.24</v>
      </c>
      <c r="G215" s="4">
        <f t="shared" si="9"/>
        <v>0</v>
      </c>
      <c r="H215" s="89"/>
      <c r="I215" s="3" t="s">
        <v>606</v>
      </c>
      <c r="J215" s="3" t="s">
        <v>712</v>
      </c>
      <c r="K215" s="4">
        <v>45445.24</v>
      </c>
      <c r="L215" s="4">
        <v>41863.51</v>
      </c>
      <c r="M215" s="4">
        <v>0</v>
      </c>
      <c r="N215" s="4">
        <v>87308.75</v>
      </c>
      <c r="O215" s="4">
        <f>Tab_02.Fev[[#This Row],[DÉBITO]]-Tab_02.Fev[[#This Row],[CRÉDITO]]</f>
        <v>41863.51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SUMIFS(Tab_01.Jan[SALDO
ATUAL],Tab_01.Jan[CONTA],$I216)</f>
        <v>7634.62</v>
      </c>
      <c r="G216" s="4">
        <f t="shared" si="9"/>
        <v>0</v>
      </c>
      <c r="H216" s="89"/>
      <c r="I216" s="3" t="s">
        <v>459</v>
      </c>
      <c r="J216" s="3" t="s">
        <v>460</v>
      </c>
      <c r="K216" s="4">
        <v>7634.62</v>
      </c>
      <c r="L216" s="4">
        <v>7634.62</v>
      </c>
      <c r="M216" s="4">
        <v>0</v>
      </c>
      <c r="N216" s="4">
        <v>15269.24</v>
      </c>
      <c r="O216" s="4">
        <f>Tab_02.Fev[[#This Row],[DÉBITO]]-Tab_02.Fev[[#This Row],[CRÉDITO]]</f>
        <v>7634.62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SUMIFS(Tab_01.Jan[SALDO
ATUAL],Tab_01.Jan[CONTA],$I217)</f>
        <v>17299.38</v>
      </c>
      <c r="G217" s="4">
        <f t="shared" si="9"/>
        <v>0</v>
      </c>
      <c r="H217" s="89"/>
      <c r="I217" s="3" t="s">
        <v>461</v>
      </c>
      <c r="J217" s="3" t="s">
        <v>462</v>
      </c>
      <c r="K217" s="4">
        <v>17299.38</v>
      </c>
      <c r="L217" s="4">
        <v>13807.65</v>
      </c>
      <c r="M217" s="4">
        <v>0</v>
      </c>
      <c r="N217" s="4">
        <v>31107.03</v>
      </c>
      <c r="O217" s="4">
        <f>Tab_02.Fev[[#This Row],[DÉBITO]]-Tab_02.Fev[[#This Row],[CRÉDITO]]</f>
        <v>13807.65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SUMIFS(Tab_01.Jan[SALDO
ATUAL],Tab_01.Jan[CONTA],$I218)</f>
        <v>4524.45</v>
      </c>
      <c r="G218" s="4">
        <f t="shared" si="9"/>
        <v>0</v>
      </c>
      <c r="H218" s="89"/>
      <c r="I218" s="3" t="s">
        <v>465</v>
      </c>
      <c r="J218" s="3" t="s">
        <v>466</v>
      </c>
      <c r="K218" s="4">
        <v>4524.45</v>
      </c>
      <c r="L218" s="4">
        <v>4434.45</v>
      </c>
      <c r="M218" s="4">
        <v>0</v>
      </c>
      <c r="N218" s="4">
        <v>8958.9</v>
      </c>
      <c r="O218" s="4">
        <f>Tab_02.Fev[[#This Row],[DÉBITO]]-Tab_02.Fev[[#This Row],[CRÉDITO]]</f>
        <v>4434.45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SUMIFS(Tab_01.Jan[SALDO
ATUAL],Tab_01.Jan[CONTA],$I219)</f>
        <v>4500</v>
      </c>
      <c r="G219" s="4">
        <f t="shared" si="9"/>
        <v>0</v>
      </c>
      <c r="H219" s="89"/>
      <c r="I219" s="3" t="s">
        <v>473</v>
      </c>
      <c r="J219" s="3" t="s">
        <v>474</v>
      </c>
      <c r="K219" s="4">
        <v>4500</v>
      </c>
      <c r="L219" s="4">
        <v>4500</v>
      </c>
      <c r="M219" s="4">
        <v>0</v>
      </c>
      <c r="N219" s="4">
        <v>9000</v>
      </c>
      <c r="O219" s="4">
        <f>Tab_02.Fev[[#This Row],[DÉBITO]]-Tab_02.Fev[[#This Row],[CRÉDITO]]</f>
        <v>4500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SUMIFS(Tab_01.Jan[SALDO
ATUAL],Tab_01.Jan[CONTA],$I220)</f>
        <v>223.56</v>
      </c>
      <c r="G220" s="4">
        <f t="shared" si="9"/>
        <v>0</v>
      </c>
      <c r="H220" s="89"/>
      <c r="I220" s="3" t="s">
        <v>467</v>
      </c>
      <c r="J220" s="3" t="s">
        <v>468</v>
      </c>
      <c r="K220" s="4">
        <v>223.56</v>
      </c>
      <c r="L220" s="4">
        <v>223.56</v>
      </c>
      <c r="M220" s="4">
        <v>0</v>
      </c>
      <c r="N220" s="4">
        <v>447.12</v>
      </c>
      <c r="O220" s="4">
        <f>Tab_02.Fev[[#This Row],[DÉBITO]]-Tab_02.Fev[[#This Row],[CRÉDITO]]</f>
        <v>223.56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SUMIFS(Tab_01.Jan[SALDO
ATUAL],Tab_01.Jan[CONTA],$I221)</f>
        <v>6599.82</v>
      </c>
      <c r="G221" s="4">
        <f t="shared" si="9"/>
        <v>0</v>
      </c>
      <c r="H221" s="89"/>
      <c r="I221" s="3" t="s">
        <v>469</v>
      </c>
      <c r="J221" s="3" t="s">
        <v>470</v>
      </c>
      <c r="K221" s="4">
        <v>6599.82</v>
      </c>
      <c r="L221" s="4">
        <v>6599.82</v>
      </c>
      <c r="M221" s="4">
        <v>0</v>
      </c>
      <c r="N221" s="4">
        <v>13199.64</v>
      </c>
      <c r="O221" s="4">
        <f>Tab_02.Fev[[#This Row],[DÉBITO]]-Tab_02.Fev[[#This Row],[CRÉDITO]]</f>
        <v>6599.82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SUMIFS(Tab_01.Jan[SALDO
ATUAL],Tab_01.Jan[CONTA],$I222)</f>
        <v>4663.41</v>
      </c>
      <c r="G222" s="4">
        <f t="shared" si="9"/>
        <v>0</v>
      </c>
      <c r="H222" s="89"/>
      <c r="I222" s="3" t="s">
        <v>471</v>
      </c>
      <c r="J222" s="3" t="s">
        <v>472</v>
      </c>
      <c r="K222" s="4">
        <v>4663.41</v>
      </c>
      <c r="L222" s="4">
        <v>4663.41</v>
      </c>
      <c r="M222" s="4">
        <v>0</v>
      </c>
      <c r="N222" s="4">
        <v>9326.82</v>
      </c>
      <c r="O222" s="4">
        <f>Tab_02.Fev[[#This Row],[DÉBITO]]-Tab_02.Fev[[#This Row],[CRÉDITO]]</f>
        <v>4663.41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S</v>
      </c>
      <c r="E223" s="2">
        <f>IF($I223="","",COUNTIFS(Tab_00.Trial[CONTA],$I223))</f>
        <v>1</v>
      </c>
      <c r="F223" s="4">
        <f>SUMIFS(Tab_01.Jan[SALDO
ATUAL],Tab_01.Jan[CONTA],$I223)</f>
        <v>82966.080000000002</v>
      </c>
      <c r="G223" s="4">
        <f t="shared" ref="G223:G224" si="10">$F223-$K223</f>
        <v>0</v>
      </c>
      <c r="H223" s="89"/>
      <c r="I223" s="3" t="s">
        <v>608</v>
      </c>
      <c r="J223" s="3" t="s">
        <v>713</v>
      </c>
      <c r="K223" s="4">
        <v>82966.080000000002</v>
      </c>
      <c r="L223" s="4">
        <v>0</v>
      </c>
      <c r="M223" s="4">
        <v>0</v>
      </c>
      <c r="N223" s="4">
        <v>82966.080000000002</v>
      </c>
      <c r="O223" s="4">
        <f>Tab_02.Fev[[#This Row],[DÉBITO]]-Tab_02.Fev[[#This Row],[CRÉDITO]]</f>
        <v>0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SUMIFS(Tab_01.Jan[SALDO
ATUAL],Tab_01.Jan[CONTA],$I224)</f>
        <v>17980.080000000002</v>
      </c>
      <c r="G224" s="4">
        <f t="shared" si="10"/>
        <v>0</v>
      </c>
      <c r="H224" s="89"/>
      <c r="I224" s="3" t="s">
        <v>741</v>
      </c>
      <c r="J224" s="3" t="s">
        <v>742</v>
      </c>
      <c r="K224" s="4">
        <v>17980.080000000002</v>
      </c>
      <c r="L224" s="4">
        <v>0</v>
      </c>
      <c r="M224" s="4">
        <v>0</v>
      </c>
      <c r="N224" s="4">
        <v>17980.080000000002</v>
      </c>
      <c r="O224" s="4">
        <f>Tab_02.Fev[[#This Row],[DÉBITO]]-Tab_02.Fev[[#This Row],[CRÉDITO]]</f>
        <v>0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SUMIFS(Tab_01.Jan[SALDO
ATUAL],Tab_01.Jan[CONTA],$I225)</f>
        <v>7500</v>
      </c>
      <c r="G225" s="4">
        <f t="shared" ref="G225:G232" si="11">$F225-$K225</f>
        <v>0</v>
      </c>
      <c r="H225" s="89"/>
      <c r="I225" s="3" t="s">
        <v>839</v>
      </c>
      <c r="J225" s="3" t="s">
        <v>840</v>
      </c>
      <c r="K225" s="4">
        <v>7500</v>
      </c>
      <c r="L225" s="4">
        <v>0</v>
      </c>
      <c r="M225" s="4">
        <v>0</v>
      </c>
      <c r="N225" s="4">
        <v>7500</v>
      </c>
      <c r="O225" s="4">
        <f>Tab_02.Fev[[#This Row],[DÉBITO]]-Tab_02.Fev[[#This Row],[CRÉDITO]]</f>
        <v>0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SUMIFS(Tab_01.Jan[SALDO
ATUAL],Tab_01.Jan[CONTA],$I226)</f>
        <v>57486</v>
      </c>
      <c r="G226" s="4">
        <f t="shared" si="11"/>
        <v>0</v>
      </c>
      <c r="H226" s="89"/>
      <c r="I226" s="3" t="s">
        <v>480</v>
      </c>
      <c r="J226" s="3" t="s">
        <v>481</v>
      </c>
      <c r="K226" s="4">
        <v>57486</v>
      </c>
      <c r="L226" s="4">
        <v>0</v>
      </c>
      <c r="M226" s="4">
        <v>0</v>
      </c>
      <c r="N226" s="4">
        <v>57486</v>
      </c>
      <c r="O226" s="4">
        <f>Tab_02.Fev[[#This Row],[DÉBITO]]-Tab_02.Fev[[#This Row],[CRÉDITO]]</f>
        <v>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S</v>
      </c>
      <c r="E227" s="2">
        <f>IF($I227="","",COUNTIFS(Tab_00.Trial[CONTA],$I227))</f>
        <v>1</v>
      </c>
      <c r="F227" s="4">
        <f>SUMIFS(Tab_01.Jan[SALDO
ATUAL],Tab_01.Jan[CONTA],$I227)</f>
        <v>1438.95</v>
      </c>
      <c r="G227" s="4">
        <f t="shared" si="11"/>
        <v>0</v>
      </c>
      <c r="H227" s="89"/>
      <c r="I227" s="3" t="s">
        <v>609</v>
      </c>
      <c r="J227" s="3" t="s">
        <v>714</v>
      </c>
      <c r="K227" s="4">
        <v>1438.95</v>
      </c>
      <c r="L227" s="4">
        <v>811.67</v>
      </c>
      <c r="M227" s="4">
        <v>0</v>
      </c>
      <c r="N227" s="4">
        <v>2250.62</v>
      </c>
      <c r="O227" s="4">
        <f>Tab_02.Fev[[#This Row],[DÉBITO]]-Tab_02.Fev[[#This Row],[CRÉDITO]]</f>
        <v>811.67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SUMIFS(Tab_01.Jan[SALDO
ATUAL],Tab_01.Jan[CONTA],$I228)</f>
        <v>1438.95</v>
      </c>
      <c r="G228" s="4">
        <f t="shared" si="11"/>
        <v>0</v>
      </c>
      <c r="H228" s="89"/>
      <c r="I228" s="3" t="s">
        <v>610</v>
      </c>
      <c r="J228" s="3" t="s">
        <v>714</v>
      </c>
      <c r="K228" s="4">
        <v>1438.95</v>
      </c>
      <c r="L228" s="4">
        <v>811.67</v>
      </c>
      <c r="M228" s="4">
        <v>0</v>
      </c>
      <c r="N228" s="4">
        <v>2250.62</v>
      </c>
      <c r="O228" s="4">
        <f>Tab_02.Fev[[#This Row],[DÉBITO]]-Tab_02.Fev[[#This Row],[CRÉDITO]]</f>
        <v>811.67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SUMIFS(Tab_01.Jan[SALDO
ATUAL],Tab_01.Jan[CONTA],$I229)</f>
        <v>236.9</v>
      </c>
      <c r="G229" s="4">
        <f t="shared" si="11"/>
        <v>0</v>
      </c>
      <c r="H229" s="89"/>
      <c r="I229" s="3" t="s">
        <v>482</v>
      </c>
      <c r="J229" s="3" t="s">
        <v>483</v>
      </c>
      <c r="K229" s="4">
        <v>236.9</v>
      </c>
      <c r="L229" s="4">
        <v>811.67</v>
      </c>
      <c r="M229" s="4">
        <v>0</v>
      </c>
      <c r="N229" s="4">
        <v>1048.57</v>
      </c>
      <c r="O229" s="4">
        <f>Tab_02.Fev[[#This Row],[DÉBITO]]-Tab_02.Fev[[#This Row],[CRÉDITO]]</f>
        <v>811.67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SUMIFS(Tab_01.Jan[SALDO
ATUAL],Tab_01.Jan[CONTA],$I230)</f>
        <v>1202.05</v>
      </c>
      <c r="G230" s="4">
        <f t="shared" si="11"/>
        <v>0</v>
      </c>
      <c r="H230" s="89"/>
      <c r="I230" s="3" t="s">
        <v>484</v>
      </c>
      <c r="J230" s="3" t="s">
        <v>485</v>
      </c>
      <c r="K230" s="4">
        <v>1202.05</v>
      </c>
      <c r="L230" s="4">
        <v>0</v>
      </c>
      <c r="M230" s="4">
        <v>0</v>
      </c>
      <c r="N230" s="4">
        <v>1202.05</v>
      </c>
      <c r="O230" s="4">
        <f>Tab_02.Fev[[#This Row],[DÉBITO]]-Tab_02.Fev[[#This Row],[CRÉDITO]]</f>
        <v>0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S</v>
      </c>
      <c r="E231" s="2">
        <f>IF($I231="","",COUNTIFS(Tab_00.Trial[CONTA],$I231))</f>
        <v>1</v>
      </c>
      <c r="F231" s="4">
        <f>SUMIFS(Tab_01.Jan[SALDO
ATUAL],Tab_01.Jan[CONTA],$I231)</f>
        <v>11083.2</v>
      </c>
      <c r="G231" s="4">
        <f t="shared" si="11"/>
        <v>0</v>
      </c>
      <c r="H231" s="89"/>
      <c r="I231" s="3" t="s">
        <v>612</v>
      </c>
      <c r="J231" s="3" t="s">
        <v>716</v>
      </c>
      <c r="K231" s="4">
        <v>11083.2</v>
      </c>
      <c r="L231" s="4">
        <v>6250.63</v>
      </c>
      <c r="M231" s="4">
        <v>0</v>
      </c>
      <c r="N231" s="4">
        <v>17333.830000000002</v>
      </c>
      <c r="O231" s="4">
        <f>Tab_02.Fev[[#This Row],[DÉBITO]]-Tab_02.Fev[[#This Row],[CRÉDITO]]</f>
        <v>6250.63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S</v>
      </c>
      <c r="E232" s="2">
        <f>IF($I232="","",COUNTIFS(Tab_00.Trial[CONTA],$I232))</f>
        <v>1</v>
      </c>
      <c r="F232" s="4">
        <f>SUMIFS(Tab_01.Jan[SALDO
ATUAL],Tab_01.Jan[CONTA],$I232)</f>
        <v>8031.73</v>
      </c>
      <c r="G232" s="4">
        <f t="shared" si="11"/>
        <v>0</v>
      </c>
      <c r="H232" s="89"/>
      <c r="I232" s="3" t="s">
        <v>613</v>
      </c>
      <c r="J232" s="3" t="s">
        <v>717</v>
      </c>
      <c r="K232" s="4">
        <v>8031.73</v>
      </c>
      <c r="L232" s="4">
        <v>5570.63</v>
      </c>
      <c r="M232" s="4">
        <v>0</v>
      </c>
      <c r="N232" s="4">
        <v>13602.36</v>
      </c>
      <c r="O232" s="4">
        <f>Tab_02.Fev[[#This Row],[DÉBITO]]-Tab_02.Fev[[#This Row],[CRÉDITO]]</f>
        <v>5570.63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SUMIFS(Tab_01.Jan[SALDO
ATUAL],Tab_01.Jan[CONTA],$I233)</f>
        <v>3476.84</v>
      </c>
      <c r="G233" s="4">
        <f t="shared" ref="G233:G241" si="12">$F233-$K233</f>
        <v>0</v>
      </c>
      <c r="H233" s="89"/>
      <c r="I233" s="3" t="s">
        <v>491</v>
      </c>
      <c r="J233" s="3" t="s">
        <v>492</v>
      </c>
      <c r="K233" s="4">
        <v>3476.84</v>
      </c>
      <c r="L233" s="4">
        <v>3315.03</v>
      </c>
      <c r="M233" s="4">
        <v>0</v>
      </c>
      <c r="N233" s="4">
        <v>6791.87</v>
      </c>
      <c r="O233" s="4">
        <f>Tab_02.Fev[[#This Row],[DÉBITO]]-Tab_02.Fev[[#This Row],[CRÉDITO]]</f>
        <v>3315.03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SUMIFS(Tab_01.Jan[SALDO
ATUAL],Tab_01.Jan[CONTA],$I234)</f>
        <v>3157.37</v>
      </c>
      <c r="G234" s="4">
        <f t="shared" si="12"/>
        <v>0</v>
      </c>
      <c r="H234" s="89"/>
      <c r="I234" s="3" t="s">
        <v>493</v>
      </c>
      <c r="J234" s="3" t="s">
        <v>494</v>
      </c>
      <c r="K234" s="4">
        <v>3157.37</v>
      </c>
      <c r="L234" s="4">
        <v>846.95</v>
      </c>
      <c r="M234" s="4">
        <v>0</v>
      </c>
      <c r="N234" s="4">
        <v>4004.32</v>
      </c>
      <c r="O234" s="4">
        <f>Tab_02.Fev[[#This Row],[DÉBITO]]-Tab_02.Fev[[#This Row],[CRÉDITO]]</f>
        <v>846.95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SUMIFS(Tab_01.Jan[SALDO
ATUAL],Tab_01.Jan[CONTA],$I235)</f>
        <v>1397.52</v>
      </c>
      <c r="G235" s="4">
        <f t="shared" si="12"/>
        <v>0</v>
      </c>
      <c r="H235" s="89"/>
      <c r="I235" s="3" t="s">
        <v>495</v>
      </c>
      <c r="J235" s="3" t="s">
        <v>496</v>
      </c>
      <c r="K235" s="4">
        <v>1397.52</v>
      </c>
      <c r="L235" s="4">
        <v>1408.65</v>
      </c>
      <c r="M235" s="4">
        <v>0</v>
      </c>
      <c r="N235" s="4">
        <v>2806.17</v>
      </c>
      <c r="O235" s="4">
        <f>Tab_02.Fev[[#This Row],[DÉBITO]]-Tab_02.Fev[[#This Row],[CRÉDITO]]</f>
        <v>1408.65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S</v>
      </c>
      <c r="E236" s="2">
        <f>IF($I236="","",COUNTIFS(Tab_00.Trial[CONTA],$I236))</f>
        <v>1</v>
      </c>
      <c r="F236" s="4">
        <f>SUMIFS(Tab_01.Jan[SALDO
ATUAL],Tab_01.Jan[CONTA],$I236)</f>
        <v>3051.47</v>
      </c>
      <c r="G236" s="4">
        <f t="shared" si="12"/>
        <v>0</v>
      </c>
      <c r="H236" s="89"/>
      <c r="I236" s="3" t="s">
        <v>614</v>
      </c>
      <c r="J236" s="3" t="s">
        <v>718</v>
      </c>
      <c r="K236" s="4">
        <v>3051.47</v>
      </c>
      <c r="L236" s="4">
        <v>680</v>
      </c>
      <c r="M236" s="4">
        <v>0</v>
      </c>
      <c r="N236" s="4">
        <v>3731.47</v>
      </c>
      <c r="O236" s="4">
        <f>Tab_02.Fev[[#This Row],[DÉBITO]]-Tab_02.Fev[[#This Row],[CRÉDITO]]</f>
        <v>680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SUMIFS(Tab_01.Jan[SALDO
ATUAL],Tab_01.Jan[CONTA],$I237)</f>
        <v>146.94</v>
      </c>
      <c r="G237" s="4">
        <f t="shared" si="12"/>
        <v>0</v>
      </c>
      <c r="H237" s="89"/>
      <c r="I237" s="3" t="s">
        <v>499</v>
      </c>
      <c r="J237" s="3" t="s">
        <v>500</v>
      </c>
      <c r="K237" s="4">
        <v>146.94</v>
      </c>
      <c r="L237" s="4">
        <v>0</v>
      </c>
      <c r="M237" s="4">
        <v>0</v>
      </c>
      <c r="N237" s="4">
        <v>146.94</v>
      </c>
      <c r="O237" s="4">
        <f>Tab_02.Fev[[#This Row],[DÉBITO]]-Tab_02.Fev[[#This Row],[CRÉDITO]]</f>
        <v>0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SUMIFS(Tab_01.Jan[SALDO
ATUAL],Tab_01.Jan[CONTA],$I238)</f>
        <v>2241.66</v>
      </c>
      <c r="G238" s="4">
        <f t="shared" si="12"/>
        <v>0</v>
      </c>
      <c r="H238" s="89"/>
      <c r="I238" s="3" t="s">
        <v>501</v>
      </c>
      <c r="J238" s="3" t="s">
        <v>502</v>
      </c>
      <c r="K238" s="4">
        <v>2241.66</v>
      </c>
      <c r="L238" s="4">
        <v>75.72</v>
      </c>
      <c r="M238" s="4">
        <v>0</v>
      </c>
      <c r="N238" s="4">
        <v>2317.38</v>
      </c>
      <c r="O238" s="4">
        <f>Tab_02.Fev[[#This Row],[DÉBITO]]-Tab_02.Fev[[#This Row],[CRÉDITO]]</f>
        <v>75.72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SUMIFS(Tab_01.Jan[SALDO
ATUAL],Tab_01.Jan[CONTA],$I239)</f>
        <v>662.87</v>
      </c>
      <c r="G239" s="4">
        <f t="shared" si="12"/>
        <v>0</v>
      </c>
      <c r="H239" s="89"/>
      <c r="I239" s="3" t="s">
        <v>503</v>
      </c>
      <c r="J239" s="3" t="s">
        <v>504</v>
      </c>
      <c r="K239" s="4">
        <v>662.87</v>
      </c>
      <c r="L239" s="4">
        <v>604.28</v>
      </c>
      <c r="M239" s="4">
        <v>0</v>
      </c>
      <c r="N239" s="4">
        <v>1267.1500000000001</v>
      </c>
      <c r="O239" s="4">
        <f>Tab_02.Fev[[#This Row],[DÉBITO]]-Tab_02.Fev[[#This Row],[CRÉDITO]]</f>
        <v>604.28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S</v>
      </c>
      <c r="E240" s="2">
        <f>IF($I240="","",COUNTIFS(Tab_00.Trial[CONTA],$I240))</f>
        <v>1</v>
      </c>
      <c r="F240" s="4">
        <f>SUMIFS(Tab_01.Jan[SALDO
ATUAL],Tab_01.Jan[CONTA],$I240)</f>
        <v>4265.3900000000003</v>
      </c>
      <c r="G240" s="4">
        <f t="shared" si="12"/>
        <v>0</v>
      </c>
      <c r="H240" s="89"/>
      <c r="I240" s="3" t="s">
        <v>615</v>
      </c>
      <c r="J240" s="3" t="s">
        <v>719</v>
      </c>
      <c r="K240" s="4">
        <v>4265.3900000000003</v>
      </c>
      <c r="L240" s="4">
        <v>4398.41</v>
      </c>
      <c r="M240" s="4">
        <v>0</v>
      </c>
      <c r="N240" s="4">
        <v>8663.7999999999993</v>
      </c>
      <c r="O240" s="4">
        <f>Tab_02.Fev[[#This Row],[DÉBITO]]-Tab_02.Fev[[#This Row],[CRÉDITO]]</f>
        <v>4398.41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SUMIFS(Tab_01.Jan[SALDO
ATUAL],Tab_01.Jan[CONTA],$I241)</f>
        <v>287.74</v>
      </c>
      <c r="G241" s="4">
        <f t="shared" si="12"/>
        <v>0</v>
      </c>
      <c r="H241" s="89"/>
      <c r="I241" s="3" t="s">
        <v>617</v>
      </c>
      <c r="J241" s="3" t="s">
        <v>721</v>
      </c>
      <c r="K241" s="4">
        <v>287.74</v>
      </c>
      <c r="L241" s="4">
        <v>0</v>
      </c>
      <c r="M241" s="4">
        <v>0</v>
      </c>
      <c r="N241" s="4">
        <v>287.74</v>
      </c>
      <c r="O241" s="4">
        <f>Tab_02.Fev[[#This Row],[DÉBITO]]-Tab_02.Fev[[#This Row],[CRÉDITO]]</f>
        <v>0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SUMIFS(Tab_01.Jan[SALDO
ATUAL],Tab_01.Jan[CONTA],$I242)</f>
        <v>287.74</v>
      </c>
      <c r="G242" s="4">
        <f t="shared" ref="G242:G265" si="13">$F242-$K242</f>
        <v>0</v>
      </c>
      <c r="H242" s="89"/>
      <c r="I242" s="3" t="s">
        <v>739</v>
      </c>
      <c r="J242" s="3" t="s">
        <v>740</v>
      </c>
      <c r="K242" s="4">
        <v>287.74</v>
      </c>
      <c r="L242" s="4">
        <v>0</v>
      </c>
      <c r="M242" s="4">
        <v>0</v>
      </c>
      <c r="N242" s="4">
        <v>287.74</v>
      </c>
      <c r="O242" s="4">
        <f>Tab_02.Fev[[#This Row],[DÉBITO]]-Tab_02.Fev[[#This Row],[CRÉDITO]]</f>
        <v>0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S</v>
      </c>
      <c r="E243" s="2">
        <f>IF($I243="","",COUNTIFS(Tab_00.Trial[CONTA],$I243))</f>
        <v>1</v>
      </c>
      <c r="F243" s="4">
        <f>SUMIFS(Tab_01.Jan[SALDO
ATUAL],Tab_01.Jan[CONTA],$I243)</f>
        <v>2260.8200000000002</v>
      </c>
      <c r="G243" s="4">
        <f t="shared" si="13"/>
        <v>0</v>
      </c>
      <c r="H243" s="89"/>
      <c r="I243" s="3" t="s">
        <v>618</v>
      </c>
      <c r="J243" s="3" t="s">
        <v>722</v>
      </c>
      <c r="K243" s="4">
        <v>2260.8200000000002</v>
      </c>
      <c r="L243" s="4">
        <v>2755.8</v>
      </c>
      <c r="M243" s="4">
        <v>0</v>
      </c>
      <c r="N243" s="4">
        <v>5016.62</v>
      </c>
      <c r="O243" s="4">
        <f>Tab_02.Fev[[#This Row],[DÉBITO]]-Tab_02.Fev[[#This Row],[CRÉDITO]]</f>
        <v>2755.8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SUMIFS(Tab_01.Jan[SALDO
ATUAL],Tab_01.Jan[CONTA],$I244)</f>
        <v>2260.8200000000002</v>
      </c>
      <c r="G244" s="4">
        <f t="shared" si="13"/>
        <v>0</v>
      </c>
      <c r="H244" s="89"/>
      <c r="I244" s="3" t="s">
        <v>511</v>
      </c>
      <c r="J244" s="3" t="s">
        <v>512</v>
      </c>
      <c r="K244" s="4">
        <v>2260.8200000000002</v>
      </c>
      <c r="L244" s="4">
        <v>2755.8</v>
      </c>
      <c r="M244" s="4">
        <v>0</v>
      </c>
      <c r="N244" s="4">
        <v>5016.62</v>
      </c>
      <c r="O244" s="4">
        <f>Tab_02.Fev[[#This Row],[DÉBITO]]-Tab_02.Fev[[#This Row],[CRÉDITO]]</f>
        <v>2755.8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S</v>
      </c>
      <c r="E245" s="2">
        <f>IF($I245="","",COUNTIFS(Tab_00.Trial[CONTA],$I245))</f>
        <v>1</v>
      </c>
      <c r="F245" s="4">
        <f>SUMIFS(Tab_01.Jan[SALDO
ATUAL],Tab_01.Jan[CONTA],$I245)</f>
        <v>1716.83</v>
      </c>
      <c r="G245" s="4">
        <f t="shared" si="13"/>
        <v>0</v>
      </c>
      <c r="H245" s="89"/>
      <c r="I245" s="3" t="s">
        <v>619</v>
      </c>
      <c r="J245" s="3" t="s">
        <v>420</v>
      </c>
      <c r="K245" s="4">
        <v>1716.83</v>
      </c>
      <c r="L245" s="4">
        <v>1642.61</v>
      </c>
      <c r="M245" s="4">
        <v>0</v>
      </c>
      <c r="N245" s="4">
        <v>3359.44</v>
      </c>
      <c r="O245" s="4">
        <f>Tab_02.Fev[[#This Row],[DÉBITO]]-Tab_02.Fev[[#This Row],[CRÉDITO]]</f>
        <v>1642.61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SUMIFS(Tab_01.Jan[SALDO
ATUAL],Tab_01.Jan[CONTA],$I246)</f>
        <v>1716.83</v>
      </c>
      <c r="G246" s="4">
        <f t="shared" si="13"/>
        <v>0</v>
      </c>
      <c r="H246" s="89"/>
      <c r="I246" s="3" t="s">
        <v>515</v>
      </c>
      <c r="J246" s="3" t="s">
        <v>420</v>
      </c>
      <c r="K246" s="4">
        <v>1716.83</v>
      </c>
      <c r="L246" s="4">
        <v>1642.61</v>
      </c>
      <c r="M246" s="4">
        <v>0</v>
      </c>
      <c r="N246" s="4">
        <v>3359.44</v>
      </c>
      <c r="O246" s="4">
        <f>Tab_02.Fev[[#This Row],[DÉBITO]]-Tab_02.Fev[[#This Row],[CRÉDITO]]</f>
        <v>1642.61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S</v>
      </c>
      <c r="E247" s="2">
        <f>IF($I247="","",COUNTIFS(Tab_00.Trial[CONTA],$I247))</f>
        <v>1</v>
      </c>
      <c r="F247" s="4">
        <f>SUMIFS(Tab_01.Jan[SALDO
ATUAL],Tab_01.Jan[CONTA],$I247)</f>
        <v>1467.2</v>
      </c>
      <c r="G247" s="4">
        <f t="shared" si="13"/>
        <v>0</v>
      </c>
      <c r="H247" s="89"/>
      <c r="I247" s="3" t="s">
        <v>621</v>
      </c>
      <c r="J247" s="3" t="s">
        <v>723</v>
      </c>
      <c r="K247" s="4">
        <v>1467.2</v>
      </c>
      <c r="L247" s="4">
        <v>1901.38</v>
      </c>
      <c r="M247" s="4">
        <v>0</v>
      </c>
      <c r="N247" s="4">
        <v>3368.58</v>
      </c>
      <c r="O247" s="4">
        <f>Tab_02.Fev[[#This Row],[DÉBITO]]-Tab_02.Fev[[#This Row],[CRÉDITO]]</f>
        <v>1901.38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SUMIFS(Tab_01.Jan[SALDO
ATUAL],Tab_01.Jan[CONTA],$I248)</f>
        <v>1467.2</v>
      </c>
      <c r="G248" s="4">
        <f t="shared" si="13"/>
        <v>0</v>
      </c>
      <c r="H248" s="89"/>
      <c r="I248" s="3" t="s">
        <v>622</v>
      </c>
      <c r="J248" s="3" t="s">
        <v>723</v>
      </c>
      <c r="K248" s="4">
        <v>1467.2</v>
      </c>
      <c r="L248" s="4">
        <v>1901.38</v>
      </c>
      <c r="M248" s="4">
        <v>0</v>
      </c>
      <c r="N248" s="4">
        <v>3368.58</v>
      </c>
      <c r="O248" s="4">
        <f>Tab_02.Fev[[#This Row],[DÉBITO]]-Tab_02.Fev[[#This Row],[CRÉDITO]]</f>
        <v>1901.38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SUMIFS(Tab_01.Jan[SALDO
ATUAL],Tab_01.Jan[CONTA],$I249)</f>
        <v>1467.2</v>
      </c>
      <c r="G249" s="4">
        <f t="shared" si="13"/>
        <v>0</v>
      </c>
      <c r="H249" s="89"/>
      <c r="I249" s="3" t="s">
        <v>518</v>
      </c>
      <c r="J249" s="3" t="s">
        <v>519</v>
      </c>
      <c r="K249" s="4">
        <v>1467.2</v>
      </c>
      <c r="L249" s="4">
        <v>1901.38</v>
      </c>
      <c r="M249" s="4">
        <v>0</v>
      </c>
      <c r="N249" s="4">
        <v>3368.58</v>
      </c>
      <c r="O249" s="4">
        <f>Tab_02.Fev[[#This Row],[DÉBITO]]-Tab_02.Fev[[#This Row],[CRÉDITO]]</f>
        <v>1901.38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S</v>
      </c>
      <c r="E250" s="2">
        <f>IF($I250="","",COUNTIFS(Tab_00.Trial[CONTA],$I250))</f>
        <v>1</v>
      </c>
      <c r="F250" s="4">
        <f>SUMIFS(Tab_01.Jan[SALDO
ATUAL],Tab_01.Jan[CONTA],$I250)</f>
        <v>5364.1</v>
      </c>
      <c r="G250" s="4">
        <f t="shared" si="13"/>
        <v>0</v>
      </c>
      <c r="H250" s="89"/>
      <c r="I250" s="3" t="s">
        <v>623</v>
      </c>
      <c r="J250" s="3" t="s">
        <v>724</v>
      </c>
      <c r="K250" s="4">
        <v>5364.1</v>
      </c>
      <c r="L250" s="4">
        <v>0</v>
      </c>
      <c r="M250" s="4">
        <v>0</v>
      </c>
      <c r="N250" s="4">
        <v>5364.1</v>
      </c>
      <c r="O250" s="4">
        <f>Tab_02.Fev[[#This Row],[DÉBITO]]-Tab_02.Fev[[#This Row],[CRÉDITO]]</f>
        <v>0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SUMIFS(Tab_01.Jan[SALDO
ATUAL],Tab_01.Jan[CONTA],$I251)</f>
        <v>5364.1</v>
      </c>
      <c r="G251" s="4">
        <f t="shared" si="13"/>
        <v>0</v>
      </c>
      <c r="H251" s="89"/>
      <c r="I251" s="3" t="s">
        <v>624</v>
      </c>
      <c r="J251" s="3" t="s">
        <v>724</v>
      </c>
      <c r="K251" s="4">
        <v>5364.1</v>
      </c>
      <c r="L251" s="4">
        <v>0</v>
      </c>
      <c r="M251" s="4">
        <v>0</v>
      </c>
      <c r="N251" s="4">
        <v>5364.1</v>
      </c>
      <c r="O251" s="4">
        <f>Tab_02.Fev[[#This Row],[DÉBITO]]-Tab_02.Fev[[#This Row],[CRÉDITO]]</f>
        <v>0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SUMIFS(Tab_01.Jan[SALDO
ATUAL],Tab_01.Jan[CONTA],$I252)</f>
        <v>5364.1</v>
      </c>
      <c r="G252" s="4">
        <f t="shared" si="13"/>
        <v>0</v>
      </c>
      <c r="H252" s="89"/>
      <c r="I252" s="3" t="s">
        <v>520</v>
      </c>
      <c r="J252" s="3" t="s">
        <v>521</v>
      </c>
      <c r="K252" s="4">
        <v>5364.1</v>
      </c>
      <c r="L252" s="4">
        <v>0</v>
      </c>
      <c r="M252" s="4">
        <v>0</v>
      </c>
      <c r="N252" s="4">
        <v>5364.1</v>
      </c>
      <c r="O252" s="4">
        <f>Tab_02.Fev[[#This Row],[DÉBITO]]-Tab_02.Fev[[#This Row],[CRÉDITO]]</f>
        <v>0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S</v>
      </c>
      <c r="E253" s="2">
        <f>IF($I253="","",COUNTIFS(Tab_00.Trial[CONTA],$I253))</f>
        <v>1</v>
      </c>
      <c r="F253" s="4">
        <f>SUMIFS(Tab_01.Jan[SALDO
ATUAL],Tab_01.Jan[CONTA],$I253)</f>
        <v>3062.08</v>
      </c>
      <c r="G253" s="4">
        <f t="shared" si="13"/>
        <v>0</v>
      </c>
      <c r="H253" s="89"/>
      <c r="I253" s="3" t="s">
        <v>625</v>
      </c>
      <c r="J253" s="3" t="s">
        <v>542</v>
      </c>
      <c r="K253" s="4">
        <v>3062.08</v>
      </c>
      <c r="L253" s="4">
        <v>3891.67</v>
      </c>
      <c r="M253" s="4">
        <v>0</v>
      </c>
      <c r="N253" s="4">
        <v>6953.75</v>
      </c>
      <c r="O253" s="4">
        <f>Tab_02.Fev[[#This Row],[DÉBITO]]-Tab_02.Fev[[#This Row],[CRÉDITO]]</f>
        <v>3891.67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SUMIFS(Tab_01.Jan[SALDO
ATUAL],Tab_01.Jan[CONTA],$I254)</f>
        <v>1075.6099999999999</v>
      </c>
      <c r="G254" s="4">
        <f t="shared" si="13"/>
        <v>0</v>
      </c>
      <c r="H254" s="89"/>
      <c r="I254" s="3" t="s">
        <v>626</v>
      </c>
      <c r="J254" s="3" t="s">
        <v>725</v>
      </c>
      <c r="K254" s="4">
        <v>1075.6099999999999</v>
      </c>
      <c r="L254" s="4">
        <v>1344.3</v>
      </c>
      <c r="M254" s="4">
        <v>0</v>
      </c>
      <c r="N254" s="4">
        <v>2419.91</v>
      </c>
      <c r="O254" s="4">
        <f>Tab_02.Fev[[#This Row],[DÉBITO]]-Tab_02.Fev[[#This Row],[CRÉDITO]]</f>
        <v>1344.3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SUMIFS(Tab_01.Jan[SALDO
ATUAL],Tab_01.Jan[CONTA],$I255)</f>
        <v>1075.6099999999999</v>
      </c>
      <c r="G255" s="4">
        <f t="shared" si="13"/>
        <v>0</v>
      </c>
      <c r="H255" s="89"/>
      <c r="I255" s="3" t="s">
        <v>522</v>
      </c>
      <c r="J255" s="3" t="s">
        <v>523</v>
      </c>
      <c r="K255" s="4">
        <v>1075.6099999999999</v>
      </c>
      <c r="L255" s="4">
        <v>1328.97</v>
      </c>
      <c r="M255" s="4">
        <v>0</v>
      </c>
      <c r="N255" s="4">
        <v>2404.58</v>
      </c>
      <c r="O255" s="4">
        <f>Tab_02.Fev[[#This Row],[DÉBITO]]-Tab_02.Fev[[#This Row],[CRÉDITO]]</f>
        <v>1328.97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SUMIFS(Tab_01.Jan[SALDO
ATUAL],Tab_01.Jan[CONTA],$I256)</f>
        <v>0</v>
      </c>
      <c r="G256" s="4">
        <f t="shared" si="13"/>
        <v>0</v>
      </c>
      <c r="H256" s="89"/>
      <c r="I256" s="3" t="s">
        <v>524</v>
      </c>
      <c r="J256" s="3" t="s">
        <v>525</v>
      </c>
      <c r="K256" s="4">
        <v>0</v>
      </c>
      <c r="L256" s="4">
        <v>15.33</v>
      </c>
      <c r="M256" s="4">
        <v>0</v>
      </c>
      <c r="N256" s="4">
        <v>15.33</v>
      </c>
      <c r="O256" s="4">
        <f>Tab_02.Fev[[#This Row],[DÉBITO]]-Tab_02.Fev[[#This Row],[CRÉDITO]]</f>
        <v>15.33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SUMIFS(Tab_01.Jan[SALDO
ATUAL],Tab_01.Jan[CONTA],$I257)</f>
        <v>1986.47</v>
      </c>
      <c r="G257" s="4">
        <f t="shared" si="13"/>
        <v>0</v>
      </c>
      <c r="H257" s="89"/>
      <c r="I257" s="3" t="s">
        <v>627</v>
      </c>
      <c r="J257" s="3" t="s">
        <v>542</v>
      </c>
      <c r="K257" s="4">
        <v>1986.47</v>
      </c>
      <c r="L257" s="4">
        <v>2547.37</v>
      </c>
      <c r="M257" s="4">
        <v>0</v>
      </c>
      <c r="N257" s="4">
        <v>4533.84</v>
      </c>
      <c r="O257" s="4">
        <f>Tab_02.Fev[[#This Row],[DÉBITO]]-Tab_02.Fev[[#This Row],[CRÉDITO]]</f>
        <v>2547.37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SUMIFS(Tab_01.Jan[SALDO
ATUAL],Tab_01.Jan[CONTA],$I258)</f>
        <v>100.59</v>
      </c>
      <c r="G258" s="4">
        <f t="shared" si="13"/>
        <v>0</v>
      </c>
      <c r="H258" s="89"/>
      <c r="I258" s="3" t="s">
        <v>528</v>
      </c>
      <c r="J258" s="3" t="s">
        <v>416</v>
      </c>
      <c r="K258" s="4">
        <v>100.59</v>
      </c>
      <c r="L258" s="4">
        <v>0</v>
      </c>
      <c r="M258" s="4">
        <v>0</v>
      </c>
      <c r="N258" s="4">
        <v>100.59</v>
      </c>
      <c r="O258" s="4">
        <f>Tab_02.Fev[[#This Row],[DÉBITO]]-Tab_02.Fev[[#This Row],[CRÉDITO]]</f>
        <v>0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SUMIFS(Tab_01.Jan[SALDO
ATUAL],Tab_01.Jan[CONTA],$I259)</f>
        <v>114</v>
      </c>
      <c r="G259" s="4">
        <f t="shared" si="13"/>
        <v>0</v>
      </c>
      <c r="H259" s="89"/>
      <c r="I259" s="3" t="s">
        <v>531</v>
      </c>
      <c r="J259" s="3" t="s">
        <v>532</v>
      </c>
      <c r="K259" s="4">
        <v>114</v>
      </c>
      <c r="L259" s="4">
        <v>62.97</v>
      </c>
      <c r="M259" s="4">
        <v>0</v>
      </c>
      <c r="N259" s="4">
        <v>176.97</v>
      </c>
      <c r="O259" s="4">
        <f>Tab_02.Fev[[#This Row],[DÉBITO]]-Tab_02.Fev[[#This Row],[CRÉDITO]]</f>
        <v>62.97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SUMIFS(Tab_01.Jan[SALDO
ATUAL],Tab_01.Jan[CONTA],$I260)</f>
        <v>350</v>
      </c>
      <c r="G260" s="4">
        <f t="shared" si="13"/>
        <v>0</v>
      </c>
      <c r="H260" s="89"/>
      <c r="I260" s="3" t="s">
        <v>533</v>
      </c>
      <c r="J260" s="3" t="s">
        <v>534</v>
      </c>
      <c r="K260" s="4">
        <v>350</v>
      </c>
      <c r="L260" s="4">
        <v>0</v>
      </c>
      <c r="M260" s="4">
        <v>0</v>
      </c>
      <c r="N260" s="4">
        <v>350</v>
      </c>
      <c r="O260" s="4">
        <f>Tab_02.Fev[[#This Row],[DÉBITO]]-Tab_02.Fev[[#This Row],[CRÉDITO]]</f>
        <v>0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SUMIFS(Tab_01.Jan[SALDO
ATUAL],Tab_01.Jan[CONTA],$I261)</f>
        <v>1059.06</v>
      </c>
      <c r="G261" s="4">
        <f t="shared" si="13"/>
        <v>0</v>
      </c>
      <c r="H261" s="89"/>
      <c r="I261" s="3" t="s">
        <v>537</v>
      </c>
      <c r="J261" s="3" t="s">
        <v>538</v>
      </c>
      <c r="K261" s="4">
        <v>1059.06</v>
      </c>
      <c r="L261" s="4">
        <v>0</v>
      </c>
      <c r="M261" s="4">
        <v>0</v>
      </c>
      <c r="N261" s="4">
        <v>1059.06</v>
      </c>
      <c r="O261" s="4">
        <f>Tab_02.Fev[[#This Row],[DÉBITO]]-Tab_02.Fev[[#This Row],[CRÉDITO]]</f>
        <v>0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SUMIFS(Tab_01.Jan[SALDO
ATUAL],Tab_01.Jan[CONTA],$I262)</f>
        <v>0</v>
      </c>
      <c r="G262" s="4">
        <f t="shared" si="13"/>
        <v>0</v>
      </c>
      <c r="H262" s="89"/>
      <c r="I262" s="3" t="s">
        <v>539</v>
      </c>
      <c r="J262" s="3" t="s">
        <v>540</v>
      </c>
      <c r="K262" s="4">
        <v>0</v>
      </c>
      <c r="L262" s="4">
        <v>2484.4</v>
      </c>
      <c r="M262" s="4">
        <v>0</v>
      </c>
      <c r="N262" s="4">
        <v>2484.4</v>
      </c>
      <c r="O262" s="4">
        <f>Tab_02.Fev[[#This Row],[DÉBITO]]-Tab_02.Fev[[#This Row],[CRÉDITO]]</f>
        <v>2484.4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SUMIFS(Tab_01.Jan[SALDO
ATUAL],Tab_01.Jan[CONTA],$I263)</f>
        <v>362.82</v>
      </c>
      <c r="G263" s="4">
        <f t="shared" si="13"/>
        <v>0</v>
      </c>
      <c r="H263" s="89"/>
      <c r="I263" s="3" t="s">
        <v>541</v>
      </c>
      <c r="J263" s="3" t="s">
        <v>542</v>
      </c>
      <c r="K263" s="4">
        <v>362.82</v>
      </c>
      <c r="L263" s="4">
        <v>0</v>
      </c>
      <c r="M263" s="4">
        <v>0</v>
      </c>
      <c r="N263" s="4">
        <v>362.82</v>
      </c>
      <c r="O263" s="4">
        <f>Tab_02.Fev[[#This Row],[DÉBITO]]-Tab_02.Fev[[#This Row],[CRÉDITO]]</f>
        <v>0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2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SUMIFS(Tab_01.Jan[SALDO
ATUAL],Tab_01.Jan[CONTA],$I264)</f>
        <v>0</v>
      </c>
      <c r="G264" s="4">
        <f t="shared" si="13"/>
        <v>0</v>
      </c>
      <c r="H264" s="89"/>
      <c r="I264" s="3" t="s">
        <v>630</v>
      </c>
      <c r="J264" s="3" t="s">
        <v>728</v>
      </c>
      <c r="K264" s="4">
        <v>0</v>
      </c>
      <c r="L264" s="4">
        <v>270</v>
      </c>
      <c r="M264" s="4">
        <v>0</v>
      </c>
      <c r="N264" s="4">
        <v>270</v>
      </c>
      <c r="O264" s="4">
        <f>Tab_02.Fev[[#This Row],[DÉBITO]]-Tab_02.Fev[[#This Row],[CRÉDITO]]</f>
        <v>270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S</v>
      </c>
      <c r="E265" s="2">
        <f>IF($I265="","",COUNTIFS(Tab_00.Trial[CONTA],$I265))</f>
        <v>1</v>
      </c>
      <c r="F265" s="4">
        <f>SUMIFS(Tab_01.Jan[SALDO
ATUAL],Tab_01.Jan[CONTA],$I265)</f>
        <v>0</v>
      </c>
      <c r="G265" s="4">
        <f t="shared" si="13"/>
        <v>0</v>
      </c>
      <c r="H265" s="89"/>
      <c r="I265" s="3" t="s">
        <v>631</v>
      </c>
      <c r="J265" s="3" t="s">
        <v>728</v>
      </c>
      <c r="K265" s="4">
        <v>0</v>
      </c>
      <c r="L265" s="4">
        <v>270</v>
      </c>
      <c r="M265" s="4">
        <v>0</v>
      </c>
      <c r="N265" s="4">
        <v>270</v>
      </c>
      <c r="O265" s="4">
        <f>Tab_02.Fev[[#This Row],[DÉBITO]]-Tab_02.Fev[[#This Row],[CRÉDITO]]</f>
        <v>270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SUMIFS(Tab_01.Jan[SALDO
ATUAL],Tab_01.Jan[CONTA],$I266)</f>
        <v>0</v>
      </c>
      <c r="G266" s="4">
        <f t="shared" ref="G266:G268" si="14">$F266-$K266</f>
        <v>0</v>
      </c>
      <c r="H266" s="89"/>
      <c r="I266" s="3" t="s">
        <v>633</v>
      </c>
      <c r="J266" s="3" t="s">
        <v>548</v>
      </c>
      <c r="K266" s="4">
        <v>0</v>
      </c>
      <c r="L266" s="4">
        <v>270</v>
      </c>
      <c r="M266" s="4">
        <v>0</v>
      </c>
      <c r="N266" s="4">
        <v>270</v>
      </c>
      <c r="O266" s="4">
        <f>Tab_02.Fev[[#This Row],[DÉBITO]]-Tab_02.Fev[[#This Row],[CRÉDITO]]</f>
        <v>270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SUMIFS(Tab_01.Jan[SALDO
ATUAL],Tab_01.Jan[CONTA],$I267)</f>
        <v>0</v>
      </c>
      <c r="G267" s="4">
        <f t="shared" si="14"/>
        <v>0</v>
      </c>
      <c r="H267" s="89"/>
      <c r="I267" s="3" t="s">
        <v>547</v>
      </c>
      <c r="J267" s="3" t="s">
        <v>548</v>
      </c>
      <c r="K267" s="4">
        <v>0</v>
      </c>
      <c r="L267" s="4">
        <v>270</v>
      </c>
      <c r="M267" s="4">
        <v>0</v>
      </c>
      <c r="N267" s="4">
        <v>270</v>
      </c>
      <c r="O267" s="4">
        <f>Tab_02.Fev[[#This Row],[DÉBITO]]-Tab_02.Fev[[#This Row],[CRÉDITO]]</f>
        <v>270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2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SUMIFS(Tab_01.Jan[SALDO
ATUAL],Tab_01.Jan[CONTA],$I268)</f>
        <v>-189</v>
      </c>
      <c r="G268" s="4">
        <f t="shared" si="14"/>
        <v>0</v>
      </c>
      <c r="H268" s="89"/>
      <c r="I268" s="3" t="s">
        <v>634</v>
      </c>
      <c r="J268" s="3" t="s">
        <v>730</v>
      </c>
      <c r="K268" s="4">
        <v>-189</v>
      </c>
      <c r="L268" s="4">
        <v>0</v>
      </c>
      <c r="M268" s="4">
        <v>0</v>
      </c>
      <c r="N268" s="4">
        <v>-189</v>
      </c>
      <c r="O268" s="4">
        <f>Tab_02.Fev[[#This Row],[DÉBITO]]-Tab_02.Fev[[#This Row],[CRÉDITO]]</f>
        <v>0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SUMIFS(Tab_01.Jan[SALDO
ATUAL],Tab_01.Jan[CONTA],$I269)</f>
        <v>-189</v>
      </c>
      <c r="G269" s="4">
        <f t="shared" ref="G269:G271" si="15">$F269-$K269</f>
        <v>0</v>
      </c>
      <c r="H269" s="89"/>
      <c r="I269" s="3" t="s">
        <v>831</v>
      </c>
      <c r="J269" s="3" t="s">
        <v>832</v>
      </c>
      <c r="K269" s="4">
        <v>-189</v>
      </c>
      <c r="L269" s="4">
        <v>0</v>
      </c>
      <c r="M269" s="4">
        <v>0</v>
      </c>
      <c r="N269" s="4">
        <v>-189</v>
      </c>
      <c r="O269" s="4">
        <f>Tab_02.Fev[[#This Row],[DÉBITO]]-Tab_02.Fev[[#This Row],[CRÉDITO]]</f>
        <v>0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SUMIFS(Tab_01.Jan[SALDO
ATUAL],Tab_01.Jan[CONTA],$I270)</f>
        <v>-189</v>
      </c>
      <c r="G270" s="4">
        <f t="shared" si="15"/>
        <v>0</v>
      </c>
      <c r="H270" s="89"/>
      <c r="I270" s="3" t="s">
        <v>833</v>
      </c>
      <c r="J270" s="3" t="s">
        <v>832</v>
      </c>
      <c r="K270" s="4">
        <v>-189</v>
      </c>
      <c r="L270" s="4">
        <v>0</v>
      </c>
      <c r="M270" s="4">
        <v>0</v>
      </c>
      <c r="N270" s="4">
        <v>-189</v>
      </c>
      <c r="O270" s="4">
        <f>Tab_02.Fev[[#This Row],[DÉBITO]]-Tab_02.Fev[[#This Row],[CRÉDITO]]</f>
        <v>0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SUMIFS(Tab_01.Jan[SALDO
ATUAL],Tab_01.Jan[CONTA],$I271)</f>
        <v>-189</v>
      </c>
      <c r="G271" s="4">
        <f t="shared" si="15"/>
        <v>0</v>
      </c>
      <c r="H271" s="89"/>
      <c r="I271" s="3" t="s">
        <v>834</v>
      </c>
      <c r="J271" s="3" t="s">
        <v>835</v>
      </c>
      <c r="K271" s="4">
        <v>-189</v>
      </c>
      <c r="L271" s="4">
        <v>0</v>
      </c>
      <c r="M271" s="4">
        <v>0</v>
      </c>
      <c r="N271" s="4">
        <v>-189</v>
      </c>
      <c r="O271" s="4">
        <f>Tab_02.Fev[[#This Row],[DÉBITO]]-Tab_02.Fev[[#This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BA933-AC73-40A6-BF4D-4CD99B5AA64E}">
  <sheetPr codeName="Planilha13"/>
  <dimension ref="B1:O274"/>
  <sheetViews>
    <sheetView showGridLines="0" zoomScale="85" zoomScaleNormal="85" workbookViewId="0">
      <pane xSplit="7" ySplit="14" topLeftCell="H15" activePane="bottomRight" state="frozen"/>
      <selection activeCell="J28" sqref="J28"/>
      <selection pane="topRight" activeCell="J28" sqref="J28"/>
      <selection pane="bottomLeft" activeCell="J28" sqref="J28"/>
      <selection pane="bottomRight" activeCell="H14" sqref="H14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SUMIFS(INDIRECT("Tab_03.Mar["&amp;F$14&amp;"]"),Tab_03.Mar[TP],$B2,Tab_03.Mar[NV],"A")</f>
        <v>0</v>
      </c>
      <c r="G2" s="7">
        <f ca="1">SUMIFS(INDIRECT("Tab_03.Mar["&amp;G$14&amp;"]"),Tab_03.Mar[TP],$B2,Tab_03.Mar[NV],"A")</f>
        <v>0</v>
      </c>
      <c r="H2" s="3"/>
      <c r="I2" s="3"/>
      <c r="J2" s="88" t="s">
        <v>15</v>
      </c>
      <c r="K2" s="7">
        <f ca="1">SUMIFS(INDIRECT("Tab_03.Mar["&amp;K$14&amp;"]"),Tab_03.Mar[TP],$B2,Tab_03.Mar[S/A],"A")</f>
        <v>82951212.209999993</v>
      </c>
      <c r="L2" s="7">
        <f ca="1">SUMIFS(INDIRECT("Tab_03.Mar["&amp;L$14&amp;"]"),Tab_03.Mar[TP],$B2,Tab_03.Mar[S/A],"A")</f>
        <v>2016749.21</v>
      </c>
      <c r="M2" s="7">
        <f ca="1">SUMIFS(INDIRECT("Tab_03.Mar["&amp;M$14&amp;"]"),Tab_03.Mar[TP],$B2,Tab_03.Mar[S/A],"A")</f>
        <v>1933629.97</v>
      </c>
      <c r="N2" s="7">
        <f ca="1">SUMIFS(INDIRECT("Tab_03.Mar["&amp;N$14&amp;"]"),Tab_03.Mar[TP],$B2,Tab_03.Mar[S/A],"A")</f>
        <v>83034331.450000003</v>
      </c>
      <c r="O2" s="7">
        <f ca="1">SUMIFS(INDIRECT("Tab_03.Mar["&amp;O$14&amp;"]"),Tab_03.Mar[TP],$B2,Tab_03.Mar[S/A],"A")</f>
        <v>83119.240000000005</v>
      </c>
    </row>
    <row r="3" spans="2:15" outlineLevel="1" x14ac:dyDescent="0.3">
      <c r="B3" s="2" t="s">
        <v>116</v>
      </c>
      <c r="F3" s="7">
        <f ca="1">SUMIFS(INDIRECT("Tab_03.Mar["&amp;F$14&amp;"]"),Tab_03.Mar[TP],$B3,Tab_03.Mar[NV],"A")</f>
        <v>0</v>
      </c>
      <c r="G3" s="7">
        <f ca="1">SUMIFS(INDIRECT("Tab_03.Mar["&amp;G$14&amp;"]"),Tab_03.Mar[TP],$B3,Tab_03.Mar[NV],"A")</f>
        <v>0</v>
      </c>
      <c r="H3" s="3"/>
      <c r="I3" s="3"/>
      <c r="J3" s="88" t="s">
        <v>110</v>
      </c>
      <c r="K3" s="7">
        <f ca="1">SUMIFS(INDIRECT("Tab_03.Mar["&amp;K$14&amp;"]"),Tab_03.Mar[TP],$B3,Tab_03.Mar[S/A],"A")</f>
        <v>-83558876.859999999</v>
      </c>
      <c r="L3" s="7">
        <f ca="1">SUMIFS(INDIRECT("Tab_03.Mar["&amp;L$14&amp;"]"),Tab_03.Mar[TP],$B3,Tab_03.Mar[S/A],"A")</f>
        <v>776610.08</v>
      </c>
      <c r="M3" s="7">
        <f ca="1">SUMIFS(INDIRECT("Tab_03.Mar["&amp;M$14&amp;"]"),Tab_03.Mar[TP],$B3,Tab_03.Mar[S/A],"A")</f>
        <v>324413.45</v>
      </c>
      <c r="N3" s="7">
        <f ca="1">SUMIFS(INDIRECT("Tab_03.Mar["&amp;N$14&amp;"]"),Tab_03.Mar[TP],$B3,Tab_03.Mar[S/A],"A")</f>
        <v>-83106680.230000004</v>
      </c>
      <c r="O3" s="7">
        <f ca="1">SUMIFS(INDIRECT("Tab_03.Mar["&amp;O$14&amp;"]"),Tab_03.Mar[TP],$B3,Tab_03.Mar[S/A],"A")</f>
        <v>452196.63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-607664.65</v>
      </c>
      <c r="L4" s="8">
        <f t="shared" ca="1" si="0"/>
        <v>2793359.29</v>
      </c>
      <c r="M4" s="8">
        <f t="shared" ca="1" si="0"/>
        <v>2258043.42</v>
      </c>
      <c r="N4" s="8">
        <f ca="1">SUM(N$2:N$3)</f>
        <v>-72348.78</v>
      </c>
      <c r="O4" s="8">
        <f t="shared" ca="1" si="0"/>
        <v>535315.87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SUMIFS(INDIRECT("Tab_03.Mar["&amp;F$14&amp;"]"),Tab_03.Mar[TP],$B6,Tab_03.Mar[NV],"A")</f>
        <v>0</v>
      </c>
      <c r="G6" s="7">
        <f ca="1">SUMIFS(INDIRECT("Tab_03.Mar["&amp;G$14&amp;"]"),Tab_03.Mar[TP],$B6,Tab_03.Mar[NV],"A")</f>
        <v>0</v>
      </c>
      <c r="H6" s="3"/>
      <c r="I6" s="3"/>
      <c r="J6" s="88" t="s">
        <v>18</v>
      </c>
      <c r="K6" s="7">
        <f ca="1">SUMIFS(INDIRECT("Tab_03.Mar["&amp;K$14&amp;"]"),Tab_03.Mar[TP],$B6,Tab_03.Mar[S/A],"A")</f>
        <v>-2318409.33</v>
      </c>
      <c r="L6" s="7">
        <f ca="1">SUMIFS(INDIRECT("Tab_03.Mar["&amp;L$14&amp;"]"),Tab_03.Mar[TP],$B6,Tab_03.Mar[S/A],"A")</f>
        <v>0</v>
      </c>
      <c r="M6" s="7">
        <f ca="1">SUMIFS(INDIRECT("Tab_03.Mar["&amp;M$14&amp;"]"),Tab_03.Mar[TP],$B6,Tab_03.Mar[S/A],"A")</f>
        <v>1344827.05</v>
      </c>
      <c r="N6" s="7">
        <f ca="1">SUMIFS(INDIRECT("Tab_03.Mar["&amp;N$14&amp;"]"),Tab_03.Mar[TP],$B6,Tab_03.Mar[S/A],"A")</f>
        <v>-3663236.38</v>
      </c>
      <c r="O6" s="7">
        <f ca="1">SUMIFS(INDIRECT("Tab_03.Mar["&amp;O$14&amp;"]"),Tab_03.Mar[TP],$B6,Tab_03.Mar[S/A],"A")</f>
        <v>-1344827.05</v>
      </c>
    </row>
    <row r="7" spans="2:15" outlineLevel="1" x14ac:dyDescent="0.3">
      <c r="B7" s="2" t="s">
        <v>20</v>
      </c>
      <c r="F7" s="7">
        <f ca="1">SUMIFS(INDIRECT("Tab_03.Mar["&amp;F$14&amp;"]"),Tab_03.Mar[TP],$B7,Tab_03.Mar[NV],"A")</f>
        <v>0</v>
      </c>
      <c r="G7" s="7">
        <f ca="1">SUMIFS(INDIRECT("Tab_03.Mar["&amp;G$14&amp;"]"),Tab_03.Mar[TP],$B7,Tab_03.Mar[NV],"A")</f>
        <v>0</v>
      </c>
      <c r="H7" s="3"/>
      <c r="I7" s="3"/>
      <c r="J7" s="88" t="s">
        <v>111</v>
      </c>
      <c r="K7" s="7">
        <f ca="1">SUMIFS(INDIRECT("Tab_03.Mar["&amp;K$14&amp;"]"),Tab_03.Mar[TP],$B7,Tab_03.Mar[S/A],"A")</f>
        <v>2926073.98</v>
      </c>
      <c r="L7" s="7">
        <f ca="1">SUMIFS(INDIRECT("Tab_03.Mar["&amp;L$14&amp;"]"),Tab_03.Mar[TP],$B7,Tab_03.Mar[S/A],"A")</f>
        <v>850486.62</v>
      </c>
      <c r="M7" s="7">
        <f ca="1">SUMIFS(INDIRECT("Tab_03.Mar["&amp;M$14&amp;"]"),Tab_03.Mar[TP],$B7,Tab_03.Mar[S/A],"A")</f>
        <v>40975.440000000002</v>
      </c>
      <c r="N7" s="7">
        <f ca="1">SUMIFS(INDIRECT("Tab_03.Mar["&amp;N$14&amp;"]"),Tab_03.Mar[TP],$B7,Tab_03.Mar[S/A],"A")</f>
        <v>3735585.16</v>
      </c>
      <c r="O7" s="7">
        <f ca="1">SUMIFS(INDIRECT("Tab_03.Mar["&amp;O$14&amp;"]"),Tab_03.Mar[TP],$B7,Tab_03.Mar[S/A],"A")</f>
        <v>809511.18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607664.65</v>
      </c>
      <c r="L8" s="8">
        <f ca="1">SUM(L$6:L$7)</f>
        <v>850486.62</v>
      </c>
      <c r="M8" s="8">
        <f ca="1">SUM(M$6:M$7)</f>
        <v>1385802.49</v>
      </c>
      <c r="N8" s="8">
        <f ca="1">SUM(N$6:N$7)</f>
        <v>72348.78</v>
      </c>
      <c r="O8" s="8">
        <f ca="1">SUM(O$6:O$7)</f>
        <v>-535315.87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3643845.91</v>
      </c>
      <c r="M10" s="11">
        <f t="shared" ca="1" si="1"/>
        <v>3643845.91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SUBTOTAL(9,Tab_03.Mar[SALDO FINAL
ANTERIOR])</f>
        <v>-183790.11</v>
      </c>
      <c r="G12" s="7">
        <f>SUBTOTAL(9,Tab_03.Mar[DIFERENÇA])</f>
        <v>-183790.11</v>
      </c>
      <c r="H12" s="3"/>
      <c r="I12" s="3"/>
      <c r="J12" s="3"/>
      <c r="K12" s="7">
        <f>SUBTOTAL(9,Tab_03.Mar[SALDO
ANTERIOR])</f>
        <v>0</v>
      </c>
      <c r="L12" s="7">
        <f>SUBTOTAL(9,Tab_03.Mar[DÉBITO])</f>
        <v>18219229.550000001</v>
      </c>
      <c r="M12" s="7">
        <f>SUBTOTAL(9,Tab_03.Mar[CRÉDITO])</f>
        <v>18219229.550000001</v>
      </c>
      <c r="N12" s="7">
        <f>SUBTOTAL(9,Tab_03.Mar[SALDO
ATUAL])</f>
        <v>0</v>
      </c>
      <c r="O12" s="7">
        <f>SUBTOTAL(9,Tab_03.Mar[MOVIMENTO])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SUMIFS(Tab_02.Fev[SALDO
ATUAL],Tab_02.Fev[CONTA],$I15)</f>
        <v>82845602.060000002</v>
      </c>
      <c r="G15" s="4">
        <f t="shared" ref="G15:G78" si="2">$F15-$K15</f>
        <v>-105610.15</v>
      </c>
      <c r="H15" s="89"/>
      <c r="I15" s="3">
        <v>1</v>
      </c>
      <c r="J15" s="3" t="s">
        <v>637</v>
      </c>
      <c r="K15" s="4">
        <v>82951212.209999993</v>
      </c>
      <c r="L15" s="4">
        <v>2016749.21</v>
      </c>
      <c r="M15" s="4">
        <v>1933629.97</v>
      </c>
      <c r="N15" s="4">
        <v>83034331.450000003</v>
      </c>
      <c r="O15" s="4">
        <f>Tab_03.Mar[[#This Row],[DÉBITO]]-Tab_03.Mar[[#This Row],[CRÉDITO]]</f>
        <v>83119.240000000005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SUMIFS(Tab_02.Fev[SALDO
ATUAL],Tab_02.Fev[CONTA],$I16)</f>
        <v>10215418.029999999</v>
      </c>
      <c r="G16" s="4">
        <f t="shared" si="2"/>
        <v>21591.25</v>
      </c>
      <c r="H16" s="89"/>
      <c r="I16" s="3" t="s">
        <v>197</v>
      </c>
      <c r="J16" s="3" t="s">
        <v>247</v>
      </c>
      <c r="K16" s="4">
        <v>10193826.779999999</v>
      </c>
      <c r="L16" s="4">
        <v>1779346.2</v>
      </c>
      <c r="M16" s="4">
        <v>1929962.92</v>
      </c>
      <c r="N16" s="4">
        <v>10043210.060000001</v>
      </c>
      <c r="O16" s="4">
        <f>Tab_03.Mar[[#This Row],[DÉBITO]]-Tab_03.Mar[[#This Row],[CRÉDITO]]</f>
        <v>-150616.72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SUMIFS(Tab_02.Fev[SALDO
ATUAL],Tab_02.Fev[CONTA],$I17)</f>
        <v>10099113.550000001</v>
      </c>
      <c r="G17" s="4">
        <f t="shared" si="2"/>
        <v>11495.67</v>
      </c>
      <c r="H17" s="89"/>
      <c r="I17" s="3" t="s">
        <v>199</v>
      </c>
      <c r="J17" s="3" t="s">
        <v>638</v>
      </c>
      <c r="K17" s="4">
        <v>10087617.880000001</v>
      </c>
      <c r="L17" s="4">
        <v>1776814.84</v>
      </c>
      <c r="M17" s="4">
        <v>1926915.82</v>
      </c>
      <c r="N17" s="4">
        <v>9937516.9000000004</v>
      </c>
      <c r="O17" s="4">
        <f>Tab_03.Mar[[#This Row],[DÉBITO]]-Tab_03.Mar[[#This Row],[CRÉDITO]]</f>
        <v>-150100.98000000001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SUMIFS(Tab_02.Fev[SALDO
ATUAL],Tab_02.Fev[CONTA],$I18)</f>
        <v>3855.76</v>
      </c>
      <c r="G18" s="4">
        <f t="shared" si="2"/>
        <v>49.87</v>
      </c>
      <c r="H18" s="137"/>
      <c r="I18" s="3" t="s">
        <v>201</v>
      </c>
      <c r="J18" s="3" t="s">
        <v>639</v>
      </c>
      <c r="K18" s="4">
        <v>3805.89</v>
      </c>
      <c r="L18" s="4">
        <v>0</v>
      </c>
      <c r="M18" s="4">
        <v>394.22</v>
      </c>
      <c r="N18" s="4">
        <v>3411.67</v>
      </c>
      <c r="O18" s="4">
        <f>Tab_03.Mar[[#This Row],[DÉBITO]]-Tab_03.Mar[[#This Row],[CRÉDITO]]</f>
        <v>-394.22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SUMIFS(Tab_02.Fev[SALDO
ATUAL],Tab_02.Fev[CONTA],$I19)</f>
        <v>3855.76</v>
      </c>
      <c r="G19" s="4">
        <f t="shared" si="2"/>
        <v>49.87</v>
      </c>
      <c r="H19" s="137"/>
      <c r="I19" s="3" t="s">
        <v>176</v>
      </c>
      <c r="J19" s="3" t="s">
        <v>274</v>
      </c>
      <c r="K19" s="4">
        <v>3805.89</v>
      </c>
      <c r="L19" s="4">
        <v>0</v>
      </c>
      <c r="M19" s="4">
        <v>394.22</v>
      </c>
      <c r="N19" s="4">
        <v>3411.67</v>
      </c>
      <c r="O19" s="4">
        <f>Tab_03.Mar[[#This Row],[DÉBITO]]-Tab_03.Mar[[#This Row],[CRÉDITO]]</f>
        <v>-394.22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SUMIFS(Tab_02.Fev[SALDO
ATUAL],Tab_02.Fev[CONTA],$I20)</f>
        <v>52260.97</v>
      </c>
      <c r="G20" s="4">
        <f t="shared" si="2"/>
        <v>20068.990000000002</v>
      </c>
      <c r="H20" s="137"/>
      <c r="I20" s="3" t="s">
        <v>202</v>
      </c>
      <c r="J20" s="3" t="s">
        <v>640</v>
      </c>
      <c r="K20" s="4">
        <v>32191.98</v>
      </c>
      <c r="L20" s="4">
        <v>1238529.77</v>
      </c>
      <c r="M20" s="4">
        <v>1241092.3500000001</v>
      </c>
      <c r="N20" s="4">
        <v>29629.4</v>
      </c>
      <c r="O20" s="4">
        <f>Tab_03.Mar[[#This Row],[DÉBITO]]-Tab_03.Mar[[#This Row],[CRÉDITO]]</f>
        <v>-2562.58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SUMIFS(Tab_02.Fev[SALDO
ATUAL],Tab_02.Fev[CONTA],$I21)</f>
        <v>17523.11</v>
      </c>
      <c r="G21" s="4">
        <f t="shared" si="2"/>
        <v>17522.11</v>
      </c>
      <c r="H21" s="137"/>
      <c r="I21" s="3" t="s">
        <v>277</v>
      </c>
      <c r="J21" s="3" t="s">
        <v>278</v>
      </c>
      <c r="K21" s="4">
        <v>1</v>
      </c>
      <c r="L21" s="4">
        <v>1228201.1100000001</v>
      </c>
      <c r="M21" s="4">
        <v>1228201.1200000001</v>
      </c>
      <c r="N21" s="4">
        <v>0.99</v>
      </c>
      <c r="O21" s="4">
        <f>Tab_03.Mar[[#This Row],[DÉBITO]]-Tab_03.Mar[[#This Row],[CRÉDITO]]</f>
        <v>-0.01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SUMIFS(Tab_02.Fev[SALDO
ATUAL],Tab_02.Fev[CONTA],$I22)</f>
        <v>25420.1</v>
      </c>
      <c r="G22" s="4">
        <f t="shared" si="2"/>
        <v>2546.88</v>
      </c>
      <c r="H22" s="137"/>
      <c r="I22" s="3" t="s">
        <v>177</v>
      </c>
      <c r="J22" s="3" t="s">
        <v>279</v>
      </c>
      <c r="K22" s="4">
        <v>22873.22</v>
      </c>
      <c r="L22" s="4">
        <v>10328.66</v>
      </c>
      <c r="M22" s="4">
        <v>12483.33</v>
      </c>
      <c r="N22" s="4">
        <v>20718.55</v>
      </c>
      <c r="O22" s="4">
        <f>Tab_03.Mar[[#This Row],[DÉBITO]]-Tab_03.Mar[[#This Row],[CRÉDITO]]</f>
        <v>-2154.67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SUMIFS(Tab_02.Fev[SALDO
ATUAL],Tab_02.Fev[CONTA],$I23)</f>
        <v>4246.91</v>
      </c>
      <c r="G23" s="4">
        <f t="shared" si="2"/>
        <v>0</v>
      </c>
      <c r="H23" s="137"/>
      <c r="I23" s="3" t="s">
        <v>280</v>
      </c>
      <c r="J23" s="3" t="s">
        <v>281</v>
      </c>
      <c r="K23" s="4">
        <v>4246.91</v>
      </c>
      <c r="L23" s="4">
        <v>0</v>
      </c>
      <c r="M23" s="4">
        <v>0</v>
      </c>
      <c r="N23" s="4">
        <v>4246.91</v>
      </c>
      <c r="O23" s="4">
        <f>Tab_03.Mar[[#This Row],[DÉBITO]]-Tab_03.Mar[[#This Row],[CRÉDITO]]</f>
        <v>0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SUMIFS(Tab_02.Fev[SALDO
ATUAL],Tab_02.Fev[CONTA],$I24)</f>
        <v>5070.8500000000004</v>
      </c>
      <c r="G24" s="4">
        <f t="shared" si="2"/>
        <v>0</v>
      </c>
      <c r="H24" s="137"/>
      <c r="I24" s="3" t="s">
        <v>282</v>
      </c>
      <c r="J24" s="3" t="s">
        <v>283</v>
      </c>
      <c r="K24" s="4">
        <v>5070.8500000000004</v>
      </c>
      <c r="L24" s="4">
        <v>0</v>
      </c>
      <c r="M24" s="4">
        <v>407.9</v>
      </c>
      <c r="N24" s="4">
        <v>4662.95</v>
      </c>
      <c r="O24" s="4">
        <f>Tab_03.Mar[[#This Row],[DÉBITO]]-Tab_03.Mar[[#This Row],[CRÉDITO]]</f>
        <v>-407.9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SUMIFS(Tab_02.Fev[SALDO
ATUAL],Tab_02.Fev[CONTA],$I25)</f>
        <v>10042996.82</v>
      </c>
      <c r="G25" s="4">
        <f t="shared" si="2"/>
        <v>-8623.19</v>
      </c>
      <c r="H25" s="137"/>
      <c r="I25" s="3" t="s">
        <v>203</v>
      </c>
      <c r="J25" s="3" t="s">
        <v>641</v>
      </c>
      <c r="K25" s="4">
        <v>10051620.01</v>
      </c>
      <c r="L25" s="4">
        <v>538285.06999999995</v>
      </c>
      <c r="M25" s="4">
        <v>685429.25</v>
      </c>
      <c r="N25" s="4">
        <v>9904475.8300000001</v>
      </c>
      <c r="O25" s="4">
        <f>Tab_03.Mar[[#This Row],[DÉBITO]]-Tab_03.Mar[[#This Row],[CRÉDITO]]</f>
        <v>-147144.18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SUMIFS(Tab_02.Fev[SALDO
ATUAL],Tab_02.Fev[CONTA],$I26)</f>
        <v>4608210.0199999996</v>
      </c>
      <c r="G26" s="4">
        <f t="shared" si="2"/>
        <v>34444.9</v>
      </c>
      <c r="H26" s="137"/>
      <c r="I26" s="3" t="s">
        <v>178</v>
      </c>
      <c r="J26" s="3" t="s">
        <v>284</v>
      </c>
      <c r="K26" s="4">
        <v>4573765.12</v>
      </c>
      <c r="L26" s="4">
        <v>493099.01</v>
      </c>
      <c r="M26" s="4">
        <v>685429.25</v>
      </c>
      <c r="N26" s="4">
        <v>4381434.88</v>
      </c>
      <c r="O26" s="4">
        <f>Tab_03.Mar[[#This Row],[DÉBITO]]-Tab_03.Mar[[#This Row],[CRÉDITO]]</f>
        <v>-192330.23999999999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SUMIFS(Tab_02.Fev[SALDO
ATUAL],Tab_02.Fev[CONTA],$I27)</f>
        <v>5434786.7999999998</v>
      </c>
      <c r="G27" s="4">
        <f t="shared" si="2"/>
        <v>-43068.09</v>
      </c>
      <c r="H27" s="137"/>
      <c r="I27" s="3" t="s">
        <v>287</v>
      </c>
      <c r="J27" s="3" t="s">
        <v>288</v>
      </c>
      <c r="K27" s="4">
        <v>5477854.8899999997</v>
      </c>
      <c r="L27" s="4">
        <v>45186.06</v>
      </c>
      <c r="M27" s="4">
        <v>0</v>
      </c>
      <c r="N27" s="4">
        <v>5523040.9500000002</v>
      </c>
      <c r="O27" s="4">
        <f>Tab_03.Mar[[#This Row],[DÉBITO]]-Tab_03.Mar[[#This Row],[CRÉDITO]]</f>
        <v>45186.06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SUMIFS(Tab_02.Fev[SALDO
ATUAL],Tab_02.Fev[CONTA],$I28)</f>
        <v>99274.97</v>
      </c>
      <c r="G28" s="4">
        <f t="shared" si="2"/>
        <v>0</v>
      </c>
      <c r="H28" s="137"/>
      <c r="I28" s="3" t="s">
        <v>204</v>
      </c>
      <c r="J28" s="3" t="s">
        <v>642</v>
      </c>
      <c r="K28" s="4">
        <v>99274.97</v>
      </c>
      <c r="L28" s="4">
        <v>0</v>
      </c>
      <c r="M28" s="4">
        <v>0</v>
      </c>
      <c r="N28" s="4">
        <v>99274.97</v>
      </c>
      <c r="O28" s="4">
        <f>Tab_03.Mar[[#This Row],[DÉBITO]]-Tab_03.Mar[[#This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SUMIFS(Tab_02.Fev[SALDO
ATUAL],Tab_02.Fev[CONTA],$I29)</f>
        <v>99274.97</v>
      </c>
      <c r="G29" s="4">
        <f t="shared" si="2"/>
        <v>0</v>
      </c>
      <c r="H29" s="137"/>
      <c r="I29" s="3" t="s">
        <v>205</v>
      </c>
      <c r="J29" s="3" t="s">
        <v>643</v>
      </c>
      <c r="K29" s="4">
        <v>99274.97</v>
      </c>
      <c r="L29" s="4">
        <v>0</v>
      </c>
      <c r="M29" s="4">
        <v>0</v>
      </c>
      <c r="N29" s="4">
        <v>99274.97</v>
      </c>
      <c r="O29" s="4">
        <f>Tab_03.Mar[[#This Row],[DÉBITO]]-Tab_03.Mar[[#This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SUMIFS(Tab_02.Fev[SALDO
ATUAL],Tab_02.Fev[CONTA],$I30)</f>
        <v>99274.97</v>
      </c>
      <c r="G30" s="4">
        <f t="shared" si="2"/>
        <v>0</v>
      </c>
      <c r="H30" s="137"/>
      <c r="I30" s="3" t="s">
        <v>291</v>
      </c>
      <c r="J30" s="3" t="s">
        <v>292</v>
      </c>
      <c r="K30" s="4">
        <v>99274.97</v>
      </c>
      <c r="L30" s="4">
        <v>0</v>
      </c>
      <c r="M30" s="4">
        <v>0</v>
      </c>
      <c r="N30" s="4">
        <v>99274.97</v>
      </c>
      <c r="O30" s="4">
        <f>Tab_03.Mar[[#This Row],[DÉBITO]]-Tab_03.Mar[[#This Row],[CRÉDITO]]</f>
        <v>0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SUMIFS(Tab_02.Fev[SALDO
ATUAL],Tab_02.Fev[CONTA],$I31)</f>
        <v>14740.18</v>
      </c>
      <c r="G31" s="4">
        <f t="shared" si="2"/>
        <v>9807.84</v>
      </c>
      <c r="H31" s="137"/>
      <c r="I31" s="3" t="s">
        <v>206</v>
      </c>
      <c r="J31" s="3" t="s">
        <v>644</v>
      </c>
      <c r="K31" s="4">
        <v>4932.34</v>
      </c>
      <c r="L31" s="4">
        <v>2531.36</v>
      </c>
      <c r="M31" s="4">
        <v>2759.36</v>
      </c>
      <c r="N31" s="4">
        <v>4704.34</v>
      </c>
      <c r="O31" s="4">
        <f>Tab_03.Mar[[#This Row],[DÉBITO]]-Tab_03.Mar[[#This Row],[CRÉDITO]]</f>
        <v>-228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SUMIFS(Tab_02.Fev[SALDO
ATUAL],Tab_02.Fev[CONTA],$I32)</f>
        <v>10258.44</v>
      </c>
      <c r="G32" s="4">
        <f t="shared" si="2"/>
        <v>9807.84</v>
      </c>
      <c r="H32" s="137"/>
      <c r="I32" s="3" t="s">
        <v>208</v>
      </c>
      <c r="J32" s="3" t="s">
        <v>139</v>
      </c>
      <c r="K32" s="4">
        <v>450.6</v>
      </c>
      <c r="L32" s="4">
        <v>2531.36</v>
      </c>
      <c r="M32" s="4">
        <v>2759.36</v>
      </c>
      <c r="N32" s="4">
        <v>222.6</v>
      </c>
      <c r="O32" s="4">
        <f>Tab_03.Mar[[#This Row],[DÉBITO]]-Tab_03.Mar[[#This Row],[CRÉDITO]]</f>
        <v>-228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SUMIFS(Tab_02.Fev[SALDO
ATUAL],Tab_02.Fev[CONTA],$I33)</f>
        <v>44.58</v>
      </c>
      <c r="G33" s="4">
        <f t="shared" si="2"/>
        <v>0</v>
      </c>
      <c r="H33" s="137"/>
      <c r="I33" s="3" t="s">
        <v>179</v>
      </c>
      <c r="J33" s="3" t="s">
        <v>293</v>
      </c>
      <c r="K33" s="4">
        <v>44.58</v>
      </c>
      <c r="L33" s="4">
        <v>0</v>
      </c>
      <c r="M33" s="4">
        <v>0</v>
      </c>
      <c r="N33" s="4">
        <v>44.58</v>
      </c>
      <c r="O33" s="4">
        <f>Tab_03.Mar[[#This Row],[DÉBITO]]-Tab_03.Mar[[#This Row],[CRÉDITO]]</f>
        <v>0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SUMIFS(Tab_02.Fev[SALDO
ATUAL],Tab_02.Fev[CONTA],$I34)</f>
        <v>10213.86</v>
      </c>
      <c r="G34" s="4">
        <f t="shared" si="2"/>
        <v>9807.84</v>
      </c>
      <c r="H34" s="137"/>
      <c r="I34" s="3" t="s">
        <v>294</v>
      </c>
      <c r="J34" s="3" t="s">
        <v>295</v>
      </c>
      <c r="K34" s="4">
        <v>406.02</v>
      </c>
      <c r="L34" s="4">
        <v>2531.36</v>
      </c>
      <c r="M34" s="4">
        <v>2759.36</v>
      </c>
      <c r="N34" s="4">
        <v>178.02</v>
      </c>
      <c r="O34" s="4">
        <f>Tab_03.Mar[[#This Row],[DÉBITO]]-Tab_03.Mar[[#This Row],[CRÉDITO]]</f>
        <v>-228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SUMIFS(Tab_02.Fev[SALDO
ATUAL],Tab_02.Fev[CONTA],$I35)</f>
        <v>4481.74</v>
      </c>
      <c r="G35" s="4">
        <f t="shared" si="2"/>
        <v>0</v>
      </c>
      <c r="H35" s="137"/>
      <c r="I35" s="3" t="s">
        <v>551</v>
      </c>
      <c r="J35" s="3" t="s">
        <v>645</v>
      </c>
      <c r="K35" s="4">
        <v>4481.74</v>
      </c>
      <c r="L35" s="4">
        <v>0</v>
      </c>
      <c r="M35" s="4">
        <v>0</v>
      </c>
      <c r="N35" s="4">
        <v>4481.74</v>
      </c>
      <c r="O35" s="4">
        <f>Tab_03.Mar[[#This Row],[DÉBITO]]-Tab_03.Mar[[#This Row],[CRÉDITO]]</f>
        <v>0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SUMIFS(Tab_02.Fev[SALDO
ATUAL],Tab_02.Fev[CONTA],$I36)</f>
        <v>4481.74</v>
      </c>
      <c r="G36" s="4">
        <f t="shared" si="2"/>
        <v>0</v>
      </c>
      <c r="H36" s="137"/>
      <c r="I36" s="3" t="s">
        <v>837</v>
      </c>
      <c r="J36" s="3" t="s">
        <v>838</v>
      </c>
      <c r="K36" s="4">
        <v>4481.74</v>
      </c>
      <c r="L36" s="4">
        <v>0</v>
      </c>
      <c r="M36" s="4">
        <v>0</v>
      </c>
      <c r="N36" s="4">
        <v>4481.74</v>
      </c>
      <c r="O36" s="4">
        <f>Tab_03.Mar[[#This Row],[DÉBITO]]-Tab_03.Mar[[#This Row],[CRÉDITO]]</f>
        <v>0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SUMIFS(Tab_02.Fev[SALDO
ATUAL],Tab_02.Fev[CONTA],$I37)</f>
        <v>2289.33</v>
      </c>
      <c r="G37" s="4">
        <f t="shared" si="2"/>
        <v>287.74</v>
      </c>
      <c r="H37" s="137"/>
      <c r="I37" s="3" t="s">
        <v>209</v>
      </c>
      <c r="J37" s="3" t="s">
        <v>646</v>
      </c>
      <c r="K37" s="4">
        <v>2001.59</v>
      </c>
      <c r="L37" s="4">
        <v>0</v>
      </c>
      <c r="M37" s="4">
        <v>287.74</v>
      </c>
      <c r="N37" s="4">
        <v>1713.85</v>
      </c>
      <c r="O37" s="4">
        <f>Tab_03.Mar[[#This Row],[DÉBITO]]-Tab_03.Mar[[#This Row],[CRÉDITO]]</f>
        <v>-287.74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SUMIFS(Tab_02.Fev[SALDO
ATUAL],Tab_02.Fev[CONTA],$I38)</f>
        <v>2289.33</v>
      </c>
      <c r="G38" s="4">
        <f t="shared" si="2"/>
        <v>287.74</v>
      </c>
      <c r="H38" s="137"/>
      <c r="I38" s="3" t="s">
        <v>210</v>
      </c>
      <c r="J38" s="3" t="s">
        <v>646</v>
      </c>
      <c r="K38" s="4">
        <v>2001.59</v>
      </c>
      <c r="L38" s="4">
        <v>0</v>
      </c>
      <c r="M38" s="4">
        <v>287.74</v>
      </c>
      <c r="N38" s="4">
        <v>1713.85</v>
      </c>
      <c r="O38" s="4">
        <f>Tab_03.Mar[[#This Row],[DÉBITO]]-Tab_03.Mar[[#This Row],[CRÉDITO]]</f>
        <v>-287.74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SUMIFS(Tab_02.Fev[SALDO
ATUAL],Tab_02.Fev[CONTA],$I39)</f>
        <v>2289.33</v>
      </c>
      <c r="G39" s="4">
        <f t="shared" si="2"/>
        <v>287.74</v>
      </c>
      <c r="H39" s="137"/>
      <c r="I39" s="3" t="s">
        <v>298</v>
      </c>
      <c r="J39" s="3" t="s">
        <v>299</v>
      </c>
      <c r="K39" s="4">
        <v>2001.59</v>
      </c>
      <c r="L39" s="4">
        <v>0</v>
      </c>
      <c r="M39" s="4">
        <v>287.74</v>
      </c>
      <c r="N39" s="4">
        <v>1713.85</v>
      </c>
      <c r="O39" s="4">
        <f>Tab_03.Mar[[#This Row],[DÉBITO]]-Tab_03.Mar[[#This Row],[CRÉDITO]]</f>
        <v>-287.74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2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SUMIFS(Tab_02.Fev[SALDO
ATUAL],Tab_02.Fev[CONTA],$I40)</f>
        <v>72630184.030000001</v>
      </c>
      <c r="G40" s="4">
        <f t="shared" si="2"/>
        <v>-127201.4</v>
      </c>
      <c r="H40" s="137"/>
      <c r="I40" s="3" t="s">
        <v>211</v>
      </c>
      <c r="J40" s="3" t="s">
        <v>76</v>
      </c>
      <c r="K40" s="4">
        <v>72757385.430000007</v>
      </c>
      <c r="L40" s="4">
        <v>237403.01</v>
      </c>
      <c r="M40" s="4">
        <v>3667.05</v>
      </c>
      <c r="N40" s="4">
        <v>72991121.390000001</v>
      </c>
      <c r="O40" s="4">
        <f>Tab_03.Mar[[#This Row],[DÉBITO]]-Tab_03.Mar[[#This Row],[CRÉDITO]]</f>
        <v>233735.96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SUMIFS(Tab_02.Fev[SALDO
ATUAL],Tab_02.Fev[CONTA],$I41)</f>
        <v>252576.51</v>
      </c>
      <c r="G41" s="4">
        <f t="shared" si="2"/>
        <v>-466.88</v>
      </c>
      <c r="H41" s="137"/>
      <c r="I41" s="3" t="s">
        <v>552</v>
      </c>
      <c r="J41" s="3" t="s">
        <v>647</v>
      </c>
      <c r="K41" s="4">
        <v>253043.39</v>
      </c>
      <c r="L41" s="4">
        <v>444.51</v>
      </c>
      <c r="M41" s="4">
        <v>0</v>
      </c>
      <c r="N41" s="4">
        <v>253487.9</v>
      </c>
      <c r="O41" s="4">
        <f>Tab_03.Mar[[#This Row],[DÉBITO]]-Tab_03.Mar[[#This Row],[CRÉDITO]]</f>
        <v>444.51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SUMIFS(Tab_02.Fev[SALDO
ATUAL],Tab_02.Fev[CONTA],$I42)</f>
        <v>252576.51</v>
      </c>
      <c r="G42" s="4">
        <f t="shared" si="2"/>
        <v>-466.88</v>
      </c>
      <c r="H42" s="137"/>
      <c r="I42" s="3" t="s">
        <v>553</v>
      </c>
      <c r="J42" s="3" t="s">
        <v>301</v>
      </c>
      <c r="K42" s="4">
        <v>253043.39</v>
      </c>
      <c r="L42" s="4">
        <v>444.51</v>
      </c>
      <c r="M42" s="4">
        <v>0</v>
      </c>
      <c r="N42" s="4">
        <v>253487.9</v>
      </c>
      <c r="O42" s="4">
        <f>Tab_03.Mar[[#This Row],[DÉBITO]]-Tab_03.Mar[[#This Row],[CRÉDITO]]</f>
        <v>444.51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A</v>
      </c>
      <c r="E43" s="2">
        <f>IF($I43="","",COUNTIFS(Tab_00.Trial[CONTA],$I43))</f>
        <v>1</v>
      </c>
      <c r="F43" s="4">
        <f>SUMIFS(Tab_02.Fev[SALDO
ATUAL],Tab_02.Fev[CONTA],$I43)</f>
        <v>252576.51</v>
      </c>
      <c r="G43" s="4">
        <f t="shared" si="2"/>
        <v>-466.88</v>
      </c>
      <c r="H43" s="137"/>
      <c r="I43" s="3" t="s">
        <v>300</v>
      </c>
      <c r="J43" s="3" t="s">
        <v>301</v>
      </c>
      <c r="K43" s="4">
        <v>253043.39</v>
      </c>
      <c r="L43" s="4">
        <v>444.51</v>
      </c>
      <c r="M43" s="4">
        <v>0</v>
      </c>
      <c r="N43" s="4">
        <v>253487.9</v>
      </c>
      <c r="O43" s="4">
        <f>Tab_03.Mar[[#This Row],[DÉBITO]]-Tab_03.Mar[[#This Row],[CRÉDITO]]</f>
        <v>444.51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SUMIFS(Tab_02.Fev[SALDO
ATUAL],Tab_02.Fev[CONTA],$I44)</f>
        <v>70047290.069999993</v>
      </c>
      <c r="G44" s="4">
        <f t="shared" si="2"/>
        <v>-131984.26</v>
      </c>
      <c r="H44" s="137"/>
      <c r="I44" s="3" t="s">
        <v>554</v>
      </c>
      <c r="J44" s="3" t="s">
        <v>648</v>
      </c>
      <c r="K44" s="4">
        <v>70179274.329999998</v>
      </c>
      <c r="L44" s="4">
        <v>218369.61</v>
      </c>
      <c r="M44" s="4">
        <v>0</v>
      </c>
      <c r="N44" s="4">
        <v>70397643.939999998</v>
      </c>
      <c r="O44" s="4">
        <f>Tab_03.Mar[[#This Row],[DÉBITO]]-Tab_03.Mar[[#This Row],[CRÉDITO]]</f>
        <v>218369.61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SUMIFS(Tab_02.Fev[SALDO
ATUAL],Tab_02.Fev[CONTA],$I45)</f>
        <v>45344232.229999997</v>
      </c>
      <c r="G45" s="4">
        <f t="shared" si="2"/>
        <v>0</v>
      </c>
      <c r="H45" s="137"/>
      <c r="I45" s="3" t="s">
        <v>555</v>
      </c>
      <c r="J45" s="3" t="s">
        <v>649</v>
      </c>
      <c r="K45" s="4">
        <v>45344232.229999997</v>
      </c>
      <c r="L45" s="4">
        <v>0</v>
      </c>
      <c r="M45" s="4">
        <v>0</v>
      </c>
      <c r="N45" s="4">
        <v>45344232.229999997</v>
      </c>
      <c r="O45" s="4">
        <f>Tab_03.Mar[[#This Row],[DÉBITO]]-Tab_03.Mar[[#This Row],[CRÉDITO]]</f>
        <v>0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SUMIFS(Tab_02.Fev[SALDO
ATUAL],Tab_02.Fev[CONTA],$I46)</f>
        <v>42477392.43</v>
      </c>
      <c r="G46" s="4">
        <f t="shared" si="2"/>
        <v>0</v>
      </c>
      <c r="H46" s="137"/>
      <c r="I46" s="3" t="s">
        <v>302</v>
      </c>
      <c r="J46" s="3" t="s">
        <v>303</v>
      </c>
      <c r="K46" s="4">
        <v>42477392.43</v>
      </c>
      <c r="L46" s="4">
        <v>0</v>
      </c>
      <c r="M46" s="4">
        <v>0</v>
      </c>
      <c r="N46" s="4">
        <v>42477392.43</v>
      </c>
      <c r="O46" s="4">
        <f>Tab_03.Mar[[#This Row],[DÉBITO]]-Tab_03.Mar[[#This Row],[CRÉDITO]]</f>
        <v>0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A</v>
      </c>
      <c r="E47" s="2">
        <f>IF($I47="","",COUNTIFS(Tab_00.Trial[CONTA],$I47))</f>
        <v>1</v>
      </c>
      <c r="F47" s="4">
        <f>SUMIFS(Tab_02.Fev[SALDO
ATUAL],Tab_02.Fev[CONTA],$I47)</f>
        <v>2866839.8</v>
      </c>
      <c r="G47" s="4">
        <f t="shared" si="2"/>
        <v>0</v>
      </c>
      <c r="H47" s="137"/>
      <c r="I47" s="3" t="s">
        <v>304</v>
      </c>
      <c r="J47" s="3" t="s">
        <v>305</v>
      </c>
      <c r="K47" s="4">
        <v>2866839.8</v>
      </c>
      <c r="L47" s="4">
        <v>0</v>
      </c>
      <c r="M47" s="4">
        <v>0</v>
      </c>
      <c r="N47" s="4">
        <v>2866839.8</v>
      </c>
      <c r="O47" s="4">
        <f>Tab_03.Mar[[#This Row],[DÉBITO]]-Tab_03.Mar[[#This Row],[CRÉDITO]]</f>
        <v>0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SUMIFS(Tab_02.Fev[SALDO
ATUAL],Tab_02.Fev[CONTA],$I48)</f>
        <v>4760.84</v>
      </c>
      <c r="G48" s="4">
        <f t="shared" si="2"/>
        <v>0</v>
      </c>
      <c r="H48" s="137"/>
      <c r="I48" s="3" t="s">
        <v>556</v>
      </c>
      <c r="J48" s="3" t="s">
        <v>650</v>
      </c>
      <c r="K48" s="4">
        <v>4760.84</v>
      </c>
      <c r="L48" s="4">
        <v>0</v>
      </c>
      <c r="M48" s="4">
        <v>0</v>
      </c>
      <c r="N48" s="4">
        <v>4760.84</v>
      </c>
      <c r="O48" s="4">
        <f>Tab_03.Mar[[#This Row],[DÉBITO]]-Tab_03.Mar[[#This Row],[CRÉDITO]]</f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SUMIFS(Tab_02.Fev[SALDO
ATUAL],Tab_02.Fev[CONTA],$I49)</f>
        <v>4760.84</v>
      </c>
      <c r="G49" s="4">
        <f t="shared" si="2"/>
        <v>0</v>
      </c>
      <c r="H49" s="137"/>
      <c r="I49" s="3" t="s">
        <v>306</v>
      </c>
      <c r="J49" s="3" t="s">
        <v>307</v>
      </c>
      <c r="K49" s="4">
        <v>4760.84</v>
      </c>
      <c r="L49" s="4">
        <v>0</v>
      </c>
      <c r="M49" s="4">
        <v>0</v>
      </c>
      <c r="N49" s="4">
        <v>4760.84</v>
      </c>
      <c r="O49" s="4">
        <f>Tab_03.Mar[[#This Row],[DÉBITO]]-Tab_03.Mar[[#This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SUMIFS(Tab_02.Fev[SALDO
ATUAL],Tab_02.Fev[CONTA],$I50)</f>
        <v>24698297</v>
      </c>
      <c r="G50" s="4">
        <f t="shared" si="2"/>
        <v>-131984.26</v>
      </c>
      <c r="H50" s="137"/>
      <c r="I50" s="3" t="s">
        <v>557</v>
      </c>
      <c r="J50" s="3" t="s">
        <v>309</v>
      </c>
      <c r="K50" s="4">
        <v>24830281.260000002</v>
      </c>
      <c r="L50" s="4">
        <v>218369.61</v>
      </c>
      <c r="M50" s="4">
        <v>0</v>
      </c>
      <c r="N50" s="4">
        <v>25048650.870000001</v>
      </c>
      <c r="O50" s="4">
        <f>Tab_03.Mar[[#This Row],[DÉBITO]]-Tab_03.Mar[[#This Row],[CRÉDITO]]</f>
        <v>218369.61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SUMIFS(Tab_02.Fev[SALDO
ATUAL],Tab_02.Fev[CONTA],$I51)</f>
        <v>24698297</v>
      </c>
      <c r="G51" s="4">
        <f t="shared" si="2"/>
        <v>-131984.26</v>
      </c>
      <c r="H51" s="137"/>
      <c r="I51" s="3" t="s">
        <v>308</v>
      </c>
      <c r="J51" s="3" t="s">
        <v>309</v>
      </c>
      <c r="K51" s="4">
        <v>24830281.260000002</v>
      </c>
      <c r="L51" s="4">
        <v>218369.61</v>
      </c>
      <c r="M51" s="4">
        <v>0</v>
      </c>
      <c r="N51" s="4">
        <v>25048650.870000001</v>
      </c>
      <c r="O51" s="4">
        <f>Tab_03.Mar[[#This Row],[DÉBITO]]-Tab_03.Mar[[#This Row],[CRÉDITO]]</f>
        <v>218369.61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S</v>
      </c>
      <c r="E52" s="2">
        <f>IF($I52="","",COUNTIFS(Tab_00.Trial[CONTA],$I52))</f>
        <v>1</v>
      </c>
      <c r="F52" s="4">
        <f>SUMIFS(Tab_02.Fev[SALDO
ATUAL],Tab_02.Fev[CONTA],$I52)</f>
        <v>2330317.4500000002</v>
      </c>
      <c r="G52" s="4">
        <f t="shared" si="2"/>
        <v>5249.74</v>
      </c>
      <c r="H52" s="137"/>
      <c r="I52" s="3" t="s">
        <v>213</v>
      </c>
      <c r="J52" s="3" t="s">
        <v>35</v>
      </c>
      <c r="K52" s="4">
        <v>2325067.71</v>
      </c>
      <c r="L52" s="4">
        <v>18588.89</v>
      </c>
      <c r="M52" s="4">
        <v>3667.05</v>
      </c>
      <c r="N52" s="4">
        <v>2339989.5499999998</v>
      </c>
      <c r="O52" s="4">
        <f>Tab_03.Mar[[#This Row],[DÉBITO]]-Tab_03.Mar[[#This Row],[CRÉDITO]]</f>
        <v>14921.84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SUMIFS(Tab_02.Fev[SALDO
ATUAL],Tab_02.Fev[CONTA],$I53)</f>
        <v>3487455.56</v>
      </c>
      <c r="G53" s="4">
        <f t="shared" si="2"/>
        <v>0</v>
      </c>
      <c r="H53" s="137"/>
      <c r="I53" s="3" t="s">
        <v>214</v>
      </c>
      <c r="J53" s="3" t="s">
        <v>651</v>
      </c>
      <c r="K53" s="4">
        <v>3487455.56</v>
      </c>
      <c r="L53" s="4">
        <v>18588.89</v>
      </c>
      <c r="M53" s="4">
        <v>0</v>
      </c>
      <c r="N53" s="4">
        <v>3506044.45</v>
      </c>
      <c r="O53" s="4">
        <f>Tab_03.Mar[[#This Row],[DÉBITO]]-Tab_03.Mar[[#This Row],[CRÉDITO]]</f>
        <v>18588.89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SUMIFS(Tab_02.Fev[SALDO
ATUAL],Tab_02.Fev[CONTA],$I54)</f>
        <v>1379260.84</v>
      </c>
      <c r="G54" s="4">
        <f t="shared" si="2"/>
        <v>0</v>
      </c>
      <c r="H54" s="137"/>
      <c r="I54" s="3" t="s">
        <v>310</v>
      </c>
      <c r="J54" s="3" t="s">
        <v>311</v>
      </c>
      <c r="K54" s="4">
        <v>1379260.84</v>
      </c>
      <c r="L54" s="4">
        <v>0</v>
      </c>
      <c r="M54" s="4">
        <v>0</v>
      </c>
      <c r="N54" s="4">
        <v>1379260.84</v>
      </c>
      <c r="O54" s="4">
        <f>Tab_03.Mar[[#This Row],[DÉBITO]]-Tab_03.Mar[[#This Row],[CRÉDITO]]</f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SUMIFS(Tab_02.Fev[SALDO
ATUAL],Tab_02.Fev[CONTA],$I55)</f>
        <v>1233996.98</v>
      </c>
      <c r="G55" s="4">
        <f t="shared" si="2"/>
        <v>0</v>
      </c>
      <c r="H55" s="137"/>
      <c r="I55" s="3" t="s">
        <v>312</v>
      </c>
      <c r="J55" s="3" t="s">
        <v>313</v>
      </c>
      <c r="K55" s="4">
        <v>1233996.98</v>
      </c>
      <c r="L55" s="4">
        <v>18588.89</v>
      </c>
      <c r="M55" s="4">
        <v>0</v>
      </c>
      <c r="N55" s="4">
        <v>1252585.8700000001</v>
      </c>
      <c r="O55" s="4">
        <f>Tab_03.Mar[[#This Row],[DÉBITO]]-Tab_03.Mar[[#This Row],[CRÉDITO]]</f>
        <v>18588.89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SUMIFS(Tab_02.Fev[SALDO
ATUAL],Tab_02.Fev[CONTA],$I56)</f>
        <v>23000</v>
      </c>
      <c r="G56" s="4">
        <f t="shared" si="2"/>
        <v>0</v>
      </c>
      <c r="H56" s="137"/>
      <c r="I56" s="3" t="s">
        <v>181</v>
      </c>
      <c r="J56" s="3" t="s">
        <v>314</v>
      </c>
      <c r="K56" s="4">
        <v>23000</v>
      </c>
      <c r="L56" s="4">
        <v>0</v>
      </c>
      <c r="M56" s="4">
        <v>0</v>
      </c>
      <c r="N56" s="4">
        <v>23000</v>
      </c>
      <c r="O56" s="4">
        <f>Tab_03.Mar[[#This Row],[DÉBITO]]-Tab_03.Mar[[#This Row],[CRÉDITO]]</f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SUMIFS(Tab_02.Fev[SALDO
ATUAL],Tab_02.Fev[CONTA],$I57)</f>
        <v>12594</v>
      </c>
      <c r="G57" s="4">
        <f t="shared" si="2"/>
        <v>0</v>
      </c>
      <c r="H57" s="137"/>
      <c r="I57" s="3" t="s">
        <v>182</v>
      </c>
      <c r="J57" s="3" t="s">
        <v>315</v>
      </c>
      <c r="K57" s="4">
        <v>12594</v>
      </c>
      <c r="L57" s="4">
        <v>0</v>
      </c>
      <c r="M57" s="4">
        <v>0</v>
      </c>
      <c r="N57" s="4">
        <v>12594</v>
      </c>
      <c r="O57" s="4">
        <f>Tab_03.Mar[[#This Row],[DÉBITO]]-Tab_03.Mar[[#This Row],[CRÉDITO]]</f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SUMIFS(Tab_02.Fev[SALDO
ATUAL],Tab_02.Fev[CONTA],$I58)</f>
        <v>223690.57</v>
      </c>
      <c r="G58" s="4">
        <f t="shared" si="2"/>
        <v>0</v>
      </c>
      <c r="H58" s="137"/>
      <c r="I58" s="3" t="s">
        <v>183</v>
      </c>
      <c r="J58" s="3" t="s">
        <v>316</v>
      </c>
      <c r="K58" s="4">
        <v>223690.57</v>
      </c>
      <c r="L58" s="4">
        <v>0</v>
      </c>
      <c r="M58" s="4">
        <v>0</v>
      </c>
      <c r="N58" s="4">
        <v>223690.57</v>
      </c>
      <c r="O58" s="4">
        <f>Tab_03.Mar[[#This Row],[DÉBITO]]-Tab_03.Mar[[#This Row],[CRÉDITO]]</f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SUMIFS(Tab_02.Fev[SALDO
ATUAL],Tab_02.Fev[CONTA],$I59)</f>
        <v>7349.9</v>
      </c>
      <c r="G59" s="4">
        <f t="shared" si="2"/>
        <v>0</v>
      </c>
      <c r="H59" s="137"/>
      <c r="I59" s="3" t="s">
        <v>317</v>
      </c>
      <c r="J59" s="3" t="s">
        <v>318</v>
      </c>
      <c r="K59" s="4">
        <v>7349.9</v>
      </c>
      <c r="L59" s="4">
        <v>0</v>
      </c>
      <c r="M59" s="4">
        <v>0</v>
      </c>
      <c r="N59" s="4">
        <v>7349.9</v>
      </c>
      <c r="O59" s="4">
        <f>Tab_03.Mar[[#This Row],[DÉBITO]]-Tab_03.Mar[[#This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SUMIFS(Tab_02.Fev[SALDO
ATUAL],Tab_02.Fev[CONTA],$I60)</f>
        <v>128697.03</v>
      </c>
      <c r="G60" s="4">
        <f t="shared" si="2"/>
        <v>0</v>
      </c>
      <c r="H60" s="137"/>
      <c r="I60" s="3" t="s">
        <v>184</v>
      </c>
      <c r="J60" s="3" t="s">
        <v>319</v>
      </c>
      <c r="K60" s="4">
        <v>128697.03</v>
      </c>
      <c r="L60" s="4">
        <v>0</v>
      </c>
      <c r="M60" s="4">
        <v>0</v>
      </c>
      <c r="N60" s="4">
        <v>128697.03</v>
      </c>
      <c r="O60" s="4">
        <f>Tab_03.Mar[[#This Row],[DÉBITO]]-Tab_03.Mar[[#This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SUMIFS(Tab_02.Fev[SALDO
ATUAL],Tab_02.Fev[CONTA],$I61)</f>
        <v>15029.74</v>
      </c>
      <c r="G61" s="4">
        <f t="shared" si="2"/>
        <v>0</v>
      </c>
      <c r="H61" s="137"/>
      <c r="I61" s="3" t="s">
        <v>185</v>
      </c>
      <c r="J61" s="3" t="s">
        <v>320</v>
      </c>
      <c r="K61" s="4">
        <v>15029.74</v>
      </c>
      <c r="L61" s="4">
        <v>0</v>
      </c>
      <c r="M61" s="4">
        <v>0</v>
      </c>
      <c r="N61" s="4">
        <v>15029.74</v>
      </c>
      <c r="O61" s="4">
        <f>Tab_03.Mar[[#This Row],[DÉBITO]]-Tab_03.Mar[[#This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SUMIFS(Tab_02.Fev[SALDO
ATUAL],Tab_02.Fev[CONTA],$I62)</f>
        <v>463836.5</v>
      </c>
      <c r="G62" s="4">
        <f t="shared" si="2"/>
        <v>0</v>
      </c>
      <c r="H62" s="137"/>
      <c r="I62" s="3" t="s">
        <v>321</v>
      </c>
      <c r="J62" s="3" t="s">
        <v>322</v>
      </c>
      <c r="K62" s="4">
        <v>463836.5</v>
      </c>
      <c r="L62" s="4">
        <v>0</v>
      </c>
      <c r="M62" s="4">
        <v>0</v>
      </c>
      <c r="N62" s="4">
        <v>463836.5</v>
      </c>
      <c r="O62" s="4">
        <f>Tab_03.Mar[[#This Row],[DÉBITO]]-Tab_03.Mar[[#This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S</v>
      </c>
      <c r="E63" s="2">
        <f>IF($I63="","",COUNTIFS(Tab_00.Trial[CONTA],$I63))</f>
        <v>1</v>
      </c>
      <c r="F63" s="4">
        <f>SUMIFS(Tab_02.Fev[SALDO
ATUAL],Tab_02.Fev[CONTA],$I63)</f>
        <v>-1157138.1100000001</v>
      </c>
      <c r="G63" s="4">
        <f t="shared" si="2"/>
        <v>5249.74</v>
      </c>
      <c r="H63" s="137"/>
      <c r="I63" s="3" t="s">
        <v>215</v>
      </c>
      <c r="J63" s="3" t="s">
        <v>652</v>
      </c>
      <c r="K63" s="4">
        <v>-1162387.8500000001</v>
      </c>
      <c r="L63" s="4">
        <v>0</v>
      </c>
      <c r="M63" s="4">
        <v>3667.05</v>
      </c>
      <c r="N63" s="4">
        <v>-1166054.8999999999</v>
      </c>
      <c r="O63" s="4">
        <f>Tab_03.Mar[[#This Row],[DÉBITO]]-Tab_03.Mar[[#This Row],[CRÉDITO]]</f>
        <v>-3667.05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SUMIFS(Tab_02.Fev[SALDO
ATUAL],Tab_02.Fev[CONTA],$I64)</f>
        <v>-649876.97</v>
      </c>
      <c r="G64" s="4">
        <f t="shared" si="2"/>
        <v>2997.93</v>
      </c>
      <c r="H64" s="137"/>
      <c r="I64" s="3" t="s">
        <v>186</v>
      </c>
      <c r="J64" s="3" t="s">
        <v>313</v>
      </c>
      <c r="K64" s="4">
        <v>-652874.9</v>
      </c>
      <c r="L64" s="4">
        <v>0</v>
      </c>
      <c r="M64" s="4">
        <v>2997.93</v>
      </c>
      <c r="N64" s="4">
        <v>-655872.82999999996</v>
      </c>
      <c r="O64" s="4">
        <f>Tab_03.Mar[[#This Row],[DÉBITO]]-Tab_03.Mar[[#This Row],[CRÉDITO]]</f>
        <v>-2997.93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SUMIFS(Tab_02.Fev[SALDO
ATUAL],Tab_02.Fev[CONTA],$I65)</f>
        <v>-17058.599999999999</v>
      </c>
      <c r="G65" s="4">
        <f t="shared" si="2"/>
        <v>191.67</v>
      </c>
      <c r="H65" s="137"/>
      <c r="I65" s="3" t="s">
        <v>187</v>
      </c>
      <c r="J65" s="3" t="s">
        <v>314</v>
      </c>
      <c r="K65" s="4">
        <v>-17250.27</v>
      </c>
      <c r="L65" s="4">
        <v>0</v>
      </c>
      <c r="M65" s="4">
        <v>191.67</v>
      </c>
      <c r="N65" s="4">
        <v>-17441.939999999999</v>
      </c>
      <c r="O65" s="4">
        <f>Tab_03.Mar[[#This Row],[DÉBITO]]-Tab_03.Mar[[#This Row],[CRÉDITO]]</f>
        <v>-191.67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SUMIFS(Tab_02.Fev[SALDO
ATUAL],Tab_02.Fev[CONTA],$I66)</f>
        <v>-6159.06</v>
      </c>
      <c r="G66" s="4">
        <f t="shared" si="2"/>
        <v>104.95</v>
      </c>
      <c r="H66" s="137"/>
      <c r="I66" s="3" t="s">
        <v>188</v>
      </c>
      <c r="J66" s="3" t="s">
        <v>315</v>
      </c>
      <c r="K66" s="4">
        <v>-6264.01</v>
      </c>
      <c r="L66" s="4">
        <v>0</v>
      </c>
      <c r="M66" s="4">
        <v>104.95</v>
      </c>
      <c r="N66" s="4">
        <v>-6368.96</v>
      </c>
      <c r="O66" s="4">
        <f>Tab_03.Mar[[#This Row],[DÉBITO]]-Tab_03.Mar[[#This Row],[CRÉDITO]]</f>
        <v>-104.95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SUMIFS(Tab_02.Fev[SALDO
ATUAL],Tab_02.Fev[CONTA],$I67)</f>
        <v>-223060.16</v>
      </c>
      <c r="G67" s="4">
        <f t="shared" si="2"/>
        <v>1582.69</v>
      </c>
      <c r="H67" s="137"/>
      <c r="I67" s="3" t="s">
        <v>189</v>
      </c>
      <c r="J67" s="3" t="s">
        <v>316</v>
      </c>
      <c r="K67" s="4">
        <v>-224642.85</v>
      </c>
      <c r="L67" s="4">
        <v>0</v>
      </c>
      <c r="M67" s="4">
        <v>0</v>
      </c>
      <c r="N67" s="4">
        <v>-224642.85</v>
      </c>
      <c r="O67" s="4">
        <f>Tab_03.Mar[[#This Row],[DÉBITO]]-Tab_03.Mar[[#This Row],[CRÉDITO]]</f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SUMIFS(Tab_02.Fev[SALDO
ATUAL],Tab_02.Fev[CONTA],$I68)</f>
        <v>-3574.84</v>
      </c>
      <c r="G68" s="4">
        <f t="shared" si="2"/>
        <v>122.5</v>
      </c>
      <c r="H68" s="137"/>
      <c r="I68" s="3" t="s">
        <v>190</v>
      </c>
      <c r="J68" s="3" t="s">
        <v>318</v>
      </c>
      <c r="K68" s="4">
        <v>-3697.34</v>
      </c>
      <c r="L68" s="4">
        <v>0</v>
      </c>
      <c r="M68" s="4">
        <v>122.5</v>
      </c>
      <c r="N68" s="4">
        <v>-3819.84</v>
      </c>
      <c r="O68" s="4">
        <f>Tab_03.Mar[[#This Row],[DÉBITO]]-Tab_03.Mar[[#This Row],[CRÉDITO]]</f>
        <v>-122.5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SUMIFS(Tab_02.Fev[SALDO
ATUAL],Tab_02.Fev[CONTA],$I69)</f>
        <v>-128697.03</v>
      </c>
      <c r="G69" s="4">
        <f t="shared" si="2"/>
        <v>0</v>
      </c>
      <c r="H69" s="137"/>
      <c r="I69" s="3" t="s">
        <v>323</v>
      </c>
      <c r="J69" s="3" t="s">
        <v>319</v>
      </c>
      <c r="K69" s="4">
        <v>-128697.03</v>
      </c>
      <c r="L69" s="4">
        <v>0</v>
      </c>
      <c r="M69" s="4">
        <v>0</v>
      </c>
      <c r="N69" s="4">
        <v>-128697.03</v>
      </c>
      <c r="O69" s="4">
        <f>Tab_03.Mar[[#This Row],[DÉBITO]]-Tab_03.Mar[[#This Row],[CRÉDITO]]</f>
        <v>0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SUMIFS(Tab_02.Fev[SALDO
ATUAL],Tab_02.Fev[CONTA],$I70)</f>
        <v>-15029.74</v>
      </c>
      <c r="G70" s="4">
        <f t="shared" si="2"/>
        <v>0</v>
      </c>
      <c r="H70" s="137"/>
      <c r="I70" s="3" t="s">
        <v>324</v>
      </c>
      <c r="J70" s="3" t="s">
        <v>320</v>
      </c>
      <c r="K70" s="4">
        <v>-15029.74</v>
      </c>
      <c r="L70" s="4">
        <v>0</v>
      </c>
      <c r="M70" s="4">
        <v>0</v>
      </c>
      <c r="N70" s="4">
        <v>-15029.74</v>
      </c>
      <c r="O70" s="4">
        <f>Tab_03.Mar[[#This Row],[DÉBITO]]-Tab_03.Mar[[#This Row],[CRÉDITO]]</f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SUMIFS(Tab_02.Fev[SALDO
ATUAL],Tab_02.Fev[CONTA],$I71)</f>
        <v>-113681.71</v>
      </c>
      <c r="G71" s="4">
        <f t="shared" si="2"/>
        <v>250</v>
      </c>
      <c r="H71" s="137"/>
      <c r="I71" s="3" t="s">
        <v>325</v>
      </c>
      <c r="J71" s="3" t="s">
        <v>322</v>
      </c>
      <c r="K71" s="4">
        <v>-113931.71</v>
      </c>
      <c r="L71" s="4">
        <v>0</v>
      </c>
      <c r="M71" s="4">
        <v>250</v>
      </c>
      <c r="N71" s="4">
        <v>-114181.71</v>
      </c>
      <c r="O71" s="4">
        <f>Tab_03.Mar[[#This Row],[DÉBITO]]-Tab_03.Mar[[#This Row],[CRÉDITO]]</f>
        <v>-250</v>
      </c>
    </row>
    <row r="72" spans="2:15" x14ac:dyDescent="0.3">
      <c r="B72" s="2" t="str">
        <f>_xlfn.XLOOKUP($I72,Tab_00.Trial[CONTA],Tab_00.Trial[TP],"",0,1)</f>
        <v>P</v>
      </c>
      <c r="C72" s="2">
        <f>_xlfn.XLOOKUP($I72,Tab_00.Trial[CONTA],Tab_00.Trial[NV],"",0,1)</f>
        <v>1</v>
      </c>
      <c r="D72" s="2" t="str">
        <f>_xlfn.XLOOKUP($I72,Tab_00.Trial[CONTA],Tab_00.Trial[S/A],"",0,1)</f>
        <v>S</v>
      </c>
      <c r="E72" s="2">
        <f>IF($I72="","",COUNTIFS(Tab_00.Trial[CONTA],$I72))</f>
        <v>1</v>
      </c>
      <c r="F72" s="4">
        <f>SUMIFS(Tab_02.Fev[SALDO
ATUAL],Tab_02.Fev[CONTA],$I72)</f>
        <v>-82907150.670000002</v>
      </c>
      <c r="G72" s="4">
        <f t="shared" si="2"/>
        <v>651726.18999999994</v>
      </c>
      <c r="H72" s="137"/>
      <c r="I72" s="3">
        <v>2</v>
      </c>
      <c r="J72" s="3" t="s">
        <v>653</v>
      </c>
      <c r="K72" s="4">
        <v>-83558876.859999999</v>
      </c>
      <c r="L72" s="4">
        <v>776610.08</v>
      </c>
      <c r="M72" s="4">
        <v>324413.45</v>
      </c>
      <c r="N72" s="4">
        <v>-83106680.230000004</v>
      </c>
      <c r="O72" s="4">
        <f>Tab_03.Mar[[#This Row],[DÉBITO]]-Tab_03.Mar[[#This Row],[CRÉDITO]]</f>
        <v>452196.63</v>
      </c>
    </row>
    <row r="73" spans="2:15" x14ac:dyDescent="0.3">
      <c r="B73" s="2" t="str">
        <f>_xlfn.XLOOKUP($I73,Tab_00.Trial[CONTA],Tab_00.Trial[TP],"",0,1)</f>
        <v>P</v>
      </c>
      <c r="C73" s="2">
        <f>_xlfn.XLOOKUP($I73,Tab_00.Trial[CONTA],Tab_00.Trial[NV],"",0,1)</f>
        <v>2</v>
      </c>
      <c r="D73" s="2" t="str">
        <f>_xlfn.XLOOKUP($I73,Tab_00.Trial[CONTA],Tab_00.Trial[S/A],"",0,1)</f>
        <v>S</v>
      </c>
      <c r="E73" s="2">
        <f>IF($I73="","",COUNTIFS(Tab_00.Trial[CONTA],$I73))</f>
        <v>1</v>
      </c>
      <c r="F73" s="4">
        <f>SUMIFS(Tab_02.Fev[SALDO
ATUAL],Tab_02.Fev[CONTA],$I73)</f>
        <v>-1004686.14</v>
      </c>
      <c r="G73" s="4">
        <f t="shared" si="2"/>
        <v>651726.18999999994</v>
      </c>
      <c r="H73" s="137"/>
      <c r="I73" s="3" t="s">
        <v>216</v>
      </c>
      <c r="J73" s="3" t="s">
        <v>31</v>
      </c>
      <c r="K73" s="4">
        <v>-1656412.33</v>
      </c>
      <c r="L73" s="4">
        <v>776610.08</v>
      </c>
      <c r="M73" s="4">
        <v>324413.45</v>
      </c>
      <c r="N73" s="4">
        <v>-1204215.7</v>
      </c>
      <c r="O73" s="4">
        <f>Tab_03.Mar[[#This Row],[DÉBITO]]-Tab_03.Mar[[#This Row],[CRÉDITO]]</f>
        <v>452196.63</v>
      </c>
    </row>
    <row r="74" spans="2:15" x14ac:dyDescent="0.3">
      <c r="B74" s="2" t="str">
        <f>_xlfn.XLOOKUP($I74,Tab_00.Trial[CONTA],Tab_00.Trial[TP],"",0,1)</f>
        <v>P</v>
      </c>
      <c r="C74" s="2">
        <f>_xlfn.XLOOKUP($I74,Tab_00.Trial[CONTA],Tab_00.Trial[NV],"",0,1)</f>
        <v>5</v>
      </c>
      <c r="D74" s="2" t="str">
        <f>_xlfn.XLOOKUP($I74,Tab_00.Trial[CONTA],Tab_00.Trial[S/A],"",0,1)</f>
        <v>S</v>
      </c>
      <c r="E74" s="2">
        <f>IF($I74="","",COUNTIFS(Tab_00.Trial[CONTA],$I74))</f>
        <v>1</v>
      </c>
      <c r="F74" s="4">
        <f>SUMIFS(Tab_02.Fev[SALDO
ATUAL],Tab_02.Fev[CONTA],$I74)</f>
        <v>-124543.41</v>
      </c>
      <c r="G74" s="4">
        <f t="shared" si="2"/>
        <v>158048.20000000001</v>
      </c>
      <c r="H74" s="137"/>
      <c r="I74" s="3" t="s">
        <v>558</v>
      </c>
      <c r="J74" s="3" t="s">
        <v>654</v>
      </c>
      <c r="K74" s="4">
        <v>-282591.61</v>
      </c>
      <c r="L74" s="4">
        <v>166548.13</v>
      </c>
      <c r="M74" s="4">
        <v>177879.66</v>
      </c>
      <c r="N74" s="4">
        <v>-293923.14</v>
      </c>
      <c r="O74" s="4">
        <f>Tab_03.Mar[[#This Row],[DÉBITO]]-Tab_03.Mar[[#This Row],[CRÉDITO]]</f>
        <v>-11331.53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5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SUMIFS(Tab_02.Fev[SALDO
ATUAL],Tab_02.Fev[CONTA],$I75)</f>
        <v>183790.11</v>
      </c>
      <c r="G75" s="4">
        <f t="shared" si="2"/>
        <v>183790.11</v>
      </c>
      <c r="H75" s="137"/>
      <c r="I75" s="3" t="s">
        <v>559</v>
      </c>
      <c r="J75" s="3" t="s">
        <v>655</v>
      </c>
      <c r="K75" s="4">
        <v>0</v>
      </c>
      <c r="L75" s="4">
        <v>83045.95</v>
      </c>
      <c r="M75" s="4">
        <v>83045.95</v>
      </c>
      <c r="N75" s="4">
        <v>0</v>
      </c>
      <c r="O75" s="4">
        <f>Tab_03.Mar[[#This Row],[DÉBITO]]-Tab_03.Mar[[#This Row],[CRÉDITO]]</f>
        <v>0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SUMIFS(Tab_02.Fev[SALDO
ATUAL],Tab_02.Fev[CONTA],$I76)</f>
        <v>0</v>
      </c>
      <c r="G76" s="4">
        <f t="shared" si="2"/>
        <v>0</v>
      </c>
      <c r="H76" s="137"/>
      <c r="I76" s="3" t="s">
        <v>326</v>
      </c>
      <c r="J76" s="3" t="s">
        <v>327</v>
      </c>
      <c r="K76" s="4">
        <v>0</v>
      </c>
      <c r="L76" s="4">
        <v>81856.820000000007</v>
      </c>
      <c r="M76" s="4">
        <v>81856.820000000007</v>
      </c>
      <c r="N76" s="4">
        <v>0</v>
      </c>
      <c r="O76" s="4">
        <f>Tab_03.Mar[[#This Row],[DÉBITO]]-Tab_03.Mar[[#This Row],[CRÉDITO]]</f>
        <v>0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A</v>
      </c>
      <c r="E77" s="2">
        <f>IF($I77="","",COUNTIFS(Tab_00.Trial[CONTA],$I77))</f>
        <v>1</v>
      </c>
      <c r="F77" s="4">
        <f>SUMIFS(Tab_02.Fev[SALDO
ATUAL],Tab_02.Fev[CONTA],$I77)</f>
        <v>0</v>
      </c>
      <c r="G77" s="4">
        <f t="shared" si="2"/>
        <v>0</v>
      </c>
      <c r="H77" s="137"/>
      <c r="I77" s="3" t="s">
        <v>330</v>
      </c>
      <c r="J77" s="3" t="s">
        <v>331</v>
      </c>
      <c r="K77" s="4">
        <v>0</v>
      </c>
      <c r="L77" s="4">
        <v>1189.1300000000001</v>
      </c>
      <c r="M77" s="4">
        <v>1189.1300000000001</v>
      </c>
      <c r="N77" s="4">
        <v>0</v>
      </c>
      <c r="O77" s="4">
        <f>Tab_03.Mar[[#This Row],[DÉBITO]]-Tab_03.Mar[[#This Row],[CRÉDITO]]</f>
        <v>0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SUMIFS(Tab_02.Fev[SALDO
ATUAL],Tab_02.Fev[CONTA],$I78)</f>
        <v>-15301.97</v>
      </c>
      <c r="G78" s="4">
        <f t="shared" si="2"/>
        <v>7195.65</v>
      </c>
      <c r="H78" s="137"/>
      <c r="I78" s="3" t="s">
        <v>560</v>
      </c>
      <c r="J78" s="3" t="s">
        <v>656</v>
      </c>
      <c r="K78" s="4">
        <v>-22497.62</v>
      </c>
      <c r="L78" s="4">
        <v>0</v>
      </c>
      <c r="M78" s="4">
        <v>11248.83</v>
      </c>
      <c r="N78" s="4">
        <v>-33746.449999999997</v>
      </c>
      <c r="O78" s="4">
        <f>Tab_03.Mar[[#This Row],[DÉBITO]]-Tab_03.Mar[[#This Row],[CRÉDITO]]</f>
        <v>-11248.83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SUMIFS(Tab_02.Fev[SALDO
ATUAL],Tab_02.Fev[CONTA],$I79)</f>
        <v>-11268.08</v>
      </c>
      <c r="G79" s="4">
        <f t="shared" ref="G79:G142" si="3">$F79-$K79</f>
        <v>5298.68</v>
      </c>
      <c r="H79" s="137"/>
      <c r="I79" s="3" t="s">
        <v>332</v>
      </c>
      <c r="J79" s="3" t="s">
        <v>333</v>
      </c>
      <c r="K79" s="4">
        <v>-16566.759999999998</v>
      </c>
      <c r="L79" s="4">
        <v>0</v>
      </c>
      <c r="M79" s="4">
        <v>8283.3700000000008</v>
      </c>
      <c r="N79" s="4">
        <v>-24850.13</v>
      </c>
      <c r="O79" s="4">
        <f>Tab_03.Mar[[#This Row],[DÉBITO]]-Tab_03.Mar[[#This Row],[CRÉDITO]]</f>
        <v>-8283.3700000000008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SUMIFS(Tab_02.Fev[SALDO
ATUAL],Tab_02.Fev[CONTA],$I80)</f>
        <v>-901.38</v>
      </c>
      <c r="G80" s="4">
        <f t="shared" si="3"/>
        <v>423.91</v>
      </c>
      <c r="H80" s="137"/>
      <c r="I80" s="3" t="s">
        <v>784</v>
      </c>
      <c r="J80" s="3" t="s">
        <v>785</v>
      </c>
      <c r="K80" s="4">
        <v>-1325.29</v>
      </c>
      <c r="L80" s="4">
        <v>0</v>
      </c>
      <c r="M80" s="4">
        <v>662.68</v>
      </c>
      <c r="N80" s="4">
        <v>-1987.97</v>
      </c>
      <c r="O80" s="4">
        <f>Tab_03.Mar[[#This Row],[DÉBITO]]-Tab_03.Mar[[#This Row],[CRÉDITO]]</f>
        <v>-662.68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SUMIFS(Tab_02.Fev[SALDO
ATUAL],Tab_02.Fev[CONTA],$I81)</f>
        <v>-112.67</v>
      </c>
      <c r="G81" s="4">
        <f t="shared" si="3"/>
        <v>53.01</v>
      </c>
      <c r="H81" s="137"/>
      <c r="I81" s="3" t="s">
        <v>786</v>
      </c>
      <c r="J81" s="3" t="s">
        <v>787</v>
      </c>
      <c r="K81" s="4">
        <v>-165.68</v>
      </c>
      <c r="L81" s="4">
        <v>0</v>
      </c>
      <c r="M81" s="4">
        <v>82.82</v>
      </c>
      <c r="N81" s="4">
        <v>-248.5</v>
      </c>
      <c r="O81" s="4">
        <f>Tab_03.Mar[[#This Row],[DÉBITO]]-Tab_03.Mar[[#This Row],[CRÉDITO]]</f>
        <v>-82.82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SUMIFS(Tab_02.Fev[SALDO
ATUAL],Tab_02.Fev[CONTA],$I82)</f>
        <v>-3019.84</v>
      </c>
      <c r="G82" s="4">
        <f t="shared" si="3"/>
        <v>1420.05</v>
      </c>
      <c r="H82" s="137"/>
      <c r="I82" s="3" t="s">
        <v>788</v>
      </c>
      <c r="J82" s="3" t="s">
        <v>789</v>
      </c>
      <c r="K82" s="4">
        <v>-4439.8900000000003</v>
      </c>
      <c r="L82" s="4">
        <v>0</v>
      </c>
      <c r="M82" s="4">
        <v>2219.96</v>
      </c>
      <c r="N82" s="4">
        <v>-6659.85</v>
      </c>
      <c r="O82" s="4">
        <f>Tab_03.Mar[[#This Row],[DÉBITO]]-Tab_03.Mar[[#This Row],[CRÉDITO]]</f>
        <v>-2219.96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S</v>
      </c>
      <c r="E83" s="2">
        <f>IF($I83="","",COUNTIFS(Tab_00.Trial[CONTA],$I83))</f>
        <v>1</v>
      </c>
      <c r="F83" s="4">
        <f>SUMIFS(Tab_02.Fev[SALDO
ATUAL],Tab_02.Fev[CONTA],$I83)</f>
        <v>-281798.96000000002</v>
      </c>
      <c r="G83" s="4">
        <f t="shared" si="3"/>
        <v>-86179.1</v>
      </c>
      <c r="H83" s="137"/>
      <c r="I83" s="3" t="s">
        <v>561</v>
      </c>
      <c r="J83" s="3" t="s">
        <v>657</v>
      </c>
      <c r="K83" s="4">
        <v>-195619.86</v>
      </c>
      <c r="L83" s="4">
        <v>3974.37</v>
      </c>
      <c r="M83" s="4">
        <v>15380.04</v>
      </c>
      <c r="N83" s="4">
        <v>-207025.53</v>
      </c>
      <c r="O83" s="4">
        <f>Tab_03.Mar[[#This Row],[DÉBITO]]-Tab_03.Mar[[#This Row],[CRÉDITO]]</f>
        <v>-11405.67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SUMIFS(Tab_02.Fev[SALDO
ATUAL],Tab_02.Fev[CONTA],$I84)</f>
        <v>-207351.84</v>
      </c>
      <c r="G84" s="4">
        <f t="shared" si="3"/>
        <v>-63386.89</v>
      </c>
      <c r="H84" s="137"/>
      <c r="I84" s="3" t="s">
        <v>334</v>
      </c>
      <c r="J84" s="3" t="s">
        <v>335</v>
      </c>
      <c r="K84" s="4">
        <v>-143964.95000000001</v>
      </c>
      <c r="L84" s="4">
        <v>2903.51</v>
      </c>
      <c r="M84" s="4">
        <v>11358.45</v>
      </c>
      <c r="N84" s="4">
        <v>-152419.89000000001</v>
      </c>
      <c r="O84" s="4">
        <f>Tab_03.Mar[[#This Row],[DÉBITO]]-Tab_03.Mar[[#This Row],[CRÉDITO]]</f>
        <v>-8454.94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SUMIFS(Tab_02.Fev[SALDO
ATUAL],Tab_02.Fev[CONTA],$I85)</f>
        <v>-16551.36</v>
      </c>
      <c r="G85" s="4">
        <f t="shared" si="3"/>
        <v>-5078.33</v>
      </c>
      <c r="H85" s="137"/>
      <c r="I85" s="3" t="s">
        <v>790</v>
      </c>
      <c r="J85" s="3" t="s">
        <v>791</v>
      </c>
      <c r="K85" s="4">
        <v>-11473.03</v>
      </c>
      <c r="L85" s="4">
        <v>229.6</v>
      </c>
      <c r="M85" s="4">
        <v>898.69</v>
      </c>
      <c r="N85" s="4">
        <v>-12142.12</v>
      </c>
      <c r="O85" s="4">
        <f>Tab_03.Mar[[#This Row],[DÉBITO]]-Tab_03.Mar[[#This Row],[CRÉDITO]]</f>
        <v>-669.09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SUMIFS(Tab_02.Fev[SALDO
ATUAL],Tab_02.Fev[CONTA],$I86)</f>
        <v>-2448.34</v>
      </c>
      <c r="G86" s="4">
        <f t="shared" si="3"/>
        <v>-701.7</v>
      </c>
      <c r="H86" s="137"/>
      <c r="I86" s="3" t="s">
        <v>792</v>
      </c>
      <c r="J86" s="3" t="s">
        <v>793</v>
      </c>
      <c r="K86" s="4">
        <v>-1746.64</v>
      </c>
      <c r="L86" s="4">
        <v>72.12</v>
      </c>
      <c r="M86" s="4">
        <v>112.34</v>
      </c>
      <c r="N86" s="4">
        <v>-1786.86</v>
      </c>
      <c r="O86" s="4">
        <f>Tab_03.Mar[[#This Row],[DÉBITO]]-Tab_03.Mar[[#This Row],[CRÉDITO]]</f>
        <v>-40.22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SUMIFS(Tab_02.Fev[SALDO
ATUAL],Tab_02.Fev[CONTA],$I87)</f>
        <v>-55447.42</v>
      </c>
      <c r="G87" s="4">
        <f t="shared" si="3"/>
        <v>-17012.18</v>
      </c>
      <c r="H87" s="137"/>
      <c r="I87" s="3" t="s">
        <v>794</v>
      </c>
      <c r="J87" s="3" t="s">
        <v>795</v>
      </c>
      <c r="K87" s="4">
        <v>-38435.24</v>
      </c>
      <c r="L87" s="4">
        <v>769.14</v>
      </c>
      <c r="M87" s="4">
        <v>3010.56</v>
      </c>
      <c r="N87" s="4">
        <v>-40676.660000000003</v>
      </c>
      <c r="O87" s="4">
        <f>Tab_03.Mar[[#This Row],[DÉBITO]]-Tab_03.Mar[[#This Row],[CRÉDITO]]</f>
        <v>-2241.42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S</v>
      </c>
      <c r="E88" s="2">
        <f>IF($I88="","",COUNTIFS(Tab_00.Trial[CONTA],$I88))</f>
        <v>1</v>
      </c>
      <c r="F88" s="4">
        <f>SUMIFS(Tab_02.Fev[SALDO
ATUAL],Tab_02.Fev[CONTA],$I88)</f>
        <v>-1025.94</v>
      </c>
      <c r="G88" s="4">
        <f t="shared" si="3"/>
        <v>45066.84</v>
      </c>
      <c r="H88" s="137"/>
      <c r="I88" s="3" t="s">
        <v>562</v>
      </c>
      <c r="J88" s="3" t="s">
        <v>658</v>
      </c>
      <c r="K88" s="4">
        <v>-46092.78</v>
      </c>
      <c r="L88" s="4">
        <v>68249.08</v>
      </c>
      <c r="M88" s="4">
        <v>58801.84</v>
      </c>
      <c r="N88" s="4">
        <v>-36645.54</v>
      </c>
      <c r="O88" s="4">
        <f>Tab_03.Mar[[#This Row],[DÉBITO]]-Tab_03.Mar[[#This Row],[CRÉDITO]]</f>
        <v>9447.24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SUMIFS(Tab_02.Fev[SALDO
ATUAL],Tab_02.Fev[CONTA],$I89)</f>
        <v>0</v>
      </c>
      <c r="G89" s="4">
        <f t="shared" si="3"/>
        <v>45066.84</v>
      </c>
      <c r="H89" s="137"/>
      <c r="I89" s="3" t="s">
        <v>336</v>
      </c>
      <c r="J89" s="3" t="s">
        <v>337</v>
      </c>
      <c r="K89" s="4">
        <v>-45066.84</v>
      </c>
      <c r="L89" s="4">
        <v>67223.14</v>
      </c>
      <c r="M89" s="4">
        <v>58288.86</v>
      </c>
      <c r="N89" s="4">
        <v>-36132.559999999998</v>
      </c>
      <c r="O89" s="4">
        <f>Tab_03.Mar[[#This Row],[DÉBITO]]-Tab_03.Mar[[#This Row],[CRÉDITO]]</f>
        <v>8934.2800000000007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SUMIFS(Tab_02.Fev[SALDO
ATUAL],Tab_02.Fev[CONTA],$I90)</f>
        <v>-1025.94</v>
      </c>
      <c r="G90" s="4">
        <f t="shared" si="3"/>
        <v>0</v>
      </c>
      <c r="H90" s="137"/>
      <c r="I90" s="3" t="s">
        <v>338</v>
      </c>
      <c r="J90" s="3" t="s">
        <v>339</v>
      </c>
      <c r="K90" s="4">
        <v>-1025.94</v>
      </c>
      <c r="L90" s="4">
        <v>1025.94</v>
      </c>
      <c r="M90" s="4">
        <v>512.98</v>
      </c>
      <c r="N90" s="4">
        <v>-512.98</v>
      </c>
      <c r="O90" s="4">
        <f>Tab_03.Mar[[#This Row],[DÉBITO]]-Tab_03.Mar[[#This Row],[CRÉDITO]]</f>
        <v>512.96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S</v>
      </c>
      <c r="E91" s="2">
        <f>IF($I91="","",COUNTIFS(Tab_00.Trial[CONTA],$I91))</f>
        <v>1</v>
      </c>
      <c r="F91" s="4">
        <f>SUMIFS(Tab_02.Fev[SALDO
ATUAL],Tab_02.Fev[CONTA],$I91)</f>
        <v>-10206.65</v>
      </c>
      <c r="G91" s="4">
        <f t="shared" si="3"/>
        <v>8174.7</v>
      </c>
      <c r="H91" s="137"/>
      <c r="I91" s="3" t="s">
        <v>563</v>
      </c>
      <c r="J91" s="3" t="s">
        <v>659</v>
      </c>
      <c r="K91" s="4">
        <v>-18381.349999999999</v>
      </c>
      <c r="L91" s="4">
        <v>11278.73</v>
      </c>
      <c r="M91" s="4">
        <v>9403</v>
      </c>
      <c r="N91" s="4">
        <v>-16505.62</v>
      </c>
      <c r="O91" s="4">
        <f>Tab_03.Mar[[#This Row],[DÉBITO]]-Tab_03.Mar[[#This Row],[CRÉDITO]]</f>
        <v>1875.73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SUMIFS(Tab_02.Fev[SALDO
ATUAL],Tab_02.Fev[CONTA],$I92)</f>
        <v>-10206.65</v>
      </c>
      <c r="G92" s="4">
        <f t="shared" si="3"/>
        <v>6885.02</v>
      </c>
      <c r="H92" s="137"/>
      <c r="I92" s="3" t="s">
        <v>340</v>
      </c>
      <c r="J92" s="3" t="s">
        <v>341</v>
      </c>
      <c r="K92" s="4">
        <v>-17091.669999999998</v>
      </c>
      <c r="L92" s="4">
        <v>9929.36</v>
      </c>
      <c r="M92" s="4">
        <v>8358.2099999999991</v>
      </c>
      <c r="N92" s="4">
        <v>-15520.52</v>
      </c>
      <c r="O92" s="4">
        <f>Tab_03.Mar[[#This Row],[DÉBITO]]-Tab_03.Mar[[#This Row],[CRÉDITO]]</f>
        <v>1571.15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SUMIFS(Tab_02.Fev[SALDO
ATUAL],Tab_02.Fev[CONTA],$I93)</f>
        <v>0</v>
      </c>
      <c r="G93" s="4">
        <f t="shared" si="3"/>
        <v>1289.68</v>
      </c>
      <c r="H93" s="137"/>
      <c r="I93" s="3" t="s">
        <v>342</v>
      </c>
      <c r="J93" s="3" t="s">
        <v>343</v>
      </c>
      <c r="K93" s="4">
        <v>-1289.68</v>
      </c>
      <c r="L93" s="4">
        <v>1349.37</v>
      </c>
      <c r="M93" s="4">
        <v>1044.79</v>
      </c>
      <c r="N93" s="4">
        <v>-985.1</v>
      </c>
      <c r="O93" s="4">
        <f>Tab_03.Mar[[#This Row],[DÉBITO]]-Tab_03.Mar[[#This Row],[CRÉDITO]]</f>
        <v>304.58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SUMIFS(Tab_02.Fev[SALDO
ATUAL],Tab_02.Fev[CONTA],$I94)</f>
        <v>-851816</v>
      </c>
      <c r="G94" s="4">
        <f t="shared" si="3"/>
        <v>472871.06</v>
      </c>
      <c r="H94" s="137"/>
      <c r="I94" s="3" t="s">
        <v>218</v>
      </c>
      <c r="J94" s="3" t="s">
        <v>660</v>
      </c>
      <c r="K94" s="4">
        <v>-1324687.06</v>
      </c>
      <c r="L94" s="4">
        <v>586144.11</v>
      </c>
      <c r="M94" s="4">
        <v>127748.4</v>
      </c>
      <c r="N94" s="4">
        <v>-866291.35</v>
      </c>
      <c r="O94" s="4">
        <f>Tab_03.Mar[[#This Row],[DÉBITO]]-Tab_03.Mar[[#This Row],[CRÉDITO]]</f>
        <v>458395.71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S</v>
      </c>
      <c r="E95" s="2">
        <f>IF($I95="","",COUNTIFS(Tab_00.Trial[CONTA],$I95))</f>
        <v>1</v>
      </c>
      <c r="F95" s="4">
        <f>SUMIFS(Tab_02.Fev[SALDO
ATUAL],Tab_02.Fev[CONTA],$I95)</f>
        <v>-102467.41</v>
      </c>
      <c r="G95" s="4">
        <f t="shared" si="3"/>
        <v>472871.06</v>
      </c>
      <c r="H95" s="137"/>
      <c r="I95" s="3" t="s">
        <v>219</v>
      </c>
      <c r="J95" s="3" t="s">
        <v>56</v>
      </c>
      <c r="K95" s="4">
        <v>-575338.47</v>
      </c>
      <c r="L95" s="4">
        <v>586144.11</v>
      </c>
      <c r="M95" s="4">
        <v>127748.4</v>
      </c>
      <c r="N95" s="4">
        <v>-116942.76</v>
      </c>
      <c r="O95" s="4">
        <f>Tab_03.Mar[[#This Row],[DÉBITO]]-Tab_03.Mar[[#This Row],[CRÉDITO]]</f>
        <v>458395.71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SUMIFS(Tab_02.Fev[SALDO
ATUAL],Tab_02.Fev[CONTA],$I96)</f>
        <v>-102467.41</v>
      </c>
      <c r="G96" s="4">
        <f t="shared" si="3"/>
        <v>472871.06</v>
      </c>
      <c r="H96" s="137"/>
      <c r="I96" s="3" t="s">
        <v>344</v>
      </c>
      <c r="J96" s="3" t="s">
        <v>56</v>
      </c>
      <c r="K96" s="4">
        <v>-575338.47</v>
      </c>
      <c r="L96" s="4">
        <v>586144.11</v>
      </c>
      <c r="M96" s="4">
        <v>127748.4</v>
      </c>
      <c r="N96" s="4">
        <v>-116942.76</v>
      </c>
      <c r="O96" s="4">
        <f>Tab_03.Mar[[#This Row],[DÉBITO]]-Tab_03.Mar[[#This Row],[CRÉDITO]]</f>
        <v>458395.71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SUMIFS(Tab_02.Fev[SALDO
ATUAL],Tab_02.Fev[CONTA],$I97)</f>
        <v>-749348.59</v>
      </c>
      <c r="G97" s="4">
        <f t="shared" si="3"/>
        <v>0</v>
      </c>
      <c r="H97" s="137"/>
      <c r="I97" s="3" t="s">
        <v>220</v>
      </c>
      <c r="J97" s="3" t="s">
        <v>346</v>
      </c>
      <c r="K97" s="4">
        <v>-749348.59</v>
      </c>
      <c r="L97" s="4">
        <v>0</v>
      </c>
      <c r="M97" s="4">
        <v>0</v>
      </c>
      <c r="N97" s="4">
        <v>-749348.59</v>
      </c>
      <c r="O97" s="4">
        <f>Tab_03.Mar[[#This Row],[DÉBITO]]-Tab_03.Mar[[#This Row],[CRÉDITO]]</f>
        <v>0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SUMIFS(Tab_02.Fev[SALDO
ATUAL],Tab_02.Fev[CONTA],$I98)</f>
        <v>-749348.59</v>
      </c>
      <c r="G98" s="4">
        <f t="shared" si="3"/>
        <v>0</v>
      </c>
      <c r="H98" s="137"/>
      <c r="I98" s="3" t="s">
        <v>345</v>
      </c>
      <c r="J98" s="3" t="s">
        <v>346</v>
      </c>
      <c r="K98" s="4">
        <v>-749348.59</v>
      </c>
      <c r="L98" s="4">
        <v>0</v>
      </c>
      <c r="M98" s="4">
        <v>0</v>
      </c>
      <c r="N98" s="4">
        <v>-749348.59</v>
      </c>
      <c r="O98" s="4">
        <f>Tab_03.Mar[[#This Row],[DÉBITO]]-Tab_03.Mar[[#This Row],[CRÉDITO]]</f>
        <v>0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SUMIFS(Tab_02.Fev[SALDO
ATUAL],Tab_02.Fev[CONTA],$I99)</f>
        <v>-1970.84</v>
      </c>
      <c r="G99" s="4">
        <f t="shared" si="3"/>
        <v>20806.93</v>
      </c>
      <c r="H99" s="137"/>
      <c r="I99" s="3" t="s">
        <v>221</v>
      </c>
      <c r="J99" s="3" t="s">
        <v>661</v>
      </c>
      <c r="K99" s="4">
        <v>-22777.77</v>
      </c>
      <c r="L99" s="4">
        <v>23292.93</v>
      </c>
      <c r="M99" s="4">
        <v>18179.060000000001</v>
      </c>
      <c r="N99" s="4">
        <v>-17663.900000000001</v>
      </c>
      <c r="O99" s="4">
        <f>Tab_03.Mar[[#This Row],[DÉBITO]]-Tab_03.Mar[[#This Row],[CRÉDITO]]</f>
        <v>5113.87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SUMIFS(Tab_02.Fev[SALDO
ATUAL],Tab_02.Fev[CONTA],$I100)</f>
        <v>-1486.66</v>
      </c>
      <c r="G100" s="4">
        <f t="shared" si="3"/>
        <v>20806.93</v>
      </c>
      <c r="H100" s="137"/>
      <c r="I100" s="3" t="s">
        <v>222</v>
      </c>
      <c r="J100" s="3" t="s">
        <v>662</v>
      </c>
      <c r="K100" s="4">
        <v>-22293.59</v>
      </c>
      <c r="L100" s="4">
        <v>23292.93</v>
      </c>
      <c r="M100" s="4">
        <v>18179.060000000001</v>
      </c>
      <c r="N100" s="4">
        <v>-17179.72</v>
      </c>
      <c r="O100" s="4">
        <f>Tab_03.Mar[[#This Row],[DÉBITO]]-Tab_03.Mar[[#This Row],[CRÉDITO]]</f>
        <v>5113.87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SUMIFS(Tab_02.Fev[SALDO
ATUAL],Tab_02.Fev[CONTA],$I101)</f>
        <v>-418.31</v>
      </c>
      <c r="G101" s="4">
        <f t="shared" si="3"/>
        <v>0</v>
      </c>
      <c r="H101" s="137"/>
      <c r="I101" s="3" t="s">
        <v>191</v>
      </c>
      <c r="J101" s="3" t="s">
        <v>347</v>
      </c>
      <c r="K101" s="4">
        <v>-418.31</v>
      </c>
      <c r="L101" s="4">
        <v>584.57000000000005</v>
      </c>
      <c r="M101" s="4">
        <v>570.44000000000005</v>
      </c>
      <c r="N101" s="4">
        <v>-404.18</v>
      </c>
      <c r="O101" s="4">
        <f>Tab_03.Mar[[#This Row],[DÉBITO]]-Tab_03.Mar[[#This Row],[CRÉDITO]]</f>
        <v>14.13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SUMIFS(Tab_02.Fev[SALDO
ATUAL],Tab_02.Fev[CONTA],$I102)</f>
        <v>0</v>
      </c>
      <c r="G102" s="4">
        <f t="shared" si="3"/>
        <v>20806.93</v>
      </c>
      <c r="H102" s="137"/>
      <c r="I102" s="3" t="s">
        <v>192</v>
      </c>
      <c r="J102" s="3" t="s">
        <v>348</v>
      </c>
      <c r="K102" s="4">
        <v>-20806.93</v>
      </c>
      <c r="L102" s="4">
        <v>20806.93</v>
      </c>
      <c r="M102" s="4">
        <v>15479.24</v>
      </c>
      <c r="N102" s="4">
        <v>-15479.24</v>
      </c>
      <c r="O102" s="4">
        <f>Tab_03.Mar[[#This Row],[DÉBITO]]-Tab_03.Mar[[#This Row],[CRÉDITO]]</f>
        <v>5327.69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SUMIFS(Tab_02.Fev[SALDO
ATUAL],Tab_02.Fev[CONTA],$I103)</f>
        <v>-120.94</v>
      </c>
      <c r="G103" s="4">
        <f t="shared" si="3"/>
        <v>0</v>
      </c>
      <c r="H103" s="137"/>
      <c r="I103" s="3" t="s">
        <v>264</v>
      </c>
      <c r="J103" s="3" t="s">
        <v>349</v>
      </c>
      <c r="K103" s="4">
        <v>-120.94</v>
      </c>
      <c r="L103" s="4">
        <v>0</v>
      </c>
      <c r="M103" s="4">
        <v>13.2</v>
      </c>
      <c r="N103" s="4">
        <v>-134.13999999999999</v>
      </c>
      <c r="O103" s="4">
        <f>Tab_03.Mar[[#This Row],[DÉBITO]]-Tab_03.Mar[[#This Row],[CRÉDITO]]</f>
        <v>-13.2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SUMIFS(Tab_02.Fev[SALDO
ATUAL],Tab_02.Fev[CONTA],$I104)</f>
        <v>-924.96</v>
      </c>
      <c r="G104" s="4">
        <f t="shared" si="3"/>
        <v>0</v>
      </c>
      <c r="H104" s="137"/>
      <c r="I104" s="3" t="s">
        <v>350</v>
      </c>
      <c r="J104" s="3" t="s">
        <v>351</v>
      </c>
      <c r="K104" s="4">
        <v>-924.96</v>
      </c>
      <c r="L104" s="4">
        <v>1890.26</v>
      </c>
      <c r="M104" s="4">
        <v>2105.0100000000002</v>
      </c>
      <c r="N104" s="4">
        <v>-1139.71</v>
      </c>
      <c r="O104" s="4">
        <f>Tab_03.Mar[[#This Row],[DÉBITO]]-Tab_03.Mar[[#This Row],[CRÉDITO]]</f>
        <v>-214.75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SUMIFS(Tab_02.Fev[SALDO
ATUAL],Tab_02.Fev[CONTA],$I105)</f>
        <v>-22.45</v>
      </c>
      <c r="G105" s="4">
        <f t="shared" si="3"/>
        <v>0</v>
      </c>
      <c r="H105" s="137"/>
      <c r="I105" s="3" t="s">
        <v>352</v>
      </c>
      <c r="J105" s="3" t="s">
        <v>353</v>
      </c>
      <c r="K105" s="4">
        <v>-22.45</v>
      </c>
      <c r="L105" s="4">
        <v>11.17</v>
      </c>
      <c r="M105" s="4">
        <v>11.17</v>
      </c>
      <c r="N105" s="4">
        <v>-22.45</v>
      </c>
      <c r="O105" s="4">
        <f>Tab_03.Mar[[#This Row],[DÉBITO]]-Tab_03.Mar[[#This Row],[CRÉDITO]]</f>
        <v>0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S</v>
      </c>
      <c r="E106" s="2">
        <f>IF($I106="","",COUNTIFS(Tab_00.Trial[CONTA],$I106))</f>
        <v>1</v>
      </c>
      <c r="F106" s="4">
        <f>SUMIFS(Tab_02.Fev[SALDO
ATUAL],Tab_02.Fev[CONTA],$I106)</f>
        <v>-484.18</v>
      </c>
      <c r="G106" s="4">
        <f t="shared" si="3"/>
        <v>0</v>
      </c>
      <c r="H106" s="137"/>
      <c r="I106" s="3" t="s">
        <v>223</v>
      </c>
      <c r="J106" s="3" t="s">
        <v>663</v>
      </c>
      <c r="K106" s="4">
        <v>-484.18</v>
      </c>
      <c r="L106" s="4">
        <v>0</v>
      </c>
      <c r="M106" s="4">
        <v>0</v>
      </c>
      <c r="N106" s="4">
        <v>-484.18</v>
      </c>
      <c r="O106" s="4">
        <f>Tab_03.Mar[[#This Row],[DÉBITO]]-Tab_03.Mar[[#This Row],[CRÉDITO]]</f>
        <v>0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SUMIFS(Tab_02.Fev[SALDO
ATUAL],Tab_02.Fev[CONTA],$I107)</f>
        <v>-484.18</v>
      </c>
      <c r="G107" s="4">
        <f t="shared" si="3"/>
        <v>0</v>
      </c>
      <c r="H107" s="137"/>
      <c r="I107" s="3" t="s">
        <v>354</v>
      </c>
      <c r="J107" s="3" t="s">
        <v>355</v>
      </c>
      <c r="K107" s="4">
        <v>-484.18</v>
      </c>
      <c r="L107" s="4">
        <v>0</v>
      </c>
      <c r="M107" s="4">
        <v>0</v>
      </c>
      <c r="N107" s="4">
        <v>-484.18</v>
      </c>
      <c r="O107" s="4">
        <f>Tab_03.Mar[[#This Row],[DÉBITO]]-Tab_03.Mar[[#This Row],[CRÉDITO]]</f>
        <v>0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S</v>
      </c>
      <c r="E108" s="2">
        <f>IF($I108="","",COUNTIFS(Tab_00.Trial[CONTA],$I108))</f>
        <v>1</v>
      </c>
      <c r="F108" s="4">
        <f>SUMIFS(Tab_02.Fev[SALDO
ATUAL],Tab_02.Fev[CONTA],$I108)</f>
        <v>-22506.69</v>
      </c>
      <c r="G108" s="4">
        <f t="shared" si="3"/>
        <v>0</v>
      </c>
      <c r="H108" s="137"/>
      <c r="I108" s="3" t="s">
        <v>224</v>
      </c>
      <c r="J108" s="3" t="s">
        <v>664</v>
      </c>
      <c r="K108" s="4">
        <v>-22506.69</v>
      </c>
      <c r="L108" s="4">
        <v>624.91</v>
      </c>
      <c r="M108" s="4">
        <v>606.33000000000004</v>
      </c>
      <c r="N108" s="4">
        <v>-22488.11</v>
      </c>
      <c r="O108" s="4">
        <f>Tab_03.Mar[[#This Row],[DÉBITO]]-Tab_03.Mar[[#This Row],[CRÉDITO]]</f>
        <v>18.579999999999998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SUMIFS(Tab_02.Fev[SALDO
ATUAL],Tab_02.Fev[CONTA],$I109)</f>
        <v>-22506.69</v>
      </c>
      <c r="G109" s="4">
        <f t="shared" si="3"/>
        <v>0</v>
      </c>
      <c r="H109" s="137"/>
      <c r="I109" s="3" t="s">
        <v>225</v>
      </c>
      <c r="J109" s="3" t="s">
        <v>665</v>
      </c>
      <c r="K109" s="4">
        <v>-22506.69</v>
      </c>
      <c r="L109" s="4">
        <v>624.91</v>
      </c>
      <c r="M109" s="4">
        <v>606.33000000000004</v>
      </c>
      <c r="N109" s="4">
        <v>-22488.11</v>
      </c>
      <c r="O109" s="4">
        <f>Tab_03.Mar[[#This Row],[DÉBITO]]-Tab_03.Mar[[#This Row],[CRÉDITO]]</f>
        <v>18.579999999999998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SUMIFS(Tab_02.Fev[SALDO
ATUAL],Tab_02.Fev[CONTA],$I110)</f>
        <v>-22506.69</v>
      </c>
      <c r="G110" s="4">
        <f t="shared" si="3"/>
        <v>0</v>
      </c>
      <c r="H110" s="137"/>
      <c r="I110" s="3" t="s">
        <v>356</v>
      </c>
      <c r="J110" s="3" t="s">
        <v>357</v>
      </c>
      <c r="K110" s="4">
        <v>-22506.69</v>
      </c>
      <c r="L110" s="4">
        <v>624.91</v>
      </c>
      <c r="M110" s="4">
        <v>606.33000000000004</v>
      </c>
      <c r="N110" s="4">
        <v>-22488.11</v>
      </c>
      <c r="O110" s="4">
        <f>Tab_03.Mar[[#This Row],[DÉBITO]]-Tab_03.Mar[[#This Row],[CRÉDITO]]</f>
        <v>18.579999999999998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SUMIFS(Tab_02.Fev[SALDO
ATUAL],Tab_02.Fev[CONTA],$I111)</f>
        <v>-3849.2</v>
      </c>
      <c r="G111" s="4">
        <f t="shared" si="3"/>
        <v>0</v>
      </c>
      <c r="H111" s="137"/>
      <c r="I111" s="3" t="s">
        <v>564</v>
      </c>
      <c r="J111" s="3" t="s">
        <v>666</v>
      </c>
      <c r="K111" s="4">
        <v>-3849.2</v>
      </c>
      <c r="L111" s="4">
        <v>0</v>
      </c>
      <c r="M111" s="4">
        <v>0</v>
      </c>
      <c r="N111" s="4">
        <v>-3849.2</v>
      </c>
      <c r="O111" s="4">
        <f>Tab_03.Mar[[#This Row],[DÉBITO]]-Tab_03.Mar[[#This Row],[CRÉDITO]]</f>
        <v>0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SUMIFS(Tab_02.Fev[SALDO
ATUAL],Tab_02.Fev[CONTA],$I112)</f>
        <v>-3849.2</v>
      </c>
      <c r="G112" s="4">
        <f t="shared" si="3"/>
        <v>0</v>
      </c>
      <c r="H112" s="137"/>
      <c r="I112" s="3" t="s">
        <v>565</v>
      </c>
      <c r="J112" s="3" t="s">
        <v>667</v>
      </c>
      <c r="K112" s="4">
        <v>-3849.2</v>
      </c>
      <c r="L112" s="4">
        <v>0</v>
      </c>
      <c r="M112" s="4">
        <v>0</v>
      </c>
      <c r="N112" s="4">
        <v>-3849.2</v>
      </c>
      <c r="O112" s="4">
        <f>Tab_03.Mar[[#This Row],[DÉBITO]]-Tab_03.Mar[[#This Row],[CRÉDITO]]</f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SUMIFS(Tab_02.Fev[SALDO
ATUAL],Tab_02.Fev[CONTA],$I113)</f>
        <v>-3849.2</v>
      </c>
      <c r="G113" s="4">
        <f t="shared" si="3"/>
        <v>0</v>
      </c>
      <c r="H113" s="137"/>
      <c r="I113" s="3" t="s">
        <v>358</v>
      </c>
      <c r="J113" s="3" t="s">
        <v>359</v>
      </c>
      <c r="K113" s="4">
        <v>-3849.2</v>
      </c>
      <c r="L113" s="4">
        <v>0</v>
      </c>
      <c r="M113" s="4">
        <v>0</v>
      </c>
      <c r="N113" s="4">
        <v>-3849.2</v>
      </c>
      <c r="O113" s="4">
        <f>Tab_03.Mar[[#This Row],[DÉBITO]]-Tab_03.Mar[[#This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2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SUMIFS(Tab_02.Fev[SALDO
ATUAL],Tab_02.Fev[CONTA],$I114)</f>
        <v>-46934.04</v>
      </c>
      <c r="G114" s="4">
        <f t="shared" si="3"/>
        <v>0</v>
      </c>
      <c r="H114" s="137"/>
      <c r="I114" s="3" t="s">
        <v>226</v>
      </c>
      <c r="J114" s="3" t="s">
        <v>76</v>
      </c>
      <c r="K114" s="4">
        <v>-46934.04</v>
      </c>
      <c r="L114" s="4">
        <v>0</v>
      </c>
      <c r="M114" s="4">
        <v>0</v>
      </c>
      <c r="N114" s="4">
        <v>-46934.04</v>
      </c>
      <c r="O114" s="4">
        <f>Tab_03.Mar[[#This Row],[DÉBITO]]-Tab_03.Mar[[#This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SUMIFS(Tab_02.Fev[SALDO
ATUAL],Tab_02.Fev[CONTA],$I115)</f>
        <v>-46934.04</v>
      </c>
      <c r="G115" s="4">
        <f t="shared" si="3"/>
        <v>0</v>
      </c>
      <c r="H115" s="137"/>
      <c r="I115" s="3" t="s">
        <v>566</v>
      </c>
      <c r="J115" s="3" t="s">
        <v>668</v>
      </c>
      <c r="K115" s="4">
        <v>-46934.04</v>
      </c>
      <c r="L115" s="4">
        <v>0</v>
      </c>
      <c r="M115" s="4">
        <v>0</v>
      </c>
      <c r="N115" s="4">
        <v>-46934.04</v>
      </c>
      <c r="O115" s="4">
        <f>Tab_03.Mar[[#This Row],[DÉBITO]]-Tab_03.Mar[[#This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SUMIFS(Tab_02.Fev[SALDO
ATUAL],Tab_02.Fev[CONTA],$I116)</f>
        <v>-46934.04</v>
      </c>
      <c r="G116" s="4">
        <f t="shared" si="3"/>
        <v>0</v>
      </c>
      <c r="H116" s="137"/>
      <c r="I116" s="3" t="s">
        <v>567</v>
      </c>
      <c r="J116" s="3" t="s">
        <v>669</v>
      </c>
      <c r="K116" s="4">
        <v>-46934.04</v>
      </c>
      <c r="L116" s="4">
        <v>0</v>
      </c>
      <c r="M116" s="4">
        <v>0</v>
      </c>
      <c r="N116" s="4">
        <v>-46934.04</v>
      </c>
      <c r="O116" s="4">
        <f>Tab_03.Mar[[#This Row],[DÉBITO]]-Tab_03.Mar[[#This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A</v>
      </c>
      <c r="E117" s="2">
        <f>IF($I117="","",COUNTIFS(Tab_00.Trial[CONTA],$I117))</f>
        <v>1</v>
      </c>
      <c r="F117" s="4">
        <f>SUMIFS(Tab_02.Fev[SALDO
ATUAL],Tab_02.Fev[CONTA],$I117)</f>
        <v>-31934.04</v>
      </c>
      <c r="G117" s="4">
        <f t="shared" si="3"/>
        <v>0</v>
      </c>
      <c r="H117" s="137"/>
      <c r="I117" s="3" t="s">
        <v>360</v>
      </c>
      <c r="J117" s="3" t="s">
        <v>361</v>
      </c>
      <c r="K117" s="4">
        <v>-31934.04</v>
      </c>
      <c r="L117" s="4">
        <v>0</v>
      </c>
      <c r="M117" s="4">
        <v>0</v>
      </c>
      <c r="N117" s="4">
        <v>-31934.04</v>
      </c>
      <c r="O117" s="4">
        <f>Tab_03.Mar[[#This Row],[DÉBITO]]-Tab_03.Mar[[#This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SUMIFS(Tab_02.Fev[SALDO
ATUAL],Tab_02.Fev[CONTA],$I118)</f>
        <v>-15000</v>
      </c>
      <c r="G118" s="4">
        <f t="shared" si="3"/>
        <v>0</v>
      </c>
      <c r="H118" s="137"/>
      <c r="I118" s="3" t="s">
        <v>362</v>
      </c>
      <c r="J118" s="3" t="s">
        <v>363</v>
      </c>
      <c r="K118" s="4">
        <v>-15000</v>
      </c>
      <c r="L118" s="4">
        <v>0</v>
      </c>
      <c r="M118" s="4">
        <v>0</v>
      </c>
      <c r="N118" s="4">
        <v>-15000</v>
      </c>
      <c r="O118" s="4">
        <f>Tab_03.Mar[[#This Row],[DÉBITO]]-Tab_03.Mar[[#This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2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SUMIFS(Tab_02.Fev[SALDO
ATUAL],Tab_02.Fev[CONTA],$I119)</f>
        <v>-81855530.489999995</v>
      </c>
      <c r="G119" s="4">
        <f t="shared" si="3"/>
        <v>0</v>
      </c>
      <c r="H119" s="137"/>
      <c r="I119" s="3" t="s">
        <v>228</v>
      </c>
      <c r="J119" s="3" t="s">
        <v>670</v>
      </c>
      <c r="K119" s="4">
        <v>-81855530.489999995</v>
      </c>
      <c r="L119" s="4">
        <v>0</v>
      </c>
      <c r="M119" s="4">
        <v>0</v>
      </c>
      <c r="N119" s="4">
        <v>-81855530.489999995</v>
      </c>
      <c r="O119" s="4">
        <f>Tab_03.Mar[[#This Row],[DÉBITO]]-Tab_03.Mar[[#This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SUMIFS(Tab_02.Fev[SALDO
ATUAL],Tab_02.Fev[CONTA],$I120)</f>
        <v>-81855530.489999995</v>
      </c>
      <c r="G120" s="4">
        <f t="shared" si="3"/>
        <v>0</v>
      </c>
      <c r="H120" s="137"/>
      <c r="I120" s="3" t="s">
        <v>229</v>
      </c>
      <c r="J120" s="3" t="s">
        <v>670</v>
      </c>
      <c r="K120" s="4">
        <v>-81855530.489999995</v>
      </c>
      <c r="L120" s="4">
        <v>0</v>
      </c>
      <c r="M120" s="4">
        <v>0</v>
      </c>
      <c r="N120" s="4">
        <v>-81855530.489999995</v>
      </c>
      <c r="O120" s="4">
        <f>Tab_03.Mar[[#This Row],[DÉBITO]]-Tab_03.Mar[[#This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SUMIFS(Tab_02.Fev[SALDO
ATUAL],Tab_02.Fev[CONTA],$I121)</f>
        <v>-104784619.59999999</v>
      </c>
      <c r="G121" s="4">
        <f t="shared" si="3"/>
        <v>0</v>
      </c>
      <c r="H121" s="137"/>
      <c r="I121" s="3" t="s">
        <v>230</v>
      </c>
      <c r="J121" s="3" t="s">
        <v>364</v>
      </c>
      <c r="K121" s="4">
        <v>-104784619.59999999</v>
      </c>
      <c r="L121" s="4">
        <v>0</v>
      </c>
      <c r="M121" s="4">
        <v>0</v>
      </c>
      <c r="N121" s="4">
        <v>-104784619.59999999</v>
      </c>
      <c r="O121" s="4">
        <f>Tab_03.Mar[[#This Row],[DÉBITO]]-Tab_03.Mar[[#This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A</v>
      </c>
      <c r="E122" s="2">
        <f>IF($I122="","",COUNTIFS(Tab_00.Trial[CONTA],$I122))</f>
        <v>1</v>
      </c>
      <c r="F122" s="4">
        <f>SUMIFS(Tab_02.Fev[SALDO
ATUAL],Tab_02.Fev[CONTA],$I122)</f>
        <v>-104784619.59999999</v>
      </c>
      <c r="G122" s="4">
        <f t="shared" si="3"/>
        <v>0</v>
      </c>
      <c r="H122" s="137"/>
      <c r="I122" s="3" t="s">
        <v>193</v>
      </c>
      <c r="J122" s="3" t="s">
        <v>364</v>
      </c>
      <c r="K122" s="4">
        <v>-104784619.59999999</v>
      </c>
      <c r="L122" s="4">
        <v>0</v>
      </c>
      <c r="M122" s="4">
        <v>0</v>
      </c>
      <c r="N122" s="4">
        <v>-104784619.59999999</v>
      </c>
      <c r="O122" s="4">
        <f>Tab_03.Mar[[#This Row],[DÉBITO]]-Tab_03.Mar[[#This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SUMIFS(Tab_02.Fev[SALDO
ATUAL],Tab_02.Fev[CONTA],$I123)</f>
        <v>32587250.850000001</v>
      </c>
      <c r="G123" s="4">
        <f t="shared" si="3"/>
        <v>0</v>
      </c>
      <c r="H123" s="137"/>
      <c r="I123" s="3" t="s">
        <v>568</v>
      </c>
      <c r="J123" s="3" t="s">
        <v>671</v>
      </c>
      <c r="K123" s="4">
        <v>32587250.850000001</v>
      </c>
      <c r="L123" s="4">
        <v>0</v>
      </c>
      <c r="M123" s="4">
        <v>0</v>
      </c>
      <c r="N123" s="4">
        <v>32587250.850000001</v>
      </c>
      <c r="O123" s="4">
        <f>Tab_03.Mar[[#This Row],[DÉBITO]]-Tab_03.Mar[[#This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A</v>
      </c>
      <c r="E124" s="2">
        <f>IF($I124="","",COUNTIFS(Tab_00.Trial[CONTA],$I124))</f>
        <v>1</v>
      </c>
      <c r="F124" s="4">
        <f>SUMIFS(Tab_02.Fev[SALDO
ATUAL],Tab_02.Fev[CONTA],$I124)</f>
        <v>-827719.82</v>
      </c>
      <c r="G124" s="4">
        <f t="shared" si="3"/>
        <v>0</v>
      </c>
      <c r="H124" s="137"/>
      <c r="I124" s="3" t="s">
        <v>743</v>
      </c>
      <c r="J124" s="3" t="s">
        <v>744</v>
      </c>
      <c r="K124" s="4">
        <v>-827719.82</v>
      </c>
      <c r="L124" s="4">
        <v>0</v>
      </c>
      <c r="M124" s="4">
        <v>0</v>
      </c>
      <c r="N124" s="4">
        <v>-827719.82</v>
      </c>
      <c r="O124" s="4">
        <f>Tab_03.Mar[[#This Row],[DÉBITO]]-Tab_03.Mar[[#This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SUMIFS(Tab_02.Fev[SALDO
ATUAL],Tab_02.Fev[CONTA],$I125)</f>
        <v>33414970.670000002</v>
      </c>
      <c r="G125" s="4">
        <f t="shared" si="3"/>
        <v>0</v>
      </c>
      <c r="H125" s="137"/>
      <c r="I125" s="3" t="s">
        <v>365</v>
      </c>
      <c r="J125" s="3" t="s">
        <v>366</v>
      </c>
      <c r="K125" s="4">
        <v>33414970.670000002</v>
      </c>
      <c r="L125" s="4">
        <v>0</v>
      </c>
      <c r="M125" s="4">
        <v>0</v>
      </c>
      <c r="N125" s="4">
        <v>33414970.670000002</v>
      </c>
      <c r="O125" s="4">
        <f>Tab_03.Mar[[#This Row],[DÉBITO]]-Tab_03.Mar[[#This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SUMIFS(Tab_02.Fev[SALDO
ATUAL],Tab_02.Fev[CONTA],$I126)</f>
        <v>-9658161.7400000002</v>
      </c>
      <c r="G126" s="4">
        <f t="shared" si="3"/>
        <v>0</v>
      </c>
      <c r="H126" s="137"/>
      <c r="I126" s="3" t="s">
        <v>745</v>
      </c>
      <c r="J126" s="3" t="s">
        <v>746</v>
      </c>
      <c r="K126" s="4">
        <v>-9658161.7400000002</v>
      </c>
      <c r="L126" s="4">
        <v>0</v>
      </c>
      <c r="M126" s="4">
        <v>0</v>
      </c>
      <c r="N126" s="4">
        <v>-9658161.7400000002</v>
      </c>
      <c r="O126" s="4">
        <f>Tab_03.Mar[[#This Row],[DÉBITO]]-Tab_03.Mar[[#This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SUMIFS(Tab_02.Fev[SALDO
ATUAL],Tab_02.Fev[CONTA],$I127)</f>
        <v>-9658161.7400000002</v>
      </c>
      <c r="G127" s="4">
        <f t="shared" si="3"/>
        <v>0</v>
      </c>
      <c r="H127" s="137"/>
      <c r="I127" s="3" t="s">
        <v>747</v>
      </c>
      <c r="J127" s="3" t="s">
        <v>746</v>
      </c>
      <c r="K127" s="4">
        <v>-9658161.7400000002</v>
      </c>
      <c r="L127" s="4">
        <v>0</v>
      </c>
      <c r="M127" s="4">
        <v>0</v>
      </c>
      <c r="N127" s="4">
        <v>-9658161.7400000002</v>
      </c>
      <c r="O127" s="4">
        <f>Tab_03.Mar[[#This Row],[DÉBITO]]-Tab_03.Mar[[#This Row],[CRÉDITO]]</f>
        <v>0</v>
      </c>
    </row>
    <row r="128" spans="2:15" x14ac:dyDescent="0.3">
      <c r="B128" s="2" t="str">
        <f>_xlfn.XLOOKUP($I128,Tab_00.Trial[CONTA],Tab_00.Trial[TP],"",0,1)</f>
        <v>R</v>
      </c>
      <c r="C128" s="2">
        <f>_xlfn.XLOOKUP($I128,Tab_00.Trial[CONTA],Tab_00.Trial[NV],"",0,1)</f>
        <v>1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SUMIFS(Tab_02.Fev[SALDO
ATUAL],Tab_02.Fev[CONTA],$I128)</f>
        <v>-1660890.59</v>
      </c>
      <c r="G128" s="4">
        <f t="shared" si="3"/>
        <v>657518.74</v>
      </c>
      <c r="H128" s="137"/>
      <c r="I128" s="3">
        <v>3</v>
      </c>
      <c r="J128" s="3" t="s">
        <v>672</v>
      </c>
      <c r="K128" s="4">
        <v>-2318409.33</v>
      </c>
      <c r="L128" s="4">
        <v>0</v>
      </c>
      <c r="M128" s="4">
        <v>1344827.05</v>
      </c>
      <c r="N128" s="4">
        <v>-3663236.38</v>
      </c>
      <c r="O128" s="4">
        <f>Tab_03.Mar[[#This Row],[DÉBITO]]-Tab_03.Mar[[#This Row],[CRÉDITO]]</f>
        <v>-1344827.05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2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SUMIFS(Tab_02.Fev[SALDO
ATUAL],Tab_02.Fev[CONTA],$I129)</f>
        <v>-601582.22</v>
      </c>
      <c r="G129" s="4">
        <f t="shared" si="3"/>
        <v>438917.84</v>
      </c>
      <c r="H129" s="137"/>
      <c r="I129" s="3" t="s">
        <v>231</v>
      </c>
      <c r="J129" s="3" t="s">
        <v>673</v>
      </c>
      <c r="K129" s="4">
        <v>-1040500.06</v>
      </c>
      <c r="L129" s="4">
        <v>0</v>
      </c>
      <c r="M129" s="4">
        <v>594120.07999999996</v>
      </c>
      <c r="N129" s="4">
        <v>-1634620.14</v>
      </c>
      <c r="O129" s="4">
        <f>Tab_03.Mar[[#This Row],[DÉBITO]]-Tab_03.Mar[[#This Row],[CRÉDITO]]</f>
        <v>-594120.07999999996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5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SUMIFS(Tab_02.Fev[SALDO
ATUAL],Tab_02.Fev[CONTA],$I130)</f>
        <v>-309988.61</v>
      </c>
      <c r="G130" s="4">
        <f t="shared" si="3"/>
        <v>352772.52</v>
      </c>
      <c r="H130" s="137"/>
      <c r="I130" s="3" t="s">
        <v>232</v>
      </c>
      <c r="J130" s="3" t="s">
        <v>674</v>
      </c>
      <c r="K130" s="4">
        <v>-662761.13</v>
      </c>
      <c r="L130" s="4">
        <v>0</v>
      </c>
      <c r="M130" s="4">
        <v>402105.77</v>
      </c>
      <c r="N130" s="4">
        <v>-1064866.8999999999</v>
      </c>
      <c r="O130" s="4">
        <f>Tab_03.Mar[[#This Row],[DÉBITO]]-Tab_03.Mar[[#This Row],[CRÉDITO]]</f>
        <v>-402105.77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SUMIFS(Tab_02.Fev[SALDO
ATUAL],Tab_02.Fev[CONTA],$I131)</f>
        <v>-122569.24</v>
      </c>
      <c r="G131" s="4">
        <f t="shared" si="3"/>
        <v>105237.96</v>
      </c>
      <c r="H131" s="137"/>
      <c r="I131" s="3" t="s">
        <v>233</v>
      </c>
      <c r="J131" s="3" t="s">
        <v>675</v>
      </c>
      <c r="K131" s="4">
        <v>-227807.2</v>
      </c>
      <c r="L131" s="4">
        <v>0</v>
      </c>
      <c r="M131" s="4">
        <v>154690.84</v>
      </c>
      <c r="N131" s="4">
        <v>-382498.04</v>
      </c>
      <c r="O131" s="4">
        <f>Tab_03.Mar[[#This Row],[DÉBITO]]-Tab_03.Mar[[#This Row],[CRÉDITO]]</f>
        <v>-154690.84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A</v>
      </c>
      <c r="E132" s="2">
        <f>IF($I132="","",COUNTIFS(Tab_00.Trial[CONTA],$I132))</f>
        <v>1</v>
      </c>
      <c r="F132" s="4">
        <f>SUMIFS(Tab_02.Fev[SALDO
ATUAL],Tab_02.Fev[CONTA],$I132)</f>
        <v>-122569.24</v>
      </c>
      <c r="G132" s="4">
        <f t="shared" si="3"/>
        <v>105237.96</v>
      </c>
      <c r="H132" s="137"/>
      <c r="I132" s="3" t="s">
        <v>194</v>
      </c>
      <c r="J132" s="3" t="s">
        <v>367</v>
      </c>
      <c r="K132" s="4">
        <v>-227807.2</v>
      </c>
      <c r="L132" s="4">
        <v>0</v>
      </c>
      <c r="M132" s="4">
        <v>154690.84</v>
      </c>
      <c r="N132" s="4">
        <v>-382498.04</v>
      </c>
      <c r="O132" s="4">
        <f>Tab_03.Mar[[#This Row],[DÉBITO]]-Tab_03.Mar[[#This Row],[CRÉDITO]]</f>
        <v>-154690.84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SUMIFS(Tab_02.Fev[SALDO
ATUAL],Tab_02.Fev[CONTA],$I133)</f>
        <v>-187419.37</v>
      </c>
      <c r="G133" s="4">
        <f t="shared" si="3"/>
        <v>247534.56</v>
      </c>
      <c r="H133" s="137"/>
      <c r="I133" s="3" t="s">
        <v>735</v>
      </c>
      <c r="J133" s="3" t="s">
        <v>736</v>
      </c>
      <c r="K133" s="4">
        <v>-434953.93</v>
      </c>
      <c r="L133" s="4">
        <v>0</v>
      </c>
      <c r="M133" s="4">
        <v>247414.93</v>
      </c>
      <c r="N133" s="4">
        <v>-682368.86</v>
      </c>
      <c r="O133" s="4">
        <f>Tab_03.Mar[[#This Row],[DÉBITO]]-Tab_03.Mar[[#This Row],[CRÉDITO]]</f>
        <v>-247414.93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A</v>
      </c>
      <c r="E134" s="2">
        <f>IF($I134="","",COUNTIFS(Tab_00.Trial[CONTA],$I134))</f>
        <v>1</v>
      </c>
      <c r="F134" s="4">
        <f>SUMIFS(Tab_02.Fev[SALDO
ATUAL],Tab_02.Fev[CONTA],$I134)</f>
        <v>-187419.37</v>
      </c>
      <c r="G134" s="4">
        <f t="shared" si="3"/>
        <v>247534.56</v>
      </c>
      <c r="H134" s="137"/>
      <c r="I134" s="3" t="s">
        <v>737</v>
      </c>
      <c r="J134" s="3" t="s">
        <v>820</v>
      </c>
      <c r="K134" s="4">
        <v>-434953.93</v>
      </c>
      <c r="L134" s="4">
        <v>0</v>
      </c>
      <c r="M134" s="4">
        <v>247414.93</v>
      </c>
      <c r="N134" s="4">
        <v>-682368.86</v>
      </c>
      <c r="O134" s="4">
        <f>Tab_03.Mar[[#This Row],[DÉBITO]]-Tab_03.Mar[[#This Row],[CRÉDITO]]</f>
        <v>-247414.93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SUMIFS(Tab_02.Fev[SALDO
ATUAL],Tab_02.Fev[CONTA],$I135)</f>
        <v>-291593.61</v>
      </c>
      <c r="G135" s="4">
        <f t="shared" si="3"/>
        <v>86145.32</v>
      </c>
      <c r="H135" s="137"/>
      <c r="I135" s="3" t="s">
        <v>569</v>
      </c>
      <c r="J135" s="3" t="s">
        <v>676</v>
      </c>
      <c r="K135" s="4">
        <v>-377738.93</v>
      </c>
      <c r="L135" s="4">
        <v>0</v>
      </c>
      <c r="M135" s="4">
        <v>192014.31</v>
      </c>
      <c r="N135" s="4">
        <v>-569753.24</v>
      </c>
      <c r="O135" s="4">
        <f>Tab_03.Mar[[#This Row],[DÉBITO]]-Tab_03.Mar[[#This Row],[CRÉDITO]]</f>
        <v>-192014.31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SUMIFS(Tab_02.Fev[SALDO
ATUAL],Tab_02.Fev[CONTA],$I136)</f>
        <v>-208627.53</v>
      </c>
      <c r="G136" s="4">
        <f t="shared" si="3"/>
        <v>3179.24</v>
      </c>
      <c r="H136" s="137"/>
      <c r="I136" s="3" t="s">
        <v>570</v>
      </c>
      <c r="J136" s="3" t="s">
        <v>677</v>
      </c>
      <c r="K136" s="4">
        <v>-211806.77</v>
      </c>
      <c r="L136" s="4">
        <v>0</v>
      </c>
      <c r="M136" s="4">
        <v>109048.23</v>
      </c>
      <c r="N136" s="4">
        <v>-320855</v>
      </c>
      <c r="O136" s="4">
        <f>Tab_03.Mar[[#This Row],[DÉBITO]]-Tab_03.Mar[[#This Row],[CRÉDITO]]</f>
        <v>-109048.23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SUMIFS(Tab_02.Fev[SALDO
ATUAL],Tab_02.Fev[CONTA],$I137)</f>
        <v>-84500.24</v>
      </c>
      <c r="G137" s="4">
        <f t="shared" si="3"/>
        <v>100</v>
      </c>
      <c r="H137" s="137"/>
      <c r="I137" s="3" t="s">
        <v>368</v>
      </c>
      <c r="J137" s="3" t="s">
        <v>369</v>
      </c>
      <c r="K137" s="4">
        <v>-84600.24</v>
      </c>
      <c r="L137" s="4">
        <v>0</v>
      </c>
      <c r="M137" s="4">
        <v>31162.82</v>
      </c>
      <c r="N137" s="4">
        <v>-115763.06</v>
      </c>
      <c r="O137" s="4">
        <f>Tab_03.Mar[[#This Row],[DÉBITO]]-Tab_03.Mar[[#This Row],[CRÉDITO]]</f>
        <v>-31162.82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SUMIFS(Tab_02.Fev[SALDO
ATUAL],Tab_02.Fev[CONTA],$I138)</f>
        <v>-118457.13</v>
      </c>
      <c r="G138" s="4">
        <f t="shared" si="3"/>
        <v>3079.24</v>
      </c>
      <c r="H138" s="137"/>
      <c r="I138" s="3" t="s">
        <v>370</v>
      </c>
      <c r="J138" s="3" t="s">
        <v>371</v>
      </c>
      <c r="K138" s="4">
        <v>-121536.37</v>
      </c>
      <c r="L138" s="4">
        <v>0</v>
      </c>
      <c r="M138" s="4">
        <v>77885.41</v>
      </c>
      <c r="N138" s="4">
        <v>-199421.78</v>
      </c>
      <c r="O138" s="4">
        <f>Tab_03.Mar[[#This Row],[DÉBITO]]-Tab_03.Mar[[#This Row],[CRÉDITO]]</f>
        <v>-77885.41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SUMIFS(Tab_02.Fev[SALDO
ATUAL],Tab_02.Fev[CONTA],$I139)</f>
        <v>-5670.16</v>
      </c>
      <c r="G139" s="4">
        <f t="shared" si="3"/>
        <v>0</v>
      </c>
      <c r="H139" s="137"/>
      <c r="I139" s="3" t="s">
        <v>372</v>
      </c>
      <c r="J139" s="3" t="s">
        <v>373</v>
      </c>
      <c r="K139" s="4">
        <v>-5670.16</v>
      </c>
      <c r="L139" s="4">
        <v>0</v>
      </c>
      <c r="M139" s="4">
        <v>0</v>
      </c>
      <c r="N139" s="4">
        <v>-5670.16</v>
      </c>
      <c r="O139" s="4">
        <f>Tab_03.Mar[[#This Row],[DÉBITO]]-Tab_03.Mar[[#This Row],[CRÉDITO]]</f>
        <v>0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S</v>
      </c>
      <c r="E140" s="2">
        <f>IF($I140="","",COUNTIFS(Tab_00.Trial[CONTA],$I140))</f>
        <v>1</v>
      </c>
      <c r="F140" s="4">
        <f>SUMIFS(Tab_02.Fev[SALDO
ATUAL],Tab_02.Fev[CONTA],$I140)</f>
        <v>-82966.080000000002</v>
      </c>
      <c r="G140" s="4">
        <f t="shared" si="3"/>
        <v>82966.080000000002</v>
      </c>
      <c r="H140" s="137"/>
      <c r="I140" s="3" t="s">
        <v>571</v>
      </c>
      <c r="J140" s="3" t="s">
        <v>377</v>
      </c>
      <c r="K140" s="4">
        <v>-165932.16</v>
      </c>
      <c r="L140" s="4">
        <v>0</v>
      </c>
      <c r="M140" s="4">
        <v>82966.080000000002</v>
      </c>
      <c r="N140" s="4">
        <v>-248898.24</v>
      </c>
      <c r="O140" s="4">
        <f>Tab_03.Mar[[#This Row],[DÉBITO]]-Tab_03.Mar[[#This Row],[CRÉDITO]]</f>
        <v>-82966.080000000002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SUMIFS(Tab_02.Fev[SALDO
ATUAL],Tab_02.Fev[CONTA],$I141)</f>
        <v>-82966.080000000002</v>
      </c>
      <c r="G141" s="4">
        <f t="shared" si="3"/>
        <v>82966.080000000002</v>
      </c>
      <c r="H141" s="137"/>
      <c r="I141" s="3" t="s">
        <v>376</v>
      </c>
      <c r="J141" s="3" t="s">
        <v>377</v>
      </c>
      <c r="K141" s="4">
        <v>-165932.16</v>
      </c>
      <c r="L141" s="4">
        <v>0</v>
      </c>
      <c r="M141" s="4">
        <v>82966.080000000002</v>
      </c>
      <c r="N141" s="4">
        <v>-248898.24</v>
      </c>
      <c r="O141" s="4">
        <f>Tab_03.Mar[[#This Row],[DÉBITO]]-Tab_03.Mar[[#This Row],[CRÉDITO]]</f>
        <v>-82966.080000000002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2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SUMIFS(Tab_02.Fev[SALDO
ATUAL],Tab_02.Fev[CONTA],$I142)</f>
        <v>-855578.82</v>
      </c>
      <c r="G142" s="4">
        <f t="shared" si="3"/>
        <v>0</v>
      </c>
      <c r="H142" s="137"/>
      <c r="I142" s="3" t="s">
        <v>574</v>
      </c>
      <c r="J142" s="3" t="s">
        <v>680</v>
      </c>
      <c r="K142" s="4">
        <v>-855578.82</v>
      </c>
      <c r="L142" s="4">
        <v>0</v>
      </c>
      <c r="M142" s="4">
        <v>442052.26</v>
      </c>
      <c r="N142" s="4">
        <v>-1297631.08</v>
      </c>
      <c r="O142" s="4">
        <f>Tab_03.Mar[[#This Row],[DÉBITO]]-Tab_03.Mar[[#This Row],[CRÉDITO]]</f>
        <v>-442052.26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S</v>
      </c>
      <c r="E143" s="2">
        <f>IF($I143="","",COUNTIFS(Tab_00.Trial[CONTA],$I143))</f>
        <v>1</v>
      </c>
      <c r="F143" s="4">
        <f>SUMIFS(Tab_02.Fev[SALDO
ATUAL],Tab_02.Fev[CONTA],$I143)</f>
        <v>-855578.82</v>
      </c>
      <c r="G143" s="4">
        <f t="shared" ref="G143:G206" si="4">$F143-$K143</f>
        <v>0</v>
      </c>
      <c r="H143" s="137"/>
      <c r="I143" s="3" t="s">
        <v>580</v>
      </c>
      <c r="J143" s="3" t="s">
        <v>822</v>
      </c>
      <c r="K143" s="4">
        <v>-855578.82</v>
      </c>
      <c r="L143" s="4">
        <v>0</v>
      </c>
      <c r="M143" s="4">
        <v>442052.26</v>
      </c>
      <c r="N143" s="4">
        <v>-1297631.08</v>
      </c>
      <c r="O143" s="4">
        <f>Tab_03.Mar[[#This Row],[DÉBITO]]-Tab_03.Mar[[#This Row],[CRÉDITO]]</f>
        <v>-442052.26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SUMIFS(Tab_02.Fev[SALDO
ATUAL],Tab_02.Fev[CONTA],$I144)</f>
        <v>-855578.82</v>
      </c>
      <c r="G144" s="4">
        <f t="shared" si="4"/>
        <v>0</v>
      </c>
      <c r="H144" s="137"/>
      <c r="I144" s="3" t="s">
        <v>581</v>
      </c>
      <c r="J144" s="3" t="s">
        <v>687</v>
      </c>
      <c r="K144" s="4">
        <v>-855578.82</v>
      </c>
      <c r="L144" s="4">
        <v>0</v>
      </c>
      <c r="M144" s="4">
        <v>442052.26</v>
      </c>
      <c r="N144" s="4">
        <v>-1297631.08</v>
      </c>
      <c r="O144" s="4">
        <f>Tab_03.Mar[[#This Row],[DÉBITO]]-Tab_03.Mar[[#This Row],[CRÉDITO]]</f>
        <v>-442052.26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SUMIFS(Tab_02.Fev[SALDO
ATUAL],Tab_02.Fev[CONTA],$I145)</f>
        <v>-842941.96</v>
      </c>
      <c r="G145" s="4">
        <f t="shared" si="4"/>
        <v>0</v>
      </c>
      <c r="H145" s="137"/>
      <c r="I145" s="3" t="s">
        <v>387</v>
      </c>
      <c r="J145" s="3" t="s">
        <v>388</v>
      </c>
      <c r="K145" s="4">
        <v>-842941.96</v>
      </c>
      <c r="L145" s="4">
        <v>0</v>
      </c>
      <c r="M145" s="4">
        <v>421470.98</v>
      </c>
      <c r="N145" s="4">
        <v>-1264412.94</v>
      </c>
      <c r="O145" s="4">
        <f>Tab_03.Mar[[#This Row],[DÉBITO]]-Tab_03.Mar[[#This Row],[CRÉDITO]]</f>
        <v>-421470.98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SUMIFS(Tab_02.Fev[SALDO
ATUAL],Tab_02.Fev[CONTA],$I146)</f>
        <v>-12636.86</v>
      </c>
      <c r="G146" s="4">
        <f t="shared" si="4"/>
        <v>0</v>
      </c>
      <c r="H146" s="137"/>
      <c r="I146" s="3" t="s">
        <v>389</v>
      </c>
      <c r="J146" s="3" t="s">
        <v>390</v>
      </c>
      <c r="K146" s="4">
        <v>-12636.86</v>
      </c>
      <c r="L146" s="4">
        <v>0</v>
      </c>
      <c r="M146" s="4">
        <v>20581.28</v>
      </c>
      <c r="N146" s="4">
        <v>-33218.14</v>
      </c>
      <c r="O146" s="4">
        <f>Tab_03.Mar[[#This Row],[DÉBITO]]-Tab_03.Mar[[#This Row],[CRÉDITO]]</f>
        <v>-20581.28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2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SUMIFS(Tab_02.Fev[SALDO
ATUAL],Tab_02.Fev[CONTA],$I147)</f>
        <v>-203029.55</v>
      </c>
      <c r="G147" s="4">
        <f t="shared" si="4"/>
        <v>218600.9</v>
      </c>
      <c r="H147" s="137"/>
      <c r="I147" s="3" t="s">
        <v>582</v>
      </c>
      <c r="J147" s="3" t="s">
        <v>688</v>
      </c>
      <c r="K147" s="4">
        <v>-421630.45</v>
      </c>
      <c r="L147" s="4">
        <v>0</v>
      </c>
      <c r="M147" s="4">
        <v>306654.71000000002</v>
      </c>
      <c r="N147" s="4">
        <v>-728285.16</v>
      </c>
      <c r="O147" s="4">
        <f>Tab_03.Mar[[#This Row],[DÉBITO]]-Tab_03.Mar[[#This Row],[CRÉDITO]]</f>
        <v>-306654.71000000002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SUMIFS(Tab_02.Fev[SALDO
ATUAL],Tab_02.Fev[CONTA],$I148)</f>
        <v>-7.0000000000000007E-2</v>
      </c>
      <c r="G148" s="4">
        <f t="shared" si="4"/>
        <v>73.2</v>
      </c>
      <c r="H148" s="137"/>
      <c r="I148" s="3" t="s">
        <v>583</v>
      </c>
      <c r="J148" s="3" t="s">
        <v>689</v>
      </c>
      <c r="K148" s="4">
        <v>-73.27</v>
      </c>
      <c r="L148" s="4">
        <v>0</v>
      </c>
      <c r="M148" s="4">
        <v>0.03</v>
      </c>
      <c r="N148" s="4">
        <v>-73.3</v>
      </c>
      <c r="O148" s="4">
        <f>Tab_03.Mar[[#This Row],[DÉBITO]]-Tab_03.Mar[[#This Row],[CRÉDITO]]</f>
        <v>-0.03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SUMIFS(Tab_02.Fev[SALDO
ATUAL],Tab_02.Fev[CONTA],$I149)</f>
        <v>-7.0000000000000007E-2</v>
      </c>
      <c r="G149" s="4">
        <f t="shared" si="4"/>
        <v>73.2</v>
      </c>
      <c r="H149" s="137"/>
      <c r="I149" s="3" t="s">
        <v>584</v>
      </c>
      <c r="J149" s="3" t="s">
        <v>689</v>
      </c>
      <c r="K149" s="4">
        <v>-73.27</v>
      </c>
      <c r="L149" s="4">
        <v>0</v>
      </c>
      <c r="M149" s="4">
        <v>0.03</v>
      </c>
      <c r="N149" s="4">
        <v>-73.3</v>
      </c>
      <c r="O149" s="4">
        <f>Tab_03.Mar[[#This Row],[DÉBITO]]-Tab_03.Mar[[#This Row],[CRÉDITO]]</f>
        <v>-0.03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SUMIFS(Tab_02.Fev[SALDO
ATUAL],Tab_02.Fev[CONTA],$I150)</f>
        <v>-7.0000000000000007E-2</v>
      </c>
      <c r="G150" s="4">
        <f t="shared" si="4"/>
        <v>73.2</v>
      </c>
      <c r="H150" s="137"/>
      <c r="I150" s="3" t="s">
        <v>391</v>
      </c>
      <c r="J150" s="3" t="s">
        <v>392</v>
      </c>
      <c r="K150" s="4">
        <v>-73.27</v>
      </c>
      <c r="L150" s="4">
        <v>0</v>
      </c>
      <c r="M150" s="4">
        <v>0.03</v>
      </c>
      <c r="N150" s="4">
        <v>-73.3</v>
      </c>
      <c r="O150" s="4">
        <f>Tab_03.Mar[[#This Row],[DÉBITO]]-Tab_03.Mar[[#This Row],[CRÉDITO]]</f>
        <v>-0.03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SUMIFS(Tab_02.Fev[SALDO
ATUAL],Tab_02.Fev[CONTA],$I151)</f>
        <v>-203029.48</v>
      </c>
      <c r="G151" s="4">
        <f t="shared" si="4"/>
        <v>218527.7</v>
      </c>
      <c r="H151" s="137"/>
      <c r="I151" s="3" t="s">
        <v>585</v>
      </c>
      <c r="J151" s="3" t="s">
        <v>690</v>
      </c>
      <c r="K151" s="4">
        <v>-421557.18</v>
      </c>
      <c r="L151" s="4">
        <v>0</v>
      </c>
      <c r="M151" s="4">
        <v>306654.68</v>
      </c>
      <c r="N151" s="4">
        <v>-728211.86</v>
      </c>
      <c r="O151" s="4">
        <f>Tab_03.Mar[[#This Row],[DÉBITO]]-Tab_03.Mar[[#This Row],[CRÉDITO]]</f>
        <v>-306654.68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SUMIFS(Tab_02.Fev[SALDO
ATUAL],Tab_02.Fev[CONTA],$I152)</f>
        <v>-203029.48</v>
      </c>
      <c r="G152" s="4">
        <f t="shared" si="4"/>
        <v>218527.7</v>
      </c>
      <c r="H152" s="137"/>
      <c r="I152" s="3" t="s">
        <v>586</v>
      </c>
      <c r="J152" s="3" t="s">
        <v>394</v>
      </c>
      <c r="K152" s="4">
        <v>-421557.18</v>
      </c>
      <c r="L152" s="4">
        <v>0</v>
      </c>
      <c r="M152" s="4">
        <v>306654.68</v>
      </c>
      <c r="N152" s="4">
        <v>-728211.86</v>
      </c>
      <c r="O152" s="4">
        <f>Tab_03.Mar[[#This Row],[DÉBITO]]-Tab_03.Mar[[#This Row],[CRÉDITO]]</f>
        <v>-306654.68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SUMIFS(Tab_02.Fev[SALDO
ATUAL],Tab_02.Fev[CONTA],$I153)</f>
        <v>-203029.48</v>
      </c>
      <c r="G153" s="4">
        <f t="shared" si="4"/>
        <v>218527.7</v>
      </c>
      <c r="H153" s="137"/>
      <c r="I153" s="3" t="s">
        <v>393</v>
      </c>
      <c r="J153" s="3" t="s">
        <v>394</v>
      </c>
      <c r="K153" s="4">
        <v>-421557.18</v>
      </c>
      <c r="L153" s="4">
        <v>0</v>
      </c>
      <c r="M153" s="4">
        <v>306654.68</v>
      </c>
      <c r="N153" s="4">
        <v>-728211.86</v>
      </c>
      <c r="O153" s="4">
        <f>Tab_03.Mar[[#This Row],[DÉBITO]]-Tab_03.Mar[[#This Row],[CRÉDITO]]</f>
        <v>-306654.68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2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SUMIFS(Tab_02.Fev[SALDO
ATUAL],Tab_02.Fev[CONTA],$I154)</f>
        <v>-700</v>
      </c>
      <c r="G154" s="4">
        <f t="shared" si="4"/>
        <v>0</v>
      </c>
      <c r="H154" s="137"/>
      <c r="I154" s="3" t="s">
        <v>587</v>
      </c>
      <c r="J154" s="3" t="s">
        <v>691</v>
      </c>
      <c r="K154" s="4">
        <v>-700</v>
      </c>
      <c r="L154" s="4">
        <v>0</v>
      </c>
      <c r="M154" s="4">
        <v>2000</v>
      </c>
      <c r="N154" s="4">
        <v>-2700</v>
      </c>
      <c r="O154" s="4">
        <f>Tab_03.Mar[[#This Row],[DÉBITO]]-Tab_03.Mar[[#This Row],[CRÉDITO]]</f>
        <v>-2000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SUMIFS(Tab_02.Fev[SALDO
ATUAL],Tab_02.Fev[CONTA],$I155)</f>
        <v>-700</v>
      </c>
      <c r="G155" s="4">
        <f t="shared" si="4"/>
        <v>0</v>
      </c>
      <c r="H155" s="137"/>
      <c r="I155" s="3" t="s">
        <v>588</v>
      </c>
      <c r="J155" s="3" t="s">
        <v>692</v>
      </c>
      <c r="K155" s="4">
        <v>-700</v>
      </c>
      <c r="L155" s="4">
        <v>0</v>
      </c>
      <c r="M155" s="4">
        <v>2000</v>
      </c>
      <c r="N155" s="4">
        <v>-2700</v>
      </c>
      <c r="O155" s="4">
        <f>Tab_03.Mar[[#This Row],[DÉBITO]]-Tab_03.Mar[[#This Row],[CRÉDITO]]</f>
        <v>-2000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SUMIFS(Tab_02.Fev[SALDO
ATUAL],Tab_02.Fev[CONTA],$I156)</f>
        <v>-700</v>
      </c>
      <c r="G156" s="4">
        <f t="shared" si="4"/>
        <v>0</v>
      </c>
      <c r="H156" s="137"/>
      <c r="I156" s="3" t="s">
        <v>589</v>
      </c>
      <c r="J156" s="3" t="s">
        <v>692</v>
      </c>
      <c r="K156" s="4">
        <v>-700</v>
      </c>
      <c r="L156" s="4">
        <v>0</v>
      </c>
      <c r="M156" s="4">
        <v>2000</v>
      </c>
      <c r="N156" s="4">
        <v>-2700</v>
      </c>
      <c r="O156" s="4">
        <f>Tab_03.Mar[[#This Row],[DÉBITO]]-Tab_03.Mar[[#This Row],[CRÉDITO]]</f>
        <v>-2000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A</v>
      </c>
      <c r="E157" s="2">
        <f>IF($I157="","",COUNTIFS(Tab_00.Trial[CONTA],$I157))</f>
        <v>1</v>
      </c>
      <c r="F157" s="4">
        <f>SUMIFS(Tab_02.Fev[SALDO
ATUAL],Tab_02.Fev[CONTA],$I157)</f>
        <v>-700</v>
      </c>
      <c r="G157" s="4">
        <f t="shared" si="4"/>
        <v>0</v>
      </c>
      <c r="H157" s="137"/>
      <c r="I157" s="3" t="s">
        <v>395</v>
      </c>
      <c r="J157" s="3" t="s">
        <v>396</v>
      </c>
      <c r="K157" s="4">
        <v>-700</v>
      </c>
      <c r="L157" s="4">
        <v>0</v>
      </c>
      <c r="M157" s="4">
        <v>2000</v>
      </c>
      <c r="N157" s="4">
        <v>-2700</v>
      </c>
      <c r="O157" s="4">
        <f>Tab_03.Mar[[#This Row],[DÉBITO]]-Tab_03.Mar[[#This Row],[CRÉDITO]]</f>
        <v>-2000</v>
      </c>
    </row>
    <row r="158" spans="2:15" x14ac:dyDescent="0.3">
      <c r="B158" s="2" t="str">
        <f>_xlfn.XLOOKUP($I158,Tab_00.Trial[CONTA],Tab_00.Trial[TP],"",0,1)</f>
        <v>C</v>
      </c>
      <c r="C158" s="2">
        <f>_xlfn.XLOOKUP($I158,Tab_00.Trial[CONTA],Tab_00.Trial[NV],"",0,1)</f>
        <v>1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SUMIFS(Tab_02.Fev[SALDO
ATUAL],Tab_02.Fev[CONTA],$I158)</f>
        <v>1204827.3899999999</v>
      </c>
      <c r="G158" s="4">
        <f t="shared" si="4"/>
        <v>-924076.06</v>
      </c>
      <c r="H158" s="137"/>
      <c r="I158" s="3">
        <v>4</v>
      </c>
      <c r="J158" s="3" t="s">
        <v>693</v>
      </c>
      <c r="K158" s="4">
        <v>2128903.4500000002</v>
      </c>
      <c r="L158" s="4">
        <v>620215.03</v>
      </c>
      <c r="M158" s="4">
        <v>40759.69</v>
      </c>
      <c r="N158" s="4">
        <v>2708358.79</v>
      </c>
      <c r="O158" s="4">
        <f>Tab_03.Mar[[#This Row],[DÉBITO]]-Tab_03.Mar[[#This Row],[CRÉDITO]]</f>
        <v>579455.34</v>
      </c>
    </row>
    <row r="159" spans="2:15" x14ac:dyDescent="0.3">
      <c r="B159" s="2" t="str">
        <f>_xlfn.XLOOKUP($I159,Tab_00.Trial[CONTA],Tab_00.Trial[TP],"",0,1)</f>
        <v>C</v>
      </c>
      <c r="C159" s="2">
        <f>_xlfn.XLOOKUP($I159,Tab_00.Trial[CONTA],Tab_00.Trial[NV],"",0,1)</f>
        <v>2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SUMIFS(Tab_02.Fev[SALDO
ATUAL],Tab_02.Fev[CONTA],$I159)</f>
        <v>1204827.3899999999</v>
      </c>
      <c r="G159" s="4">
        <f t="shared" si="4"/>
        <v>-924076.06</v>
      </c>
      <c r="H159" s="137"/>
      <c r="I159" s="3" t="s">
        <v>234</v>
      </c>
      <c r="J159" s="3" t="s">
        <v>823</v>
      </c>
      <c r="K159" s="4">
        <v>2128903.4500000002</v>
      </c>
      <c r="L159" s="4">
        <v>620215.03</v>
      </c>
      <c r="M159" s="4">
        <v>40759.69</v>
      </c>
      <c r="N159" s="4">
        <v>2708358.79</v>
      </c>
      <c r="O159" s="4">
        <f>Tab_03.Mar[[#This Row],[DÉBITO]]-Tab_03.Mar[[#This Row],[CRÉDITO]]</f>
        <v>579455.34</v>
      </c>
    </row>
    <row r="160" spans="2:15" x14ac:dyDescent="0.3">
      <c r="B160" s="2" t="str">
        <f>_xlfn.XLOOKUP($I160,Tab_00.Trial[CONTA],Tab_00.Trial[TP],"",0,1)</f>
        <v>C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SUMIFS(Tab_02.Fev[SALDO
ATUAL],Tab_02.Fev[CONTA],$I160)</f>
        <v>175009.14</v>
      </c>
      <c r="G160" s="4">
        <f t="shared" si="4"/>
        <v>-78382.2</v>
      </c>
      <c r="H160" s="137"/>
      <c r="I160" s="3" t="s">
        <v>235</v>
      </c>
      <c r="J160" s="3" t="s">
        <v>824</v>
      </c>
      <c r="K160" s="4">
        <v>253391.34</v>
      </c>
      <c r="L160" s="4">
        <v>218109.26</v>
      </c>
      <c r="M160" s="4">
        <v>40759.69</v>
      </c>
      <c r="N160" s="4">
        <v>430740.91</v>
      </c>
      <c r="O160" s="4">
        <f>Tab_03.Mar[[#This Row],[DÉBITO]]-Tab_03.Mar[[#This Row],[CRÉDITO]]</f>
        <v>177349.57</v>
      </c>
    </row>
    <row r="161" spans="2:15" x14ac:dyDescent="0.3">
      <c r="B161" s="2" t="str">
        <f>_xlfn.XLOOKUP($I161,Tab_00.Trial[CONTA],Tab_00.Trial[TP],"",0,1)</f>
        <v>C</v>
      </c>
      <c r="C161" s="2">
        <f>_xlfn.XLOOKUP($I161,Tab_00.Trial[CONTA],Tab_00.Trial[NV],"",0,1)</f>
        <v>5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SUMIFS(Tab_02.Fev[SALDO
ATUAL],Tab_02.Fev[CONTA],$I161)</f>
        <v>54534.01</v>
      </c>
      <c r="G161" s="4">
        <f t="shared" si="4"/>
        <v>-58831.91</v>
      </c>
      <c r="H161" s="137"/>
      <c r="I161" s="3" t="s">
        <v>236</v>
      </c>
      <c r="J161" s="3" t="s">
        <v>696</v>
      </c>
      <c r="K161" s="4">
        <v>113365.92</v>
      </c>
      <c r="L161" s="4">
        <v>97932.71</v>
      </c>
      <c r="M161" s="4">
        <v>26299.53</v>
      </c>
      <c r="N161" s="4">
        <v>184999.1</v>
      </c>
      <c r="O161" s="4">
        <f>Tab_03.Mar[[#This Row],[DÉBITO]]-Tab_03.Mar[[#This Row],[CRÉDITO]]</f>
        <v>71633.179999999993</v>
      </c>
    </row>
    <row r="162" spans="2:15" x14ac:dyDescent="0.3">
      <c r="B162" s="2" t="str">
        <f>_xlfn.XLOOKUP($I162,Tab_00.Trial[CONTA],Tab_00.Trial[TP],"",0,1)</f>
        <v>C</v>
      </c>
      <c r="C162" s="2">
        <f>_xlfn.XLOOKUP($I162,Tab_00.Trial[CONTA],Tab_00.Trial[NV],"",0,1)</f>
        <v>5</v>
      </c>
      <c r="D162" s="2" t="str">
        <f>_xlfn.XLOOKUP($I162,Tab_00.Trial[CONTA],Tab_00.Trial[S/A],"",0,1)</f>
        <v>A</v>
      </c>
      <c r="E162" s="2">
        <f>IF($I162="","",COUNTIFS(Tab_00.Trial[CONTA],$I162))</f>
        <v>1</v>
      </c>
      <c r="F162" s="4">
        <f>SUMIFS(Tab_02.Fev[SALDO
ATUAL],Tab_02.Fev[CONTA],$I162)</f>
        <v>-9283.35</v>
      </c>
      <c r="G162" s="4">
        <f t="shared" si="4"/>
        <v>-57725.93</v>
      </c>
      <c r="H162" s="137"/>
      <c r="I162" s="3" t="s">
        <v>195</v>
      </c>
      <c r="J162" s="3" t="s">
        <v>427</v>
      </c>
      <c r="K162" s="4">
        <v>48442.58</v>
      </c>
      <c r="L162" s="4">
        <v>80504.75</v>
      </c>
      <c r="M162" s="4">
        <v>25886.87</v>
      </c>
      <c r="N162" s="4">
        <v>103060.46</v>
      </c>
      <c r="O162" s="4">
        <f>Tab_03.Mar[[#This Row],[DÉBITO]]-Tab_03.Mar[[#This Row],[CRÉDITO]]</f>
        <v>54617.88</v>
      </c>
    </row>
    <row r="163" spans="2:15" x14ac:dyDescent="0.3">
      <c r="B163" s="2" t="str">
        <f>_xlfn.XLOOKUP($I163,Tab_00.Trial[CONTA],Tab_00.Trial[TP],"",0,1)</f>
        <v>C</v>
      </c>
      <c r="C163" s="2">
        <f>_xlfn.XLOOKUP($I163,Tab_00.Trial[CONTA],Tab_00.Trial[NV],"",0,1)</f>
        <v>5</v>
      </c>
      <c r="D163" s="2" t="str">
        <f>_xlfn.XLOOKUP($I163,Tab_00.Trial[CONTA],Tab_00.Trial[S/A],"",0,1)</f>
        <v>A</v>
      </c>
      <c r="E163" s="2">
        <f>IF($I163="","",COUNTIFS(Tab_00.Trial[CONTA],$I163))</f>
        <v>1</v>
      </c>
      <c r="F163" s="4">
        <f>SUMIFS(Tab_02.Fev[SALDO
ATUAL],Tab_02.Fev[CONTA],$I163)</f>
        <v>7059.76</v>
      </c>
      <c r="G163" s="4">
        <f t="shared" si="4"/>
        <v>-9664.2099999999991</v>
      </c>
      <c r="H163" s="137"/>
      <c r="I163" s="3" t="s">
        <v>430</v>
      </c>
      <c r="J163" s="3" t="s">
        <v>431</v>
      </c>
      <c r="K163" s="4">
        <v>16723.97</v>
      </c>
      <c r="L163" s="4">
        <v>6943.87</v>
      </c>
      <c r="M163" s="4">
        <v>33.44</v>
      </c>
      <c r="N163" s="4">
        <v>23634.400000000001</v>
      </c>
      <c r="O163" s="4">
        <f>Tab_03.Mar[[#This Row],[DÉBITO]]-Tab_03.Mar[[#This Row],[CRÉDITO]]</f>
        <v>6910.43</v>
      </c>
    </row>
    <row r="164" spans="2:15" x14ac:dyDescent="0.3">
      <c r="B164" s="2" t="str">
        <f>_xlfn.XLOOKUP($I164,Tab_00.Trial[CONTA],Tab_00.Trial[TP],"",0,1)</f>
        <v>C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SUMIFS(Tab_02.Fev[SALDO
ATUAL],Tab_02.Fev[CONTA],$I164)</f>
        <v>5045.03</v>
      </c>
      <c r="G164" s="4">
        <f t="shared" si="4"/>
        <v>-5045.03</v>
      </c>
      <c r="H164" s="137"/>
      <c r="I164" s="3" t="s">
        <v>432</v>
      </c>
      <c r="J164" s="3" t="s">
        <v>433</v>
      </c>
      <c r="K164" s="4">
        <v>10090.06</v>
      </c>
      <c r="L164" s="4">
        <v>5045.03</v>
      </c>
      <c r="M164" s="4">
        <v>0</v>
      </c>
      <c r="N164" s="4">
        <v>15135.09</v>
      </c>
      <c r="O164" s="4">
        <f>Tab_03.Mar[[#This Row],[DÉBITO]]-Tab_03.Mar[[#This Row],[CRÉDITO]]</f>
        <v>5045.03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5</v>
      </c>
      <c r="D165" s="2" t="str">
        <f>_xlfn.XLOOKUP($I165,Tab_00.Trial[CONTA],Tab_00.Trial[S/A],"",0,1)</f>
        <v>A</v>
      </c>
      <c r="E165" s="2">
        <f>IF($I165="","",COUNTIFS(Tab_00.Trial[CONTA],$I165))</f>
        <v>1</v>
      </c>
      <c r="F165" s="4">
        <f>SUMIFS(Tab_02.Fev[SALDO
ATUAL],Tab_02.Fev[CONTA],$I165)</f>
        <v>49658.59</v>
      </c>
      <c r="G165" s="4">
        <f t="shared" si="4"/>
        <v>15879.44</v>
      </c>
      <c r="H165" s="137"/>
      <c r="I165" s="3" t="s">
        <v>796</v>
      </c>
      <c r="J165" s="3" t="s">
        <v>797</v>
      </c>
      <c r="K165" s="4">
        <v>33779.15</v>
      </c>
      <c r="L165" s="4">
        <v>3010.56</v>
      </c>
      <c r="M165" s="4">
        <v>292.04000000000002</v>
      </c>
      <c r="N165" s="4">
        <v>36497.67</v>
      </c>
      <c r="O165" s="4">
        <f>Tab_03.Mar[[#This Row],[DÉBITO]]-Tab_03.Mar[[#This Row],[CRÉDITO]]</f>
        <v>2718.52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5</v>
      </c>
      <c r="D166" s="2" t="str">
        <f>_xlfn.XLOOKUP($I166,Tab_00.Trial[CONTA],Tab_00.Trial[S/A],"",0,1)</f>
        <v>A</v>
      </c>
      <c r="E166" s="2">
        <f>IF($I166="","",COUNTIFS(Tab_00.Trial[CONTA],$I166))</f>
        <v>1</v>
      </c>
      <c r="F166" s="4">
        <f>SUMIFS(Tab_02.Fev[SALDO
ATUAL],Tab_02.Fev[CONTA],$I166)</f>
        <v>179.93</v>
      </c>
      <c r="G166" s="4">
        <f t="shared" si="4"/>
        <v>-492.78</v>
      </c>
      <c r="H166" s="137"/>
      <c r="I166" s="3" t="s">
        <v>798</v>
      </c>
      <c r="J166" s="3" t="s">
        <v>799</v>
      </c>
      <c r="K166" s="4">
        <v>672.71</v>
      </c>
      <c r="L166" s="4">
        <v>553.25</v>
      </c>
      <c r="M166" s="4">
        <v>87.18</v>
      </c>
      <c r="N166" s="4">
        <v>1138.78</v>
      </c>
      <c r="O166" s="4">
        <f>Tab_03.Mar[[#This Row],[DÉBITO]]-Tab_03.Mar[[#This Row],[CRÉDITO]]</f>
        <v>466.07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SUMIFS(Tab_02.Fev[SALDO
ATUAL],Tab_02.Fev[CONTA],$I167)</f>
        <v>67.97</v>
      </c>
      <c r="G167" s="4">
        <f t="shared" si="4"/>
        <v>22.69</v>
      </c>
      <c r="H167" s="137"/>
      <c r="I167" s="3" t="s">
        <v>800</v>
      </c>
      <c r="J167" s="3" t="s">
        <v>801</v>
      </c>
      <c r="K167" s="4">
        <v>45.28</v>
      </c>
      <c r="L167" s="4">
        <v>69.150000000000006</v>
      </c>
      <c r="M167" s="4">
        <v>0</v>
      </c>
      <c r="N167" s="4">
        <v>114.43</v>
      </c>
      <c r="O167" s="4">
        <f>Tab_03.Mar[[#This Row],[DÉBITO]]-Tab_03.Mar[[#This Row],[CRÉDITO]]</f>
        <v>69.150000000000006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SUMIFS(Tab_02.Fev[SALDO
ATUAL],Tab_02.Fev[CONTA],$I168)</f>
        <v>1352.06</v>
      </c>
      <c r="G168" s="4">
        <f t="shared" si="4"/>
        <v>-1352.02</v>
      </c>
      <c r="H168" s="137"/>
      <c r="I168" s="3" t="s">
        <v>802</v>
      </c>
      <c r="J168" s="3" t="s">
        <v>803</v>
      </c>
      <c r="K168" s="4">
        <v>2704.08</v>
      </c>
      <c r="L168" s="4">
        <v>1352.06</v>
      </c>
      <c r="M168" s="4">
        <v>0</v>
      </c>
      <c r="N168" s="4">
        <v>4056.14</v>
      </c>
      <c r="O168" s="4">
        <f>Tab_03.Mar[[#This Row],[DÉBITO]]-Tab_03.Mar[[#This Row],[CRÉDITO]]</f>
        <v>1352.06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SUMIFS(Tab_02.Fev[SALDO
ATUAL],Tab_02.Fev[CONTA],$I169)</f>
        <v>403.57</v>
      </c>
      <c r="G169" s="4">
        <f t="shared" si="4"/>
        <v>-403.61</v>
      </c>
      <c r="H169" s="137"/>
      <c r="I169" s="3" t="s">
        <v>804</v>
      </c>
      <c r="J169" s="3" t="s">
        <v>805</v>
      </c>
      <c r="K169" s="4">
        <v>807.18</v>
      </c>
      <c r="L169" s="4">
        <v>403.6</v>
      </c>
      <c r="M169" s="4">
        <v>0</v>
      </c>
      <c r="N169" s="4">
        <v>1210.78</v>
      </c>
      <c r="O169" s="4">
        <f>Tab_03.Mar[[#This Row],[DÉBITO]]-Tab_03.Mar[[#This Row],[CRÉDITO]]</f>
        <v>403.6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SUMIFS(Tab_02.Fev[SALDO
ATUAL],Tab_02.Fev[CONTA],$I170)</f>
        <v>50.45</v>
      </c>
      <c r="G170" s="4">
        <f t="shared" si="4"/>
        <v>-50.46</v>
      </c>
      <c r="H170" s="137"/>
      <c r="I170" s="3" t="s">
        <v>806</v>
      </c>
      <c r="J170" s="3" t="s">
        <v>807</v>
      </c>
      <c r="K170" s="4">
        <v>100.91</v>
      </c>
      <c r="L170" s="4">
        <v>50.44</v>
      </c>
      <c r="M170" s="4">
        <v>0</v>
      </c>
      <c r="N170" s="4">
        <v>151.35</v>
      </c>
      <c r="O170" s="4">
        <f>Tab_03.Mar[[#This Row],[DÉBITO]]-Tab_03.Mar[[#This Row],[CRÉDITO]]</f>
        <v>50.44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S</v>
      </c>
      <c r="E171" s="2">
        <f>IF($I171="","",COUNTIFS(Tab_00.Trial[CONTA],$I171))</f>
        <v>1</v>
      </c>
      <c r="F171" s="4">
        <f>SUMIFS(Tab_02.Fev[SALDO
ATUAL],Tab_02.Fev[CONTA],$I171)</f>
        <v>35703.339999999997</v>
      </c>
      <c r="G171" s="4">
        <f t="shared" si="4"/>
        <v>1775.65</v>
      </c>
      <c r="H171" s="137"/>
      <c r="I171" s="3" t="s">
        <v>590</v>
      </c>
      <c r="J171" s="3" t="s">
        <v>697</v>
      </c>
      <c r="K171" s="4">
        <v>33927.69</v>
      </c>
      <c r="L171" s="4">
        <v>46676.26</v>
      </c>
      <c r="M171" s="4">
        <v>1742.73</v>
      </c>
      <c r="N171" s="4">
        <v>78861.22</v>
      </c>
      <c r="O171" s="4">
        <f>Tab_03.Mar[[#This Row],[DÉBITO]]-Tab_03.Mar[[#This Row],[CRÉDITO]]</f>
        <v>44933.53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SUMIFS(Tab_02.Fev[SALDO
ATUAL],Tab_02.Fev[CONTA],$I172)</f>
        <v>32279.32</v>
      </c>
      <c r="G172" s="4">
        <f t="shared" si="4"/>
        <v>731.6</v>
      </c>
      <c r="H172" s="137"/>
      <c r="I172" s="3" t="s">
        <v>434</v>
      </c>
      <c r="J172" s="3" t="s">
        <v>435</v>
      </c>
      <c r="K172" s="4">
        <v>31547.72</v>
      </c>
      <c r="L172" s="4">
        <v>44213.26</v>
      </c>
      <c r="M172" s="4">
        <v>731.6</v>
      </c>
      <c r="N172" s="4">
        <v>75029.38</v>
      </c>
      <c r="O172" s="4">
        <f>Tab_03.Mar[[#This Row],[DÉBITO]]-Tab_03.Mar[[#This Row],[CRÉDITO]]</f>
        <v>43481.66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SUMIFS(Tab_02.Fev[SALDO
ATUAL],Tab_02.Fev[CONTA],$I173)</f>
        <v>3424.02</v>
      </c>
      <c r="G173" s="4">
        <f t="shared" si="4"/>
        <v>1044.05</v>
      </c>
      <c r="H173" s="137"/>
      <c r="I173" s="3" t="s">
        <v>750</v>
      </c>
      <c r="J173" s="3" t="s">
        <v>751</v>
      </c>
      <c r="K173" s="4">
        <v>2379.9699999999998</v>
      </c>
      <c r="L173" s="4">
        <v>2463</v>
      </c>
      <c r="M173" s="4">
        <v>1011.13</v>
      </c>
      <c r="N173" s="4">
        <v>3831.84</v>
      </c>
      <c r="O173" s="4">
        <f>Tab_03.Mar[[#This Row],[DÉBITO]]-Tab_03.Mar[[#This Row],[CRÉDITO]]</f>
        <v>1451.87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S</v>
      </c>
      <c r="E174" s="2">
        <f>IF($I174="","",COUNTIFS(Tab_00.Trial[CONTA],$I174))</f>
        <v>1</v>
      </c>
      <c r="F174" s="4">
        <f>SUMIFS(Tab_02.Fev[SALDO
ATUAL],Tab_02.Fev[CONTA],$I174)</f>
        <v>16434.849999999999</v>
      </c>
      <c r="G174" s="4">
        <f t="shared" si="4"/>
        <v>-20951.41</v>
      </c>
      <c r="H174" s="137"/>
      <c r="I174" s="3" t="s">
        <v>591</v>
      </c>
      <c r="J174" s="3" t="s">
        <v>698</v>
      </c>
      <c r="K174" s="4">
        <v>37386.26</v>
      </c>
      <c r="L174" s="4">
        <v>37511.910000000003</v>
      </c>
      <c r="M174" s="4">
        <v>12717.43</v>
      </c>
      <c r="N174" s="4">
        <v>62180.74</v>
      </c>
      <c r="O174" s="4">
        <f>Tab_03.Mar[[#This Row],[DÉBITO]]-Tab_03.Mar[[#This Row],[CRÉDITO]]</f>
        <v>24794.48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SUMIFS(Tab_02.Fev[SALDO
ATUAL],Tab_02.Fev[CONTA],$I175)</f>
        <v>13434.9</v>
      </c>
      <c r="G175" s="4">
        <f t="shared" si="4"/>
        <v>-17125.62</v>
      </c>
      <c r="H175" s="137"/>
      <c r="I175" s="3" t="s">
        <v>436</v>
      </c>
      <c r="J175" s="3" t="s">
        <v>437</v>
      </c>
      <c r="K175" s="4">
        <v>30560.52</v>
      </c>
      <c r="L175" s="4">
        <v>28269.13</v>
      </c>
      <c r="M175" s="4">
        <v>8380.82</v>
      </c>
      <c r="N175" s="4">
        <v>50448.83</v>
      </c>
      <c r="O175" s="4">
        <f>Tab_03.Mar[[#This Row],[DÉBITO]]-Tab_03.Mar[[#This Row],[CRÉDITO]]</f>
        <v>19888.310000000001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SUMIFS(Tab_02.Fev[SALDO
ATUAL],Tab_02.Fev[CONTA],$I176)</f>
        <v>2354.0700000000002</v>
      </c>
      <c r="G176" s="4">
        <f t="shared" si="4"/>
        <v>-3567.63</v>
      </c>
      <c r="H176" s="137"/>
      <c r="I176" s="3" t="s">
        <v>438</v>
      </c>
      <c r="J176" s="3" t="s">
        <v>196</v>
      </c>
      <c r="K176" s="4">
        <v>5921.7</v>
      </c>
      <c r="L176" s="4">
        <v>8215.7900000000009</v>
      </c>
      <c r="M176" s="4">
        <v>4023.89</v>
      </c>
      <c r="N176" s="4">
        <v>10113.6</v>
      </c>
      <c r="O176" s="4">
        <f>Tab_03.Mar[[#This Row],[DÉBITO]]-Tab_03.Mar[[#This Row],[CRÉDITO]]</f>
        <v>4191.8999999999996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SUMIFS(Tab_02.Fev[SALDO
ATUAL],Tab_02.Fev[CONTA],$I177)</f>
        <v>645.88</v>
      </c>
      <c r="G177" s="4">
        <f t="shared" si="4"/>
        <v>-258.16000000000003</v>
      </c>
      <c r="H177" s="137"/>
      <c r="I177" s="3" t="s">
        <v>439</v>
      </c>
      <c r="J177" s="3" t="s">
        <v>440</v>
      </c>
      <c r="K177" s="4">
        <v>904.04</v>
      </c>
      <c r="L177" s="4">
        <v>1026.99</v>
      </c>
      <c r="M177" s="4">
        <v>312.72000000000003</v>
      </c>
      <c r="N177" s="4">
        <v>1618.31</v>
      </c>
      <c r="O177" s="4">
        <f>Tab_03.Mar[[#This Row],[DÉBITO]]-Tab_03.Mar[[#This Row],[CRÉDITO]]</f>
        <v>714.27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S</v>
      </c>
      <c r="E178" s="2">
        <f>IF($I178="","",COUNTIFS(Tab_00.Trial[CONTA],$I178))</f>
        <v>1</v>
      </c>
      <c r="F178" s="4">
        <f>SUMIFS(Tab_02.Fev[SALDO
ATUAL],Tab_02.Fev[CONTA],$I178)</f>
        <v>2235.4699999999998</v>
      </c>
      <c r="G178" s="4">
        <f t="shared" si="4"/>
        <v>0</v>
      </c>
      <c r="H178" s="137"/>
      <c r="I178" s="3" t="s">
        <v>592</v>
      </c>
      <c r="J178" s="3" t="s">
        <v>699</v>
      </c>
      <c r="K178" s="4">
        <v>2235.4699999999998</v>
      </c>
      <c r="L178" s="4">
        <v>3552.79</v>
      </c>
      <c r="M178" s="4">
        <v>0</v>
      </c>
      <c r="N178" s="4">
        <v>5788.26</v>
      </c>
      <c r="O178" s="4">
        <f>Tab_03.Mar[[#This Row],[DÉBITO]]-Tab_03.Mar[[#This Row],[CRÉDITO]]</f>
        <v>3552.79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SUMIFS(Tab_02.Fev[SALDO
ATUAL],Tab_02.Fev[CONTA],$I179)</f>
        <v>2235.4699999999998</v>
      </c>
      <c r="G179" s="4">
        <f t="shared" si="4"/>
        <v>0</v>
      </c>
      <c r="H179" s="137"/>
      <c r="I179" s="3" t="s">
        <v>397</v>
      </c>
      <c r="J179" s="3" t="s">
        <v>398</v>
      </c>
      <c r="K179" s="4">
        <v>2235.4699999999998</v>
      </c>
      <c r="L179" s="4">
        <v>3552.79</v>
      </c>
      <c r="M179" s="4">
        <v>0</v>
      </c>
      <c r="N179" s="4">
        <v>5788.26</v>
      </c>
      <c r="O179" s="4">
        <f>Tab_03.Mar[[#This Row],[DÉBITO]]-Tab_03.Mar[[#This Row],[CRÉDITO]]</f>
        <v>3552.79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S</v>
      </c>
      <c r="E180" s="2">
        <f>IF($I180="","",COUNTIFS(Tab_00.Trial[CONTA],$I180))</f>
        <v>1</v>
      </c>
      <c r="F180" s="4">
        <f>SUMIFS(Tab_02.Fev[SALDO
ATUAL],Tab_02.Fev[CONTA],$I180)</f>
        <v>63656.11</v>
      </c>
      <c r="G180" s="4">
        <f t="shared" si="4"/>
        <v>-374.53</v>
      </c>
      <c r="H180" s="137"/>
      <c r="I180" s="3" t="s">
        <v>593</v>
      </c>
      <c r="J180" s="3" t="s">
        <v>711</v>
      </c>
      <c r="K180" s="4">
        <v>64030.64</v>
      </c>
      <c r="L180" s="4">
        <v>31176.29</v>
      </c>
      <c r="M180" s="4">
        <v>0</v>
      </c>
      <c r="N180" s="4">
        <v>95206.93</v>
      </c>
      <c r="O180" s="4">
        <f>Tab_03.Mar[[#This Row],[DÉBITO]]-Tab_03.Mar[[#This Row],[CRÉDITO]]</f>
        <v>31176.29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SUMIFS(Tab_02.Fev[SALDO
ATUAL],Tab_02.Fev[CONTA],$I181)</f>
        <v>8271.92</v>
      </c>
      <c r="G181" s="4">
        <f t="shared" si="4"/>
        <v>0</v>
      </c>
      <c r="H181" s="137"/>
      <c r="I181" s="3" t="s">
        <v>403</v>
      </c>
      <c r="J181" s="3" t="s">
        <v>404</v>
      </c>
      <c r="K181" s="4">
        <v>8271.92</v>
      </c>
      <c r="L181" s="4">
        <v>4135.96</v>
      </c>
      <c r="M181" s="4">
        <v>0</v>
      </c>
      <c r="N181" s="4">
        <v>12407.88</v>
      </c>
      <c r="O181" s="4">
        <f>Tab_03.Mar[[#This Row],[DÉBITO]]-Tab_03.Mar[[#This Row],[CRÉDITO]]</f>
        <v>4135.96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SUMIFS(Tab_02.Fev[SALDO
ATUAL],Tab_02.Fev[CONTA],$I182)</f>
        <v>53137</v>
      </c>
      <c r="G182" s="4">
        <f t="shared" si="4"/>
        <v>0</v>
      </c>
      <c r="H182" s="137"/>
      <c r="I182" s="3" t="s">
        <v>405</v>
      </c>
      <c r="J182" s="3" t="s">
        <v>406</v>
      </c>
      <c r="K182" s="4">
        <v>53137</v>
      </c>
      <c r="L182" s="4">
        <v>23310</v>
      </c>
      <c r="M182" s="4">
        <v>0</v>
      </c>
      <c r="N182" s="4">
        <v>76447</v>
      </c>
      <c r="O182" s="4">
        <f>Tab_03.Mar[[#This Row],[DÉBITO]]-Tab_03.Mar[[#This Row],[CRÉDITO]]</f>
        <v>23310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SUMIFS(Tab_02.Fev[SALDO
ATUAL],Tab_02.Fev[CONTA],$I183)</f>
        <v>2247.19</v>
      </c>
      <c r="G183" s="4">
        <f t="shared" si="4"/>
        <v>-374.53</v>
      </c>
      <c r="H183" s="137"/>
      <c r="I183" s="3" t="s">
        <v>407</v>
      </c>
      <c r="J183" s="3" t="s">
        <v>408</v>
      </c>
      <c r="K183" s="4">
        <v>2621.72</v>
      </c>
      <c r="L183" s="4">
        <v>3730.33</v>
      </c>
      <c r="M183" s="4">
        <v>0</v>
      </c>
      <c r="N183" s="4">
        <v>6352.05</v>
      </c>
      <c r="O183" s="4">
        <f>Tab_03.Mar[[#This Row],[DÉBITO]]-Tab_03.Mar[[#This Row],[CRÉDITO]]</f>
        <v>3730.33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S</v>
      </c>
      <c r="E184" s="2">
        <f>IF($I184="","",COUNTIFS(Tab_00.Trial[CONTA],$I184))</f>
        <v>1</v>
      </c>
      <c r="F184" s="4">
        <f>SUMIFS(Tab_02.Fev[SALDO
ATUAL],Tab_02.Fev[CONTA],$I184)</f>
        <v>1590.84</v>
      </c>
      <c r="G184" s="4">
        <f t="shared" si="4"/>
        <v>0</v>
      </c>
      <c r="H184" s="137"/>
      <c r="I184" s="3" t="s">
        <v>594</v>
      </c>
      <c r="J184" s="3" t="s">
        <v>825</v>
      </c>
      <c r="K184" s="4">
        <v>1590.84</v>
      </c>
      <c r="L184" s="4">
        <v>832.04</v>
      </c>
      <c r="M184" s="4">
        <v>0</v>
      </c>
      <c r="N184" s="4">
        <v>2422.88</v>
      </c>
      <c r="O184" s="4">
        <f>Tab_03.Mar[[#This Row],[DÉBITO]]-Tab_03.Mar[[#This Row],[CRÉDITO]]</f>
        <v>832.04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SUMIFS(Tab_02.Fev[SALDO
ATUAL],Tab_02.Fev[CONTA],$I185)</f>
        <v>300</v>
      </c>
      <c r="G185" s="4">
        <f t="shared" si="4"/>
        <v>0</v>
      </c>
      <c r="H185" s="137"/>
      <c r="I185" s="3" t="s">
        <v>411</v>
      </c>
      <c r="J185" s="3" t="s">
        <v>412</v>
      </c>
      <c r="K185" s="4">
        <v>300</v>
      </c>
      <c r="L185" s="4">
        <v>0</v>
      </c>
      <c r="M185" s="4">
        <v>0</v>
      </c>
      <c r="N185" s="4">
        <v>300</v>
      </c>
      <c r="O185" s="4">
        <f>Tab_03.Mar[[#This Row],[DÉBITO]]-Tab_03.Mar[[#This Row],[CRÉDITO]]</f>
        <v>0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SUMIFS(Tab_02.Fev[SALDO
ATUAL],Tab_02.Fev[CONTA],$I186)</f>
        <v>1290.8399999999999</v>
      </c>
      <c r="G186" s="4">
        <f t="shared" si="4"/>
        <v>0</v>
      </c>
      <c r="H186" s="137"/>
      <c r="I186" s="3" t="s">
        <v>413</v>
      </c>
      <c r="J186" s="3" t="s">
        <v>414</v>
      </c>
      <c r="K186" s="4">
        <v>1290.8399999999999</v>
      </c>
      <c r="L186" s="4">
        <v>832.04</v>
      </c>
      <c r="M186" s="4">
        <v>0</v>
      </c>
      <c r="N186" s="4">
        <v>2122.88</v>
      </c>
      <c r="O186" s="4">
        <f>Tab_03.Mar[[#This Row],[DÉBITO]]-Tab_03.Mar[[#This Row],[CRÉDITO]]</f>
        <v>832.04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S</v>
      </c>
      <c r="E187" s="2">
        <f>IF($I187="","",COUNTIFS(Tab_00.Trial[CONTA],$I187))</f>
        <v>1</v>
      </c>
      <c r="F187" s="4">
        <f>SUMIFS(Tab_02.Fev[SALDO
ATUAL],Tab_02.Fev[CONTA],$I187)</f>
        <v>854.52</v>
      </c>
      <c r="G187" s="4">
        <f t="shared" si="4"/>
        <v>0</v>
      </c>
      <c r="H187" s="137"/>
      <c r="I187" s="3" t="s">
        <v>595</v>
      </c>
      <c r="J187" s="3" t="s">
        <v>420</v>
      </c>
      <c r="K187" s="4">
        <v>854.52</v>
      </c>
      <c r="L187" s="4">
        <v>427.26</v>
      </c>
      <c r="M187" s="4">
        <v>0</v>
      </c>
      <c r="N187" s="4">
        <v>1281.78</v>
      </c>
      <c r="O187" s="4">
        <f>Tab_03.Mar[[#This Row],[DÉBITO]]-Tab_03.Mar[[#This Row],[CRÉDITO]]</f>
        <v>427.26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SUMIFS(Tab_02.Fev[SALDO
ATUAL],Tab_02.Fev[CONTA],$I188)</f>
        <v>854.52</v>
      </c>
      <c r="G188" s="4">
        <f t="shared" si="4"/>
        <v>0</v>
      </c>
      <c r="H188" s="137"/>
      <c r="I188" s="3" t="s">
        <v>419</v>
      </c>
      <c r="J188" s="3" t="s">
        <v>420</v>
      </c>
      <c r="K188" s="4">
        <v>854.52</v>
      </c>
      <c r="L188" s="4">
        <v>427.26</v>
      </c>
      <c r="M188" s="4">
        <v>0</v>
      </c>
      <c r="N188" s="4">
        <v>1281.78</v>
      </c>
      <c r="O188" s="4">
        <f>Tab_03.Mar[[#This Row],[DÉBITO]]-Tab_03.Mar[[#This Row],[CRÉDITO]]</f>
        <v>427.26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S</v>
      </c>
      <c r="E189" s="2">
        <f>IF($I189="","",COUNTIFS(Tab_00.Trial[CONTA],$I189))</f>
        <v>1</v>
      </c>
      <c r="F189" s="4">
        <f>SUMIFS(Tab_02.Fev[SALDO
ATUAL],Tab_02.Fev[CONTA],$I189)</f>
        <v>1029818.25</v>
      </c>
      <c r="G189" s="4">
        <f t="shared" si="4"/>
        <v>-845693.86</v>
      </c>
      <c r="H189" s="137"/>
      <c r="I189" s="3" t="s">
        <v>237</v>
      </c>
      <c r="J189" s="3" t="s">
        <v>702</v>
      </c>
      <c r="K189" s="4">
        <v>1875512.11</v>
      </c>
      <c r="L189" s="4">
        <v>402105.77</v>
      </c>
      <c r="M189" s="4">
        <v>0</v>
      </c>
      <c r="N189" s="4">
        <v>2277617.88</v>
      </c>
      <c r="O189" s="4">
        <f>Tab_03.Mar[[#This Row],[DÉBITO]]-Tab_03.Mar[[#This Row],[CRÉDITO]]</f>
        <v>402105.77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S</v>
      </c>
      <c r="E190" s="2">
        <f>IF($I190="","",COUNTIFS(Tab_00.Trial[CONTA],$I190))</f>
        <v>1</v>
      </c>
      <c r="F190" s="4">
        <f>SUMIFS(Tab_02.Fev[SALDO
ATUAL],Tab_02.Fev[CONTA],$I190)</f>
        <v>1029818.25</v>
      </c>
      <c r="G190" s="4">
        <f t="shared" si="4"/>
        <v>-845693.86</v>
      </c>
      <c r="H190" s="137"/>
      <c r="I190" s="3" t="s">
        <v>238</v>
      </c>
      <c r="J190" s="3" t="s">
        <v>826</v>
      </c>
      <c r="K190" s="4">
        <v>1875512.11</v>
      </c>
      <c r="L190" s="4">
        <v>402105.77</v>
      </c>
      <c r="M190" s="4">
        <v>0</v>
      </c>
      <c r="N190" s="4">
        <v>2277617.88</v>
      </c>
      <c r="O190" s="4">
        <f>Tab_03.Mar[[#This Row],[DÉBITO]]-Tab_03.Mar[[#This Row],[CRÉDITO]]</f>
        <v>402105.77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SUMIFS(Tab_02.Fev[SALDO
ATUAL],Tab_02.Fev[CONTA],$I191)</f>
        <v>187419.37</v>
      </c>
      <c r="G191" s="4">
        <f t="shared" si="4"/>
        <v>-247534.56</v>
      </c>
      <c r="H191" s="137"/>
      <c r="I191" s="3" t="s">
        <v>421</v>
      </c>
      <c r="J191" s="3" t="s">
        <v>422</v>
      </c>
      <c r="K191" s="4">
        <v>434953.93</v>
      </c>
      <c r="L191" s="4">
        <v>247414.93</v>
      </c>
      <c r="M191" s="4">
        <v>0</v>
      </c>
      <c r="N191" s="4">
        <v>682368.86</v>
      </c>
      <c r="O191" s="4">
        <f>Tab_03.Mar[[#This Row],[DÉBITO]]-Tab_03.Mar[[#This Row],[CRÉDITO]]</f>
        <v>247414.93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SUMIFS(Tab_02.Fev[SALDO
ATUAL],Tab_02.Fev[CONTA],$I192)</f>
        <v>122569.24</v>
      </c>
      <c r="G192" s="4">
        <f t="shared" si="4"/>
        <v>-105237.96</v>
      </c>
      <c r="H192" s="137"/>
      <c r="I192" s="3" t="s">
        <v>738</v>
      </c>
      <c r="J192" s="3" t="s">
        <v>367</v>
      </c>
      <c r="K192" s="4">
        <v>227807.2</v>
      </c>
      <c r="L192" s="4">
        <v>154690.84</v>
      </c>
      <c r="M192" s="4">
        <v>0</v>
      </c>
      <c r="N192" s="4">
        <v>382498.04</v>
      </c>
      <c r="O192" s="4">
        <f>Tab_03.Mar[[#This Row],[DÉBITO]]-Tab_03.Mar[[#This Row],[CRÉDITO]]</f>
        <v>154690.84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SUMIFS(Tab_02.Fev[SALDO
ATUAL],Tab_02.Fev[CONTA],$I193)</f>
        <v>719829.64</v>
      </c>
      <c r="G193" s="4">
        <f t="shared" si="4"/>
        <v>-492921.34</v>
      </c>
      <c r="H193" s="137"/>
      <c r="I193" s="3" t="s">
        <v>423</v>
      </c>
      <c r="J193" s="3" t="s">
        <v>424</v>
      </c>
      <c r="K193" s="4">
        <v>1212750.98</v>
      </c>
      <c r="L193" s="4">
        <v>0</v>
      </c>
      <c r="M193" s="4">
        <v>0</v>
      </c>
      <c r="N193" s="4">
        <v>1212750.98</v>
      </c>
      <c r="O193" s="4">
        <f>Tab_03.Mar[[#This Row],[DÉBITO]]-Tab_03.Mar[[#This Row],[CRÉDITO]]</f>
        <v>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1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SUMIFS(Tab_02.Fev[SALDO
ATUAL],Tab_02.Fev[CONTA],$I194)</f>
        <v>517611.81</v>
      </c>
      <c r="G194" s="4">
        <f t="shared" si="4"/>
        <v>-279558.71999999997</v>
      </c>
      <c r="H194" s="137"/>
      <c r="I194" s="3">
        <v>5</v>
      </c>
      <c r="J194" s="3" t="s">
        <v>705</v>
      </c>
      <c r="K194" s="4">
        <v>797170.53</v>
      </c>
      <c r="L194" s="4">
        <v>230271.59</v>
      </c>
      <c r="M194" s="4">
        <v>215.75</v>
      </c>
      <c r="N194" s="4">
        <v>1027226.37</v>
      </c>
      <c r="O194" s="4">
        <f>Tab_03.Mar[[#This Row],[DÉBITO]]-Tab_03.Mar[[#This Row],[CRÉDITO]]</f>
        <v>230055.84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2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SUMIFS(Tab_02.Fev[SALDO
ATUAL],Tab_02.Fev[CONTA],$I195)</f>
        <v>517530.81</v>
      </c>
      <c r="G195" s="4">
        <f t="shared" si="4"/>
        <v>-279558.71999999997</v>
      </c>
      <c r="H195" s="137"/>
      <c r="I195" s="3" t="s">
        <v>599</v>
      </c>
      <c r="J195" s="3" t="s">
        <v>827</v>
      </c>
      <c r="K195" s="4">
        <v>797089.53</v>
      </c>
      <c r="L195" s="4">
        <v>230271.59</v>
      </c>
      <c r="M195" s="4">
        <v>215.75</v>
      </c>
      <c r="N195" s="4">
        <v>1027145.37</v>
      </c>
      <c r="O195" s="4">
        <f>Tab_03.Mar[[#This Row],[DÉBITO]]-Tab_03.Mar[[#This Row],[CRÉDITO]]</f>
        <v>230055.84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S</v>
      </c>
      <c r="E196" s="2">
        <f>IF($I196="","",COUNTIFS(Tab_00.Trial[CONTA],$I196))</f>
        <v>1</v>
      </c>
      <c r="F196" s="4">
        <f>SUMIFS(Tab_02.Fev[SALDO
ATUAL],Tab_02.Fev[CONTA],$I196)</f>
        <v>303321.3</v>
      </c>
      <c r="G196" s="4">
        <f t="shared" si="4"/>
        <v>-190607.53</v>
      </c>
      <c r="H196" s="137"/>
      <c r="I196" s="3" t="s">
        <v>600</v>
      </c>
      <c r="J196" s="3" t="s">
        <v>706</v>
      </c>
      <c r="K196" s="4">
        <v>493928.83</v>
      </c>
      <c r="L196" s="4">
        <v>66694.33</v>
      </c>
      <c r="M196" s="4">
        <v>215.75</v>
      </c>
      <c r="N196" s="4">
        <v>560407.41</v>
      </c>
      <c r="O196" s="4">
        <f>Tab_03.Mar[[#This Row],[DÉBITO]]-Tab_03.Mar[[#This Row],[CRÉDITO]]</f>
        <v>66478.58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SUMIFS(Tab_02.Fev[SALDO
ATUAL],Tab_02.Fev[CONTA],$I197)</f>
        <v>88515.91</v>
      </c>
      <c r="G197" s="4">
        <f t="shared" si="4"/>
        <v>-171114.77</v>
      </c>
      <c r="H197" s="137"/>
      <c r="I197" s="3" t="s">
        <v>601</v>
      </c>
      <c r="J197" s="3" t="s">
        <v>707</v>
      </c>
      <c r="K197" s="4">
        <v>259630.68</v>
      </c>
      <c r="L197" s="4">
        <v>55102.64</v>
      </c>
      <c r="M197" s="4">
        <v>54.32</v>
      </c>
      <c r="N197" s="4">
        <v>314679</v>
      </c>
      <c r="O197" s="4">
        <f>Tab_03.Mar[[#This Row],[DÉBITO]]-Tab_03.Mar[[#This Row],[CRÉDITO]]</f>
        <v>55048.32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SUMIFS(Tab_02.Fev[SALDO
ATUAL],Tab_02.Fev[CONTA],$I198)</f>
        <v>54518.48</v>
      </c>
      <c r="G198" s="4">
        <f t="shared" si="4"/>
        <v>-62264.42</v>
      </c>
      <c r="H198" s="137"/>
      <c r="I198" s="3" t="s">
        <v>441</v>
      </c>
      <c r="J198" s="3" t="s">
        <v>427</v>
      </c>
      <c r="K198" s="4">
        <v>116782.9</v>
      </c>
      <c r="L198" s="4">
        <v>45873.4</v>
      </c>
      <c r="M198" s="4">
        <v>0</v>
      </c>
      <c r="N198" s="4">
        <v>162656.29999999999</v>
      </c>
      <c r="O198" s="4">
        <f>Tab_03.Mar[[#This Row],[DÉBITO]]-Tab_03.Mar[[#This Row],[CRÉDITO]]</f>
        <v>45873.4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SUMIFS(Tab_02.Fev[SALDO
ATUAL],Tab_02.Fev[CONTA],$I199)</f>
        <v>10254.450000000001</v>
      </c>
      <c r="G199" s="4">
        <f t="shared" si="4"/>
        <v>-13703.14</v>
      </c>
      <c r="H199" s="137"/>
      <c r="I199" s="3" t="s">
        <v>443</v>
      </c>
      <c r="J199" s="3" t="s">
        <v>431</v>
      </c>
      <c r="K199" s="4">
        <v>23957.59</v>
      </c>
      <c r="L199" s="4">
        <v>4442.91</v>
      </c>
      <c r="M199" s="4">
        <v>0</v>
      </c>
      <c r="N199" s="4">
        <v>28400.5</v>
      </c>
      <c r="O199" s="4">
        <f>Tab_03.Mar[[#This Row],[DÉBITO]]-Tab_03.Mar[[#This Row],[CRÉDITO]]</f>
        <v>4442.91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SUMIFS(Tab_02.Fev[SALDO
ATUAL],Tab_02.Fev[CONTA],$I200)</f>
        <v>6223.05</v>
      </c>
      <c r="G200" s="4">
        <f t="shared" si="4"/>
        <v>-12192.51</v>
      </c>
      <c r="H200" s="137"/>
      <c r="I200" s="3" t="s">
        <v>444</v>
      </c>
      <c r="J200" s="3" t="s">
        <v>433</v>
      </c>
      <c r="K200" s="4">
        <v>18415.560000000001</v>
      </c>
      <c r="L200" s="4">
        <v>3238.34</v>
      </c>
      <c r="M200" s="4">
        <v>0</v>
      </c>
      <c r="N200" s="4">
        <v>21653.9</v>
      </c>
      <c r="O200" s="4">
        <f>Tab_03.Mar[[#This Row],[DÉBITO]]-Tab_03.Mar[[#This Row],[CRÉDITO]]</f>
        <v>3238.34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SUMIFS(Tab_02.Fev[SALDO
ATUAL],Tab_02.Fev[CONTA],$I201)</f>
        <v>0</v>
      </c>
      <c r="G201" s="4">
        <f t="shared" si="4"/>
        <v>-85959.77</v>
      </c>
      <c r="H201" s="137"/>
      <c r="I201" s="3" t="s">
        <v>777</v>
      </c>
      <c r="J201" s="3" t="s">
        <v>749</v>
      </c>
      <c r="K201" s="4">
        <v>85959.77</v>
      </c>
      <c r="L201" s="4">
        <v>0</v>
      </c>
      <c r="M201" s="4">
        <v>0</v>
      </c>
      <c r="N201" s="4">
        <v>85959.77</v>
      </c>
      <c r="O201" s="4">
        <f>Tab_03.Mar[[#This Row],[DÉBITO]]-Tab_03.Mar[[#This Row],[CRÉDITO]]</f>
        <v>0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SUMIFS(Tab_02.Fev[SALDO
ATUAL],Tab_02.Fev[CONTA],$I202)</f>
        <v>862.74</v>
      </c>
      <c r="G202" s="4">
        <f t="shared" si="4"/>
        <v>0</v>
      </c>
      <c r="H202" s="137"/>
      <c r="I202" s="3" t="s">
        <v>808</v>
      </c>
      <c r="J202" s="3" t="s">
        <v>797</v>
      </c>
      <c r="K202" s="4">
        <v>862.74</v>
      </c>
      <c r="L202" s="4">
        <v>0</v>
      </c>
      <c r="M202" s="4">
        <v>0</v>
      </c>
      <c r="N202" s="4">
        <v>862.74</v>
      </c>
      <c r="O202" s="4">
        <f>Tab_03.Mar[[#This Row],[DÉBITO]]-Tab_03.Mar[[#This Row],[CRÉDITO]]</f>
        <v>0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SUMIFS(Tab_02.Fev[SALDO
ATUAL],Tab_02.Fev[CONTA],$I203)</f>
        <v>14346.41</v>
      </c>
      <c r="G203" s="4">
        <f t="shared" si="4"/>
        <v>5232.99</v>
      </c>
      <c r="H203" s="137"/>
      <c r="I203" s="3" t="s">
        <v>809</v>
      </c>
      <c r="J203" s="3" t="s">
        <v>799</v>
      </c>
      <c r="K203" s="4">
        <v>9113.42</v>
      </c>
      <c r="L203" s="4">
        <v>345.44</v>
      </c>
      <c r="M203" s="4">
        <v>0</v>
      </c>
      <c r="N203" s="4">
        <v>9458.86</v>
      </c>
      <c r="O203" s="4">
        <f>Tab_03.Mar[[#This Row],[DÉBITO]]-Tab_03.Mar[[#This Row],[CRÉDITO]]</f>
        <v>345.44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SUMIFS(Tab_02.Fev[SALDO
ATUAL],Tab_02.Fev[CONTA],$I204)</f>
        <v>82.97</v>
      </c>
      <c r="G204" s="4">
        <f t="shared" si="4"/>
        <v>0</v>
      </c>
      <c r="H204" s="137"/>
      <c r="I204" s="3" t="s">
        <v>810</v>
      </c>
      <c r="J204" s="3" t="s">
        <v>801</v>
      </c>
      <c r="K204" s="4">
        <v>82.97</v>
      </c>
      <c r="L204" s="4">
        <v>43.19</v>
      </c>
      <c r="M204" s="4">
        <v>54.32</v>
      </c>
      <c r="N204" s="4">
        <v>71.84</v>
      </c>
      <c r="O204" s="4">
        <f>Tab_03.Mar[[#This Row],[DÉBITO]]-Tab_03.Mar[[#This Row],[CRÉDITO]]</f>
        <v>-11.13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SUMIFS(Tab_02.Fev[SALDO
ATUAL],Tab_02.Fev[CONTA],$I205)</f>
        <v>1667.78</v>
      </c>
      <c r="G205" s="4">
        <f t="shared" si="4"/>
        <v>-1667.83</v>
      </c>
      <c r="H205" s="137"/>
      <c r="I205" s="3" t="s">
        <v>811</v>
      </c>
      <c r="J205" s="3" t="s">
        <v>803</v>
      </c>
      <c r="K205" s="4">
        <v>3335.61</v>
      </c>
      <c r="L205" s="4">
        <v>867.9</v>
      </c>
      <c r="M205" s="4">
        <v>0</v>
      </c>
      <c r="N205" s="4">
        <v>4203.51</v>
      </c>
      <c r="O205" s="4">
        <f>Tab_03.Mar[[#This Row],[DÉBITO]]-Tab_03.Mar[[#This Row],[CRÉDITO]]</f>
        <v>867.9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SUMIFS(Tab_02.Fev[SALDO
ATUAL],Tab_02.Fev[CONTA],$I206)</f>
        <v>497.81</v>
      </c>
      <c r="G206" s="4">
        <f t="shared" si="4"/>
        <v>-497.85</v>
      </c>
      <c r="H206" s="137"/>
      <c r="I206" s="3" t="s">
        <v>812</v>
      </c>
      <c r="J206" s="3" t="s">
        <v>805</v>
      </c>
      <c r="K206" s="4">
        <v>995.66</v>
      </c>
      <c r="L206" s="4">
        <v>259.08</v>
      </c>
      <c r="M206" s="4">
        <v>0</v>
      </c>
      <c r="N206" s="4">
        <v>1254.74</v>
      </c>
      <c r="O206" s="4">
        <f>Tab_03.Mar[[#This Row],[DÉBITO]]-Tab_03.Mar[[#This Row],[CRÉDITO]]</f>
        <v>259.08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SUMIFS(Tab_02.Fev[SALDO
ATUAL],Tab_02.Fev[CONTA],$I207)</f>
        <v>62.22</v>
      </c>
      <c r="G207" s="4">
        <f t="shared" ref="G207:G231" si="5">$F207-$K207</f>
        <v>-62.24</v>
      </c>
      <c r="H207" s="137"/>
      <c r="I207" s="3" t="s">
        <v>813</v>
      </c>
      <c r="J207" s="3" t="s">
        <v>807</v>
      </c>
      <c r="K207" s="4">
        <v>124.46</v>
      </c>
      <c r="L207" s="4">
        <v>32.380000000000003</v>
      </c>
      <c r="M207" s="4">
        <v>0</v>
      </c>
      <c r="N207" s="4">
        <v>156.84</v>
      </c>
      <c r="O207" s="4">
        <f>Tab_03.Mar[[#This Row],[DÉBITO]]-Tab_03.Mar[[#This Row],[CRÉDITO]]</f>
        <v>32.380000000000003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S</v>
      </c>
      <c r="E208" s="2">
        <f>IF($I208="","",COUNTIFS(Tab_00.Trial[CONTA],$I208))</f>
        <v>1</v>
      </c>
      <c r="F208" s="4">
        <f>SUMIFS(Tab_02.Fev[SALDO
ATUAL],Tab_02.Fev[CONTA],$I208)</f>
        <v>1014</v>
      </c>
      <c r="G208" s="4">
        <f t="shared" si="5"/>
        <v>0</v>
      </c>
      <c r="H208" s="137"/>
      <c r="I208" s="3" t="s">
        <v>602</v>
      </c>
      <c r="J208" s="3" t="s">
        <v>708</v>
      </c>
      <c r="K208" s="4">
        <v>1014</v>
      </c>
      <c r="L208" s="4">
        <v>161.43</v>
      </c>
      <c r="M208" s="4">
        <v>161.43</v>
      </c>
      <c r="N208" s="4">
        <v>1014</v>
      </c>
      <c r="O208" s="4">
        <f>Tab_03.Mar[[#This Row],[DÉBITO]]-Tab_03.Mar[[#This Row],[CRÉDITO]]</f>
        <v>0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SUMIFS(Tab_02.Fev[SALDO
ATUAL],Tab_02.Fev[CONTA],$I209)</f>
        <v>0</v>
      </c>
      <c r="G209" s="4">
        <f t="shared" si="5"/>
        <v>0</v>
      </c>
      <c r="H209" s="137"/>
      <c r="I209" s="3" t="s">
        <v>774</v>
      </c>
      <c r="J209" s="3" t="s">
        <v>435</v>
      </c>
      <c r="K209" s="4">
        <v>0</v>
      </c>
      <c r="L209" s="4">
        <v>161.43</v>
      </c>
      <c r="M209" s="4">
        <v>161.43</v>
      </c>
      <c r="N209" s="4">
        <v>0</v>
      </c>
      <c r="O209" s="4">
        <f>Tab_03.Mar[[#This Row],[DÉBITO]]-Tab_03.Mar[[#This Row],[CRÉDITO]]</f>
        <v>0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SUMIFS(Tab_02.Fev[SALDO
ATUAL],Tab_02.Fev[CONTA],$I210)</f>
        <v>1014</v>
      </c>
      <c r="G210" s="4">
        <f t="shared" si="5"/>
        <v>0</v>
      </c>
      <c r="H210" s="137"/>
      <c r="I210" s="3" t="s">
        <v>455</v>
      </c>
      <c r="J210" s="3" t="s">
        <v>456</v>
      </c>
      <c r="K210" s="4">
        <v>1014</v>
      </c>
      <c r="L210" s="4">
        <v>0</v>
      </c>
      <c r="M210" s="4">
        <v>0</v>
      </c>
      <c r="N210" s="4">
        <v>1014</v>
      </c>
      <c r="O210" s="4">
        <f>Tab_03.Mar[[#This Row],[DÉBITO]]-Tab_03.Mar[[#This Row],[CRÉDITO]]</f>
        <v>0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S</v>
      </c>
      <c r="E211" s="2">
        <f>IF($I211="","",COUNTIFS(Tab_00.Trial[CONTA],$I211))</f>
        <v>1</v>
      </c>
      <c r="F211" s="4">
        <f>SUMIFS(Tab_02.Fev[SALDO
ATUAL],Tab_02.Fev[CONTA],$I211)</f>
        <v>213366.39</v>
      </c>
      <c r="G211" s="4">
        <f t="shared" si="5"/>
        <v>-19492.759999999998</v>
      </c>
      <c r="H211" s="137"/>
      <c r="I211" s="3" t="s">
        <v>603</v>
      </c>
      <c r="J211" s="3" t="s">
        <v>709</v>
      </c>
      <c r="K211" s="4">
        <v>232859.15</v>
      </c>
      <c r="L211" s="4">
        <v>11195.26</v>
      </c>
      <c r="M211" s="4">
        <v>0</v>
      </c>
      <c r="N211" s="4">
        <v>244054.41</v>
      </c>
      <c r="O211" s="4">
        <f>Tab_03.Mar[[#This Row],[DÉBITO]]-Tab_03.Mar[[#This Row],[CRÉDITO]]</f>
        <v>11195.26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SUMIFS(Tab_02.Fev[SALDO
ATUAL],Tab_02.Fev[CONTA],$I212)</f>
        <v>18491.599999999999</v>
      </c>
      <c r="G212" s="4">
        <f t="shared" si="5"/>
        <v>-16379.85</v>
      </c>
      <c r="H212" s="137"/>
      <c r="I212" s="3" t="s">
        <v>451</v>
      </c>
      <c r="J212" s="3" t="s">
        <v>437</v>
      </c>
      <c r="K212" s="4">
        <v>34871.449999999997</v>
      </c>
      <c r="L212" s="4">
        <v>8380.82</v>
      </c>
      <c r="M212" s="4">
        <v>0</v>
      </c>
      <c r="N212" s="4">
        <v>43252.27</v>
      </c>
      <c r="O212" s="4">
        <f>Tab_03.Mar[[#This Row],[DÉBITO]]-Tab_03.Mar[[#This Row],[CRÉDITO]]</f>
        <v>8380.82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SUMIFS(Tab_02.Fev[SALDO
ATUAL],Tab_02.Fev[CONTA],$I213)</f>
        <v>194184.81</v>
      </c>
      <c r="G213" s="4">
        <f t="shared" si="5"/>
        <v>-2501.7199999999998</v>
      </c>
      <c r="H213" s="137"/>
      <c r="I213" s="3" t="s">
        <v>452</v>
      </c>
      <c r="J213" s="3" t="s">
        <v>196</v>
      </c>
      <c r="K213" s="4">
        <v>196686.53</v>
      </c>
      <c r="L213" s="4">
        <v>2501.7199999999998</v>
      </c>
      <c r="M213" s="4">
        <v>0</v>
      </c>
      <c r="N213" s="4">
        <v>199188.25</v>
      </c>
      <c r="O213" s="4">
        <f>Tab_03.Mar[[#This Row],[DÉBITO]]-Tab_03.Mar[[#This Row],[CRÉDITO]]</f>
        <v>2501.7199999999998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SUMIFS(Tab_02.Fev[SALDO
ATUAL],Tab_02.Fev[CONTA],$I214)</f>
        <v>689.98</v>
      </c>
      <c r="G214" s="4">
        <f t="shared" si="5"/>
        <v>-611.19000000000005</v>
      </c>
      <c r="H214" s="137"/>
      <c r="I214" s="3" t="s">
        <v>453</v>
      </c>
      <c r="J214" s="3" t="s">
        <v>454</v>
      </c>
      <c r="K214" s="4">
        <v>1301.17</v>
      </c>
      <c r="L214" s="4">
        <v>312.72000000000003</v>
      </c>
      <c r="M214" s="4">
        <v>0</v>
      </c>
      <c r="N214" s="4">
        <v>1613.89</v>
      </c>
      <c r="O214" s="4">
        <f>Tab_03.Mar[[#This Row],[DÉBITO]]-Tab_03.Mar[[#This Row],[CRÉDITO]]</f>
        <v>312.72000000000003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S</v>
      </c>
      <c r="E215" s="2">
        <f>IF($I215="","",COUNTIFS(Tab_00.Trial[CONTA],$I215))</f>
        <v>1</v>
      </c>
      <c r="F215" s="4">
        <f>SUMIFS(Tab_02.Fev[SALDO
ATUAL],Tab_02.Fev[CONTA],$I215)</f>
        <v>425</v>
      </c>
      <c r="G215" s="4">
        <f t="shared" si="5"/>
        <v>0</v>
      </c>
      <c r="H215" s="137"/>
      <c r="I215" s="3" t="s">
        <v>604</v>
      </c>
      <c r="J215" s="3" t="s">
        <v>710</v>
      </c>
      <c r="K215" s="4">
        <v>425</v>
      </c>
      <c r="L215" s="4">
        <v>235</v>
      </c>
      <c r="M215" s="4">
        <v>0</v>
      </c>
      <c r="N215" s="4">
        <v>660</v>
      </c>
      <c r="O215" s="4">
        <f>Tab_03.Mar[[#This Row],[DÉBITO]]-Tab_03.Mar[[#This Row],[CRÉDITO]]</f>
        <v>235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SUMIFS(Tab_02.Fev[SALDO
ATUAL],Tab_02.Fev[CONTA],$I216)</f>
        <v>425</v>
      </c>
      <c r="G216" s="4">
        <f t="shared" si="5"/>
        <v>0</v>
      </c>
      <c r="H216" s="137"/>
      <c r="I216" s="3" t="s">
        <v>457</v>
      </c>
      <c r="J216" s="3" t="s">
        <v>458</v>
      </c>
      <c r="K216" s="4">
        <v>425</v>
      </c>
      <c r="L216" s="4">
        <v>235</v>
      </c>
      <c r="M216" s="4">
        <v>0</v>
      </c>
      <c r="N216" s="4">
        <v>660</v>
      </c>
      <c r="O216" s="4">
        <f>Tab_03.Mar[[#This Row],[DÉBITO]]-Tab_03.Mar[[#This Row],[CRÉDITO]]</f>
        <v>235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S</v>
      </c>
      <c r="E217" s="2">
        <f>IF($I217="","",COUNTIFS(Tab_00.Trial[CONTA],$I217))</f>
        <v>1</v>
      </c>
      <c r="F217" s="4">
        <f>SUMIFS(Tab_02.Fev[SALDO
ATUAL],Tab_02.Fev[CONTA],$I217)</f>
        <v>170274.83</v>
      </c>
      <c r="G217" s="4">
        <f t="shared" si="5"/>
        <v>-82966.080000000002</v>
      </c>
      <c r="H217" s="137"/>
      <c r="I217" s="3" t="s">
        <v>605</v>
      </c>
      <c r="J217" s="3" t="s">
        <v>711</v>
      </c>
      <c r="K217" s="4">
        <v>253240.91</v>
      </c>
      <c r="L217" s="4">
        <v>124829.59</v>
      </c>
      <c r="M217" s="4">
        <v>0</v>
      </c>
      <c r="N217" s="4">
        <v>378070.5</v>
      </c>
      <c r="O217" s="4">
        <f>Tab_03.Mar[[#This Row],[DÉBITO]]-Tab_03.Mar[[#This Row],[CRÉDITO]]</f>
        <v>124829.59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S</v>
      </c>
      <c r="E218" s="2">
        <f>IF($I218="","",COUNTIFS(Tab_00.Trial[CONTA],$I218))</f>
        <v>1</v>
      </c>
      <c r="F218" s="4">
        <f>SUMIFS(Tab_02.Fev[SALDO
ATUAL],Tab_02.Fev[CONTA],$I218)</f>
        <v>87308.75</v>
      </c>
      <c r="G218" s="4">
        <f t="shared" si="5"/>
        <v>0</v>
      </c>
      <c r="H218" s="137"/>
      <c r="I218" s="3" t="s">
        <v>606</v>
      </c>
      <c r="J218" s="3" t="s">
        <v>712</v>
      </c>
      <c r="K218" s="4">
        <v>87308.75</v>
      </c>
      <c r="L218" s="4">
        <v>41863.51</v>
      </c>
      <c r="M218" s="4">
        <v>0</v>
      </c>
      <c r="N218" s="4">
        <v>129172.26</v>
      </c>
      <c r="O218" s="4">
        <f>Tab_03.Mar[[#This Row],[DÉBITO]]-Tab_03.Mar[[#This Row],[CRÉDITO]]</f>
        <v>41863.51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SUMIFS(Tab_02.Fev[SALDO
ATUAL],Tab_02.Fev[CONTA],$I219)</f>
        <v>15269.24</v>
      </c>
      <c r="G219" s="4">
        <f t="shared" si="5"/>
        <v>0</v>
      </c>
      <c r="H219" s="137"/>
      <c r="I219" s="3" t="s">
        <v>459</v>
      </c>
      <c r="J219" s="3" t="s">
        <v>460</v>
      </c>
      <c r="K219" s="4">
        <v>15269.24</v>
      </c>
      <c r="L219" s="4">
        <v>7634.62</v>
      </c>
      <c r="M219" s="4">
        <v>0</v>
      </c>
      <c r="N219" s="4">
        <v>22903.86</v>
      </c>
      <c r="O219" s="4">
        <f>Tab_03.Mar[[#This Row],[DÉBITO]]-Tab_03.Mar[[#This Row],[CRÉDITO]]</f>
        <v>7634.62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SUMIFS(Tab_02.Fev[SALDO
ATUAL],Tab_02.Fev[CONTA],$I220)</f>
        <v>31107.03</v>
      </c>
      <c r="G220" s="4">
        <f t="shared" si="5"/>
        <v>0</v>
      </c>
      <c r="H220" s="137"/>
      <c r="I220" s="3" t="s">
        <v>461</v>
      </c>
      <c r="J220" s="3" t="s">
        <v>462</v>
      </c>
      <c r="K220" s="4">
        <v>31107.03</v>
      </c>
      <c r="L220" s="4">
        <v>13807.65</v>
      </c>
      <c r="M220" s="4">
        <v>0</v>
      </c>
      <c r="N220" s="4">
        <v>44914.68</v>
      </c>
      <c r="O220" s="4">
        <f>Tab_03.Mar[[#This Row],[DÉBITO]]-Tab_03.Mar[[#This Row],[CRÉDITO]]</f>
        <v>13807.65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SUMIFS(Tab_02.Fev[SALDO
ATUAL],Tab_02.Fev[CONTA],$I221)</f>
        <v>8958.9</v>
      </c>
      <c r="G221" s="4">
        <f t="shared" si="5"/>
        <v>0</v>
      </c>
      <c r="H221" s="137"/>
      <c r="I221" s="3" t="s">
        <v>465</v>
      </c>
      <c r="J221" s="3" t="s">
        <v>466</v>
      </c>
      <c r="K221" s="4">
        <v>8958.9</v>
      </c>
      <c r="L221" s="4">
        <v>4434.45</v>
      </c>
      <c r="M221" s="4">
        <v>0</v>
      </c>
      <c r="N221" s="4">
        <v>13393.35</v>
      </c>
      <c r="O221" s="4">
        <f>Tab_03.Mar[[#This Row],[DÉBITO]]-Tab_03.Mar[[#This Row],[CRÉDITO]]</f>
        <v>4434.45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SUMIFS(Tab_02.Fev[SALDO
ATUAL],Tab_02.Fev[CONTA],$I222)</f>
        <v>9000</v>
      </c>
      <c r="G222" s="4">
        <f t="shared" si="5"/>
        <v>0</v>
      </c>
      <c r="H222" s="137"/>
      <c r="I222" s="3" t="s">
        <v>473</v>
      </c>
      <c r="J222" s="3" t="s">
        <v>474</v>
      </c>
      <c r="K222" s="4">
        <v>9000</v>
      </c>
      <c r="L222" s="4">
        <v>4500</v>
      </c>
      <c r="M222" s="4">
        <v>0</v>
      </c>
      <c r="N222" s="4">
        <v>13500</v>
      </c>
      <c r="O222" s="4">
        <f>Tab_03.Mar[[#This Row],[DÉBITO]]-Tab_03.Mar[[#This Row],[CRÉDITO]]</f>
        <v>4500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SUMIFS(Tab_02.Fev[SALDO
ATUAL],Tab_02.Fev[CONTA],$I223)</f>
        <v>447.12</v>
      </c>
      <c r="G223" s="4">
        <f t="shared" si="5"/>
        <v>0</v>
      </c>
      <c r="H223" s="137"/>
      <c r="I223" s="3" t="s">
        <v>467</v>
      </c>
      <c r="J223" s="3" t="s">
        <v>468</v>
      </c>
      <c r="K223" s="4">
        <v>447.12</v>
      </c>
      <c r="L223" s="4">
        <v>223.56</v>
      </c>
      <c r="M223" s="4">
        <v>0</v>
      </c>
      <c r="N223" s="4">
        <v>670.68</v>
      </c>
      <c r="O223" s="4">
        <f>Tab_03.Mar[[#This Row],[DÉBITO]]-Tab_03.Mar[[#This Row],[CRÉDITO]]</f>
        <v>223.56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SUMIFS(Tab_02.Fev[SALDO
ATUAL],Tab_02.Fev[CONTA],$I224)</f>
        <v>13199.64</v>
      </c>
      <c r="G224" s="4">
        <f t="shared" si="5"/>
        <v>0</v>
      </c>
      <c r="H224" s="137"/>
      <c r="I224" s="3" t="s">
        <v>469</v>
      </c>
      <c r="J224" s="3" t="s">
        <v>470</v>
      </c>
      <c r="K224" s="4">
        <v>13199.64</v>
      </c>
      <c r="L224" s="4">
        <v>6599.82</v>
      </c>
      <c r="M224" s="4">
        <v>0</v>
      </c>
      <c r="N224" s="4">
        <v>19799.46</v>
      </c>
      <c r="O224" s="4">
        <f>Tab_03.Mar[[#This Row],[DÉBITO]]-Tab_03.Mar[[#This Row],[CRÉDITO]]</f>
        <v>6599.82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SUMIFS(Tab_02.Fev[SALDO
ATUAL],Tab_02.Fev[CONTA],$I225)</f>
        <v>9326.82</v>
      </c>
      <c r="G225" s="4">
        <f t="shared" si="5"/>
        <v>0</v>
      </c>
      <c r="H225" s="137"/>
      <c r="I225" s="3" t="s">
        <v>471</v>
      </c>
      <c r="J225" s="3" t="s">
        <v>472</v>
      </c>
      <c r="K225" s="4">
        <v>9326.82</v>
      </c>
      <c r="L225" s="4">
        <v>4663.41</v>
      </c>
      <c r="M225" s="4">
        <v>0</v>
      </c>
      <c r="N225" s="4">
        <v>13990.23</v>
      </c>
      <c r="O225" s="4">
        <f>Tab_03.Mar[[#This Row],[DÉBITO]]-Tab_03.Mar[[#This Row],[CRÉDITO]]</f>
        <v>4663.41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S</v>
      </c>
      <c r="E226" s="2">
        <f>IF($I226="","",COUNTIFS(Tab_00.Trial[CONTA],$I226))</f>
        <v>1</v>
      </c>
      <c r="F226" s="4">
        <f>SUMIFS(Tab_02.Fev[SALDO
ATUAL],Tab_02.Fev[CONTA],$I226)</f>
        <v>82966.080000000002</v>
      </c>
      <c r="G226" s="4">
        <f t="shared" si="5"/>
        <v>-82966.080000000002</v>
      </c>
      <c r="H226" s="137"/>
      <c r="I226" s="3" t="s">
        <v>608</v>
      </c>
      <c r="J226" s="3" t="s">
        <v>713</v>
      </c>
      <c r="K226" s="4">
        <v>165932.16</v>
      </c>
      <c r="L226" s="4">
        <v>82966.080000000002</v>
      </c>
      <c r="M226" s="4">
        <v>0</v>
      </c>
      <c r="N226" s="4">
        <v>248898.24</v>
      </c>
      <c r="O226" s="4">
        <f>Tab_03.Mar[[#This Row],[DÉBITO]]-Tab_03.Mar[[#This Row],[CRÉDITO]]</f>
        <v>82966.080000000002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SUMIFS(Tab_02.Fev[SALDO
ATUAL],Tab_02.Fev[CONTA],$I227)</f>
        <v>17980.080000000002</v>
      </c>
      <c r="G227" s="4">
        <f t="shared" si="5"/>
        <v>-17980.080000000002</v>
      </c>
      <c r="H227" s="137"/>
      <c r="I227" s="3" t="s">
        <v>741</v>
      </c>
      <c r="J227" s="3" t="s">
        <v>742</v>
      </c>
      <c r="K227" s="4">
        <v>35960.160000000003</v>
      </c>
      <c r="L227" s="4">
        <v>17980.080000000002</v>
      </c>
      <c r="M227" s="4">
        <v>0</v>
      </c>
      <c r="N227" s="4">
        <v>53940.24</v>
      </c>
      <c r="O227" s="4">
        <f>Tab_03.Mar[[#This Row],[DÉBITO]]-Tab_03.Mar[[#This Row],[CRÉDITO]]</f>
        <v>17980.080000000002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SUMIFS(Tab_02.Fev[SALDO
ATUAL],Tab_02.Fev[CONTA],$I228)</f>
        <v>7500</v>
      </c>
      <c r="G228" s="4">
        <f t="shared" si="5"/>
        <v>-7500</v>
      </c>
      <c r="H228" s="137"/>
      <c r="I228" s="3" t="s">
        <v>839</v>
      </c>
      <c r="J228" s="3" t="s">
        <v>840</v>
      </c>
      <c r="K228" s="4">
        <v>15000</v>
      </c>
      <c r="L228" s="4">
        <v>7500</v>
      </c>
      <c r="M228" s="4">
        <v>0</v>
      </c>
      <c r="N228" s="4">
        <v>22500</v>
      </c>
      <c r="O228" s="4">
        <f>Tab_03.Mar[[#This Row],[DÉBITO]]-Tab_03.Mar[[#This Row],[CRÉDITO]]</f>
        <v>7500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SUMIFS(Tab_02.Fev[SALDO
ATUAL],Tab_02.Fev[CONTA],$I229)</f>
        <v>57486</v>
      </c>
      <c r="G229" s="4">
        <f t="shared" si="5"/>
        <v>-57486</v>
      </c>
      <c r="H229" s="137"/>
      <c r="I229" s="3" t="s">
        <v>480</v>
      </c>
      <c r="J229" s="3" t="s">
        <v>481</v>
      </c>
      <c r="K229" s="4">
        <v>114972</v>
      </c>
      <c r="L229" s="4">
        <v>57486</v>
      </c>
      <c r="M229" s="4">
        <v>0</v>
      </c>
      <c r="N229" s="4">
        <v>172458</v>
      </c>
      <c r="O229" s="4">
        <f>Tab_03.Mar[[#This Row],[DÉBITO]]-Tab_03.Mar[[#This Row],[CRÉDITO]]</f>
        <v>57486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S</v>
      </c>
      <c r="E230" s="2">
        <f>IF($I230="","",COUNTIFS(Tab_00.Trial[CONTA],$I230))</f>
        <v>1</v>
      </c>
      <c r="F230" s="4">
        <f>SUMIFS(Tab_02.Fev[SALDO
ATUAL],Tab_02.Fev[CONTA],$I230)</f>
        <v>2250.62</v>
      </c>
      <c r="G230" s="4">
        <f t="shared" si="5"/>
        <v>-249.9</v>
      </c>
      <c r="H230" s="137"/>
      <c r="I230" s="3" t="s">
        <v>609</v>
      </c>
      <c r="J230" s="3" t="s">
        <v>714</v>
      </c>
      <c r="K230" s="4">
        <v>2500.52</v>
      </c>
      <c r="L230" s="4">
        <v>2391.23</v>
      </c>
      <c r="M230" s="4">
        <v>0</v>
      </c>
      <c r="N230" s="4">
        <v>4891.75</v>
      </c>
      <c r="O230" s="4">
        <f>Tab_03.Mar[[#This Row],[DÉBITO]]-Tab_03.Mar[[#This Row],[CRÉDITO]]</f>
        <v>2391.23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S</v>
      </c>
      <c r="E231" s="2">
        <f>IF($I231="","",COUNTIFS(Tab_00.Trial[CONTA],$I231))</f>
        <v>1</v>
      </c>
      <c r="F231" s="4">
        <f>SUMIFS(Tab_02.Fev[SALDO
ATUAL],Tab_02.Fev[CONTA],$I231)</f>
        <v>2250.62</v>
      </c>
      <c r="G231" s="4">
        <f t="shared" si="5"/>
        <v>-249.9</v>
      </c>
      <c r="H231" s="137"/>
      <c r="I231" s="3" t="s">
        <v>610</v>
      </c>
      <c r="J231" s="3" t="s">
        <v>714</v>
      </c>
      <c r="K231" s="4">
        <v>2500.52</v>
      </c>
      <c r="L231" s="4">
        <v>2391.23</v>
      </c>
      <c r="M231" s="4">
        <v>0</v>
      </c>
      <c r="N231" s="4">
        <v>4891.75</v>
      </c>
      <c r="O231" s="4">
        <f>Tab_03.Mar[[#This Row],[DÉBITO]]-Tab_03.Mar[[#This Row],[CRÉDITO]]</f>
        <v>2391.23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SUMIFS(Tab_02.Fev[SALDO
ATUAL],Tab_02.Fev[CONTA],$I232)</f>
        <v>1048.57</v>
      </c>
      <c r="G232" s="4">
        <f t="shared" ref="G232:G240" si="6">$F232-$K232</f>
        <v>-249.9</v>
      </c>
      <c r="H232" s="179"/>
      <c r="I232" s="3" t="s">
        <v>482</v>
      </c>
      <c r="J232" s="3" t="s">
        <v>483</v>
      </c>
      <c r="K232" s="4">
        <v>1298.47</v>
      </c>
      <c r="L232" s="4">
        <v>937.8</v>
      </c>
      <c r="M232" s="4">
        <v>0</v>
      </c>
      <c r="N232" s="4">
        <v>2236.27</v>
      </c>
      <c r="O232" s="4">
        <f>Tab_03.Mar[[#This Row],[DÉBITO]]-Tab_03.Mar[[#This Row],[CRÉDITO]]</f>
        <v>937.8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SUMIFS(Tab_02.Fev[SALDO
ATUAL],Tab_02.Fev[CONTA],$I233)</f>
        <v>1202.05</v>
      </c>
      <c r="G233" s="4">
        <f t="shared" si="6"/>
        <v>0</v>
      </c>
      <c r="H233" s="179"/>
      <c r="I233" s="3" t="s">
        <v>484</v>
      </c>
      <c r="J233" s="3" t="s">
        <v>485</v>
      </c>
      <c r="K233" s="4">
        <v>1202.05</v>
      </c>
      <c r="L233" s="4">
        <v>1453.43</v>
      </c>
      <c r="M233" s="4">
        <v>0</v>
      </c>
      <c r="N233" s="4">
        <v>2655.48</v>
      </c>
      <c r="O233" s="4">
        <f>Tab_03.Mar[[#This Row],[DÉBITO]]-Tab_03.Mar[[#This Row],[CRÉDITO]]</f>
        <v>1453.43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S</v>
      </c>
      <c r="E234" s="2">
        <f>IF($I234="","",COUNTIFS(Tab_00.Trial[CONTA],$I234))</f>
        <v>1</v>
      </c>
      <c r="F234" s="4">
        <f>SUMIFS(Tab_02.Fev[SALDO
ATUAL],Tab_02.Fev[CONTA],$I234)</f>
        <v>17333.830000000002</v>
      </c>
      <c r="G234" s="4">
        <f t="shared" si="6"/>
        <v>-147.86000000000001</v>
      </c>
      <c r="H234" s="179"/>
      <c r="I234" s="3" t="s">
        <v>612</v>
      </c>
      <c r="J234" s="3" t="s">
        <v>716</v>
      </c>
      <c r="K234" s="4">
        <v>17481.689999999999</v>
      </c>
      <c r="L234" s="4">
        <v>8160.13</v>
      </c>
      <c r="M234" s="4">
        <v>0</v>
      </c>
      <c r="N234" s="4">
        <v>25641.82</v>
      </c>
      <c r="O234" s="4">
        <f>Tab_03.Mar[[#This Row],[DÉBITO]]-Tab_03.Mar[[#This Row],[CRÉDITO]]</f>
        <v>8160.13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S</v>
      </c>
      <c r="E235" s="2">
        <f>IF($I235="","",COUNTIFS(Tab_00.Trial[CONTA],$I235))</f>
        <v>1</v>
      </c>
      <c r="F235" s="4">
        <f>SUMIFS(Tab_02.Fev[SALDO
ATUAL],Tab_02.Fev[CONTA],$I235)</f>
        <v>13602.36</v>
      </c>
      <c r="G235" s="4">
        <f t="shared" si="6"/>
        <v>0</v>
      </c>
      <c r="H235" s="179"/>
      <c r="I235" s="3" t="s">
        <v>613</v>
      </c>
      <c r="J235" s="3" t="s">
        <v>717</v>
      </c>
      <c r="K235" s="4">
        <v>13602.36</v>
      </c>
      <c r="L235" s="4">
        <v>6259.83</v>
      </c>
      <c r="M235" s="4">
        <v>0</v>
      </c>
      <c r="N235" s="4">
        <v>19862.189999999999</v>
      </c>
      <c r="O235" s="4">
        <f>Tab_03.Mar[[#This Row],[DÉBITO]]-Tab_03.Mar[[#This Row],[CRÉDITO]]</f>
        <v>6259.83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SUMIFS(Tab_02.Fev[SALDO
ATUAL],Tab_02.Fev[CONTA],$I236)</f>
        <v>6791.87</v>
      </c>
      <c r="G236" s="4">
        <f t="shared" si="6"/>
        <v>0</v>
      </c>
      <c r="H236" s="179"/>
      <c r="I236" s="3" t="s">
        <v>491</v>
      </c>
      <c r="J236" s="3" t="s">
        <v>492</v>
      </c>
      <c r="K236" s="4">
        <v>6791.87</v>
      </c>
      <c r="L236" s="4">
        <v>3703.93</v>
      </c>
      <c r="M236" s="4">
        <v>0</v>
      </c>
      <c r="N236" s="4">
        <v>10495.8</v>
      </c>
      <c r="O236" s="4">
        <f>Tab_03.Mar[[#This Row],[DÉBITO]]-Tab_03.Mar[[#This Row],[CRÉDITO]]</f>
        <v>3703.93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SUMIFS(Tab_02.Fev[SALDO
ATUAL],Tab_02.Fev[CONTA],$I237)</f>
        <v>4004.32</v>
      </c>
      <c r="G237" s="4">
        <f t="shared" si="6"/>
        <v>0</v>
      </c>
      <c r="H237" s="179"/>
      <c r="I237" s="3" t="s">
        <v>493</v>
      </c>
      <c r="J237" s="3" t="s">
        <v>494</v>
      </c>
      <c r="K237" s="4">
        <v>4004.32</v>
      </c>
      <c r="L237" s="4">
        <v>1145.3800000000001</v>
      </c>
      <c r="M237" s="4">
        <v>0</v>
      </c>
      <c r="N237" s="4">
        <v>5149.7</v>
      </c>
      <c r="O237" s="4">
        <f>Tab_03.Mar[[#This Row],[DÉBITO]]-Tab_03.Mar[[#This Row],[CRÉDITO]]</f>
        <v>1145.3800000000001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SUMIFS(Tab_02.Fev[SALDO
ATUAL],Tab_02.Fev[CONTA],$I238)</f>
        <v>2806.17</v>
      </c>
      <c r="G238" s="4">
        <f t="shared" si="6"/>
        <v>0</v>
      </c>
      <c r="H238" s="179"/>
      <c r="I238" s="3" t="s">
        <v>495</v>
      </c>
      <c r="J238" s="3" t="s">
        <v>496</v>
      </c>
      <c r="K238" s="4">
        <v>2806.17</v>
      </c>
      <c r="L238" s="4">
        <v>1410.52</v>
      </c>
      <c r="M238" s="4">
        <v>0</v>
      </c>
      <c r="N238" s="4">
        <v>4216.6899999999996</v>
      </c>
      <c r="O238" s="4">
        <f>Tab_03.Mar[[#This Row],[DÉBITO]]-Tab_03.Mar[[#This Row],[CRÉDITO]]</f>
        <v>1410.52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S</v>
      </c>
      <c r="E239" s="2">
        <f>IF($I239="","",COUNTIFS(Tab_00.Trial[CONTA],$I239))</f>
        <v>1</v>
      </c>
      <c r="F239" s="4">
        <f>SUMIFS(Tab_02.Fev[SALDO
ATUAL],Tab_02.Fev[CONTA],$I239)</f>
        <v>3731.47</v>
      </c>
      <c r="G239" s="4">
        <f t="shared" si="6"/>
        <v>-147.86000000000001</v>
      </c>
      <c r="H239" s="179"/>
      <c r="I239" s="3" t="s">
        <v>614</v>
      </c>
      <c r="J239" s="3" t="s">
        <v>718</v>
      </c>
      <c r="K239" s="4">
        <v>3879.33</v>
      </c>
      <c r="L239" s="4">
        <v>1900.3</v>
      </c>
      <c r="M239" s="4">
        <v>0</v>
      </c>
      <c r="N239" s="4">
        <v>5779.63</v>
      </c>
      <c r="O239" s="4">
        <f>Tab_03.Mar[[#This Row],[DÉBITO]]-Tab_03.Mar[[#This Row],[CRÉDITO]]</f>
        <v>1900.3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SUMIFS(Tab_02.Fev[SALDO
ATUAL],Tab_02.Fev[CONTA],$I240)</f>
        <v>146.94</v>
      </c>
      <c r="G240" s="4">
        <f t="shared" si="6"/>
        <v>0</v>
      </c>
      <c r="H240" s="179"/>
      <c r="I240" s="3" t="s">
        <v>499</v>
      </c>
      <c r="J240" s="3" t="s">
        <v>500</v>
      </c>
      <c r="K240" s="4">
        <v>146.94</v>
      </c>
      <c r="L240" s="4">
        <v>1215</v>
      </c>
      <c r="M240" s="4">
        <v>0</v>
      </c>
      <c r="N240" s="4">
        <v>1361.94</v>
      </c>
      <c r="O240" s="4">
        <f>Tab_03.Mar[[#This Row],[DÉBITO]]-Tab_03.Mar[[#This Row],[CRÉDITO]]</f>
        <v>1215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SUMIFS(Tab_02.Fev[SALDO
ATUAL],Tab_02.Fev[CONTA],$I241)</f>
        <v>2317.38</v>
      </c>
      <c r="G241" s="4">
        <f t="shared" ref="G241:G264" si="7">$F241-$K241</f>
        <v>-137.5</v>
      </c>
      <c r="H241" s="180"/>
      <c r="I241" s="3" t="s">
        <v>501</v>
      </c>
      <c r="J241" s="3" t="s">
        <v>502</v>
      </c>
      <c r="K241" s="4">
        <v>2454.88</v>
      </c>
      <c r="L241" s="4">
        <v>96.29</v>
      </c>
      <c r="M241" s="4">
        <v>0</v>
      </c>
      <c r="N241" s="4">
        <v>2551.17</v>
      </c>
      <c r="O241" s="4">
        <f>Tab_03.Mar[[#This Row],[DÉBITO]]-Tab_03.Mar[[#This Row],[CRÉDITO]]</f>
        <v>96.29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SUMIFS(Tab_02.Fev[SALDO
ATUAL],Tab_02.Fev[CONTA],$I242)</f>
        <v>1267.1500000000001</v>
      </c>
      <c r="G242" s="4">
        <f t="shared" si="7"/>
        <v>-10.36</v>
      </c>
      <c r="H242" s="180"/>
      <c r="I242" s="3" t="s">
        <v>503</v>
      </c>
      <c r="J242" s="3" t="s">
        <v>504</v>
      </c>
      <c r="K242" s="4">
        <v>1277.51</v>
      </c>
      <c r="L242" s="4">
        <v>589.01</v>
      </c>
      <c r="M242" s="4">
        <v>0</v>
      </c>
      <c r="N242" s="4">
        <v>1866.52</v>
      </c>
      <c r="O242" s="4">
        <f>Tab_03.Mar[[#This Row],[DÉBITO]]-Tab_03.Mar[[#This Row],[CRÉDITO]]</f>
        <v>589.01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S</v>
      </c>
      <c r="E243" s="2">
        <f>IF($I243="","",COUNTIFS(Tab_00.Trial[CONTA],$I243))</f>
        <v>1</v>
      </c>
      <c r="F243" s="4">
        <f>SUMIFS(Tab_02.Fev[SALDO
ATUAL],Tab_02.Fev[CONTA],$I243)</f>
        <v>8663.7999999999993</v>
      </c>
      <c r="G243" s="4">
        <f t="shared" si="7"/>
        <v>-287.74</v>
      </c>
      <c r="H243" s="180"/>
      <c r="I243" s="3" t="s">
        <v>615</v>
      </c>
      <c r="J243" s="3" t="s">
        <v>719</v>
      </c>
      <c r="K243" s="4">
        <v>8951.5400000000009</v>
      </c>
      <c r="L243" s="4">
        <v>4409.2700000000004</v>
      </c>
      <c r="M243" s="4">
        <v>0</v>
      </c>
      <c r="N243" s="4">
        <v>13360.81</v>
      </c>
      <c r="O243" s="4">
        <f>Tab_03.Mar[[#This Row],[DÉBITO]]-Tab_03.Mar[[#This Row],[CRÉDITO]]</f>
        <v>4409.2700000000004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S</v>
      </c>
      <c r="E244" s="2">
        <f>IF($I244="","",COUNTIFS(Tab_00.Trial[CONTA],$I244))</f>
        <v>1</v>
      </c>
      <c r="F244" s="4">
        <f>SUMIFS(Tab_02.Fev[SALDO
ATUAL],Tab_02.Fev[CONTA],$I244)</f>
        <v>287.74</v>
      </c>
      <c r="G244" s="4">
        <f t="shared" si="7"/>
        <v>-287.74</v>
      </c>
      <c r="H244" s="180"/>
      <c r="I244" s="3" t="s">
        <v>617</v>
      </c>
      <c r="J244" s="3" t="s">
        <v>721</v>
      </c>
      <c r="K244" s="4">
        <v>575.48</v>
      </c>
      <c r="L244" s="4">
        <v>287.74</v>
      </c>
      <c r="M244" s="4">
        <v>0</v>
      </c>
      <c r="N244" s="4">
        <v>863.22</v>
      </c>
      <c r="O244" s="4">
        <f>Tab_03.Mar[[#This Row],[DÉBITO]]-Tab_03.Mar[[#This Row],[CRÉDITO]]</f>
        <v>287.74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SUMIFS(Tab_02.Fev[SALDO
ATUAL],Tab_02.Fev[CONTA],$I245)</f>
        <v>287.74</v>
      </c>
      <c r="G245" s="4">
        <f t="shared" si="7"/>
        <v>-287.74</v>
      </c>
      <c r="H245" s="180"/>
      <c r="I245" s="3" t="s">
        <v>739</v>
      </c>
      <c r="J245" s="3" t="s">
        <v>740</v>
      </c>
      <c r="K245" s="4">
        <v>575.48</v>
      </c>
      <c r="L245" s="4">
        <v>287.74</v>
      </c>
      <c r="M245" s="4">
        <v>0</v>
      </c>
      <c r="N245" s="4">
        <v>863.22</v>
      </c>
      <c r="O245" s="4">
        <f>Tab_03.Mar[[#This Row],[DÉBITO]]-Tab_03.Mar[[#This Row],[CRÉDITO]]</f>
        <v>287.74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S</v>
      </c>
      <c r="E246" s="2">
        <f>IF($I246="","",COUNTIFS(Tab_00.Trial[CONTA],$I246))</f>
        <v>1</v>
      </c>
      <c r="F246" s="4">
        <f>SUMIFS(Tab_02.Fev[SALDO
ATUAL],Tab_02.Fev[CONTA],$I246)</f>
        <v>5016.62</v>
      </c>
      <c r="G246" s="4">
        <f t="shared" si="7"/>
        <v>0</v>
      </c>
      <c r="H246" s="180"/>
      <c r="I246" s="3" t="s">
        <v>618</v>
      </c>
      <c r="J246" s="3" t="s">
        <v>722</v>
      </c>
      <c r="K246" s="4">
        <v>5016.62</v>
      </c>
      <c r="L246" s="4">
        <v>2497.5</v>
      </c>
      <c r="M246" s="4">
        <v>0</v>
      </c>
      <c r="N246" s="4">
        <v>7514.12</v>
      </c>
      <c r="O246" s="4">
        <f>Tab_03.Mar[[#This Row],[DÉBITO]]-Tab_03.Mar[[#This Row],[CRÉDITO]]</f>
        <v>2497.5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SUMIFS(Tab_02.Fev[SALDO
ATUAL],Tab_02.Fev[CONTA],$I247)</f>
        <v>5016.62</v>
      </c>
      <c r="G247" s="4">
        <f t="shared" si="7"/>
        <v>0</v>
      </c>
      <c r="H247" s="180"/>
      <c r="I247" s="3" t="s">
        <v>511</v>
      </c>
      <c r="J247" s="3" t="s">
        <v>512</v>
      </c>
      <c r="K247" s="4">
        <v>5016.62</v>
      </c>
      <c r="L247" s="4">
        <v>2497.5</v>
      </c>
      <c r="M247" s="4">
        <v>0</v>
      </c>
      <c r="N247" s="4">
        <v>7514.12</v>
      </c>
      <c r="O247" s="4">
        <f>Tab_03.Mar[[#This Row],[DÉBITO]]-Tab_03.Mar[[#This Row],[CRÉDITO]]</f>
        <v>2497.5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SUMIFS(Tab_02.Fev[SALDO
ATUAL],Tab_02.Fev[CONTA],$I248)</f>
        <v>3359.44</v>
      </c>
      <c r="G248" s="4">
        <f t="shared" si="7"/>
        <v>0</v>
      </c>
      <c r="H248" s="180"/>
      <c r="I248" s="3" t="s">
        <v>619</v>
      </c>
      <c r="J248" s="3" t="s">
        <v>420</v>
      </c>
      <c r="K248" s="4">
        <v>3359.44</v>
      </c>
      <c r="L248" s="4">
        <v>1624.03</v>
      </c>
      <c r="M248" s="4">
        <v>0</v>
      </c>
      <c r="N248" s="4">
        <v>4983.47</v>
      </c>
      <c r="O248" s="4">
        <f>Tab_03.Mar[[#This Row],[DÉBITO]]-Tab_03.Mar[[#This Row],[CRÉDITO]]</f>
        <v>1624.03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SUMIFS(Tab_02.Fev[SALDO
ATUAL],Tab_02.Fev[CONTA],$I249)</f>
        <v>3359.44</v>
      </c>
      <c r="G249" s="4">
        <f t="shared" si="7"/>
        <v>0</v>
      </c>
      <c r="H249" s="180"/>
      <c r="I249" s="3" t="s">
        <v>515</v>
      </c>
      <c r="J249" s="3" t="s">
        <v>420</v>
      </c>
      <c r="K249" s="4">
        <v>3359.44</v>
      </c>
      <c r="L249" s="4">
        <v>1624.03</v>
      </c>
      <c r="M249" s="4">
        <v>0</v>
      </c>
      <c r="N249" s="4">
        <v>4983.47</v>
      </c>
      <c r="O249" s="4">
        <f>Tab_03.Mar[[#This Row],[DÉBITO]]-Tab_03.Mar[[#This Row],[CRÉDITO]]</f>
        <v>1624.03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S</v>
      </c>
      <c r="E250" s="2">
        <f>IF($I250="","",COUNTIFS(Tab_00.Trial[CONTA],$I250))</f>
        <v>1</v>
      </c>
      <c r="F250" s="4">
        <f>SUMIFS(Tab_02.Fev[SALDO
ATUAL],Tab_02.Fev[CONTA],$I250)</f>
        <v>3368.58</v>
      </c>
      <c r="G250" s="4">
        <f t="shared" si="7"/>
        <v>0</v>
      </c>
      <c r="H250" s="180"/>
      <c r="I250" s="3" t="s">
        <v>621</v>
      </c>
      <c r="J250" s="3" t="s">
        <v>723</v>
      </c>
      <c r="K250" s="4">
        <v>3368.58</v>
      </c>
      <c r="L250" s="4">
        <v>1291.93</v>
      </c>
      <c r="M250" s="4">
        <v>0</v>
      </c>
      <c r="N250" s="4">
        <v>4660.51</v>
      </c>
      <c r="O250" s="4">
        <f>Tab_03.Mar[[#This Row],[DÉBITO]]-Tab_03.Mar[[#This Row],[CRÉDITO]]</f>
        <v>1291.93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SUMIFS(Tab_02.Fev[SALDO
ATUAL],Tab_02.Fev[CONTA],$I251)</f>
        <v>3368.58</v>
      </c>
      <c r="G251" s="4">
        <f t="shared" si="7"/>
        <v>0</v>
      </c>
      <c r="H251" s="180"/>
      <c r="I251" s="3" t="s">
        <v>622</v>
      </c>
      <c r="J251" s="3" t="s">
        <v>723</v>
      </c>
      <c r="K251" s="4">
        <v>3368.58</v>
      </c>
      <c r="L251" s="4">
        <v>1291.93</v>
      </c>
      <c r="M251" s="4">
        <v>0</v>
      </c>
      <c r="N251" s="4">
        <v>4660.51</v>
      </c>
      <c r="O251" s="4">
        <f>Tab_03.Mar[[#This Row],[DÉBITO]]-Tab_03.Mar[[#This Row],[CRÉDITO]]</f>
        <v>1291.93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SUMIFS(Tab_02.Fev[SALDO
ATUAL],Tab_02.Fev[CONTA],$I252)</f>
        <v>3368.58</v>
      </c>
      <c r="G252" s="4">
        <f t="shared" si="7"/>
        <v>0</v>
      </c>
      <c r="H252" s="180"/>
      <c r="I252" s="3" t="s">
        <v>518</v>
      </c>
      <c r="J252" s="3" t="s">
        <v>519</v>
      </c>
      <c r="K252" s="4">
        <v>3368.58</v>
      </c>
      <c r="L252" s="4">
        <v>1291.93</v>
      </c>
      <c r="M252" s="4">
        <v>0</v>
      </c>
      <c r="N252" s="4">
        <v>4660.51</v>
      </c>
      <c r="O252" s="4">
        <f>Tab_03.Mar[[#This Row],[DÉBITO]]-Tab_03.Mar[[#This Row],[CRÉDITO]]</f>
        <v>1291.93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S</v>
      </c>
      <c r="E253" s="2">
        <f>IF($I253="","",COUNTIFS(Tab_00.Trial[CONTA],$I253))</f>
        <v>1</v>
      </c>
      <c r="F253" s="4">
        <f>SUMIFS(Tab_02.Fev[SALDO
ATUAL],Tab_02.Fev[CONTA],$I253)</f>
        <v>5364.1</v>
      </c>
      <c r="G253" s="4">
        <f t="shared" si="7"/>
        <v>-5249.74</v>
      </c>
      <c r="H253" s="180"/>
      <c r="I253" s="3" t="s">
        <v>623</v>
      </c>
      <c r="J253" s="3" t="s">
        <v>724</v>
      </c>
      <c r="K253" s="4">
        <v>10613.84</v>
      </c>
      <c r="L253" s="4">
        <v>3667.05</v>
      </c>
      <c r="M253" s="4">
        <v>0</v>
      </c>
      <c r="N253" s="4">
        <v>14280.89</v>
      </c>
      <c r="O253" s="4">
        <f>Tab_03.Mar[[#This Row],[DÉBITO]]-Tab_03.Mar[[#This Row],[CRÉDITO]]</f>
        <v>3667.05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SUMIFS(Tab_02.Fev[SALDO
ATUAL],Tab_02.Fev[CONTA],$I254)</f>
        <v>5364.1</v>
      </c>
      <c r="G254" s="4">
        <f t="shared" si="7"/>
        <v>-5249.74</v>
      </c>
      <c r="H254" s="180"/>
      <c r="I254" s="3" t="s">
        <v>624</v>
      </c>
      <c r="J254" s="3" t="s">
        <v>724</v>
      </c>
      <c r="K254" s="4">
        <v>10613.84</v>
      </c>
      <c r="L254" s="4">
        <v>3667.05</v>
      </c>
      <c r="M254" s="4">
        <v>0</v>
      </c>
      <c r="N254" s="4">
        <v>14280.89</v>
      </c>
      <c r="O254" s="4">
        <f>Tab_03.Mar[[#This Row],[DÉBITO]]-Tab_03.Mar[[#This Row],[CRÉDITO]]</f>
        <v>3667.05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SUMIFS(Tab_02.Fev[SALDO
ATUAL],Tab_02.Fev[CONTA],$I255)</f>
        <v>5364.1</v>
      </c>
      <c r="G255" s="4">
        <f t="shared" si="7"/>
        <v>-5249.74</v>
      </c>
      <c r="H255" s="180"/>
      <c r="I255" s="3" t="s">
        <v>520</v>
      </c>
      <c r="J255" s="3" t="s">
        <v>521</v>
      </c>
      <c r="K255" s="4">
        <v>10613.84</v>
      </c>
      <c r="L255" s="4">
        <v>3667.05</v>
      </c>
      <c r="M255" s="4">
        <v>0</v>
      </c>
      <c r="N255" s="4">
        <v>14280.89</v>
      </c>
      <c r="O255" s="4">
        <f>Tab_03.Mar[[#This Row],[DÉBITO]]-Tab_03.Mar[[#This Row],[CRÉDITO]]</f>
        <v>3667.05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SUMIFS(Tab_02.Fev[SALDO
ATUAL],Tab_02.Fev[CONTA],$I256)</f>
        <v>6953.75</v>
      </c>
      <c r="G256" s="4">
        <f t="shared" si="7"/>
        <v>-49.87</v>
      </c>
      <c r="H256" s="180"/>
      <c r="I256" s="3" t="s">
        <v>625</v>
      </c>
      <c r="J256" s="3" t="s">
        <v>542</v>
      </c>
      <c r="K256" s="4">
        <v>7003.62</v>
      </c>
      <c r="L256" s="4">
        <v>18828.060000000001</v>
      </c>
      <c r="M256" s="4">
        <v>0</v>
      </c>
      <c r="N256" s="4">
        <v>25831.68</v>
      </c>
      <c r="O256" s="4">
        <f>Tab_03.Mar[[#This Row],[DÉBITO]]-Tab_03.Mar[[#This Row],[CRÉDITO]]</f>
        <v>18828.060000000001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SUMIFS(Tab_02.Fev[SALDO
ATUAL],Tab_02.Fev[CONTA],$I257)</f>
        <v>2419.91</v>
      </c>
      <c r="G257" s="4">
        <f t="shared" si="7"/>
        <v>0</v>
      </c>
      <c r="H257" s="180"/>
      <c r="I257" s="3" t="s">
        <v>626</v>
      </c>
      <c r="J257" s="3" t="s">
        <v>725</v>
      </c>
      <c r="K257" s="4">
        <v>2419.91</v>
      </c>
      <c r="L257" s="4">
        <v>13022.99</v>
      </c>
      <c r="M257" s="4">
        <v>0</v>
      </c>
      <c r="N257" s="4">
        <v>15442.9</v>
      </c>
      <c r="O257" s="4">
        <f>Tab_03.Mar[[#This Row],[DÉBITO]]-Tab_03.Mar[[#This Row],[CRÉDITO]]</f>
        <v>13022.99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SUMIFS(Tab_02.Fev[SALDO
ATUAL],Tab_02.Fev[CONTA],$I258)</f>
        <v>2404.58</v>
      </c>
      <c r="G258" s="4">
        <f t="shared" si="7"/>
        <v>0</v>
      </c>
      <c r="H258" s="180"/>
      <c r="I258" s="3" t="s">
        <v>522</v>
      </c>
      <c r="J258" s="3" t="s">
        <v>523</v>
      </c>
      <c r="K258" s="4">
        <v>2404.58</v>
      </c>
      <c r="L258" s="4">
        <v>13007.66</v>
      </c>
      <c r="M258" s="4">
        <v>0</v>
      </c>
      <c r="N258" s="4">
        <v>15412.24</v>
      </c>
      <c r="O258" s="4">
        <f>Tab_03.Mar[[#This Row],[DÉBITO]]-Tab_03.Mar[[#This Row],[CRÉDITO]]</f>
        <v>13007.66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SUMIFS(Tab_02.Fev[SALDO
ATUAL],Tab_02.Fev[CONTA],$I259)</f>
        <v>15.33</v>
      </c>
      <c r="G259" s="4">
        <f t="shared" si="7"/>
        <v>0</v>
      </c>
      <c r="H259" s="180"/>
      <c r="I259" s="3" t="s">
        <v>524</v>
      </c>
      <c r="J259" s="3" t="s">
        <v>525</v>
      </c>
      <c r="K259" s="4">
        <v>15.33</v>
      </c>
      <c r="L259" s="4">
        <v>15.33</v>
      </c>
      <c r="M259" s="4">
        <v>0</v>
      </c>
      <c r="N259" s="4">
        <v>30.66</v>
      </c>
      <c r="O259" s="4">
        <f>Tab_03.Mar[[#This Row],[DÉBITO]]-Tab_03.Mar[[#This Row],[CRÉDITO]]</f>
        <v>15.33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S</v>
      </c>
      <c r="E260" s="2">
        <f>IF($I260="","",COUNTIFS(Tab_00.Trial[CONTA],$I260))</f>
        <v>1</v>
      </c>
      <c r="F260" s="4">
        <f>SUMIFS(Tab_02.Fev[SALDO
ATUAL],Tab_02.Fev[CONTA],$I260)</f>
        <v>4533.84</v>
      </c>
      <c r="G260" s="4">
        <f t="shared" si="7"/>
        <v>-49.87</v>
      </c>
      <c r="H260" s="180"/>
      <c r="I260" s="3" t="s">
        <v>627</v>
      </c>
      <c r="J260" s="3" t="s">
        <v>542</v>
      </c>
      <c r="K260" s="4">
        <v>4583.71</v>
      </c>
      <c r="L260" s="4">
        <v>5805.07</v>
      </c>
      <c r="M260" s="4">
        <v>0</v>
      </c>
      <c r="N260" s="4">
        <v>10388.780000000001</v>
      </c>
      <c r="O260" s="4">
        <f>Tab_03.Mar[[#This Row],[DÉBITO]]-Tab_03.Mar[[#This Row],[CRÉDITO]]</f>
        <v>5805.07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SUMIFS(Tab_02.Fev[SALDO
ATUAL],Tab_02.Fev[CONTA],$I261)</f>
        <v>100.59</v>
      </c>
      <c r="G261" s="4">
        <f t="shared" si="7"/>
        <v>-49.87</v>
      </c>
      <c r="H261" s="180"/>
      <c r="I261" s="3" t="s">
        <v>528</v>
      </c>
      <c r="J261" s="3" t="s">
        <v>416</v>
      </c>
      <c r="K261" s="4">
        <v>150.46</v>
      </c>
      <c r="L261" s="4">
        <v>199.18</v>
      </c>
      <c r="M261" s="4">
        <v>0</v>
      </c>
      <c r="N261" s="4">
        <v>349.64</v>
      </c>
      <c r="O261" s="4">
        <f>Tab_03.Mar[[#This Row],[DÉBITO]]-Tab_03.Mar[[#This Row],[CRÉDITO]]</f>
        <v>199.18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SUMIFS(Tab_02.Fev[SALDO
ATUAL],Tab_02.Fev[CONTA],$I262)</f>
        <v>176.97</v>
      </c>
      <c r="G262" s="4">
        <f t="shared" si="7"/>
        <v>0</v>
      </c>
      <c r="H262" s="180"/>
      <c r="I262" s="3" t="s">
        <v>531</v>
      </c>
      <c r="J262" s="3" t="s">
        <v>532</v>
      </c>
      <c r="K262" s="4">
        <v>176.97</v>
      </c>
      <c r="L262" s="4">
        <v>0</v>
      </c>
      <c r="M262" s="4">
        <v>0</v>
      </c>
      <c r="N262" s="4">
        <v>176.97</v>
      </c>
      <c r="O262" s="4">
        <f>Tab_03.Mar[[#This Row],[DÉBITO]]-Tab_03.Mar[[#This Row],[CRÉDITO]]</f>
        <v>0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SUMIFS(Tab_02.Fev[SALDO
ATUAL],Tab_02.Fev[CONTA],$I263)</f>
        <v>350</v>
      </c>
      <c r="G263" s="4">
        <f t="shared" si="7"/>
        <v>0</v>
      </c>
      <c r="H263" s="180"/>
      <c r="I263" s="3" t="s">
        <v>533</v>
      </c>
      <c r="J263" s="3" t="s">
        <v>534</v>
      </c>
      <c r="K263" s="4">
        <v>350</v>
      </c>
      <c r="L263" s="4">
        <v>0</v>
      </c>
      <c r="M263" s="4">
        <v>0</v>
      </c>
      <c r="N263" s="4">
        <v>350</v>
      </c>
      <c r="O263" s="4">
        <f>Tab_03.Mar[[#This Row],[DÉBITO]]-Tab_03.Mar[[#This Row],[CRÉDITO]]</f>
        <v>0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A</v>
      </c>
      <c r="E264" s="2">
        <f>IF($I264="","",COUNTIFS(Tab_00.Trial[CONTA],$I264))</f>
        <v>1</v>
      </c>
      <c r="F264" s="4">
        <f>SUMIFS(Tab_02.Fev[SALDO
ATUAL],Tab_02.Fev[CONTA],$I264)</f>
        <v>1059.06</v>
      </c>
      <c r="G264" s="4">
        <f t="shared" si="7"/>
        <v>0</v>
      </c>
      <c r="H264" s="180"/>
      <c r="I264" s="3" t="s">
        <v>537</v>
      </c>
      <c r="J264" s="3" t="s">
        <v>538</v>
      </c>
      <c r="K264" s="4">
        <v>1059.06</v>
      </c>
      <c r="L264" s="4">
        <v>3685.72</v>
      </c>
      <c r="M264" s="4">
        <v>0</v>
      </c>
      <c r="N264" s="4">
        <v>4744.78</v>
      </c>
      <c r="O264" s="4">
        <f>Tab_03.Mar[[#This Row],[DÉBITO]]-Tab_03.Mar[[#This Row],[CRÉDITO]]</f>
        <v>3685.72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SUMIFS(Tab_02.Fev[SALDO
ATUAL],Tab_02.Fev[CONTA],$I265)</f>
        <v>2484.4</v>
      </c>
      <c r="G265" s="4">
        <f t="shared" ref="G265:G267" si="8">$F265-$K265</f>
        <v>0</v>
      </c>
      <c r="H265" s="181"/>
      <c r="I265" s="3" t="s">
        <v>539</v>
      </c>
      <c r="J265" s="3" t="s">
        <v>540</v>
      </c>
      <c r="K265" s="4">
        <v>2484.4</v>
      </c>
      <c r="L265" s="4">
        <v>1742.12</v>
      </c>
      <c r="M265" s="4">
        <v>0</v>
      </c>
      <c r="N265" s="4">
        <v>4226.5200000000004</v>
      </c>
      <c r="O265" s="4">
        <f>Tab_03.Mar[[#This Row],[DÉBITO]]-Tab_03.Mar[[#This Row],[CRÉDITO]]</f>
        <v>1742.12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SUMIFS(Tab_02.Fev[SALDO
ATUAL],Tab_02.Fev[CONTA],$I266)</f>
        <v>362.82</v>
      </c>
      <c r="G266" s="4">
        <f t="shared" si="8"/>
        <v>0</v>
      </c>
      <c r="H266" s="181"/>
      <c r="I266" s="3" t="s">
        <v>541</v>
      </c>
      <c r="J266" s="3" t="s">
        <v>542</v>
      </c>
      <c r="K266" s="4">
        <v>362.82</v>
      </c>
      <c r="L266" s="4">
        <v>178.05</v>
      </c>
      <c r="M266" s="4">
        <v>0</v>
      </c>
      <c r="N266" s="4">
        <v>540.87</v>
      </c>
      <c r="O266" s="4">
        <f>Tab_03.Mar[[#This Row],[DÉBITO]]-Tab_03.Mar[[#This Row],[CRÉDITO]]</f>
        <v>178.05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2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SUMIFS(Tab_02.Fev[SALDO
ATUAL],Tab_02.Fev[CONTA],$I267)</f>
        <v>270</v>
      </c>
      <c r="G267" s="4">
        <f t="shared" si="8"/>
        <v>0</v>
      </c>
      <c r="H267" s="181"/>
      <c r="I267" s="3" t="s">
        <v>630</v>
      </c>
      <c r="J267" s="3" t="s">
        <v>728</v>
      </c>
      <c r="K267" s="4">
        <v>270</v>
      </c>
      <c r="L267" s="4">
        <v>0</v>
      </c>
      <c r="M267" s="4">
        <v>0</v>
      </c>
      <c r="N267" s="4">
        <v>270</v>
      </c>
      <c r="O267" s="4">
        <f>Tab_03.Mar[[#This Row],[DÉBITO]]-Tab_03.Mar[[#This Row],[CRÉDITO]]</f>
        <v>0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SUMIFS(Tab_02.Fev[SALDO
ATUAL],Tab_02.Fev[CONTA],$I268)</f>
        <v>270</v>
      </c>
      <c r="G268" s="4">
        <f t="shared" ref="G268:G272" si="9">$F268-$K268</f>
        <v>0</v>
      </c>
      <c r="H268" s="187"/>
      <c r="I268" s="3" t="s">
        <v>631</v>
      </c>
      <c r="J268" s="3" t="s">
        <v>728</v>
      </c>
      <c r="K268" s="4">
        <v>270</v>
      </c>
      <c r="L268" s="4">
        <v>0</v>
      </c>
      <c r="M268" s="4">
        <v>0</v>
      </c>
      <c r="N268" s="4">
        <v>270</v>
      </c>
      <c r="O268" s="4">
        <f>Tab_03.Mar[[#This Row],[DÉBITO]]-Tab_03.Mar[[#This Row],[CRÉDITO]]</f>
        <v>0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SUMIFS(Tab_02.Fev[SALDO
ATUAL],Tab_02.Fev[CONTA],$I269)</f>
        <v>270</v>
      </c>
      <c r="G269" s="4">
        <f t="shared" si="9"/>
        <v>0</v>
      </c>
      <c r="H269" s="187"/>
      <c r="I269" s="3" t="s">
        <v>633</v>
      </c>
      <c r="J269" s="3" t="s">
        <v>548</v>
      </c>
      <c r="K269" s="4">
        <v>270</v>
      </c>
      <c r="L269" s="4">
        <v>0</v>
      </c>
      <c r="M269" s="4">
        <v>0</v>
      </c>
      <c r="N269" s="4">
        <v>270</v>
      </c>
      <c r="O269" s="4">
        <f>Tab_03.Mar[[#This Row],[DÉBITO]]-Tab_03.Mar[[#This Row],[CRÉDITO]]</f>
        <v>0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SUMIFS(Tab_02.Fev[SALDO
ATUAL],Tab_02.Fev[CONTA],$I270)</f>
        <v>270</v>
      </c>
      <c r="G270" s="4">
        <f t="shared" si="9"/>
        <v>0</v>
      </c>
      <c r="H270" s="187"/>
      <c r="I270" s="3" t="s">
        <v>547</v>
      </c>
      <c r="J270" s="3" t="s">
        <v>548</v>
      </c>
      <c r="K270" s="4">
        <v>270</v>
      </c>
      <c r="L270" s="4">
        <v>0</v>
      </c>
      <c r="M270" s="4">
        <v>0</v>
      </c>
      <c r="N270" s="4">
        <v>270</v>
      </c>
      <c r="O270" s="4">
        <f>Tab_03.Mar[[#This Row],[DÉBITO]]-Tab_03.Mar[[#This Row],[CRÉDITO]]</f>
        <v>0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2</v>
      </c>
      <c r="D271" s="2" t="str">
        <f>_xlfn.XLOOKUP($I271,Tab_00.Trial[CONTA],Tab_00.Trial[S/A],"",0,1)</f>
        <v>S</v>
      </c>
      <c r="E271" s="2">
        <f>IF($I271="","",COUNTIFS(Tab_00.Trial[CONTA],$I271))</f>
        <v>1</v>
      </c>
      <c r="F271" s="4">
        <f>SUMIFS(Tab_02.Fev[SALDO
ATUAL],Tab_02.Fev[CONTA],$I271)</f>
        <v>-189</v>
      </c>
      <c r="G271" s="4">
        <f t="shared" si="9"/>
        <v>0</v>
      </c>
      <c r="H271" s="187"/>
      <c r="I271" s="3" t="s">
        <v>634</v>
      </c>
      <c r="J271" s="3" t="s">
        <v>730</v>
      </c>
      <c r="K271" s="4">
        <v>-189</v>
      </c>
      <c r="L271" s="4">
        <v>0</v>
      </c>
      <c r="M271" s="4">
        <v>0</v>
      </c>
      <c r="N271" s="4">
        <v>-189</v>
      </c>
      <c r="O271" s="4">
        <f>Tab_03.Mar[[#This Row],[DÉBITO]]-Tab_03.Mar[[#This Row],[CRÉDITO]]</f>
        <v>0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S</v>
      </c>
      <c r="E272" s="2">
        <f>IF($I272="","",COUNTIFS(Tab_00.Trial[CONTA],$I272))</f>
        <v>1</v>
      </c>
      <c r="F272" s="4">
        <f>SUMIFS(Tab_02.Fev[SALDO
ATUAL],Tab_02.Fev[CONTA],$I272)</f>
        <v>-189</v>
      </c>
      <c r="G272" s="4">
        <f t="shared" si="9"/>
        <v>0</v>
      </c>
      <c r="H272" s="187"/>
      <c r="I272" s="3" t="s">
        <v>831</v>
      </c>
      <c r="J272" s="3" t="s">
        <v>832</v>
      </c>
      <c r="K272" s="4">
        <v>-189</v>
      </c>
      <c r="L272" s="4">
        <v>0</v>
      </c>
      <c r="M272" s="4">
        <v>0</v>
      </c>
      <c r="N272" s="4">
        <v>-189</v>
      </c>
      <c r="O272" s="4">
        <f>Tab_03.Mar[[#This Row],[DÉBITO]]-Tab_03.Mar[[#This Row],[CRÉDITO]]</f>
        <v>0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SUMIFS(Tab_02.Fev[SALDO
ATUAL],Tab_02.Fev[CONTA],$I273)</f>
        <v>-189</v>
      </c>
      <c r="G273" s="4">
        <f t="shared" ref="G273:G274" si="10">$F273-$K273</f>
        <v>0</v>
      </c>
      <c r="H273" s="188"/>
      <c r="I273" s="3" t="s">
        <v>833</v>
      </c>
      <c r="J273" s="3" t="s">
        <v>832</v>
      </c>
      <c r="K273" s="4">
        <v>-189</v>
      </c>
      <c r="L273" s="4">
        <v>0</v>
      </c>
      <c r="M273" s="4">
        <v>0</v>
      </c>
      <c r="N273" s="4">
        <v>-189</v>
      </c>
      <c r="O273" s="4">
        <f>Tab_03.Mar[[#This Row],[DÉBITO]]-Tab_03.Mar[[#This Row],[CRÉDITO]]</f>
        <v>0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SUMIFS(Tab_02.Fev[SALDO
ATUAL],Tab_02.Fev[CONTA],$I274)</f>
        <v>-189</v>
      </c>
      <c r="G274" s="4">
        <f t="shared" si="10"/>
        <v>0</v>
      </c>
      <c r="H274" s="188"/>
      <c r="I274" s="3" t="s">
        <v>834</v>
      </c>
      <c r="J274" s="3" t="s">
        <v>835</v>
      </c>
      <c r="K274" s="4">
        <v>-189</v>
      </c>
      <c r="L274" s="4">
        <v>0</v>
      </c>
      <c r="M274" s="4">
        <v>0</v>
      </c>
      <c r="N274" s="4">
        <v>-189</v>
      </c>
      <c r="O274" s="4">
        <f>Tab_03.Mar[[#This Row],[DÉBITO]]-Tab_03.Mar[[#This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6357A-9A9B-49B3-9139-5BE26712C336}">
  <sheetPr codeName="Planilha14"/>
  <dimension ref="B1:P282"/>
  <sheetViews>
    <sheetView showGridLines="0" showRowColHeaders="0" zoomScale="85" zoomScaleNormal="85" workbookViewId="0">
      <pane xSplit="7" ySplit="14" topLeftCell="H15" activePane="bottomRight" state="frozen"/>
      <selection activeCell="J28" sqref="J28"/>
      <selection pane="topRight" activeCell="J28" sqref="J28"/>
      <selection pane="bottomLeft" activeCell="J28" sqref="J28"/>
      <selection pane="bottomRight" activeCell="G20" sqref="G20:G25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SUMIFS(INDIRECT("Tab_04.Abr["&amp;F$14&amp;"]"),Tab_04.Abr[TP],$B2,Tab_04.Abr[NV],"A")</f>
        <v>0</v>
      </c>
      <c r="G2" s="7">
        <f ca="1">SUMIFS(INDIRECT("Tab_04.Abr["&amp;G$14&amp;"]"),Tab_04.Abr[TP],$B2,Tab_04.Abr[NV],"A")</f>
        <v>0</v>
      </c>
      <c r="H2" s="3"/>
      <c r="I2" s="3"/>
      <c r="J2" s="88" t="s">
        <v>15</v>
      </c>
      <c r="K2" s="7">
        <f ca="1">SUMIFS(INDIRECT("Tab_04.Abr["&amp;K$14&amp;"]"),Tab_04.Abr[TP],$B2,Tab_04.Abr[S/A],"A")</f>
        <v>83034331.450000003</v>
      </c>
      <c r="L2" s="7">
        <f ca="1">SUMIFS(INDIRECT("Tab_04.Abr["&amp;L$14&amp;"]"),Tab_04.Abr[TP],$B2,Tab_04.Abr[S/A],"A")</f>
        <v>1568000.18</v>
      </c>
      <c r="M2" s="7">
        <f ca="1">SUMIFS(INDIRECT("Tab_04.Abr["&amp;M$14&amp;"]"),Tab_04.Abr[TP],$B2,Tab_04.Abr[S/A],"A")</f>
        <v>1218524.8400000001</v>
      </c>
      <c r="N2" s="7">
        <f ca="1">SUMIFS(INDIRECT("Tab_04.Abr["&amp;N$14&amp;"]"),Tab_04.Abr[TP],$B2,Tab_04.Abr[S/A],"A")</f>
        <v>83383806.790000007</v>
      </c>
      <c r="O2" s="7">
        <f ca="1">SUMIFS(INDIRECT("Tab_04.Abr["&amp;O$14&amp;"]"),Tab_04.Abr[TP],$B2,Tab_04.Abr[S/A],"A")</f>
        <v>349475.34</v>
      </c>
    </row>
    <row r="3" spans="2:15" outlineLevel="1" x14ac:dyDescent="0.3">
      <c r="B3" s="2" t="s">
        <v>116</v>
      </c>
      <c r="F3" s="7">
        <f ca="1">SUMIFS(INDIRECT("Tab_04.Abr["&amp;F$14&amp;"]"),Tab_04.Abr[TP],$B3,Tab_04.Abr[NV],"A")</f>
        <v>0</v>
      </c>
      <c r="G3" s="7">
        <f ca="1">SUMIFS(INDIRECT("Tab_04.Abr["&amp;G$14&amp;"]"),Tab_04.Abr[TP],$B3,Tab_04.Abr[NV],"A")</f>
        <v>0</v>
      </c>
      <c r="H3" s="3"/>
      <c r="I3" s="3"/>
      <c r="J3" s="88" t="s">
        <v>110</v>
      </c>
      <c r="K3" s="7">
        <f ca="1">SUMIFS(INDIRECT("Tab_04.Abr["&amp;K$14&amp;"]"),Tab_04.Abr[TP],$B3,Tab_04.Abr[S/A],"A")</f>
        <v>-83106680.230000004</v>
      </c>
      <c r="L3" s="7">
        <f ca="1">SUMIFS(INDIRECT("Tab_04.Abr["&amp;L$14&amp;"]"),Tab_04.Abr[TP],$B3,Tab_04.Abr[S/A],"A")</f>
        <v>684014.48</v>
      </c>
      <c r="M3" s="7">
        <f ca="1">SUMIFS(INDIRECT("Tab_04.Abr["&amp;M$14&amp;"]"),Tab_04.Abr[TP],$B3,Tab_04.Abr[S/A],"A")</f>
        <v>1031211.62</v>
      </c>
      <c r="N3" s="7">
        <f ca="1">SUMIFS(INDIRECT("Tab_04.Abr["&amp;N$14&amp;"]"),Tab_04.Abr[TP],$B3,Tab_04.Abr[S/A],"A")</f>
        <v>-83453877.370000005</v>
      </c>
      <c r="O3" s="7">
        <f ca="1">SUMIFS(INDIRECT("Tab_04.Abr["&amp;O$14&amp;"]"),Tab_04.Abr[TP],$B3,Tab_04.Abr[S/A],"A")</f>
        <v>-347197.14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-72348.78</v>
      </c>
      <c r="L4" s="8">
        <f t="shared" ca="1" si="0"/>
        <v>2252014.66</v>
      </c>
      <c r="M4" s="8">
        <f t="shared" ca="1" si="0"/>
        <v>2249736.46</v>
      </c>
      <c r="N4" s="8">
        <f ca="1">SUM(N$2:N$3)</f>
        <v>-70070.58</v>
      </c>
      <c r="O4" s="8">
        <f t="shared" ca="1" si="0"/>
        <v>2278.1999999999998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SUMIFS(INDIRECT("Tab_04.Abr["&amp;F$14&amp;"]"),Tab_04.Abr[TP],$B6,Tab_04.Abr[NV],"A")</f>
        <v>0</v>
      </c>
      <c r="G6" s="7">
        <f ca="1">SUMIFS(INDIRECT("Tab_04.Abr["&amp;G$14&amp;"]"),Tab_04.Abr[TP],$B6,Tab_04.Abr[NV],"A")</f>
        <v>0</v>
      </c>
      <c r="H6" s="3"/>
      <c r="I6" s="3"/>
      <c r="J6" s="88" t="s">
        <v>18</v>
      </c>
      <c r="K6" s="7">
        <f ca="1">SUMIFS(INDIRECT("Tab_04.Abr["&amp;K$14&amp;"]"),Tab_04.Abr[TP],$B6,Tab_04.Abr[S/A],"A")</f>
        <v>-3663236.38</v>
      </c>
      <c r="L6" s="7">
        <f ca="1">SUMIFS(INDIRECT("Tab_04.Abr["&amp;L$14&amp;"]"),Tab_04.Abr[TP],$B6,Tab_04.Abr[S/A],"A")</f>
        <v>114819.6</v>
      </c>
      <c r="M6" s="7">
        <f ca="1">SUMIFS(INDIRECT("Tab_04.Abr["&amp;M$14&amp;"]"),Tab_04.Abr[TP],$B6,Tab_04.Abr[S/A],"A")</f>
        <v>1180786.3799999999</v>
      </c>
      <c r="N6" s="7">
        <f ca="1">SUMIFS(INDIRECT("Tab_04.Abr["&amp;N$14&amp;"]"),Tab_04.Abr[TP],$B6,Tab_04.Abr[S/A],"A")</f>
        <v>-4729203.16</v>
      </c>
      <c r="O6" s="7">
        <f ca="1">SUMIFS(INDIRECT("Tab_04.Abr["&amp;O$14&amp;"]"),Tab_04.Abr[TP],$B6,Tab_04.Abr[S/A],"A")</f>
        <v>-1065966.78</v>
      </c>
    </row>
    <row r="7" spans="2:15" outlineLevel="1" x14ac:dyDescent="0.3">
      <c r="B7" s="2" t="s">
        <v>20</v>
      </c>
      <c r="F7" s="7">
        <f ca="1">SUMIFS(INDIRECT("Tab_04.Abr["&amp;F$14&amp;"]"),Tab_04.Abr[TP],$B7,Tab_04.Abr[NV],"A")</f>
        <v>0</v>
      </c>
      <c r="G7" s="7">
        <f ca="1">SUMIFS(INDIRECT("Tab_04.Abr["&amp;G$14&amp;"]"),Tab_04.Abr[TP],$B7,Tab_04.Abr[NV],"A")</f>
        <v>0</v>
      </c>
      <c r="H7" s="3"/>
      <c r="I7" s="3"/>
      <c r="J7" s="88" t="s">
        <v>111</v>
      </c>
      <c r="K7" s="7">
        <f ca="1">SUMIFS(INDIRECT("Tab_04.Abr["&amp;K$14&amp;"]"),Tab_04.Abr[TP],$B7,Tab_04.Abr[S/A],"A")</f>
        <v>3735585.16</v>
      </c>
      <c r="L7" s="7">
        <f ca="1">SUMIFS(INDIRECT("Tab_04.Abr["&amp;L$14&amp;"]"),Tab_04.Abr[TP],$B7,Tab_04.Abr[S/A],"A")</f>
        <v>1094976.05</v>
      </c>
      <c r="M7" s="7">
        <f ca="1">SUMIFS(INDIRECT("Tab_04.Abr["&amp;M$14&amp;"]"),Tab_04.Abr[TP],$B7,Tab_04.Abr[S/A],"A")</f>
        <v>31287.47</v>
      </c>
      <c r="N7" s="7">
        <f ca="1">SUMIFS(INDIRECT("Tab_04.Abr["&amp;N$14&amp;"]"),Tab_04.Abr[TP],$B7,Tab_04.Abr[S/A],"A")</f>
        <v>4799273.74</v>
      </c>
      <c r="O7" s="7">
        <f ca="1">SUMIFS(INDIRECT("Tab_04.Abr["&amp;O$14&amp;"]"),Tab_04.Abr[TP],$B7,Tab_04.Abr[S/A],"A")</f>
        <v>1063688.58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72348.78</v>
      </c>
      <c r="L8" s="8">
        <f ca="1">SUM(L$6:L$7)</f>
        <v>1209795.6499999999</v>
      </c>
      <c r="M8" s="8">
        <f ca="1">SUM(M$6:M$7)</f>
        <v>1212073.8500000001</v>
      </c>
      <c r="N8" s="8">
        <f ca="1">SUM(N$6:N$7)</f>
        <v>70070.58</v>
      </c>
      <c r="O8" s="8">
        <f ca="1">SUM(O$6:O$7)</f>
        <v>-2278.1999999999998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240</v>
      </c>
      <c r="K10" s="11">
        <f t="shared" ref="K10:O10" ca="1" si="1">SUM(K$4,K$8)</f>
        <v>0</v>
      </c>
      <c r="L10" s="11">
        <f ca="1">SUM(L$4,L$8)</f>
        <v>3461810.31</v>
      </c>
      <c r="M10" s="11">
        <f t="shared" ca="1" si="1"/>
        <v>3461810.31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SUBTOTAL(9,Tab_04.Abr[SALDO FINAL
ANTERIOR])</f>
        <v>0</v>
      </c>
      <c r="G12" s="7">
        <f>SUBTOTAL(9,Tab_04.Abr[DIFERENÇA])</f>
        <v>0</v>
      </c>
      <c r="H12" s="3"/>
      <c r="I12" s="3"/>
      <c r="J12" s="3" t="s">
        <v>241</v>
      </c>
      <c r="K12" s="7">
        <f>SUBTOTAL(9,Tab_04.Abr[SALDO
ANTERIOR])</f>
        <v>0</v>
      </c>
      <c r="L12" s="7">
        <f>SUBTOTAL(9,Tab_04.Abr[DÉBITO])</f>
        <v>17309051.550000001</v>
      </c>
      <c r="M12" s="7">
        <f>SUBTOTAL(9,Tab_04.Abr[CRÉDITO])</f>
        <v>17309051.550000001</v>
      </c>
      <c r="N12" s="7">
        <f>SUBTOTAL(9,Tab_04.Abr[SALDO
ATUAL])</f>
        <v>0</v>
      </c>
      <c r="O12" s="7">
        <f>SUBTOTAL(9,Tab_04.Abr[MOVIMENTO])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SUMIFS(Tab_03.Mar[SALDO
ATUAL],Tab_03.Mar[CONTA],$I15)</f>
        <v>83034331.450000003</v>
      </c>
      <c r="G15" s="4">
        <f>$F15-$K15</f>
        <v>0</v>
      </c>
      <c r="H15" s="3"/>
      <c r="I15" s="3">
        <v>1</v>
      </c>
      <c r="J15" s="3" t="s">
        <v>637</v>
      </c>
      <c r="K15" s="173">
        <v>83034331.450000003</v>
      </c>
      <c r="L15" s="173">
        <v>1568000.18</v>
      </c>
      <c r="M15" s="173">
        <v>1218524.8400000001</v>
      </c>
      <c r="N15" s="4">
        <v>83383806.790000007</v>
      </c>
      <c r="O15" s="4">
        <f>Tab_04.Abr[[#This Row],[DÉBITO]]-Tab_04.Abr[[#This Row],[CRÉDITO]]</f>
        <v>349475.34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SUMIFS(Tab_03.Mar[SALDO
ATUAL],Tab_03.Mar[CONTA],$I16)</f>
        <v>10043210.060000001</v>
      </c>
      <c r="G16" s="4">
        <f>$F16-$K16</f>
        <v>0</v>
      </c>
      <c r="H16" s="3"/>
      <c r="I16" s="3" t="s">
        <v>197</v>
      </c>
      <c r="J16" s="3" t="s">
        <v>247</v>
      </c>
      <c r="K16" s="173">
        <v>10043210.060000001</v>
      </c>
      <c r="L16" s="173">
        <v>1547271.36</v>
      </c>
      <c r="M16" s="173">
        <v>1100038.19</v>
      </c>
      <c r="N16" s="4">
        <v>10490443.23</v>
      </c>
      <c r="O16" s="4">
        <f>Tab_04.Abr[[#This Row],[DÉBITO]]-Tab_04.Abr[[#This Row],[CRÉDITO]]</f>
        <v>447233.17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SUMIFS(Tab_03.Mar[SALDO
ATUAL],Tab_03.Mar[CONTA],$I17)</f>
        <v>9937516.9000000004</v>
      </c>
      <c r="G17" s="4">
        <f>$F17-$K17</f>
        <v>0</v>
      </c>
      <c r="H17" s="3"/>
      <c r="I17" s="3" t="s">
        <v>199</v>
      </c>
      <c r="J17" s="3" t="s">
        <v>638</v>
      </c>
      <c r="K17" s="173">
        <v>9937516.9000000004</v>
      </c>
      <c r="L17" s="173">
        <v>1447003.76</v>
      </c>
      <c r="M17" s="173">
        <v>1088829.3999999999</v>
      </c>
      <c r="N17" s="4">
        <v>10295691.26</v>
      </c>
      <c r="O17" s="4">
        <f>Tab_04.Abr[[#This Row],[DÉBITO]]-Tab_04.Abr[[#This Row],[CRÉDITO]]</f>
        <v>358174.36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SUMIFS(Tab_03.Mar[SALDO
ATUAL],Tab_03.Mar[CONTA],$I18)</f>
        <v>3411.67</v>
      </c>
      <c r="G18" s="4">
        <f t="shared" ref="G18:G81" si="2">$F18-$K18</f>
        <v>0</v>
      </c>
      <c r="H18" s="3"/>
      <c r="I18" s="3" t="s">
        <v>201</v>
      </c>
      <c r="J18" s="3" t="s">
        <v>639</v>
      </c>
      <c r="K18" s="173">
        <v>3411.67</v>
      </c>
      <c r="L18" s="173">
        <v>0</v>
      </c>
      <c r="M18" s="173">
        <v>418.26</v>
      </c>
      <c r="N18" s="4">
        <v>2993.41</v>
      </c>
      <c r="O18" s="4">
        <f>Tab_04.Abr[[#This Row],[DÉBITO]]-Tab_04.Abr[[#This Row],[CRÉDITO]]</f>
        <v>-418.26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SUMIFS(Tab_03.Mar[SALDO
ATUAL],Tab_03.Mar[CONTA],$I19)</f>
        <v>3411.67</v>
      </c>
      <c r="G19" s="4">
        <f t="shared" si="2"/>
        <v>0</v>
      </c>
      <c r="H19" s="3"/>
      <c r="I19" s="3" t="s">
        <v>176</v>
      </c>
      <c r="J19" s="3" t="s">
        <v>274</v>
      </c>
      <c r="K19" s="173">
        <v>3411.67</v>
      </c>
      <c r="L19" s="173">
        <v>0</v>
      </c>
      <c r="M19" s="173">
        <v>418.26</v>
      </c>
      <c r="N19" s="4">
        <v>2993.41</v>
      </c>
      <c r="O19" s="4">
        <f>Tab_04.Abr[[#This Row],[DÉBITO]]-Tab_04.Abr[[#This Row],[CRÉDITO]]</f>
        <v>-418.26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SUMIFS(Tab_03.Mar[SALDO
ATUAL],Tab_03.Mar[CONTA],$I20)</f>
        <v>29629.4</v>
      </c>
      <c r="G20" s="4">
        <f t="shared" si="2"/>
        <v>0</v>
      </c>
      <c r="H20" s="3"/>
      <c r="I20" s="3" t="s">
        <v>202</v>
      </c>
      <c r="J20" s="3" t="s">
        <v>640</v>
      </c>
      <c r="K20" s="173">
        <v>29629.4</v>
      </c>
      <c r="L20" s="173">
        <v>867664.4</v>
      </c>
      <c r="M20" s="173">
        <v>880692.32</v>
      </c>
      <c r="N20" s="4">
        <v>16601.48</v>
      </c>
      <c r="O20" s="4">
        <f>Tab_04.Abr[[#This Row],[DÉBITO]]-Tab_04.Abr[[#This Row],[CRÉDITO]]</f>
        <v>-13027.92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SUMIFS(Tab_03.Mar[SALDO
ATUAL],Tab_03.Mar[CONTA],$I21)</f>
        <v>0.99</v>
      </c>
      <c r="G21" s="4">
        <f t="shared" si="2"/>
        <v>0</v>
      </c>
      <c r="H21" s="3"/>
      <c r="I21" s="3" t="s">
        <v>277</v>
      </c>
      <c r="J21" s="3" t="s">
        <v>278</v>
      </c>
      <c r="K21" s="173">
        <v>0.99</v>
      </c>
      <c r="L21" s="173">
        <v>801144.46</v>
      </c>
      <c r="M21" s="173">
        <v>801144.45</v>
      </c>
      <c r="N21" s="4">
        <v>1</v>
      </c>
      <c r="O21" s="4">
        <f>Tab_04.Abr[[#This Row],[DÉBITO]]-Tab_04.Abr[[#This Row],[CRÉDITO]]</f>
        <v>0.01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SUMIFS(Tab_03.Mar[SALDO
ATUAL],Tab_03.Mar[CONTA],$I22)</f>
        <v>20718.55</v>
      </c>
      <c r="G22" s="4">
        <f t="shared" si="2"/>
        <v>0</v>
      </c>
      <c r="H22" s="3"/>
      <c r="I22" s="3" t="s">
        <v>177</v>
      </c>
      <c r="J22" s="3" t="s">
        <v>279</v>
      </c>
      <c r="K22" s="173">
        <v>20718.55</v>
      </c>
      <c r="L22" s="173">
        <v>62272.89</v>
      </c>
      <c r="M22" s="173">
        <v>74400.740000000005</v>
      </c>
      <c r="N22" s="4">
        <v>8590.7000000000007</v>
      </c>
      <c r="O22" s="4">
        <f>Tab_04.Abr[[#This Row],[DÉBITO]]-Tab_04.Abr[[#This Row],[CRÉDITO]]</f>
        <v>-12127.85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SUMIFS(Tab_03.Mar[SALDO
ATUAL],Tab_03.Mar[CONTA],$I23)</f>
        <v>4246.91</v>
      </c>
      <c r="G23" s="4">
        <f t="shared" si="2"/>
        <v>0</v>
      </c>
      <c r="H23" s="3"/>
      <c r="I23" s="3" t="s">
        <v>280</v>
      </c>
      <c r="J23" s="3" t="s">
        <v>281</v>
      </c>
      <c r="K23" s="173">
        <v>4246.91</v>
      </c>
      <c r="L23" s="173">
        <v>4247.05</v>
      </c>
      <c r="M23" s="173">
        <v>484.18</v>
      </c>
      <c r="N23" s="4">
        <v>8009.78</v>
      </c>
      <c r="O23" s="4">
        <f>Tab_04.Abr[[#This Row],[DÉBITO]]-Tab_04.Abr[[#This Row],[CRÉDITO]]</f>
        <v>3762.87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SUMIFS(Tab_03.Mar[SALDO
ATUAL],Tab_03.Mar[CONTA],$I24)</f>
        <v>4662.95</v>
      </c>
      <c r="G24" s="4">
        <f t="shared" si="2"/>
        <v>0</v>
      </c>
      <c r="H24" s="3"/>
      <c r="I24" s="3" t="s">
        <v>282</v>
      </c>
      <c r="J24" s="3" t="s">
        <v>283</v>
      </c>
      <c r="K24" s="173">
        <v>4662.95</v>
      </c>
      <c r="L24" s="173">
        <v>0</v>
      </c>
      <c r="M24" s="173">
        <v>4662.95</v>
      </c>
      <c r="N24" s="4">
        <v>0</v>
      </c>
      <c r="O24" s="4">
        <f>Tab_04.Abr[[#This Row],[DÉBITO]]-Tab_04.Abr[[#This Row],[CRÉDITO]]</f>
        <v>-4662.95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SUMIFS(Tab_03.Mar[SALDO
ATUAL],Tab_03.Mar[CONTA],$I25)</f>
        <v>9904475.8300000001</v>
      </c>
      <c r="G25" s="4">
        <f t="shared" si="2"/>
        <v>0</v>
      </c>
      <c r="H25" s="3"/>
      <c r="I25" s="3" t="s">
        <v>203</v>
      </c>
      <c r="J25" s="3" t="s">
        <v>641</v>
      </c>
      <c r="K25" s="173">
        <v>9904475.8300000001</v>
      </c>
      <c r="L25" s="173">
        <v>579339.36</v>
      </c>
      <c r="M25" s="173">
        <v>207718.82</v>
      </c>
      <c r="N25" s="4">
        <v>10276096.369999999</v>
      </c>
      <c r="O25" s="4">
        <f>Tab_04.Abr[[#This Row],[DÉBITO]]-Tab_04.Abr[[#This Row],[CRÉDITO]]</f>
        <v>371620.54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SUMIFS(Tab_03.Mar[SALDO
ATUAL],Tab_03.Mar[CONTA],$I26)</f>
        <v>4381434.88</v>
      </c>
      <c r="G26" s="4">
        <f t="shared" si="2"/>
        <v>0</v>
      </c>
      <c r="H26" s="3"/>
      <c r="I26" s="3" t="s">
        <v>178</v>
      </c>
      <c r="J26" s="3" t="s">
        <v>284</v>
      </c>
      <c r="K26" s="1">
        <v>4381434.88</v>
      </c>
      <c r="L26" s="1">
        <v>531209.81000000006</v>
      </c>
      <c r="M26" s="1">
        <v>207718.82</v>
      </c>
      <c r="N26" s="4">
        <v>4704925.87</v>
      </c>
      <c r="O26" s="4">
        <f>Tab_04.Abr[[#This Row],[DÉBITO]]-Tab_04.Abr[[#This Row],[CRÉDITO]]</f>
        <v>323490.99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SUMIFS(Tab_03.Mar[SALDO
ATUAL],Tab_03.Mar[CONTA],$I27)</f>
        <v>5523040.9500000002</v>
      </c>
      <c r="G27" s="4">
        <f t="shared" si="2"/>
        <v>0</v>
      </c>
      <c r="H27" s="3"/>
      <c r="I27" s="3" t="s">
        <v>287</v>
      </c>
      <c r="J27" s="3" t="s">
        <v>288</v>
      </c>
      <c r="K27" s="173">
        <v>5523040.9500000002</v>
      </c>
      <c r="L27" s="173">
        <v>48129.55</v>
      </c>
      <c r="M27" s="1">
        <v>0</v>
      </c>
      <c r="N27" s="4">
        <v>5571170.5</v>
      </c>
      <c r="O27" s="4">
        <f>Tab_04.Abr[[#This Row],[DÉBITO]]-Tab_04.Abr[[#This Row],[CRÉDITO]]</f>
        <v>48129.55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SUMIFS(Tab_03.Mar[SALDO
ATUAL],Tab_03.Mar[CONTA],$I28)</f>
        <v>99274.97</v>
      </c>
      <c r="G28" s="4">
        <f t="shared" si="2"/>
        <v>0</v>
      </c>
      <c r="H28" s="3"/>
      <c r="I28" s="3" t="s">
        <v>204</v>
      </c>
      <c r="J28" s="3" t="s">
        <v>642</v>
      </c>
      <c r="K28" s="173">
        <v>99274.97</v>
      </c>
      <c r="L28" s="173">
        <v>0</v>
      </c>
      <c r="M28" s="173">
        <v>0</v>
      </c>
      <c r="N28" s="4">
        <v>99274.97</v>
      </c>
      <c r="O28" s="4">
        <f>Tab_04.Abr[[#This Row],[DÉBITO]]-Tab_04.Abr[[#This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SUMIFS(Tab_03.Mar[SALDO
ATUAL],Tab_03.Mar[CONTA],$I29)</f>
        <v>99274.97</v>
      </c>
      <c r="G29" s="4">
        <f t="shared" si="2"/>
        <v>0</v>
      </c>
      <c r="H29" s="3"/>
      <c r="I29" s="3" t="s">
        <v>205</v>
      </c>
      <c r="J29" s="3" t="s">
        <v>643</v>
      </c>
      <c r="K29" s="173">
        <v>99274.97</v>
      </c>
      <c r="L29" s="173">
        <v>0</v>
      </c>
      <c r="M29" s="173">
        <v>0</v>
      </c>
      <c r="N29" s="4">
        <v>99274.97</v>
      </c>
      <c r="O29" s="4">
        <f>Tab_04.Abr[[#This Row],[DÉBITO]]-Tab_04.Abr[[#This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SUMIFS(Tab_03.Mar[SALDO
ATUAL],Tab_03.Mar[CONTA],$I30)</f>
        <v>99274.97</v>
      </c>
      <c r="G30" s="4">
        <f t="shared" si="2"/>
        <v>0</v>
      </c>
      <c r="H30" s="3"/>
      <c r="I30" s="3" t="s">
        <v>291</v>
      </c>
      <c r="J30" s="3" t="s">
        <v>292</v>
      </c>
      <c r="K30" s="173">
        <v>99274.97</v>
      </c>
      <c r="L30" s="173">
        <v>0</v>
      </c>
      <c r="M30" s="173">
        <v>0</v>
      </c>
      <c r="N30" s="4">
        <v>99274.97</v>
      </c>
      <c r="O30" s="4">
        <f>Tab_04.Abr[[#This Row],[DÉBITO]]-Tab_04.Abr[[#This Row],[CRÉDITO]]</f>
        <v>0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SUMIFS(Tab_03.Mar[SALDO
ATUAL],Tab_03.Mar[CONTA],$I31)</f>
        <v>4704.34</v>
      </c>
      <c r="G31" s="4">
        <f t="shared" si="2"/>
        <v>0</v>
      </c>
      <c r="H31" s="3"/>
      <c r="I31" s="3" t="s">
        <v>206</v>
      </c>
      <c r="J31" s="3" t="s">
        <v>644</v>
      </c>
      <c r="K31" s="173">
        <v>4704.34</v>
      </c>
      <c r="L31" s="1">
        <v>10743.03</v>
      </c>
      <c r="M31" s="1">
        <v>178.02</v>
      </c>
      <c r="N31" s="4">
        <v>15269.35</v>
      </c>
      <c r="O31" s="4">
        <f>Tab_04.Abr[[#This Row],[DÉBITO]]-Tab_04.Abr[[#This Row],[CRÉDITO]]</f>
        <v>10565.01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SUMIFS(Tab_03.Mar[SALDO
ATUAL],Tab_03.Mar[CONTA],$I32)</f>
        <v>222.6</v>
      </c>
      <c r="G32" s="4">
        <f t="shared" si="2"/>
        <v>0</v>
      </c>
      <c r="H32" s="3"/>
      <c r="I32" s="3" t="s">
        <v>208</v>
      </c>
      <c r="J32" s="3" t="s">
        <v>139</v>
      </c>
      <c r="K32" s="173">
        <v>222.6</v>
      </c>
      <c r="L32" s="1">
        <v>0</v>
      </c>
      <c r="M32" s="1">
        <v>178.02</v>
      </c>
      <c r="N32" s="4">
        <v>44.58</v>
      </c>
      <c r="O32" s="4">
        <f>Tab_04.Abr[[#This Row],[DÉBITO]]-Tab_04.Abr[[#This Row],[CRÉDITO]]</f>
        <v>-178.02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SUMIFS(Tab_03.Mar[SALDO
ATUAL],Tab_03.Mar[CONTA],$I33)</f>
        <v>44.58</v>
      </c>
      <c r="G33" s="4">
        <f t="shared" si="2"/>
        <v>0</v>
      </c>
      <c r="H33" s="3"/>
      <c r="I33" s="3" t="s">
        <v>179</v>
      </c>
      <c r="J33" s="3" t="s">
        <v>293</v>
      </c>
      <c r="K33" s="173">
        <v>44.58</v>
      </c>
      <c r="L33" s="1">
        <v>0</v>
      </c>
      <c r="M33" s="1">
        <v>0</v>
      </c>
      <c r="N33" s="4">
        <v>44.58</v>
      </c>
      <c r="O33" s="4">
        <f>Tab_04.Abr[[#This Row],[DÉBITO]]-Tab_04.Abr[[#This Row],[CRÉDITO]]</f>
        <v>0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SUMIFS(Tab_03.Mar[SALDO
ATUAL],Tab_03.Mar[CONTA],$I34)</f>
        <v>178.02</v>
      </c>
      <c r="G34" s="4">
        <f t="shared" si="2"/>
        <v>0</v>
      </c>
      <c r="H34" s="3"/>
      <c r="I34" s="3" t="s">
        <v>294</v>
      </c>
      <c r="J34" s="3" t="s">
        <v>295</v>
      </c>
      <c r="K34" s="173">
        <v>178.02</v>
      </c>
      <c r="L34" s="1">
        <v>0</v>
      </c>
      <c r="M34" s="1">
        <v>178.02</v>
      </c>
      <c r="N34" s="4">
        <v>0</v>
      </c>
      <c r="O34" s="4">
        <f>Tab_04.Abr[[#This Row],[DÉBITO]]-Tab_04.Abr[[#This Row],[CRÉDITO]]</f>
        <v>-178.02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SUMIFS(Tab_03.Mar[SALDO
ATUAL],Tab_03.Mar[CONTA],$I35)</f>
        <v>4481.74</v>
      </c>
      <c r="G35" s="4">
        <f t="shared" si="2"/>
        <v>0</v>
      </c>
      <c r="H35" s="3"/>
      <c r="I35" s="3" t="s">
        <v>551</v>
      </c>
      <c r="J35" s="3" t="s">
        <v>645</v>
      </c>
      <c r="K35" s="173">
        <v>4481.74</v>
      </c>
      <c r="L35" s="1">
        <v>10743.03</v>
      </c>
      <c r="M35" s="1">
        <v>0</v>
      </c>
      <c r="N35" s="4">
        <v>15224.77</v>
      </c>
      <c r="O35" s="4">
        <f>Tab_04.Abr[[#This Row],[DÉBITO]]-Tab_04.Abr[[#This Row],[CRÉDITO]]</f>
        <v>10743.03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SUMIFS(Tab_03.Mar[SALDO
ATUAL],Tab_03.Mar[CONTA],$I36)</f>
        <v>4481.74</v>
      </c>
      <c r="G36" s="4">
        <f t="shared" si="2"/>
        <v>0</v>
      </c>
      <c r="H36" s="3"/>
      <c r="I36" s="3" t="s">
        <v>837</v>
      </c>
      <c r="J36" s="3" t="s">
        <v>838</v>
      </c>
      <c r="K36" s="173">
        <v>4481.74</v>
      </c>
      <c r="L36" s="1">
        <v>10743.03</v>
      </c>
      <c r="M36" s="1">
        <v>0</v>
      </c>
      <c r="N36" s="4">
        <v>15224.77</v>
      </c>
      <c r="O36" s="4">
        <f>Tab_04.Abr[[#This Row],[DÉBITO]]-Tab_04.Abr[[#This Row],[CRÉDITO]]</f>
        <v>10743.03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SUMIFS(Tab_03.Mar[SALDO
ATUAL],Tab_03.Mar[CONTA],$I37)</f>
        <v>0</v>
      </c>
      <c r="G37" s="4">
        <f t="shared" si="2"/>
        <v>0</v>
      </c>
      <c r="H37" s="3"/>
      <c r="I37" s="3" t="s">
        <v>846</v>
      </c>
      <c r="J37" s="3" t="s">
        <v>847</v>
      </c>
      <c r="K37" s="173">
        <v>0</v>
      </c>
      <c r="L37" s="173">
        <v>89524.57</v>
      </c>
      <c r="M37" s="173">
        <v>10743.03</v>
      </c>
      <c r="N37" s="4">
        <v>78781.539999999994</v>
      </c>
      <c r="O37" s="4">
        <f>Tab_04.Abr[[#This Row],[DÉBITO]]-Tab_04.Abr[[#This Row],[CRÉDITO]]</f>
        <v>78781.539999999994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SUMIFS(Tab_03.Mar[SALDO
ATUAL],Tab_03.Mar[CONTA],$I38)</f>
        <v>0</v>
      </c>
      <c r="G38" s="4">
        <f t="shared" si="2"/>
        <v>0</v>
      </c>
      <c r="H38" s="3"/>
      <c r="I38" s="3" t="s">
        <v>848</v>
      </c>
      <c r="J38" s="3" t="s">
        <v>849</v>
      </c>
      <c r="K38" s="173">
        <v>0</v>
      </c>
      <c r="L38" s="1">
        <v>89524.57</v>
      </c>
      <c r="M38" s="1">
        <v>10743.03</v>
      </c>
      <c r="N38" s="4">
        <v>78781.539999999994</v>
      </c>
      <c r="O38" s="4">
        <f>Tab_04.Abr[[#This Row],[DÉBITO]]-Tab_04.Abr[[#This Row],[CRÉDITO]]</f>
        <v>78781.539999999994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SUMIFS(Tab_03.Mar[SALDO
ATUAL],Tab_03.Mar[CONTA],$I39)</f>
        <v>0</v>
      </c>
      <c r="G39" s="4">
        <f t="shared" si="2"/>
        <v>0</v>
      </c>
      <c r="H39" s="3"/>
      <c r="I39" s="3" t="s">
        <v>850</v>
      </c>
      <c r="J39" s="3" t="s">
        <v>849</v>
      </c>
      <c r="K39" s="173">
        <v>0</v>
      </c>
      <c r="L39" s="1">
        <v>89524.57</v>
      </c>
      <c r="M39" s="1">
        <v>10743.03</v>
      </c>
      <c r="N39" s="4">
        <v>78781.539999999994</v>
      </c>
      <c r="O39" s="4">
        <f>Tab_04.Abr[[#This Row],[DÉBITO]]-Tab_04.Abr[[#This Row],[CRÉDITO]]</f>
        <v>78781.539999999994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SUMIFS(Tab_03.Mar[SALDO
ATUAL],Tab_03.Mar[CONTA],$I40)</f>
        <v>1713.85</v>
      </c>
      <c r="G40" s="4">
        <f t="shared" si="2"/>
        <v>0</v>
      </c>
      <c r="H40" s="3"/>
      <c r="I40" s="3" t="s">
        <v>209</v>
      </c>
      <c r="J40" s="3" t="s">
        <v>646</v>
      </c>
      <c r="K40" s="173">
        <v>1713.85</v>
      </c>
      <c r="L40" s="1">
        <v>0</v>
      </c>
      <c r="M40" s="1">
        <v>287.74</v>
      </c>
      <c r="N40" s="4">
        <v>1426.11</v>
      </c>
      <c r="O40" s="4">
        <f>Tab_04.Abr[[#This Row],[DÉBITO]]-Tab_04.Abr[[#This Row],[CRÉDITO]]</f>
        <v>-287.74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SUMIFS(Tab_03.Mar[SALDO
ATUAL],Tab_03.Mar[CONTA],$I41)</f>
        <v>1713.85</v>
      </c>
      <c r="G41" s="4">
        <f t="shared" si="2"/>
        <v>0</v>
      </c>
      <c r="H41" s="3"/>
      <c r="I41" s="3" t="s">
        <v>210</v>
      </c>
      <c r="J41" s="3" t="s">
        <v>646</v>
      </c>
      <c r="K41" s="173">
        <v>1713.85</v>
      </c>
      <c r="L41" s="173">
        <v>0</v>
      </c>
      <c r="M41" s="1">
        <v>287.74</v>
      </c>
      <c r="N41" s="4">
        <v>1426.11</v>
      </c>
      <c r="O41" s="4">
        <f>Tab_04.Abr[[#This Row],[DÉBITO]]-Tab_04.Abr[[#This Row],[CRÉDITO]]</f>
        <v>-287.74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A</v>
      </c>
      <c r="E42" s="2">
        <f>IF($I42="","",COUNTIFS(Tab_00.Trial[CONTA],$I42))</f>
        <v>1</v>
      </c>
      <c r="F42" s="4">
        <f>SUMIFS(Tab_03.Mar[SALDO
ATUAL],Tab_03.Mar[CONTA],$I42)</f>
        <v>1713.85</v>
      </c>
      <c r="G42" s="4">
        <f t="shared" si="2"/>
        <v>0</v>
      </c>
      <c r="H42" s="3"/>
      <c r="I42" s="3" t="s">
        <v>298</v>
      </c>
      <c r="J42" s="3" t="s">
        <v>299</v>
      </c>
      <c r="K42" s="173">
        <v>1713.85</v>
      </c>
      <c r="L42" s="1">
        <v>0</v>
      </c>
      <c r="M42" s="1">
        <v>287.74</v>
      </c>
      <c r="N42" s="4">
        <v>1426.11</v>
      </c>
      <c r="O42" s="4">
        <f>Tab_04.Abr[[#This Row],[DÉBITO]]-Tab_04.Abr[[#This Row],[CRÉDITO]]</f>
        <v>-287.74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2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SUMIFS(Tab_03.Mar[SALDO
ATUAL],Tab_03.Mar[CONTA],$I43)</f>
        <v>72991121.390000001</v>
      </c>
      <c r="G43" s="4">
        <f t="shared" si="2"/>
        <v>0</v>
      </c>
      <c r="H43" s="3"/>
      <c r="I43" s="3" t="s">
        <v>211</v>
      </c>
      <c r="J43" s="3" t="s">
        <v>76</v>
      </c>
      <c r="K43" s="173">
        <v>72991121.390000001</v>
      </c>
      <c r="L43" s="1">
        <v>20728.82</v>
      </c>
      <c r="M43" s="1">
        <v>118486.65</v>
      </c>
      <c r="N43" s="4">
        <v>72893363.560000002</v>
      </c>
      <c r="O43" s="4">
        <f>Tab_04.Abr[[#This Row],[DÉBITO]]-Tab_04.Abr[[#This Row],[CRÉDITO]]</f>
        <v>-97757.83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SUMIFS(Tab_03.Mar[SALDO
ATUAL],Tab_03.Mar[CONTA],$I44)</f>
        <v>253487.9</v>
      </c>
      <c r="G44" s="4">
        <f t="shared" si="2"/>
        <v>0</v>
      </c>
      <c r="H44" s="3"/>
      <c r="I44" s="3" t="s">
        <v>552</v>
      </c>
      <c r="J44" s="3" t="s">
        <v>647</v>
      </c>
      <c r="K44" s="173">
        <v>253487.9</v>
      </c>
      <c r="L44" s="1">
        <v>557.45000000000005</v>
      </c>
      <c r="M44" s="1">
        <v>0</v>
      </c>
      <c r="N44" s="4">
        <v>254045.35</v>
      </c>
      <c r="O44" s="4">
        <f>Tab_04.Abr[[#This Row],[DÉBITO]]-Tab_04.Abr[[#This Row],[CRÉDITO]]</f>
        <v>557.45000000000005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SUMIFS(Tab_03.Mar[SALDO
ATUAL],Tab_03.Mar[CONTA],$I45)</f>
        <v>253487.9</v>
      </c>
      <c r="G45" s="4">
        <f t="shared" si="2"/>
        <v>0</v>
      </c>
      <c r="H45" s="3"/>
      <c r="I45" s="3" t="s">
        <v>553</v>
      </c>
      <c r="J45" s="3" t="s">
        <v>301</v>
      </c>
      <c r="K45" s="173">
        <v>253487.9</v>
      </c>
      <c r="L45" s="1">
        <v>557.45000000000005</v>
      </c>
      <c r="M45" s="1">
        <v>0</v>
      </c>
      <c r="N45" s="4">
        <v>254045.35</v>
      </c>
      <c r="O45" s="4">
        <f>Tab_04.Abr[[#This Row],[DÉBITO]]-Tab_04.Abr[[#This Row],[CRÉDITO]]</f>
        <v>557.45000000000005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SUMIFS(Tab_03.Mar[SALDO
ATUAL],Tab_03.Mar[CONTA],$I46)</f>
        <v>253487.9</v>
      </c>
      <c r="G46" s="4">
        <f t="shared" si="2"/>
        <v>0</v>
      </c>
      <c r="H46" s="3"/>
      <c r="I46" s="3" t="s">
        <v>300</v>
      </c>
      <c r="J46" s="3" t="s">
        <v>301</v>
      </c>
      <c r="K46" s="173">
        <v>253487.9</v>
      </c>
      <c r="L46" s="1">
        <v>557.45000000000005</v>
      </c>
      <c r="M46" s="1">
        <v>0</v>
      </c>
      <c r="N46" s="4">
        <v>254045.35</v>
      </c>
      <c r="O46" s="4">
        <f>Tab_04.Abr[[#This Row],[DÉBITO]]-Tab_04.Abr[[#This Row],[CRÉDITO]]</f>
        <v>557.45000000000005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SUMIFS(Tab_03.Mar[SALDO
ATUAL],Tab_03.Mar[CONTA],$I47)</f>
        <v>70397643.939999998</v>
      </c>
      <c r="G47" s="4">
        <f t="shared" si="2"/>
        <v>0</v>
      </c>
      <c r="H47" s="3"/>
      <c r="I47" s="3" t="s">
        <v>554</v>
      </c>
      <c r="J47" s="3" t="s">
        <v>648</v>
      </c>
      <c r="K47" s="173">
        <v>70397643.939999998</v>
      </c>
      <c r="L47" s="173">
        <v>0</v>
      </c>
      <c r="M47" s="1">
        <v>114819.6</v>
      </c>
      <c r="N47" s="4">
        <v>70282824.340000004</v>
      </c>
      <c r="O47" s="4">
        <f>Tab_04.Abr[[#This Row],[DÉBITO]]-Tab_04.Abr[[#This Row],[CRÉDITO]]</f>
        <v>-114819.6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SUMIFS(Tab_03.Mar[SALDO
ATUAL],Tab_03.Mar[CONTA],$I48)</f>
        <v>45344232.229999997</v>
      </c>
      <c r="G48" s="4">
        <f t="shared" si="2"/>
        <v>0</v>
      </c>
      <c r="H48" s="3"/>
      <c r="I48" s="3" t="s">
        <v>555</v>
      </c>
      <c r="J48" s="3" t="s">
        <v>649</v>
      </c>
      <c r="K48" s="173">
        <v>45344232.229999997</v>
      </c>
      <c r="L48" s="173">
        <v>0</v>
      </c>
      <c r="M48" s="1">
        <v>0</v>
      </c>
      <c r="N48" s="4">
        <v>45344232.229999997</v>
      </c>
      <c r="O48" s="4">
        <f>Tab_04.Abr[[#This Row],[DÉBITO]]-Tab_04.Abr[[#This Row],[CRÉDITO]]</f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SUMIFS(Tab_03.Mar[SALDO
ATUAL],Tab_03.Mar[CONTA],$I49)</f>
        <v>42477392.43</v>
      </c>
      <c r="G49" s="4">
        <f t="shared" si="2"/>
        <v>0</v>
      </c>
      <c r="H49" s="3"/>
      <c r="I49" s="3" t="s">
        <v>302</v>
      </c>
      <c r="J49" s="3" t="s">
        <v>303</v>
      </c>
      <c r="K49" s="173">
        <v>42477392.43</v>
      </c>
      <c r="L49" s="173">
        <v>0</v>
      </c>
      <c r="M49" s="173">
        <v>0</v>
      </c>
      <c r="N49" s="4">
        <v>42477392.43</v>
      </c>
      <c r="O49" s="4">
        <f>Tab_04.Abr[[#This Row],[DÉBITO]]-Tab_04.Abr[[#This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SUMIFS(Tab_03.Mar[SALDO
ATUAL],Tab_03.Mar[CONTA],$I50)</f>
        <v>2866839.8</v>
      </c>
      <c r="G50" s="4">
        <f t="shared" si="2"/>
        <v>0</v>
      </c>
      <c r="H50" s="3"/>
      <c r="I50" s="3" t="s">
        <v>304</v>
      </c>
      <c r="J50" s="3" t="s">
        <v>305</v>
      </c>
      <c r="K50" s="173">
        <v>2866839.8</v>
      </c>
      <c r="L50" s="173">
        <v>0</v>
      </c>
      <c r="M50" s="1">
        <v>0</v>
      </c>
      <c r="N50" s="4">
        <v>2866839.8</v>
      </c>
      <c r="O50" s="4">
        <f>Tab_04.Abr[[#This Row],[DÉBITO]]-Tab_04.Abr[[#This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SUMIFS(Tab_03.Mar[SALDO
ATUAL],Tab_03.Mar[CONTA],$I51)</f>
        <v>4760.84</v>
      </c>
      <c r="G51" s="4">
        <f t="shared" si="2"/>
        <v>0</v>
      </c>
      <c r="H51" s="3"/>
      <c r="I51" s="3" t="s">
        <v>556</v>
      </c>
      <c r="J51" s="3" t="s">
        <v>650</v>
      </c>
      <c r="K51" s="173">
        <v>4760.84</v>
      </c>
      <c r="L51" s="1">
        <v>0</v>
      </c>
      <c r="M51" s="1">
        <v>0</v>
      </c>
      <c r="N51" s="4">
        <v>4760.84</v>
      </c>
      <c r="O51" s="4">
        <f>Tab_04.Abr[[#This Row],[DÉBITO]]-Tab_04.Abr[[#This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SUMIFS(Tab_03.Mar[SALDO
ATUAL],Tab_03.Mar[CONTA],$I52)</f>
        <v>4760.84</v>
      </c>
      <c r="G52" s="4">
        <f t="shared" si="2"/>
        <v>0</v>
      </c>
      <c r="H52" s="3"/>
      <c r="I52" s="3" t="s">
        <v>306</v>
      </c>
      <c r="J52" s="3" t="s">
        <v>307</v>
      </c>
      <c r="K52" s="173">
        <v>4760.84</v>
      </c>
      <c r="L52" s="173">
        <v>0</v>
      </c>
      <c r="M52" s="1">
        <v>0</v>
      </c>
      <c r="N52" s="4">
        <v>4760.84</v>
      </c>
      <c r="O52" s="4">
        <f>Tab_04.Abr[[#This Row],[DÉBITO]]-Tab_04.Abr[[#This Row],[CRÉDITO]]</f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SUMIFS(Tab_03.Mar[SALDO
ATUAL],Tab_03.Mar[CONTA],$I53)</f>
        <v>25048650.870000001</v>
      </c>
      <c r="G53" s="4">
        <f t="shared" si="2"/>
        <v>0</v>
      </c>
      <c r="H53" s="3"/>
      <c r="I53" s="3" t="s">
        <v>557</v>
      </c>
      <c r="J53" s="3" t="s">
        <v>309</v>
      </c>
      <c r="K53" s="173">
        <v>25048650.870000001</v>
      </c>
      <c r="L53" s="1">
        <v>0</v>
      </c>
      <c r="M53" s="1">
        <v>114819.6</v>
      </c>
      <c r="N53" s="4">
        <v>24933831.27</v>
      </c>
      <c r="O53" s="4">
        <f>Tab_04.Abr[[#This Row],[DÉBITO]]-Tab_04.Abr[[#This Row],[CRÉDITO]]</f>
        <v>-114819.6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SUMIFS(Tab_03.Mar[SALDO
ATUAL],Tab_03.Mar[CONTA],$I54)</f>
        <v>25048650.870000001</v>
      </c>
      <c r="G54" s="4">
        <f t="shared" si="2"/>
        <v>0</v>
      </c>
      <c r="H54" s="3"/>
      <c r="I54" s="3" t="s">
        <v>308</v>
      </c>
      <c r="J54" s="3" t="s">
        <v>309</v>
      </c>
      <c r="K54" s="173">
        <v>25048650.870000001</v>
      </c>
      <c r="L54" s="1">
        <v>0</v>
      </c>
      <c r="M54" s="1">
        <v>114819.6</v>
      </c>
      <c r="N54" s="4">
        <v>24933831.27</v>
      </c>
      <c r="O54" s="4">
        <f>Tab_04.Abr[[#This Row],[DÉBITO]]-Tab_04.Abr[[#This Row],[CRÉDITO]]</f>
        <v>-114819.6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SUMIFS(Tab_03.Mar[SALDO
ATUAL],Tab_03.Mar[CONTA],$I55)</f>
        <v>2339989.5499999998</v>
      </c>
      <c r="G55" s="4">
        <f t="shared" si="2"/>
        <v>0</v>
      </c>
      <c r="H55" s="3"/>
      <c r="I55" s="3" t="s">
        <v>213</v>
      </c>
      <c r="J55" s="3" t="s">
        <v>35</v>
      </c>
      <c r="K55" s="173">
        <v>2339989.5499999998</v>
      </c>
      <c r="L55" s="1">
        <v>20171.37</v>
      </c>
      <c r="M55" s="1">
        <v>3667.05</v>
      </c>
      <c r="N55" s="4">
        <v>2356493.87</v>
      </c>
      <c r="O55" s="4">
        <f>Tab_04.Abr[[#This Row],[DÉBITO]]-Tab_04.Abr[[#This Row],[CRÉDITO]]</f>
        <v>16504.32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S</v>
      </c>
      <c r="E56" s="2">
        <f>IF($I56="","",COUNTIFS(Tab_00.Trial[CONTA],$I56))</f>
        <v>1</v>
      </c>
      <c r="F56" s="4">
        <f>SUMIFS(Tab_03.Mar[SALDO
ATUAL],Tab_03.Mar[CONTA],$I56)</f>
        <v>3506044.45</v>
      </c>
      <c r="G56" s="4">
        <f t="shared" si="2"/>
        <v>0</v>
      </c>
      <c r="H56" s="3"/>
      <c r="I56" s="3" t="s">
        <v>214</v>
      </c>
      <c r="J56" s="3" t="s">
        <v>651</v>
      </c>
      <c r="K56" s="173">
        <v>3506044.45</v>
      </c>
      <c r="L56" s="1">
        <v>20171.37</v>
      </c>
      <c r="M56" s="1">
        <v>0</v>
      </c>
      <c r="N56" s="4">
        <v>3526215.82</v>
      </c>
      <c r="O56" s="4">
        <f>Tab_04.Abr[[#This Row],[DÉBITO]]-Tab_04.Abr[[#This Row],[CRÉDITO]]</f>
        <v>20171.37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SUMIFS(Tab_03.Mar[SALDO
ATUAL],Tab_03.Mar[CONTA],$I57)</f>
        <v>1379260.84</v>
      </c>
      <c r="G57" s="4">
        <f t="shared" si="2"/>
        <v>0</v>
      </c>
      <c r="H57" s="3"/>
      <c r="I57" s="3" t="s">
        <v>310</v>
      </c>
      <c r="J57" s="3" t="s">
        <v>311</v>
      </c>
      <c r="K57" s="173">
        <v>1379260.84</v>
      </c>
      <c r="L57" s="1">
        <v>0</v>
      </c>
      <c r="M57" s="1">
        <v>0</v>
      </c>
      <c r="N57" s="4">
        <v>1379260.84</v>
      </c>
      <c r="O57" s="4">
        <f>Tab_04.Abr[[#This Row],[DÉBITO]]-Tab_04.Abr[[#This Row],[CRÉDITO]]</f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SUMIFS(Tab_03.Mar[SALDO
ATUAL],Tab_03.Mar[CONTA],$I58)</f>
        <v>1252585.8700000001</v>
      </c>
      <c r="G58" s="4">
        <f t="shared" si="2"/>
        <v>0</v>
      </c>
      <c r="H58" s="3"/>
      <c r="I58" s="3" t="s">
        <v>312</v>
      </c>
      <c r="J58" s="3" t="s">
        <v>313</v>
      </c>
      <c r="K58" s="173">
        <v>1252585.8700000001</v>
      </c>
      <c r="L58" s="1">
        <v>19219.09</v>
      </c>
      <c r="M58" s="1">
        <v>0</v>
      </c>
      <c r="N58" s="4">
        <v>1271804.96</v>
      </c>
      <c r="O58" s="4">
        <f>Tab_04.Abr[[#This Row],[DÉBITO]]-Tab_04.Abr[[#This Row],[CRÉDITO]]</f>
        <v>19219.09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SUMIFS(Tab_03.Mar[SALDO
ATUAL],Tab_03.Mar[CONTA],$I59)</f>
        <v>23000</v>
      </c>
      <c r="G59" s="4">
        <f t="shared" si="2"/>
        <v>0</v>
      </c>
      <c r="H59" s="3"/>
      <c r="I59" s="3" t="s">
        <v>181</v>
      </c>
      <c r="J59" s="3" t="s">
        <v>314</v>
      </c>
      <c r="K59" s="173">
        <v>23000</v>
      </c>
      <c r="L59" s="1">
        <v>0</v>
      </c>
      <c r="M59" s="1">
        <v>0</v>
      </c>
      <c r="N59" s="4">
        <v>23000</v>
      </c>
      <c r="O59" s="4">
        <f>Tab_04.Abr[[#This Row],[DÉBITO]]-Tab_04.Abr[[#This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SUMIFS(Tab_03.Mar[SALDO
ATUAL],Tab_03.Mar[CONTA],$I60)</f>
        <v>12594</v>
      </c>
      <c r="G60" s="4">
        <f t="shared" si="2"/>
        <v>0</v>
      </c>
      <c r="H60" s="3"/>
      <c r="I60" s="3" t="s">
        <v>182</v>
      </c>
      <c r="J60" s="3" t="s">
        <v>315</v>
      </c>
      <c r="K60" s="173">
        <v>12594</v>
      </c>
      <c r="L60" s="1">
        <v>0</v>
      </c>
      <c r="M60" s="173">
        <v>0</v>
      </c>
      <c r="N60" s="4">
        <v>12594</v>
      </c>
      <c r="O60" s="4">
        <f>Tab_04.Abr[[#This Row],[DÉBITO]]-Tab_04.Abr[[#This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SUMIFS(Tab_03.Mar[SALDO
ATUAL],Tab_03.Mar[CONTA],$I61)</f>
        <v>223690.57</v>
      </c>
      <c r="G61" s="4">
        <f t="shared" si="2"/>
        <v>0</v>
      </c>
      <c r="H61" s="3"/>
      <c r="I61" s="3" t="s">
        <v>183</v>
      </c>
      <c r="J61" s="3" t="s">
        <v>316</v>
      </c>
      <c r="K61" s="173">
        <v>223690.57</v>
      </c>
      <c r="L61" s="1">
        <v>952.28</v>
      </c>
      <c r="M61" s="173">
        <v>0</v>
      </c>
      <c r="N61" s="4">
        <v>224642.85</v>
      </c>
      <c r="O61" s="4">
        <f>Tab_04.Abr[[#This Row],[DÉBITO]]-Tab_04.Abr[[#This Row],[CRÉDITO]]</f>
        <v>952.28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SUMIFS(Tab_03.Mar[SALDO
ATUAL],Tab_03.Mar[CONTA],$I62)</f>
        <v>7349.9</v>
      </c>
      <c r="G62" s="4">
        <f t="shared" si="2"/>
        <v>0</v>
      </c>
      <c r="H62" s="3"/>
      <c r="I62" s="3" t="s">
        <v>317</v>
      </c>
      <c r="J62" s="3" t="s">
        <v>318</v>
      </c>
      <c r="K62" s="173">
        <v>7349.9</v>
      </c>
      <c r="L62" s="1">
        <v>0</v>
      </c>
      <c r="M62" s="1">
        <v>0</v>
      </c>
      <c r="N62" s="4">
        <v>7349.9</v>
      </c>
      <c r="O62" s="4">
        <f>Tab_04.Abr[[#This Row],[DÉBITO]]-Tab_04.Abr[[#This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SUMIFS(Tab_03.Mar[SALDO
ATUAL],Tab_03.Mar[CONTA],$I63)</f>
        <v>128697.03</v>
      </c>
      <c r="G63" s="4">
        <f t="shared" si="2"/>
        <v>0</v>
      </c>
      <c r="H63" s="3"/>
      <c r="I63" s="3" t="s">
        <v>184</v>
      </c>
      <c r="J63" s="3" t="s">
        <v>319</v>
      </c>
      <c r="K63" s="173">
        <v>128697.03</v>
      </c>
      <c r="L63" s="1">
        <v>0</v>
      </c>
      <c r="M63" s="1">
        <v>0</v>
      </c>
      <c r="N63" s="4">
        <v>128697.03</v>
      </c>
      <c r="O63" s="4">
        <f>Tab_04.Abr[[#This Row],[DÉBITO]]-Tab_04.Abr[[#This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SUMIFS(Tab_03.Mar[SALDO
ATUAL],Tab_03.Mar[CONTA],$I64)</f>
        <v>15029.74</v>
      </c>
      <c r="G64" s="4">
        <f t="shared" si="2"/>
        <v>0</v>
      </c>
      <c r="H64" s="3"/>
      <c r="I64" s="3" t="s">
        <v>185</v>
      </c>
      <c r="J64" s="3" t="s">
        <v>320</v>
      </c>
      <c r="K64" s="173">
        <v>15029.74</v>
      </c>
      <c r="L64" s="1">
        <v>0</v>
      </c>
      <c r="M64" s="173">
        <v>0</v>
      </c>
      <c r="N64" s="4">
        <v>15029.74</v>
      </c>
      <c r="O64" s="4">
        <f>Tab_04.Abr[[#This Row],[DÉBITO]]-Tab_04.Abr[[#This Row],[CRÉDITO]]</f>
        <v>0</v>
      </c>
    </row>
    <row r="65" spans="2:16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SUMIFS(Tab_03.Mar[SALDO
ATUAL],Tab_03.Mar[CONTA],$I65)</f>
        <v>463836.5</v>
      </c>
      <c r="G65" s="4">
        <f t="shared" si="2"/>
        <v>0</v>
      </c>
      <c r="H65" s="3"/>
      <c r="I65" s="3" t="s">
        <v>321</v>
      </c>
      <c r="J65" s="3" t="s">
        <v>322</v>
      </c>
      <c r="K65" s="173">
        <v>463836.5</v>
      </c>
      <c r="L65" s="1">
        <v>0</v>
      </c>
      <c r="M65" s="1">
        <v>0</v>
      </c>
      <c r="N65" s="4">
        <v>463836.5</v>
      </c>
      <c r="O65" s="4">
        <f>Tab_04.Abr[[#This Row],[DÉBITO]]-Tab_04.Abr[[#This Row],[CRÉDITO]]</f>
        <v>0</v>
      </c>
    </row>
    <row r="66" spans="2:16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S</v>
      </c>
      <c r="E66" s="2">
        <f>IF($I66="","",COUNTIFS(Tab_00.Trial[CONTA],$I66))</f>
        <v>1</v>
      </c>
      <c r="F66" s="4">
        <f>SUMIFS(Tab_03.Mar[SALDO
ATUAL],Tab_03.Mar[CONTA],$I66)</f>
        <v>-1166054.8999999999</v>
      </c>
      <c r="G66" s="4">
        <f t="shared" si="2"/>
        <v>0</v>
      </c>
      <c r="H66" s="3"/>
      <c r="I66" s="3" t="s">
        <v>215</v>
      </c>
      <c r="J66" s="3" t="s">
        <v>652</v>
      </c>
      <c r="K66" s="173">
        <v>-1166054.8999999999</v>
      </c>
      <c r="L66" s="1">
        <v>0</v>
      </c>
      <c r="M66" s="173">
        <v>3667.05</v>
      </c>
      <c r="N66" s="4">
        <v>-1169721.95</v>
      </c>
      <c r="O66" s="4">
        <f>Tab_04.Abr[[#This Row],[DÉBITO]]-Tab_04.Abr[[#This Row],[CRÉDITO]]</f>
        <v>-3667.05</v>
      </c>
    </row>
    <row r="67" spans="2:16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SUMIFS(Tab_03.Mar[SALDO
ATUAL],Tab_03.Mar[CONTA],$I67)</f>
        <v>-655872.82999999996</v>
      </c>
      <c r="G67" s="4">
        <f t="shared" si="2"/>
        <v>0</v>
      </c>
      <c r="H67" s="3"/>
      <c r="I67" s="3" t="s">
        <v>186</v>
      </c>
      <c r="J67" s="3" t="s">
        <v>313</v>
      </c>
      <c r="K67" s="173">
        <v>-655872.82999999996</v>
      </c>
      <c r="L67" s="1">
        <v>0</v>
      </c>
      <c r="M67" s="1">
        <v>2997.93</v>
      </c>
      <c r="N67" s="4">
        <v>-658870.76</v>
      </c>
      <c r="O67" s="4">
        <f>Tab_04.Abr[[#This Row],[DÉBITO]]-Tab_04.Abr[[#This Row],[CRÉDITO]]</f>
        <v>-2997.93</v>
      </c>
    </row>
    <row r="68" spans="2:16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SUMIFS(Tab_03.Mar[SALDO
ATUAL],Tab_03.Mar[CONTA],$I68)</f>
        <v>-17441.939999999999</v>
      </c>
      <c r="G68" s="4">
        <f t="shared" si="2"/>
        <v>0</v>
      </c>
      <c r="H68" s="3"/>
      <c r="I68" s="3" t="s">
        <v>187</v>
      </c>
      <c r="J68" s="3" t="s">
        <v>314</v>
      </c>
      <c r="K68" s="173">
        <v>-17441.939999999999</v>
      </c>
      <c r="L68" s="1">
        <v>0</v>
      </c>
      <c r="M68" s="1">
        <v>191.67</v>
      </c>
      <c r="N68" s="4">
        <v>-17633.61</v>
      </c>
      <c r="O68" s="4">
        <f>Tab_04.Abr[[#This Row],[DÉBITO]]-Tab_04.Abr[[#This Row],[CRÉDITO]]</f>
        <v>-191.67</v>
      </c>
    </row>
    <row r="69" spans="2:16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SUMIFS(Tab_03.Mar[SALDO
ATUAL],Tab_03.Mar[CONTA],$I69)</f>
        <v>-6368.96</v>
      </c>
      <c r="G69" s="4">
        <f t="shared" si="2"/>
        <v>0</v>
      </c>
      <c r="H69" s="3"/>
      <c r="I69" s="3" t="s">
        <v>188</v>
      </c>
      <c r="J69" s="3" t="s">
        <v>315</v>
      </c>
      <c r="K69" s="173">
        <v>-6368.96</v>
      </c>
      <c r="L69" s="173">
        <v>0</v>
      </c>
      <c r="M69" s="173">
        <v>104.95</v>
      </c>
      <c r="N69" s="4">
        <v>-6473.91</v>
      </c>
      <c r="O69" s="4">
        <f>Tab_04.Abr[[#This Row],[DÉBITO]]-Tab_04.Abr[[#This Row],[CRÉDITO]]</f>
        <v>-104.95</v>
      </c>
    </row>
    <row r="70" spans="2:16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SUMIFS(Tab_03.Mar[SALDO
ATUAL],Tab_03.Mar[CONTA],$I70)</f>
        <v>-224642.85</v>
      </c>
      <c r="G70" s="4">
        <f t="shared" si="2"/>
        <v>0</v>
      </c>
      <c r="H70" s="3"/>
      <c r="I70" s="3" t="s">
        <v>189</v>
      </c>
      <c r="J70" s="3" t="s">
        <v>316</v>
      </c>
      <c r="K70" s="173">
        <v>-224642.85</v>
      </c>
      <c r="L70" s="173">
        <v>0</v>
      </c>
      <c r="M70" s="173">
        <v>0</v>
      </c>
      <c r="N70" s="4">
        <v>-224642.85</v>
      </c>
      <c r="O70" s="4">
        <f>Tab_04.Abr[[#This Row],[DÉBITO]]-Tab_04.Abr[[#This Row],[CRÉDITO]]</f>
        <v>0</v>
      </c>
    </row>
    <row r="71" spans="2:16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SUMIFS(Tab_03.Mar[SALDO
ATUAL],Tab_03.Mar[CONTA],$I71)</f>
        <v>-3819.84</v>
      </c>
      <c r="G71" s="4">
        <f t="shared" si="2"/>
        <v>0</v>
      </c>
      <c r="H71" s="3"/>
      <c r="I71" s="3" t="s">
        <v>190</v>
      </c>
      <c r="J71" s="3" t="s">
        <v>318</v>
      </c>
      <c r="K71" s="173">
        <v>-3819.84</v>
      </c>
      <c r="L71" s="173">
        <v>0</v>
      </c>
      <c r="M71" s="173">
        <v>122.5</v>
      </c>
      <c r="N71" s="4">
        <v>-3942.34</v>
      </c>
      <c r="O71" s="4">
        <f>Tab_04.Abr[[#This Row],[DÉBITO]]-Tab_04.Abr[[#This Row],[CRÉDITO]]</f>
        <v>-122.5</v>
      </c>
    </row>
    <row r="72" spans="2:16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SUMIFS(Tab_03.Mar[SALDO
ATUAL],Tab_03.Mar[CONTA],$I72)</f>
        <v>-128697.03</v>
      </c>
      <c r="G72" s="4">
        <f t="shared" si="2"/>
        <v>0</v>
      </c>
      <c r="H72" s="3"/>
      <c r="I72" s="3" t="s">
        <v>323</v>
      </c>
      <c r="J72" s="3" t="s">
        <v>319</v>
      </c>
      <c r="K72" s="1">
        <v>-128697.03</v>
      </c>
      <c r="L72" s="173">
        <v>0</v>
      </c>
      <c r="M72" s="173">
        <v>0</v>
      </c>
      <c r="N72" s="4">
        <v>-128697.03</v>
      </c>
      <c r="O72" s="4">
        <f>Tab_04.Abr[[#This Row],[DÉBITO]]-Tab_04.Abr[[#This Row],[CRÉDITO]]</f>
        <v>0</v>
      </c>
    </row>
    <row r="73" spans="2:16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SUMIFS(Tab_03.Mar[SALDO
ATUAL],Tab_03.Mar[CONTA],$I73)</f>
        <v>-15029.74</v>
      </c>
      <c r="G73" s="4">
        <f t="shared" si="2"/>
        <v>0</v>
      </c>
      <c r="H73" s="3"/>
      <c r="I73" s="3" t="s">
        <v>324</v>
      </c>
      <c r="J73" s="3" t="s">
        <v>320</v>
      </c>
      <c r="K73" s="1">
        <v>-15029.74</v>
      </c>
      <c r="L73" s="173">
        <v>0</v>
      </c>
      <c r="M73" s="173">
        <v>0</v>
      </c>
      <c r="N73" s="4">
        <v>-15029.74</v>
      </c>
      <c r="O73" s="4">
        <f>Tab_04.Abr[[#This Row],[DÉBITO]]-Tab_04.Abr[[#This Row],[CRÉDITO]]</f>
        <v>0</v>
      </c>
    </row>
    <row r="74" spans="2:16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SUMIFS(Tab_03.Mar[SALDO
ATUAL],Tab_03.Mar[CONTA],$I74)</f>
        <v>-114181.71</v>
      </c>
      <c r="G74" s="4">
        <f t="shared" si="2"/>
        <v>0</v>
      </c>
      <c r="H74" s="3"/>
      <c r="I74" s="3" t="s">
        <v>325</v>
      </c>
      <c r="J74" s="3" t="s">
        <v>322</v>
      </c>
      <c r="K74" s="1">
        <v>-114181.71</v>
      </c>
      <c r="L74" s="173">
        <v>0</v>
      </c>
      <c r="M74" s="173">
        <v>250</v>
      </c>
      <c r="N74" s="4">
        <v>-114431.71</v>
      </c>
      <c r="O74" s="4">
        <f>Tab_04.Abr[[#This Row],[DÉBITO]]-Tab_04.Abr[[#This Row],[CRÉDITO]]</f>
        <v>-250</v>
      </c>
    </row>
    <row r="75" spans="2:16" x14ac:dyDescent="0.3">
      <c r="B75" s="2" t="str">
        <f>_xlfn.XLOOKUP($I75,Tab_00.Trial[CONTA],Tab_00.Trial[TP],"",0,1)</f>
        <v>P</v>
      </c>
      <c r="C75" s="2">
        <f>_xlfn.XLOOKUP($I75,Tab_00.Trial[CONTA],Tab_00.Trial[NV],"",0,1)</f>
        <v>1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SUMIFS(Tab_03.Mar[SALDO
ATUAL],Tab_03.Mar[CONTA],$I75)</f>
        <v>-83106680.230000004</v>
      </c>
      <c r="G75" s="4">
        <f t="shared" si="2"/>
        <v>0</v>
      </c>
      <c r="H75" s="3"/>
      <c r="I75" s="3">
        <v>2</v>
      </c>
      <c r="J75" s="3" t="s">
        <v>653</v>
      </c>
      <c r="K75" s="173">
        <v>-83106680.230000004</v>
      </c>
      <c r="L75" s="1">
        <v>684014.48</v>
      </c>
      <c r="M75" s="173">
        <v>1031211.62</v>
      </c>
      <c r="N75" s="4">
        <v>-83453877.370000005</v>
      </c>
      <c r="O75" s="4">
        <f>Tab_04.Abr[[#This Row],[DÉBITO]]-Tab_04.Abr[[#This Row],[CRÉDITO]]</f>
        <v>-347197.14</v>
      </c>
    </row>
    <row r="76" spans="2:16" x14ac:dyDescent="0.3">
      <c r="B76" s="2" t="str">
        <f>_xlfn.XLOOKUP($I76,Tab_00.Trial[CONTA],Tab_00.Trial[TP],"",0,1)</f>
        <v>P</v>
      </c>
      <c r="C76" s="2">
        <f>_xlfn.XLOOKUP($I76,Tab_00.Trial[CONTA],Tab_00.Trial[NV],"",0,1)</f>
        <v>2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SUMIFS(Tab_03.Mar[SALDO
ATUAL],Tab_03.Mar[CONTA],$I76)</f>
        <v>-1204215.7</v>
      </c>
      <c r="G76" s="4">
        <f t="shared" si="2"/>
        <v>0</v>
      </c>
      <c r="H76" s="3"/>
      <c r="I76" s="3" t="s">
        <v>216</v>
      </c>
      <c r="J76" s="3" t="s">
        <v>31</v>
      </c>
      <c r="K76" s="173">
        <v>-1204215.7</v>
      </c>
      <c r="L76" s="1">
        <v>684014.48</v>
      </c>
      <c r="M76" s="173">
        <v>1031211.62</v>
      </c>
      <c r="N76" s="4">
        <v>-1551412.84</v>
      </c>
      <c r="O76" s="4">
        <f>Tab_04.Abr[[#This Row],[DÉBITO]]-Tab_04.Abr[[#This Row],[CRÉDITO]]</f>
        <v>-347197.14</v>
      </c>
    </row>
    <row r="77" spans="2:16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SUMIFS(Tab_03.Mar[SALDO
ATUAL],Tab_03.Mar[CONTA],$I77)</f>
        <v>-293923.14</v>
      </c>
      <c r="G77" s="4">
        <f t="shared" si="2"/>
        <v>0</v>
      </c>
      <c r="H77" s="3"/>
      <c r="I77" s="3" t="s">
        <v>558</v>
      </c>
      <c r="J77" s="3" t="s">
        <v>654</v>
      </c>
      <c r="K77" s="173">
        <v>-293923.14</v>
      </c>
      <c r="L77" s="1">
        <v>151103.31</v>
      </c>
      <c r="M77" s="173">
        <v>170497.07</v>
      </c>
      <c r="N77" s="4">
        <v>-313316.90000000002</v>
      </c>
      <c r="O77" s="4">
        <f>Tab_04.Abr[[#This Row],[DÉBITO]]-Tab_04.Abr[[#This Row],[CRÉDITO]]</f>
        <v>-19393.759999999998</v>
      </c>
    </row>
    <row r="78" spans="2:16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SUMIFS(Tab_03.Mar[SALDO
ATUAL],Tab_03.Mar[CONTA],$I78)</f>
        <v>0</v>
      </c>
      <c r="G78" s="4">
        <f t="shared" si="2"/>
        <v>0</v>
      </c>
      <c r="H78" s="3"/>
      <c r="I78" s="3" t="s">
        <v>559</v>
      </c>
      <c r="J78" s="3" t="s">
        <v>655</v>
      </c>
      <c r="K78" s="173">
        <v>0</v>
      </c>
      <c r="L78" s="1">
        <v>82875.78</v>
      </c>
      <c r="M78" s="173">
        <v>82875.78</v>
      </c>
      <c r="N78" s="4">
        <v>0</v>
      </c>
      <c r="O78" s="4">
        <f>Tab_04.Abr[[#This Row],[DÉBITO]]-Tab_04.Abr[[#This Row],[CRÉDITO]]</f>
        <v>0</v>
      </c>
    </row>
    <row r="79" spans="2:16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SUMIFS(Tab_03.Mar[SALDO
ATUAL],Tab_03.Mar[CONTA],$I79)</f>
        <v>0</v>
      </c>
      <c r="G79" s="4">
        <f t="shared" si="2"/>
        <v>0</v>
      </c>
      <c r="H79" s="3"/>
      <c r="I79" s="3" t="s">
        <v>326</v>
      </c>
      <c r="J79" s="3" t="s">
        <v>327</v>
      </c>
      <c r="K79" s="173">
        <v>0</v>
      </c>
      <c r="L79" s="173">
        <v>81686.649999999994</v>
      </c>
      <c r="M79" s="173">
        <v>81686.649999999994</v>
      </c>
      <c r="N79" s="4">
        <v>0</v>
      </c>
      <c r="O79" s="4">
        <f>Tab_04.Abr[[#This Row],[DÉBITO]]-Tab_04.Abr[[#This Row],[CRÉDITO]]</f>
        <v>0</v>
      </c>
      <c r="P79" s="1" t="s">
        <v>239</v>
      </c>
    </row>
    <row r="80" spans="2:16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SUMIFS(Tab_03.Mar[SALDO
ATUAL],Tab_03.Mar[CONTA],$I80)</f>
        <v>0</v>
      </c>
      <c r="G80" s="4">
        <f t="shared" si="2"/>
        <v>0</v>
      </c>
      <c r="H80" s="3"/>
      <c r="I80" s="3" t="s">
        <v>330</v>
      </c>
      <c r="J80" s="3" t="s">
        <v>331</v>
      </c>
      <c r="K80" s="173">
        <v>0</v>
      </c>
      <c r="L80" s="173">
        <v>1189.1300000000001</v>
      </c>
      <c r="M80" s="173">
        <v>1189.1300000000001</v>
      </c>
      <c r="N80" s="4">
        <v>0</v>
      </c>
      <c r="O80" s="4">
        <f>Tab_04.Abr[[#This Row],[DÉBITO]]-Tab_04.Abr[[#This Row],[CRÉDITO]]</f>
        <v>0</v>
      </c>
    </row>
    <row r="81" spans="2:16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S</v>
      </c>
      <c r="E81" s="2">
        <f>IF($I81="","",COUNTIFS(Tab_00.Trial[CONTA],$I81))</f>
        <v>1</v>
      </c>
      <c r="F81" s="4">
        <f>SUMIFS(Tab_03.Mar[SALDO
ATUAL],Tab_03.Mar[CONTA],$I81)</f>
        <v>-33746.449999999997</v>
      </c>
      <c r="G81" s="4">
        <f t="shared" si="2"/>
        <v>0</v>
      </c>
      <c r="H81" s="3"/>
      <c r="I81" s="3" t="s">
        <v>560</v>
      </c>
      <c r="J81" s="3" t="s">
        <v>656</v>
      </c>
      <c r="K81" s="1">
        <v>-33746.449999999997</v>
      </c>
      <c r="L81" s="1">
        <v>0</v>
      </c>
      <c r="M81" s="173">
        <v>11248.74</v>
      </c>
      <c r="N81" s="4">
        <v>-44995.19</v>
      </c>
      <c r="O81" s="4">
        <f>Tab_04.Abr[[#This Row],[DÉBITO]]-Tab_04.Abr[[#This Row],[CRÉDITO]]</f>
        <v>-11248.74</v>
      </c>
    </row>
    <row r="82" spans="2:16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SUMIFS(Tab_03.Mar[SALDO
ATUAL],Tab_03.Mar[CONTA],$I82)</f>
        <v>-24850.13</v>
      </c>
      <c r="G82" s="4">
        <f t="shared" ref="G82:G145" si="3">$F82-$K82</f>
        <v>0</v>
      </c>
      <c r="H82" s="3"/>
      <c r="I82" s="3" t="s">
        <v>332</v>
      </c>
      <c r="J82" s="3" t="s">
        <v>333</v>
      </c>
      <c r="K82" s="173">
        <v>-24850.13</v>
      </c>
      <c r="L82" s="173">
        <v>0</v>
      </c>
      <c r="M82" s="173">
        <v>8283.33</v>
      </c>
      <c r="N82" s="4">
        <v>-33133.46</v>
      </c>
      <c r="O82" s="4">
        <f>Tab_04.Abr[[#This Row],[DÉBITO]]-Tab_04.Abr[[#This Row],[CRÉDITO]]</f>
        <v>-8283.33</v>
      </c>
    </row>
    <row r="83" spans="2:16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SUMIFS(Tab_03.Mar[SALDO
ATUAL],Tab_03.Mar[CONTA],$I83)</f>
        <v>-1987.97</v>
      </c>
      <c r="G83" s="4">
        <f t="shared" si="3"/>
        <v>0</v>
      </c>
      <c r="H83" s="3"/>
      <c r="I83" s="3" t="s">
        <v>784</v>
      </c>
      <c r="J83" s="3" t="s">
        <v>785</v>
      </c>
      <c r="K83" s="173">
        <v>-1987.97</v>
      </c>
      <c r="L83" s="173">
        <v>0</v>
      </c>
      <c r="M83" s="173">
        <v>662.65</v>
      </c>
      <c r="N83" s="4">
        <v>-2650.62</v>
      </c>
      <c r="O83" s="4">
        <f>Tab_04.Abr[[#This Row],[DÉBITO]]-Tab_04.Abr[[#This Row],[CRÉDITO]]</f>
        <v>-662.65</v>
      </c>
    </row>
    <row r="84" spans="2:16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SUMIFS(Tab_03.Mar[SALDO
ATUAL],Tab_03.Mar[CONTA],$I84)</f>
        <v>-248.5</v>
      </c>
      <c r="G84" s="4">
        <f t="shared" si="3"/>
        <v>0</v>
      </c>
      <c r="H84" s="3"/>
      <c r="I84" s="3" t="s">
        <v>786</v>
      </c>
      <c r="J84" s="3" t="s">
        <v>787</v>
      </c>
      <c r="K84" s="173">
        <v>-248.5</v>
      </c>
      <c r="L84" s="173">
        <v>0</v>
      </c>
      <c r="M84" s="173">
        <v>82.84</v>
      </c>
      <c r="N84" s="4">
        <v>-331.34</v>
      </c>
      <c r="O84" s="4">
        <f>Tab_04.Abr[[#This Row],[DÉBITO]]-Tab_04.Abr[[#This Row],[CRÉDITO]]</f>
        <v>-82.84</v>
      </c>
      <c r="P84" s="1" t="s">
        <v>239</v>
      </c>
    </row>
    <row r="85" spans="2:16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SUMIFS(Tab_03.Mar[SALDO
ATUAL],Tab_03.Mar[CONTA],$I85)</f>
        <v>-6659.85</v>
      </c>
      <c r="G85" s="4">
        <f t="shared" si="3"/>
        <v>0</v>
      </c>
      <c r="H85" s="3"/>
      <c r="I85" s="3" t="s">
        <v>788</v>
      </c>
      <c r="J85" s="3" t="s">
        <v>789</v>
      </c>
      <c r="K85" s="173">
        <v>-6659.85</v>
      </c>
      <c r="L85" s="173">
        <v>0</v>
      </c>
      <c r="M85" s="173">
        <v>2219.92</v>
      </c>
      <c r="N85" s="4">
        <v>-8879.77</v>
      </c>
      <c r="O85" s="4">
        <f>Tab_04.Abr[[#This Row],[DÉBITO]]-Tab_04.Abr[[#This Row],[CRÉDITO]]</f>
        <v>-2219.92</v>
      </c>
    </row>
    <row r="86" spans="2:16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S</v>
      </c>
      <c r="E86" s="2">
        <f>IF($I86="","",COUNTIFS(Tab_00.Trial[CONTA],$I86))</f>
        <v>1</v>
      </c>
      <c r="F86" s="4">
        <f>SUMIFS(Tab_03.Mar[SALDO
ATUAL],Tab_03.Mar[CONTA],$I86)</f>
        <v>-207025.53</v>
      </c>
      <c r="G86" s="4">
        <f t="shared" si="3"/>
        <v>0</v>
      </c>
      <c r="H86" s="3"/>
      <c r="I86" s="3" t="s">
        <v>561</v>
      </c>
      <c r="J86" s="3" t="s">
        <v>657</v>
      </c>
      <c r="K86" s="173">
        <v>-207025.53</v>
      </c>
      <c r="L86" s="173">
        <v>247.53</v>
      </c>
      <c r="M86" s="173">
        <v>15089.95</v>
      </c>
      <c r="N86" s="4">
        <v>-221867.95</v>
      </c>
      <c r="O86" s="4">
        <f>Tab_04.Abr[[#This Row],[DÉBITO]]-Tab_04.Abr[[#This Row],[CRÉDITO]]</f>
        <v>-14842.42</v>
      </c>
    </row>
    <row r="87" spans="2:16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SUMIFS(Tab_03.Mar[SALDO
ATUAL],Tab_03.Mar[CONTA],$I87)</f>
        <v>-152419.89000000001</v>
      </c>
      <c r="G87" s="4">
        <f t="shared" si="3"/>
        <v>0</v>
      </c>
      <c r="H87" s="3"/>
      <c r="I87" s="3" t="s">
        <v>334</v>
      </c>
      <c r="J87" s="3" t="s">
        <v>335</v>
      </c>
      <c r="K87" s="173">
        <v>-152419.89000000001</v>
      </c>
      <c r="L87" s="173">
        <v>178.02</v>
      </c>
      <c r="M87" s="173">
        <v>11136.12</v>
      </c>
      <c r="N87" s="4">
        <v>-163377.99</v>
      </c>
      <c r="O87" s="4">
        <f>Tab_04.Abr[[#This Row],[DÉBITO]]-Tab_04.Abr[[#This Row],[CRÉDITO]]</f>
        <v>-10958.1</v>
      </c>
    </row>
    <row r="88" spans="2:16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SUMIFS(Tab_03.Mar[SALDO
ATUAL],Tab_03.Mar[CONTA],$I88)</f>
        <v>-12142.12</v>
      </c>
      <c r="G88" s="4">
        <f t="shared" si="3"/>
        <v>0</v>
      </c>
      <c r="H88" s="3"/>
      <c r="I88" s="3" t="s">
        <v>790</v>
      </c>
      <c r="J88" s="3" t="s">
        <v>791</v>
      </c>
      <c r="K88" s="173">
        <v>-12142.12</v>
      </c>
      <c r="L88" s="173">
        <v>14.24</v>
      </c>
      <c r="M88" s="173">
        <v>883.55</v>
      </c>
      <c r="N88" s="4">
        <v>-13011.43</v>
      </c>
      <c r="O88" s="4">
        <f>Tab_04.Abr[[#This Row],[DÉBITO]]-Tab_04.Abr[[#This Row],[CRÉDITO]]</f>
        <v>-869.31</v>
      </c>
    </row>
    <row r="89" spans="2:16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SUMIFS(Tab_03.Mar[SALDO
ATUAL],Tab_03.Mar[CONTA],$I89)</f>
        <v>-1786.86</v>
      </c>
      <c r="G89" s="4">
        <f t="shared" si="3"/>
        <v>0</v>
      </c>
      <c r="H89" s="3"/>
      <c r="I89" s="3" t="s">
        <v>792</v>
      </c>
      <c r="J89" s="3" t="s">
        <v>793</v>
      </c>
      <c r="K89" s="173">
        <v>-1786.86</v>
      </c>
      <c r="L89" s="173">
        <v>7.55</v>
      </c>
      <c r="M89" s="173">
        <v>110.44</v>
      </c>
      <c r="N89" s="4">
        <v>-1889.75</v>
      </c>
      <c r="O89" s="4">
        <f>Tab_04.Abr[[#This Row],[DÉBITO]]-Tab_04.Abr[[#This Row],[CRÉDITO]]</f>
        <v>-102.89</v>
      </c>
    </row>
    <row r="90" spans="2:16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SUMIFS(Tab_03.Mar[SALDO
ATUAL],Tab_03.Mar[CONTA],$I90)</f>
        <v>-40676.660000000003</v>
      </c>
      <c r="G90" s="4">
        <f t="shared" si="3"/>
        <v>0</v>
      </c>
      <c r="H90" s="3"/>
      <c r="I90" s="3" t="s">
        <v>794</v>
      </c>
      <c r="J90" s="3" t="s">
        <v>795</v>
      </c>
      <c r="K90" s="173">
        <v>-40676.660000000003</v>
      </c>
      <c r="L90" s="173">
        <v>47.72</v>
      </c>
      <c r="M90" s="173">
        <v>2959.84</v>
      </c>
      <c r="N90" s="4">
        <v>-43588.78</v>
      </c>
      <c r="O90" s="4">
        <f>Tab_04.Abr[[#This Row],[DÉBITO]]-Tab_04.Abr[[#This Row],[CRÉDITO]]</f>
        <v>-2912.12</v>
      </c>
    </row>
    <row r="91" spans="2:16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S</v>
      </c>
      <c r="E91" s="2">
        <f>IF($I91="","",COUNTIFS(Tab_00.Trial[CONTA],$I91))</f>
        <v>1</v>
      </c>
      <c r="F91" s="4">
        <f>SUMIFS(Tab_03.Mar[SALDO
ATUAL],Tab_03.Mar[CONTA],$I91)</f>
        <v>-36645.54</v>
      </c>
      <c r="G91" s="4">
        <f t="shared" si="3"/>
        <v>0</v>
      </c>
      <c r="H91" s="3"/>
      <c r="I91" s="3" t="s">
        <v>562</v>
      </c>
      <c r="J91" s="3" t="s">
        <v>658</v>
      </c>
      <c r="K91" s="173">
        <v>-36645.54</v>
      </c>
      <c r="L91" s="173">
        <v>57054.84</v>
      </c>
      <c r="M91" s="173">
        <v>51961.1</v>
      </c>
      <c r="N91" s="4">
        <v>-31551.8</v>
      </c>
      <c r="O91" s="4">
        <f>Tab_04.Abr[[#This Row],[DÉBITO]]-Tab_04.Abr[[#This Row],[CRÉDITO]]</f>
        <v>5093.74</v>
      </c>
    </row>
    <row r="92" spans="2:16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SUMIFS(Tab_03.Mar[SALDO
ATUAL],Tab_03.Mar[CONTA],$I92)</f>
        <v>-36132.559999999998</v>
      </c>
      <c r="G92" s="4">
        <f t="shared" si="3"/>
        <v>0</v>
      </c>
      <c r="H92" s="3"/>
      <c r="I92" s="3" t="s">
        <v>336</v>
      </c>
      <c r="J92" s="3" t="s">
        <v>337</v>
      </c>
      <c r="K92" s="1">
        <v>-36132.559999999998</v>
      </c>
      <c r="L92" s="1">
        <v>56541.86</v>
      </c>
      <c r="M92" s="1">
        <v>51173.120000000003</v>
      </c>
      <c r="N92" s="4">
        <v>-30763.82</v>
      </c>
      <c r="O92" s="4">
        <f>Tab_04.Abr[[#This Row],[DÉBITO]]-Tab_04.Abr[[#This Row],[CRÉDITO]]</f>
        <v>5368.74</v>
      </c>
    </row>
    <row r="93" spans="2:16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SUMIFS(Tab_03.Mar[SALDO
ATUAL],Tab_03.Mar[CONTA],$I93)</f>
        <v>-512.98</v>
      </c>
      <c r="G93" s="4">
        <f t="shared" si="3"/>
        <v>0</v>
      </c>
      <c r="H93" s="3"/>
      <c r="I93" s="3" t="s">
        <v>338</v>
      </c>
      <c r="J93" s="3" t="s">
        <v>339</v>
      </c>
      <c r="K93" s="173">
        <v>-512.98</v>
      </c>
      <c r="L93" s="173">
        <v>512.98</v>
      </c>
      <c r="M93" s="173">
        <v>787.98</v>
      </c>
      <c r="N93" s="4">
        <v>-787.98</v>
      </c>
      <c r="O93" s="4">
        <f>Tab_04.Abr[[#This Row],[DÉBITO]]-Tab_04.Abr[[#This Row],[CRÉDITO]]</f>
        <v>-275</v>
      </c>
    </row>
    <row r="94" spans="2:16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SUMIFS(Tab_03.Mar[SALDO
ATUAL],Tab_03.Mar[CONTA],$I94)</f>
        <v>-16505.62</v>
      </c>
      <c r="G94" s="4">
        <f t="shared" si="3"/>
        <v>0</v>
      </c>
      <c r="H94" s="3"/>
      <c r="I94" s="3" t="s">
        <v>563</v>
      </c>
      <c r="J94" s="3" t="s">
        <v>659</v>
      </c>
      <c r="K94" s="1">
        <v>-16505.62</v>
      </c>
      <c r="L94" s="1">
        <v>10925.16</v>
      </c>
      <c r="M94" s="1">
        <v>9321.5</v>
      </c>
      <c r="N94" s="4">
        <v>-14901.96</v>
      </c>
      <c r="O94" s="4">
        <f>Tab_04.Abr[[#This Row],[DÉBITO]]-Tab_04.Abr[[#This Row],[CRÉDITO]]</f>
        <v>1603.66</v>
      </c>
    </row>
    <row r="95" spans="2:16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SUMIFS(Tab_03.Mar[SALDO
ATUAL],Tab_03.Mar[CONTA],$I95)</f>
        <v>-15520.52</v>
      </c>
      <c r="G95" s="4">
        <f t="shared" si="3"/>
        <v>0</v>
      </c>
      <c r="H95" s="3"/>
      <c r="I95" s="3" t="s">
        <v>340</v>
      </c>
      <c r="J95" s="3" t="s">
        <v>341</v>
      </c>
      <c r="K95" s="173">
        <v>-15520.52</v>
      </c>
      <c r="L95" s="173">
        <v>9880.3799999999992</v>
      </c>
      <c r="M95" s="173">
        <v>8322.61</v>
      </c>
      <c r="N95" s="4">
        <v>-13962.75</v>
      </c>
      <c r="O95" s="4">
        <f>Tab_04.Abr[[#This Row],[DÉBITO]]-Tab_04.Abr[[#This Row],[CRÉDITO]]</f>
        <v>1557.77</v>
      </c>
    </row>
    <row r="96" spans="2:16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SUMIFS(Tab_03.Mar[SALDO
ATUAL],Tab_03.Mar[CONTA],$I96)</f>
        <v>-985.1</v>
      </c>
      <c r="G96" s="4">
        <f t="shared" si="3"/>
        <v>0</v>
      </c>
      <c r="H96" s="3"/>
      <c r="I96" s="3" t="s">
        <v>342</v>
      </c>
      <c r="J96" s="3" t="s">
        <v>343</v>
      </c>
      <c r="K96" s="1">
        <v>-985.1</v>
      </c>
      <c r="L96" s="1">
        <v>1044.78</v>
      </c>
      <c r="M96" s="1">
        <v>998.89</v>
      </c>
      <c r="N96" s="4">
        <v>-939.21</v>
      </c>
      <c r="O96" s="4">
        <f>Tab_04.Abr[[#This Row],[DÉBITO]]-Tab_04.Abr[[#This Row],[CRÉDITO]]</f>
        <v>45.89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SUMIFS(Tab_03.Mar[SALDO
ATUAL],Tab_03.Mar[CONTA],$I97)</f>
        <v>-866291.35</v>
      </c>
      <c r="G97" s="4">
        <f t="shared" si="3"/>
        <v>0</v>
      </c>
      <c r="H97" s="3"/>
      <c r="I97" s="3" t="s">
        <v>218</v>
      </c>
      <c r="J97" s="3" t="s">
        <v>660</v>
      </c>
      <c r="K97" s="173">
        <v>-866291.35</v>
      </c>
      <c r="L97" s="173">
        <v>514082.3</v>
      </c>
      <c r="M97" s="173">
        <v>840870.79</v>
      </c>
      <c r="N97" s="4">
        <v>-1193079.8400000001</v>
      </c>
      <c r="O97" s="4">
        <f>Tab_04.Abr[[#This Row],[DÉBITO]]-Tab_04.Abr[[#This Row],[CRÉDITO]]</f>
        <v>-326788.49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SUMIFS(Tab_03.Mar[SALDO
ATUAL],Tab_03.Mar[CONTA],$I98)</f>
        <v>-116942.76</v>
      </c>
      <c r="G98" s="4">
        <f t="shared" si="3"/>
        <v>0</v>
      </c>
      <c r="H98" s="3"/>
      <c r="I98" s="3" t="s">
        <v>219</v>
      </c>
      <c r="J98" s="3" t="s">
        <v>56</v>
      </c>
      <c r="K98" s="173">
        <v>-116942.76</v>
      </c>
      <c r="L98" s="173">
        <v>167550.19</v>
      </c>
      <c r="M98" s="173">
        <v>494338.68</v>
      </c>
      <c r="N98" s="4">
        <v>-443731.25</v>
      </c>
      <c r="O98" s="4">
        <f>Tab_04.Abr[[#This Row],[DÉBITO]]-Tab_04.Abr[[#This Row],[CRÉDITO]]</f>
        <v>-326788.49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SUMIFS(Tab_03.Mar[SALDO
ATUAL],Tab_03.Mar[CONTA],$I99)</f>
        <v>-116942.76</v>
      </c>
      <c r="G99" s="4">
        <f t="shared" si="3"/>
        <v>0</v>
      </c>
      <c r="H99" s="3"/>
      <c r="I99" s="3" t="s">
        <v>344</v>
      </c>
      <c r="J99" s="3" t="s">
        <v>56</v>
      </c>
      <c r="K99" s="173">
        <v>-116942.76</v>
      </c>
      <c r="L99" s="1">
        <v>167550.19</v>
      </c>
      <c r="M99" s="1">
        <v>494338.68</v>
      </c>
      <c r="N99" s="4">
        <v>-443731.25</v>
      </c>
      <c r="O99" s="4">
        <f>Tab_04.Abr[[#This Row],[DÉBITO]]-Tab_04.Abr[[#This Row],[CRÉDITO]]</f>
        <v>-326788.49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SUMIFS(Tab_03.Mar[SALDO
ATUAL],Tab_03.Mar[CONTA],$I100)</f>
        <v>-749348.59</v>
      </c>
      <c r="G100" s="4">
        <f t="shared" si="3"/>
        <v>0</v>
      </c>
      <c r="H100" s="3"/>
      <c r="I100" s="3" t="s">
        <v>220</v>
      </c>
      <c r="J100" s="3" t="s">
        <v>346</v>
      </c>
      <c r="K100" s="173">
        <v>-749348.59</v>
      </c>
      <c r="L100" s="1">
        <v>346532.11</v>
      </c>
      <c r="M100" s="1">
        <v>346532.11</v>
      </c>
      <c r="N100" s="4">
        <v>-749348.59</v>
      </c>
      <c r="O100" s="4">
        <f>Tab_04.Abr[[#This Row],[DÉBITO]]-Tab_04.Abr[[#This Row],[CRÉDITO]]</f>
        <v>0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SUMIFS(Tab_03.Mar[SALDO
ATUAL],Tab_03.Mar[CONTA],$I101)</f>
        <v>-749348.59</v>
      </c>
      <c r="G101" s="4">
        <f t="shared" si="3"/>
        <v>0</v>
      </c>
      <c r="H101" s="3"/>
      <c r="I101" s="3" t="s">
        <v>345</v>
      </c>
      <c r="J101" s="3" t="s">
        <v>346</v>
      </c>
      <c r="K101" s="173">
        <v>-749348.59</v>
      </c>
      <c r="L101" s="1">
        <v>346532.11</v>
      </c>
      <c r="M101" s="1">
        <v>346532.11</v>
      </c>
      <c r="N101" s="4">
        <v>-749348.59</v>
      </c>
      <c r="O101" s="4">
        <f>Tab_04.Abr[[#This Row],[DÉBITO]]-Tab_04.Abr[[#This Row],[CRÉDITO]]</f>
        <v>0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SUMIFS(Tab_03.Mar[SALDO
ATUAL],Tab_03.Mar[CONTA],$I102)</f>
        <v>-17663.900000000001</v>
      </c>
      <c r="G102" s="4">
        <f t="shared" si="3"/>
        <v>0</v>
      </c>
      <c r="H102" s="3"/>
      <c r="I102" s="3" t="s">
        <v>221</v>
      </c>
      <c r="J102" s="3" t="s">
        <v>661</v>
      </c>
      <c r="K102" s="173">
        <v>-17663.900000000001</v>
      </c>
      <c r="L102" s="1">
        <v>18014.02</v>
      </c>
      <c r="M102" s="1">
        <v>18789.53</v>
      </c>
      <c r="N102" s="4">
        <v>-18439.41</v>
      </c>
      <c r="O102" s="4">
        <f>Tab_04.Abr[[#This Row],[DÉBITO]]-Tab_04.Abr[[#This Row],[CRÉDITO]]</f>
        <v>-775.51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SUMIFS(Tab_03.Mar[SALDO
ATUAL],Tab_03.Mar[CONTA],$I103)</f>
        <v>-17179.72</v>
      </c>
      <c r="G103" s="4">
        <f t="shared" si="3"/>
        <v>0</v>
      </c>
      <c r="H103" s="3"/>
      <c r="I103" s="3" t="s">
        <v>222</v>
      </c>
      <c r="J103" s="3" t="s">
        <v>662</v>
      </c>
      <c r="K103" s="173">
        <v>-17179.72</v>
      </c>
      <c r="L103" s="1">
        <v>17529.84</v>
      </c>
      <c r="M103" s="1">
        <v>18789.53</v>
      </c>
      <c r="N103" s="4">
        <v>-18439.41</v>
      </c>
      <c r="O103" s="4">
        <f>Tab_04.Abr[[#This Row],[DÉBITO]]-Tab_04.Abr[[#This Row],[CRÉDITO]]</f>
        <v>-1259.69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SUMIFS(Tab_03.Mar[SALDO
ATUAL],Tab_03.Mar[CONTA],$I104)</f>
        <v>-404.18</v>
      </c>
      <c r="G104" s="4">
        <f t="shared" si="3"/>
        <v>0</v>
      </c>
      <c r="H104" s="3"/>
      <c r="I104" s="3" t="s">
        <v>191</v>
      </c>
      <c r="J104" s="3" t="s">
        <v>347</v>
      </c>
      <c r="K104" s="173">
        <v>-404.18</v>
      </c>
      <c r="L104" s="1">
        <v>570.44000000000005</v>
      </c>
      <c r="M104" s="1">
        <v>722.06</v>
      </c>
      <c r="N104" s="4">
        <v>-555.79999999999995</v>
      </c>
      <c r="O104" s="4">
        <f>Tab_04.Abr[[#This Row],[DÉBITO]]-Tab_04.Abr[[#This Row],[CRÉDITO]]</f>
        <v>-151.62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SUMIFS(Tab_03.Mar[SALDO
ATUAL],Tab_03.Mar[CONTA],$I105)</f>
        <v>-15479.24</v>
      </c>
      <c r="G105" s="4">
        <f t="shared" si="3"/>
        <v>0</v>
      </c>
      <c r="H105" s="3"/>
      <c r="I105" s="3" t="s">
        <v>192</v>
      </c>
      <c r="J105" s="3" t="s">
        <v>348</v>
      </c>
      <c r="K105" s="173">
        <v>-15479.24</v>
      </c>
      <c r="L105" s="1">
        <v>15479.24</v>
      </c>
      <c r="M105" s="1">
        <v>15492.44</v>
      </c>
      <c r="N105" s="4">
        <v>-15492.44</v>
      </c>
      <c r="O105" s="4">
        <f>Tab_04.Abr[[#This Row],[DÉBITO]]-Tab_04.Abr[[#This Row],[CRÉDITO]]</f>
        <v>-13.2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SUMIFS(Tab_03.Mar[SALDO
ATUAL],Tab_03.Mar[CONTA],$I106)</f>
        <v>-134.13999999999999</v>
      </c>
      <c r="G106" s="4">
        <f t="shared" si="3"/>
        <v>0</v>
      </c>
      <c r="H106" s="3"/>
      <c r="I106" s="3" t="s">
        <v>264</v>
      </c>
      <c r="J106" s="3" t="s">
        <v>349</v>
      </c>
      <c r="K106" s="173">
        <v>-134.13999999999999</v>
      </c>
      <c r="L106" s="1">
        <v>13.2</v>
      </c>
      <c r="M106" s="1">
        <v>0</v>
      </c>
      <c r="N106" s="4">
        <v>-120.94</v>
      </c>
      <c r="O106" s="4">
        <f>Tab_04.Abr[[#This Row],[DÉBITO]]-Tab_04.Abr[[#This Row],[CRÉDITO]]</f>
        <v>13.2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SUMIFS(Tab_03.Mar[SALDO
ATUAL],Tab_03.Mar[CONTA],$I107)</f>
        <v>-1139.71</v>
      </c>
      <c r="G107" s="4">
        <f t="shared" si="3"/>
        <v>0</v>
      </c>
      <c r="H107" s="3"/>
      <c r="I107" s="3" t="s">
        <v>350</v>
      </c>
      <c r="J107" s="3" t="s">
        <v>351</v>
      </c>
      <c r="K107" s="173">
        <v>-1139.71</v>
      </c>
      <c r="L107" s="1">
        <v>1455.79</v>
      </c>
      <c r="M107" s="1">
        <v>2563.86</v>
      </c>
      <c r="N107" s="4">
        <v>-2247.7800000000002</v>
      </c>
      <c r="O107" s="4">
        <f>Tab_04.Abr[[#This Row],[DÉBITO]]-Tab_04.Abr[[#This Row],[CRÉDITO]]</f>
        <v>-1108.07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SUMIFS(Tab_03.Mar[SALDO
ATUAL],Tab_03.Mar[CONTA],$I108)</f>
        <v>-22.45</v>
      </c>
      <c r="G108" s="4">
        <f t="shared" si="3"/>
        <v>0</v>
      </c>
      <c r="H108" s="3"/>
      <c r="I108" s="3" t="s">
        <v>352</v>
      </c>
      <c r="J108" s="3" t="s">
        <v>353</v>
      </c>
      <c r="K108" s="173">
        <v>-22.45</v>
      </c>
      <c r="L108" s="1">
        <v>11.17</v>
      </c>
      <c r="M108" s="1">
        <v>11.17</v>
      </c>
      <c r="N108" s="4">
        <v>-22.45</v>
      </c>
      <c r="O108" s="4">
        <f>Tab_04.Abr[[#This Row],[DÉBITO]]-Tab_04.Abr[[#This Row],[CRÉDITO]]</f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SUMIFS(Tab_03.Mar[SALDO
ATUAL],Tab_03.Mar[CONTA],$I109)</f>
        <v>-484.18</v>
      </c>
      <c r="G109" s="4">
        <f t="shared" si="3"/>
        <v>0</v>
      </c>
      <c r="H109" s="3"/>
      <c r="I109" s="3" t="s">
        <v>223</v>
      </c>
      <c r="J109" s="3" t="s">
        <v>663</v>
      </c>
      <c r="K109" s="173">
        <v>-484.18</v>
      </c>
      <c r="L109" s="1">
        <v>484.18</v>
      </c>
      <c r="M109" s="1">
        <v>0</v>
      </c>
      <c r="N109" s="4">
        <v>0</v>
      </c>
      <c r="O109" s="4">
        <f>Tab_04.Abr[[#This Row],[DÉBITO]]-Tab_04.Abr[[#This Row],[CRÉDITO]]</f>
        <v>484.18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SUMIFS(Tab_03.Mar[SALDO
ATUAL],Tab_03.Mar[CONTA],$I110)</f>
        <v>-484.18</v>
      </c>
      <c r="G110" s="4">
        <f t="shared" si="3"/>
        <v>0</v>
      </c>
      <c r="H110" s="3"/>
      <c r="I110" s="3" t="s">
        <v>354</v>
      </c>
      <c r="J110" s="3" t="s">
        <v>355</v>
      </c>
      <c r="K110" s="173">
        <v>-484.18</v>
      </c>
      <c r="L110" s="1">
        <v>484.18</v>
      </c>
      <c r="M110" s="1">
        <v>0</v>
      </c>
      <c r="N110" s="4">
        <v>0</v>
      </c>
      <c r="O110" s="4">
        <f>Tab_04.Abr[[#This Row],[DÉBITO]]-Tab_04.Abr[[#This Row],[CRÉDITO]]</f>
        <v>484.18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SUMIFS(Tab_03.Mar[SALDO
ATUAL],Tab_03.Mar[CONTA],$I111)</f>
        <v>-22488.11</v>
      </c>
      <c r="G111" s="4">
        <f t="shared" si="3"/>
        <v>0</v>
      </c>
      <c r="H111" s="3"/>
      <c r="I111" s="3" t="s">
        <v>224</v>
      </c>
      <c r="J111" s="3" t="s">
        <v>664</v>
      </c>
      <c r="K111" s="173">
        <v>-22488.11</v>
      </c>
      <c r="L111" s="1">
        <v>814.85</v>
      </c>
      <c r="M111" s="1">
        <v>1054.23</v>
      </c>
      <c r="N111" s="4">
        <v>-22727.49</v>
      </c>
      <c r="O111" s="4">
        <f>Tab_04.Abr[[#This Row],[DÉBITO]]-Tab_04.Abr[[#This Row],[CRÉDITO]]</f>
        <v>-239.38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SUMIFS(Tab_03.Mar[SALDO
ATUAL],Tab_03.Mar[CONTA],$I112)</f>
        <v>-22488.11</v>
      </c>
      <c r="G112" s="4">
        <f t="shared" si="3"/>
        <v>0</v>
      </c>
      <c r="H112" s="3"/>
      <c r="I112" s="3" t="s">
        <v>225</v>
      </c>
      <c r="J112" s="3" t="s">
        <v>665</v>
      </c>
      <c r="K112" s="173">
        <v>-22488.11</v>
      </c>
      <c r="L112" s="1">
        <v>814.85</v>
      </c>
      <c r="M112" s="1">
        <v>1054.23</v>
      </c>
      <c r="N112" s="4">
        <v>-22727.49</v>
      </c>
      <c r="O112" s="4">
        <f>Tab_04.Abr[[#This Row],[DÉBITO]]-Tab_04.Abr[[#This Row],[CRÉDITO]]</f>
        <v>-239.38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SUMIFS(Tab_03.Mar[SALDO
ATUAL],Tab_03.Mar[CONTA],$I113)</f>
        <v>-22488.11</v>
      </c>
      <c r="G113" s="4">
        <f t="shared" si="3"/>
        <v>0</v>
      </c>
      <c r="H113" s="3"/>
      <c r="I113" s="3" t="s">
        <v>356</v>
      </c>
      <c r="J113" s="3" t="s">
        <v>357</v>
      </c>
      <c r="K113" s="173">
        <v>-22488.11</v>
      </c>
      <c r="L113" s="1">
        <v>814.85</v>
      </c>
      <c r="M113" s="1">
        <v>1054.23</v>
      </c>
      <c r="N113" s="4">
        <v>-22727.49</v>
      </c>
      <c r="O113" s="4">
        <f>Tab_04.Abr[[#This Row],[DÉBITO]]-Tab_04.Abr[[#This Row],[CRÉDITO]]</f>
        <v>-239.38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SUMIFS(Tab_03.Mar[SALDO
ATUAL],Tab_03.Mar[CONTA],$I114)</f>
        <v>-3849.2</v>
      </c>
      <c r="G114" s="4">
        <f t="shared" si="3"/>
        <v>0</v>
      </c>
      <c r="H114" s="3"/>
      <c r="I114" s="3" t="s">
        <v>564</v>
      </c>
      <c r="J114" s="3" t="s">
        <v>666</v>
      </c>
      <c r="K114" s="173">
        <v>-3849.2</v>
      </c>
      <c r="L114" s="1">
        <v>0</v>
      </c>
      <c r="M114" s="1">
        <v>0</v>
      </c>
      <c r="N114" s="4">
        <v>-3849.2</v>
      </c>
      <c r="O114" s="4">
        <f>Tab_04.Abr[[#This Row],[DÉBITO]]-Tab_04.Abr[[#This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SUMIFS(Tab_03.Mar[SALDO
ATUAL],Tab_03.Mar[CONTA],$I115)</f>
        <v>-3849.2</v>
      </c>
      <c r="G115" s="4">
        <f t="shared" si="3"/>
        <v>0</v>
      </c>
      <c r="H115" s="3"/>
      <c r="I115" s="3" t="s">
        <v>565</v>
      </c>
      <c r="J115" s="3" t="s">
        <v>667</v>
      </c>
      <c r="K115" s="173">
        <v>-3849.2</v>
      </c>
      <c r="L115" s="1">
        <v>0</v>
      </c>
      <c r="M115" s="1">
        <v>0</v>
      </c>
      <c r="N115" s="4">
        <v>-3849.2</v>
      </c>
      <c r="O115" s="4">
        <f>Tab_04.Abr[[#This Row],[DÉBITO]]-Tab_04.Abr[[#This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A</v>
      </c>
      <c r="E116" s="2">
        <f>IF($I116="","",COUNTIFS(Tab_00.Trial[CONTA],$I116))</f>
        <v>1</v>
      </c>
      <c r="F116" s="4">
        <f>SUMIFS(Tab_03.Mar[SALDO
ATUAL],Tab_03.Mar[CONTA],$I116)</f>
        <v>-3849.2</v>
      </c>
      <c r="G116" s="4">
        <f t="shared" si="3"/>
        <v>0</v>
      </c>
      <c r="H116" s="3"/>
      <c r="I116" s="3" t="s">
        <v>358</v>
      </c>
      <c r="J116" s="3" t="s">
        <v>359</v>
      </c>
      <c r="K116" s="173">
        <v>-3849.2</v>
      </c>
      <c r="L116" s="1">
        <v>0</v>
      </c>
      <c r="M116" s="173">
        <v>0</v>
      </c>
      <c r="N116" s="4">
        <v>-3849.2</v>
      </c>
      <c r="O116" s="4">
        <f>Tab_04.Abr[[#This Row],[DÉBITO]]-Tab_04.Abr[[#This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2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SUMIFS(Tab_03.Mar[SALDO
ATUAL],Tab_03.Mar[CONTA],$I117)</f>
        <v>-46934.04</v>
      </c>
      <c r="G117" s="4">
        <f t="shared" si="3"/>
        <v>0</v>
      </c>
      <c r="H117" s="3"/>
      <c r="I117" s="3" t="s">
        <v>226</v>
      </c>
      <c r="J117" s="3" t="s">
        <v>76</v>
      </c>
      <c r="K117" s="173">
        <v>-46934.04</v>
      </c>
      <c r="L117" s="1">
        <v>0</v>
      </c>
      <c r="M117" s="173">
        <v>0</v>
      </c>
      <c r="N117" s="4">
        <v>-46934.04</v>
      </c>
      <c r="O117" s="4">
        <f>Tab_04.Abr[[#This Row],[DÉBITO]]-Tab_04.Abr[[#This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SUMIFS(Tab_03.Mar[SALDO
ATUAL],Tab_03.Mar[CONTA],$I118)</f>
        <v>-46934.04</v>
      </c>
      <c r="G118" s="4">
        <f t="shared" si="3"/>
        <v>0</v>
      </c>
      <c r="H118" s="3"/>
      <c r="I118" s="3" t="s">
        <v>566</v>
      </c>
      <c r="J118" s="3" t="s">
        <v>668</v>
      </c>
      <c r="K118" s="173">
        <v>-46934.04</v>
      </c>
      <c r="L118" s="1">
        <v>0</v>
      </c>
      <c r="M118" s="173">
        <v>0</v>
      </c>
      <c r="N118" s="4">
        <v>-46934.04</v>
      </c>
      <c r="O118" s="4">
        <f>Tab_04.Abr[[#This Row],[DÉBITO]]-Tab_04.Abr[[#This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SUMIFS(Tab_03.Mar[SALDO
ATUAL],Tab_03.Mar[CONTA],$I119)</f>
        <v>-46934.04</v>
      </c>
      <c r="G119" s="4">
        <f t="shared" si="3"/>
        <v>0</v>
      </c>
      <c r="H119" s="3"/>
      <c r="I119" s="3" t="s">
        <v>567</v>
      </c>
      <c r="J119" s="3" t="s">
        <v>669</v>
      </c>
      <c r="K119" s="173">
        <v>-46934.04</v>
      </c>
      <c r="L119" s="1">
        <v>0</v>
      </c>
      <c r="M119" s="173">
        <v>0</v>
      </c>
      <c r="N119" s="4">
        <v>-46934.04</v>
      </c>
      <c r="O119" s="4">
        <f>Tab_04.Abr[[#This Row],[DÉBITO]]-Tab_04.Abr[[#This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A</v>
      </c>
      <c r="E120" s="2">
        <f>IF($I120="","",COUNTIFS(Tab_00.Trial[CONTA],$I120))</f>
        <v>1</v>
      </c>
      <c r="F120" s="4">
        <f>SUMIFS(Tab_03.Mar[SALDO
ATUAL],Tab_03.Mar[CONTA],$I120)</f>
        <v>-31934.04</v>
      </c>
      <c r="G120" s="4">
        <f t="shared" si="3"/>
        <v>0</v>
      </c>
      <c r="H120" s="3"/>
      <c r="I120" s="3" t="s">
        <v>360</v>
      </c>
      <c r="J120" s="3" t="s">
        <v>361</v>
      </c>
      <c r="K120" s="173">
        <v>-31934.04</v>
      </c>
      <c r="L120" s="1">
        <v>0</v>
      </c>
      <c r="M120" s="173">
        <v>0</v>
      </c>
      <c r="N120" s="4">
        <v>-31934.04</v>
      </c>
      <c r="O120" s="4">
        <f>Tab_04.Abr[[#This Row],[DÉBITO]]-Tab_04.Abr[[#This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A</v>
      </c>
      <c r="E121" s="2">
        <f>IF($I121="","",COUNTIFS(Tab_00.Trial[CONTA],$I121))</f>
        <v>1</v>
      </c>
      <c r="F121" s="4">
        <f>SUMIFS(Tab_03.Mar[SALDO
ATUAL],Tab_03.Mar[CONTA],$I121)</f>
        <v>-15000</v>
      </c>
      <c r="G121" s="4">
        <f t="shared" si="3"/>
        <v>0</v>
      </c>
      <c r="H121" s="3"/>
      <c r="I121" s="3" t="s">
        <v>362</v>
      </c>
      <c r="J121" s="3" t="s">
        <v>363</v>
      </c>
      <c r="K121" s="173">
        <v>-15000</v>
      </c>
      <c r="L121" s="1">
        <v>0</v>
      </c>
      <c r="M121" s="173">
        <v>0</v>
      </c>
      <c r="N121" s="4">
        <v>-15000</v>
      </c>
      <c r="O121" s="4">
        <f>Tab_04.Abr[[#This Row],[DÉBITO]]-Tab_04.Abr[[#This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2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SUMIFS(Tab_03.Mar[SALDO
ATUAL],Tab_03.Mar[CONTA],$I122)</f>
        <v>-81855530.489999995</v>
      </c>
      <c r="G122" s="4">
        <f t="shared" si="3"/>
        <v>0</v>
      </c>
      <c r="H122" s="3"/>
      <c r="I122" s="3" t="s">
        <v>228</v>
      </c>
      <c r="J122" s="3" t="s">
        <v>670</v>
      </c>
      <c r="K122" s="173">
        <v>-81855530.489999995</v>
      </c>
      <c r="L122" s="1">
        <v>0</v>
      </c>
      <c r="M122" s="173">
        <v>0</v>
      </c>
      <c r="N122" s="4">
        <v>-81855530.489999995</v>
      </c>
      <c r="O122" s="4">
        <f>Tab_04.Abr[[#This Row],[DÉBITO]]-Tab_04.Abr[[#This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SUMIFS(Tab_03.Mar[SALDO
ATUAL],Tab_03.Mar[CONTA],$I123)</f>
        <v>-81855530.489999995</v>
      </c>
      <c r="G123" s="4">
        <f t="shared" si="3"/>
        <v>0</v>
      </c>
      <c r="H123" s="3"/>
      <c r="I123" s="3" t="s">
        <v>229</v>
      </c>
      <c r="J123" s="3" t="s">
        <v>670</v>
      </c>
      <c r="K123" s="173">
        <v>-81855530.489999995</v>
      </c>
      <c r="L123" s="1">
        <v>0</v>
      </c>
      <c r="M123" s="173">
        <v>0</v>
      </c>
      <c r="N123" s="4">
        <v>-81855530.489999995</v>
      </c>
      <c r="O123" s="4">
        <f>Tab_04.Abr[[#This Row],[DÉBITO]]-Tab_04.Abr[[#This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SUMIFS(Tab_03.Mar[SALDO
ATUAL],Tab_03.Mar[CONTA],$I124)</f>
        <v>-104784619.59999999</v>
      </c>
      <c r="G124" s="4">
        <f t="shared" si="3"/>
        <v>0</v>
      </c>
      <c r="H124" s="3"/>
      <c r="I124" s="3" t="s">
        <v>230</v>
      </c>
      <c r="J124" s="3" t="s">
        <v>364</v>
      </c>
      <c r="K124" s="173">
        <v>-104784619.59999999</v>
      </c>
      <c r="L124" s="1">
        <v>0</v>
      </c>
      <c r="M124" s="173">
        <v>0</v>
      </c>
      <c r="N124" s="4">
        <v>-104784619.59999999</v>
      </c>
      <c r="O124" s="4">
        <f>Tab_04.Abr[[#This Row],[DÉBITO]]-Tab_04.Abr[[#This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SUMIFS(Tab_03.Mar[SALDO
ATUAL],Tab_03.Mar[CONTA],$I125)</f>
        <v>-104784619.59999999</v>
      </c>
      <c r="G125" s="4">
        <f t="shared" si="3"/>
        <v>0</v>
      </c>
      <c r="H125" s="3"/>
      <c r="I125" s="3" t="s">
        <v>193</v>
      </c>
      <c r="J125" s="3" t="s">
        <v>364</v>
      </c>
      <c r="K125" s="173">
        <v>-104784619.59999999</v>
      </c>
      <c r="L125" s="1">
        <v>0</v>
      </c>
      <c r="M125" s="173">
        <v>0</v>
      </c>
      <c r="N125" s="4">
        <v>-104784619.59999999</v>
      </c>
      <c r="O125" s="4">
        <f>Tab_04.Abr[[#This Row],[DÉBITO]]-Tab_04.Abr[[#This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SUMIFS(Tab_03.Mar[SALDO
ATUAL],Tab_03.Mar[CONTA],$I126)</f>
        <v>32587250.850000001</v>
      </c>
      <c r="G126" s="4">
        <f t="shared" si="3"/>
        <v>0</v>
      </c>
      <c r="H126" s="3"/>
      <c r="I126" s="3" t="s">
        <v>568</v>
      </c>
      <c r="J126" s="3" t="s">
        <v>671</v>
      </c>
      <c r="K126" s="173">
        <v>32587250.850000001</v>
      </c>
      <c r="L126" s="1">
        <v>0</v>
      </c>
      <c r="M126" s="173">
        <v>0</v>
      </c>
      <c r="N126" s="4">
        <v>32587250.850000001</v>
      </c>
      <c r="O126" s="4">
        <f>Tab_04.Abr[[#This Row],[DÉBITO]]-Tab_04.Abr[[#This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SUMIFS(Tab_03.Mar[SALDO
ATUAL],Tab_03.Mar[CONTA],$I127)</f>
        <v>-827719.82</v>
      </c>
      <c r="G127" s="4">
        <f t="shared" si="3"/>
        <v>0</v>
      </c>
      <c r="H127" s="3"/>
      <c r="I127" s="3" t="s">
        <v>743</v>
      </c>
      <c r="J127" s="3" t="s">
        <v>744</v>
      </c>
      <c r="K127" s="173">
        <v>-827719.82</v>
      </c>
      <c r="L127" s="1">
        <v>0</v>
      </c>
      <c r="M127" s="173">
        <v>0</v>
      </c>
      <c r="N127" s="4">
        <v>-827719.82</v>
      </c>
      <c r="O127" s="4">
        <f>Tab_04.Abr[[#This Row],[DÉBITO]]-Tab_04.Abr[[#This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SUMIFS(Tab_03.Mar[SALDO
ATUAL],Tab_03.Mar[CONTA],$I128)</f>
        <v>33414970.670000002</v>
      </c>
      <c r="G128" s="4">
        <f t="shared" si="3"/>
        <v>0</v>
      </c>
      <c r="H128" s="3"/>
      <c r="I128" s="3" t="s">
        <v>365</v>
      </c>
      <c r="J128" s="3" t="s">
        <v>366</v>
      </c>
      <c r="K128" s="173">
        <v>33414970.670000002</v>
      </c>
      <c r="L128" s="1">
        <v>0</v>
      </c>
      <c r="M128" s="173">
        <v>0</v>
      </c>
      <c r="N128" s="4">
        <v>33414970.670000002</v>
      </c>
      <c r="O128" s="4">
        <f>Tab_04.Abr[[#This Row],[DÉBITO]]-Tab_04.Abr[[#This Row],[CRÉDITO]]</f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SUMIFS(Tab_03.Mar[SALDO
ATUAL],Tab_03.Mar[CONTA],$I129)</f>
        <v>-9658161.7400000002</v>
      </c>
      <c r="G129" s="4">
        <f t="shared" si="3"/>
        <v>0</v>
      </c>
      <c r="H129" s="3"/>
      <c r="I129" s="3" t="s">
        <v>745</v>
      </c>
      <c r="J129" s="3" t="s">
        <v>746</v>
      </c>
      <c r="K129" s="173">
        <v>-9658161.7400000002</v>
      </c>
      <c r="L129" s="1">
        <v>0</v>
      </c>
      <c r="M129" s="173">
        <v>0</v>
      </c>
      <c r="N129" s="4">
        <v>-9658161.7400000002</v>
      </c>
      <c r="O129" s="4">
        <f>Tab_04.Abr[[#This Row],[DÉBITO]]-Tab_04.Abr[[#This Row],[CRÉDITO]]</f>
        <v>0</v>
      </c>
    </row>
    <row r="130" spans="2:15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SUMIFS(Tab_03.Mar[SALDO
ATUAL],Tab_03.Mar[CONTA],$I130)</f>
        <v>-9658161.7400000002</v>
      </c>
      <c r="G130" s="4">
        <f t="shared" si="3"/>
        <v>0</v>
      </c>
      <c r="H130" s="3"/>
      <c r="I130" s="3" t="s">
        <v>747</v>
      </c>
      <c r="J130" s="3" t="s">
        <v>746</v>
      </c>
      <c r="K130" s="173">
        <v>-9658161.7400000002</v>
      </c>
      <c r="L130" s="1">
        <v>0</v>
      </c>
      <c r="M130" s="173">
        <v>0</v>
      </c>
      <c r="N130" s="4">
        <v>-9658161.7400000002</v>
      </c>
      <c r="O130" s="4">
        <f>Tab_04.Abr[[#This Row],[DÉBITO]]-Tab_04.Abr[[#This Row],[CRÉDITO]]</f>
        <v>0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1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SUMIFS(Tab_03.Mar[SALDO
ATUAL],Tab_03.Mar[CONTA],$I131)</f>
        <v>-3663236.38</v>
      </c>
      <c r="G131" s="4">
        <f t="shared" si="3"/>
        <v>0</v>
      </c>
      <c r="H131" s="3"/>
      <c r="I131" s="3">
        <v>3</v>
      </c>
      <c r="J131" s="3" t="s">
        <v>672</v>
      </c>
      <c r="K131" s="173">
        <v>-3663236.38</v>
      </c>
      <c r="L131" s="1">
        <v>114819.6</v>
      </c>
      <c r="M131" s="1">
        <v>1180786.3799999999</v>
      </c>
      <c r="N131" s="4">
        <v>-4729203.16</v>
      </c>
      <c r="O131" s="4">
        <f>Tab_04.Abr[[#This Row],[DÉBITO]]-Tab_04.Abr[[#This Row],[CRÉDITO]]</f>
        <v>-1065966.78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2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SUMIFS(Tab_03.Mar[SALDO
ATUAL],Tab_03.Mar[CONTA],$I132)</f>
        <v>-1634620.14</v>
      </c>
      <c r="G132" s="4">
        <f t="shared" si="3"/>
        <v>0</v>
      </c>
      <c r="H132" s="3"/>
      <c r="I132" s="3" t="s">
        <v>231</v>
      </c>
      <c r="J132" s="3" t="s">
        <v>673</v>
      </c>
      <c r="K132" s="173">
        <v>-1634620.14</v>
      </c>
      <c r="L132" s="1">
        <v>0</v>
      </c>
      <c r="M132" s="1">
        <v>647972.43999999994</v>
      </c>
      <c r="N132" s="4">
        <v>-2282592.58</v>
      </c>
      <c r="O132" s="4">
        <f>Tab_04.Abr[[#This Row],[DÉBITO]]-Tab_04.Abr[[#This Row],[CRÉDITO]]</f>
        <v>-647972.43999999994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SUMIFS(Tab_03.Mar[SALDO
ATUAL],Tab_03.Mar[CONTA],$I133)</f>
        <v>-1064866.8999999999</v>
      </c>
      <c r="G133" s="4">
        <f t="shared" si="3"/>
        <v>0</v>
      </c>
      <c r="H133" s="3"/>
      <c r="I133" s="3" t="s">
        <v>232</v>
      </c>
      <c r="J133" s="3" t="s">
        <v>674</v>
      </c>
      <c r="K133" s="173">
        <v>-1064866.8999999999</v>
      </c>
      <c r="L133" s="1">
        <v>0</v>
      </c>
      <c r="M133" s="173">
        <v>312504.86</v>
      </c>
      <c r="N133" s="4">
        <v>-1377371.76</v>
      </c>
      <c r="O133" s="4">
        <f>Tab_04.Abr[[#This Row],[DÉBITO]]-Tab_04.Abr[[#This Row],[CRÉDITO]]</f>
        <v>-312504.86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SUMIFS(Tab_03.Mar[SALDO
ATUAL],Tab_03.Mar[CONTA],$I134)</f>
        <v>-382498.04</v>
      </c>
      <c r="G134" s="4">
        <f t="shared" si="3"/>
        <v>0</v>
      </c>
      <c r="H134" s="3"/>
      <c r="I134" s="3" t="s">
        <v>233</v>
      </c>
      <c r="J134" s="3" t="s">
        <v>675</v>
      </c>
      <c r="K134" s="173">
        <v>-382498.04</v>
      </c>
      <c r="L134" s="1">
        <v>0</v>
      </c>
      <c r="M134" s="173">
        <v>132289.44</v>
      </c>
      <c r="N134" s="4">
        <v>-514787.48</v>
      </c>
      <c r="O134" s="4">
        <f>Tab_04.Abr[[#This Row],[DÉBITO]]-Tab_04.Abr[[#This Row],[CRÉDITO]]</f>
        <v>-132289.44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SUMIFS(Tab_03.Mar[SALDO
ATUAL],Tab_03.Mar[CONTA],$I135)</f>
        <v>-382498.04</v>
      </c>
      <c r="G135" s="4">
        <f t="shared" si="3"/>
        <v>0</v>
      </c>
      <c r="H135" s="3"/>
      <c r="I135" s="3" t="s">
        <v>194</v>
      </c>
      <c r="J135" s="3" t="s">
        <v>367</v>
      </c>
      <c r="K135" s="173">
        <v>-382498.04</v>
      </c>
      <c r="L135" s="1">
        <v>0</v>
      </c>
      <c r="M135" s="173">
        <v>132289.44</v>
      </c>
      <c r="N135" s="4">
        <v>-514787.48</v>
      </c>
      <c r="O135" s="4">
        <f>Tab_04.Abr[[#This Row],[DÉBITO]]-Tab_04.Abr[[#This Row],[CRÉDITO]]</f>
        <v>-132289.44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SUMIFS(Tab_03.Mar[SALDO
ATUAL],Tab_03.Mar[CONTA],$I136)</f>
        <v>-682368.86</v>
      </c>
      <c r="G136" s="4">
        <f t="shared" si="3"/>
        <v>0</v>
      </c>
      <c r="H136" s="3"/>
      <c r="I136" s="3" t="s">
        <v>735</v>
      </c>
      <c r="J136" s="3" t="s">
        <v>736</v>
      </c>
      <c r="K136" s="173">
        <v>-682368.86</v>
      </c>
      <c r="L136" s="1">
        <v>0</v>
      </c>
      <c r="M136" s="173">
        <v>180215.42</v>
      </c>
      <c r="N136" s="4">
        <v>-862584.28</v>
      </c>
      <c r="O136" s="4">
        <f>Tab_04.Abr[[#This Row],[DÉBITO]]-Tab_04.Abr[[#This Row],[CRÉDITO]]</f>
        <v>-180215.42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SUMIFS(Tab_03.Mar[SALDO
ATUAL],Tab_03.Mar[CONTA],$I137)</f>
        <v>-682368.86</v>
      </c>
      <c r="G137" s="4">
        <f t="shared" si="3"/>
        <v>0</v>
      </c>
      <c r="H137" s="3"/>
      <c r="I137" s="3" t="s">
        <v>737</v>
      </c>
      <c r="J137" s="3" t="s">
        <v>820</v>
      </c>
      <c r="K137" s="1">
        <v>-682368.86</v>
      </c>
      <c r="L137" s="1">
        <v>0</v>
      </c>
      <c r="M137" s="1">
        <v>180215.42</v>
      </c>
      <c r="N137" s="4">
        <v>-862584.28</v>
      </c>
      <c r="O137" s="4">
        <f>Tab_04.Abr[[#This Row],[DÉBITO]]-Tab_04.Abr[[#This Row],[CRÉDITO]]</f>
        <v>-180215.42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SUMIFS(Tab_03.Mar[SALDO
ATUAL],Tab_03.Mar[CONTA],$I138)</f>
        <v>-569753.24</v>
      </c>
      <c r="G138" s="4">
        <f t="shared" si="3"/>
        <v>0</v>
      </c>
      <c r="H138" s="3"/>
      <c r="I138" s="3" t="s">
        <v>569</v>
      </c>
      <c r="J138" s="3" t="s">
        <v>676</v>
      </c>
      <c r="K138" s="1">
        <v>-569753.24</v>
      </c>
      <c r="L138" s="1">
        <v>0</v>
      </c>
      <c r="M138" s="1">
        <v>335467.58</v>
      </c>
      <c r="N138" s="4">
        <v>-905220.82</v>
      </c>
      <c r="O138" s="4">
        <f>Tab_04.Abr[[#This Row],[DÉBITO]]-Tab_04.Abr[[#This Row],[CRÉDITO]]</f>
        <v>-335467.58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SUMIFS(Tab_03.Mar[SALDO
ATUAL],Tab_03.Mar[CONTA],$I139)</f>
        <v>-320855</v>
      </c>
      <c r="G139" s="4">
        <f t="shared" si="3"/>
        <v>0</v>
      </c>
      <c r="H139" s="3"/>
      <c r="I139" s="3" t="s">
        <v>570</v>
      </c>
      <c r="J139" s="3" t="s">
        <v>677</v>
      </c>
      <c r="K139" s="1">
        <v>-320855</v>
      </c>
      <c r="L139" s="1">
        <v>0</v>
      </c>
      <c r="M139" s="1">
        <v>252501.5</v>
      </c>
      <c r="N139" s="4">
        <v>-573356.5</v>
      </c>
      <c r="O139" s="4">
        <f>Tab_04.Abr[[#This Row],[DÉBITO]]-Tab_04.Abr[[#This Row],[CRÉDITO]]</f>
        <v>-252501.5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SUMIFS(Tab_03.Mar[SALDO
ATUAL],Tab_03.Mar[CONTA],$I140)</f>
        <v>-115763.06</v>
      </c>
      <c r="G140" s="4">
        <f t="shared" si="3"/>
        <v>0</v>
      </c>
      <c r="H140" s="3"/>
      <c r="I140" s="3" t="s">
        <v>368</v>
      </c>
      <c r="J140" s="3" t="s">
        <v>369</v>
      </c>
      <c r="K140" s="1">
        <v>-115763.06</v>
      </c>
      <c r="L140" s="1">
        <v>0</v>
      </c>
      <c r="M140" s="1">
        <v>126167.7</v>
      </c>
      <c r="N140" s="4">
        <v>-241930.76</v>
      </c>
      <c r="O140" s="4">
        <f>Tab_04.Abr[[#This Row],[DÉBITO]]-Tab_04.Abr[[#This Row],[CRÉDITO]]</f>
        <v>-126167.7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SUMIFS(Tab_03.Mar[SALDO
ATUAL],Tab_03.Mar[CONTA],$I141)</f>
        <v>-199421.78</v>
      </c>
      <c r="G141" s="4">
        <f t="shared" si="3"/>
        <v>0</v>
      </c>
      <c r="H141" s="3"/>
      <c r="I141" s="3" t="s">
        <v>370</v>
      </c>
      <c r="J141" s="3" t="s">
        <v>371</v>
      </c>
      <c r="K141" s="1">
        <v>-199421.78</v>
      </c>
      <c r="L141" s="1">
        <v>0</v>
      </c>
      <c r="M141" s="1">
        <v>36809.230000000003</v>
      </c>
      <c r="N141" s="4">
        <v>-236231.01</v>
      </c>
      <c r="O141" s="4">
        <f>Tab_04.Abr[[#This Row],[DÉBITO]]-Tab_04.Abr[[#This Row],[CRÉDITO]]</f>
        <v>-36809.230000000003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SUMIFS(Tab_03.Mar[SALDO
ATUAL],Tab_03.Mar[CONTA],$I142)</f>
        <v>-5670.16</v>
      </c>
      <c r="G142" s="4">
        <f t="shared" si="3"/>
        <v>0</v>
      </c>
      <c r="H142" s="3"/>
      <c r="I142" s="3" t="s">
        <v>372</v>
      </c>
      <c r="J142" s="3" t="s">
        <v>373</v>
      </c>
      <c r="K142" s="173">
        <v>-5670.16</v>
      </c>
      <c r="L142" s="1">
        <v>0</v>
      </c>
      <c r="M142" s="173">
        <v>0</v>
      </c>
      <c r="N142" s="4">
        <v>-5670.16</v>
      </c>
      <c r="O142" s="4">
        <f>Tab_04.Abr[[#This Row],[DÉBITO]]-Tab_04.Abr[[#This Row],[CRÉDITO]]</f>
        <v>0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SUMIFS(Tab_03.Mar[SALDO
ATUAL],Tab_03.Mar[CONTA],$I143)</f>
        <v>0</v>
      </c>
      <c r="G143" s="4">
        <f t="shared" si="3"/>
        <v>0</v>
      </c>
      <c r="H143" s="3"/>
      <c r="I143" s="3" t="s">
        <v>851</v>
      </c>
      <c r="J143" s="3" t="s">
        <v>852</v>
      </c>
      <c r="K143" s="173">
        <v>0</v>
      </c>
      <c r="L143" s="1">
        <v>0</v>
      </c>
      <c r="M143" s="173">
        <v>89524.57</v>
      </c>
      <c r="N143" s="4">
        <v>-89524.57</v>
      </c>
      <c r="O143" s="4">
        <f>Tab_04.Abr[[#This Row],[DÉBITO]]-Tab_04.Abr[[#This Row],[CRÉDITO]]</f>
        <v>-89524.57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SUMIFS(Tab_03.Mar[SALDO
ATUAL],Tab_03.Mar[CONTA],$I144)</f>
        <v>-248898.24</v>
      </c>
      <c r="G144" s="4">
        <f t="shared" si="3"/>
        <v>0</v>
      </c>
      <c r="H144" s="3"/>
      <c r="I144" s="3" t="s">
        <v>571</v>
      </c>
      <c r="J144" s="3" t="s">
        <v>377</v>
      </c>
      <c r="K144" s="173">
        <v>-248898.24</v>
      </c>
      <c r="L144" s="1">
        <v>0</v>
      </c>
      <c r="M144" s="173">
        <v>82966.080000000002</v>
      </c>
      <c r="N144" s="4">
        <v>-331864.32000000001</v>
      </c>
      <c r="O144" s="4">
        <f>Tab_04.Abr[[#This Row],[DÉBITO]]-Tab_04.Abr[[#This Row],[CRÉDITO]]</f>
        <v>-82966.080000000002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SUMIFS(Tab_03.Mar[SALDO
ATUAL],Tab_03.Mar[CONTA],$I145)</f>
        <v>-248898.24</v>
      </c>
      <c r="G145" s="4">
        <f t="shared" si="3"/>
        <v>0</v>
      </c>
      <c r="H145" s="3"/>
      <c r="I145" s="3" t="s">
        <v>376</v>
      </c>
      <c r="J145" s="3" t="s">
        <v>377</v>
      </c>
      <c r="K145" s="173">
        <v>-248898.24</v>
      </c>
      <c r="L145" s="1">
        <v>0</v>
      </c>
      <c r="M145" s="1">
        <v>82966.080000000002</v>
      </c>
      <c r="N145" s="4">
        <v>-331864.32000000001</v>
      </c>
      <c r="O145" s="4">
        <f>Tab_04.Abr[[#This Row],[DÉBITO]]-Tab_04.Abr[[#This Row],[CRÉDITO]]</f>
        <v>-82966.080000000002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2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SUMIFS(Tab_03.Mar[SALDO
ATUAL],Tab_03.Mar[CONTA],$I146)</f>
        <v>-1297631.08</v>
      </c>
      <c r="G146" s="4">
        <f t="shared" ref="G146:G161" si="4">$F146-$K146</f>
        <v>0</v>
      </c>
      <c r="H146" s="3"/>
      <c r="I146" s="3" t="s">
        <v>574</v>
      </c>
      <c r="J146" s="3" t="s">
        <v>680</v>
      </c>
      <c r="K146" s="173">
        <v>-1297631.08</v>
      </c>
      <c r="L146" s="1">
        <v>0</v>
      </c>
      <c r="M146" s="173">
        <v>440421.58</v>
      </c>
      <c r="N146" s="4">
        <v>-1738052.66</v>
      </c>
      <c r="O146" s="4">
        <f>Tab_04.Abr[[#This Row],[DÉBITO]]-Tab_04.Abr[[#This Row],[CRÉDITO]]</f>
        <v>-440421.58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SUMIFS(Tab_03.Mar[SALDO
ATUAL],Tab_03.Mar[CONTA],$I147)</f>
        <v>-1297631.08</v>
      </c>
      <c r="G147" s="4">
        <f t="shared" si="4"/>
        <v>0</v>
      </c>
      <c r="H147" s="3"/>
      <c r="I147" s="3" t="s">
        <v>580</v>
      </c>
      <c r="J147" s="3" t="s">
        <v>822</v>
      </c>
      <c r="K147" s="1">
        <v>-1297631.08</v>
      </c>
      <c r="L147" s="1">
        <v>0</v>
      </c>
      <c r="M147" s="1">
        <v>440421.58</v>
      </c>
      <c r="N147" s="4">
        <v>-1738052.66</v>
      </c>
      <c r="O147" s="4">
        <f>Tab_04.Abr[[#This Row],[DÉBITO]]-Tab_04.Abr[[#This Row],[CRÉDITO]]</f>
        <v>-440421.58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SUMIFS(Tab_03.Mar[SALDO
ATUAL],Tab_03.Mar[CONTA],$I148)</f>
        <v>-1297631.08</v>
      </c>
      <c r="G148" s="4">
        <f t="shared" si="4"/>
        <v>0</v>
      </c>
      <c r="H148" s="3"/>
      <c r="I148" s="3" t="s">
        <v>581</v>
      </c>
      <c r="J148" s="3" t="s">
        <v>687</v>
      </c>
      <c r="K148" s="1">
        <v>-1297631.08</v>
      </c>
      <c r="L148" s="1">
        <v>0</v>
      </c>
      <c r="M148" s="1">
        <v>440421.58</v>
      </c>
      <c r="N148" s="4">
        <v>-1738052.66</v>
      </c>
      <c r="O148" s="4">
        <f>Tab_04.Abr[[#This Row],[DÉBITO]]-Tab_04.Abr[[#This Row],[CRÉDITO]]</f>
        <v>-440421.58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A</v>
      </c>
      <c r="E149" s="2">
        <f>IF($I149="","",COUNTIFS(Tab_00.Trial[CONTA],$I149))</f>
        <v>1</v>
      </c>
      <c r="F149" s="4">
        <f>SUMIFS(Tab_03.Mar[SALDO
ATUAL],Tab_03.Mar[CONTA],$I149)</f>
        <v>-1264412.94</v>
      </c>
      <c r="G149" s="4">
        <f t="shared" si="4"/>
        <v>0</v>
      </c>
      <c r="H149" s="3"/>
      <c r="I149" s="3" t="s">
        <v>387</v>
      </c>
      <c r="J149" s="3" t="s">
        <v>388</v>
      </c>
      <c r="K149" s="1">
        <v>-1264412.94</v>
      </c>
      <c r="L149" s="1">
        <v>0</v>
      </c>
      <c r="M149" s="1">
        <v>440421.58</v>
      </c>
      <c r="N149" s="4">
        <v>-1704834.52</v>
      </c>
      <c r="O149" s="4">
        <f>Tab_04.Abr[[#This Row],[DÉBITO]]-Tab_04.Abr[[#This Row],[CRÉDITO]]</f>
        <v>-440421.58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SUMIFS(Tab_03.Mar[SALDO
ATUAL],Tab_03.Mar[CONTA],$I150)</f>
        <v>-33218.14</v>
      </c>
      <c r="G150" s="4">
        <f t="shared" si="4"/>
        <v>0</v>
      </c>
      <c r="H150" s="3"/>
      <c r="I150" s="3" t="s">
        <v>389</v>
      </c>
      <c r="J150" s="3" t="s">
        <v>390</v>
      </c>
      <c r="K150" s="173">
        <v>-33218.14</v>
      </c>
      <c r="L150" s="1">
        <v>0</v>
      </c>
      <c r="M150" s="173">
        <v>0</v>
      </c>
      <c r="N150" s="4">
        <v>-33218.14</v>
      </c>
      <c r="O150" s="4">
        <f>Tab_04.Abr[[#This Row],[DÉBITO]]-Tab_04.Abr[[#This Row],[CRÉDITO]]</f>
        <v>0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2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SUMIFS(Tab_03.Mar[SALDO
ATUAL],Tab_03.Mar[CONTA],$I151)</f>
        <v>-728285.16</v>
      </c>
      <c r="G151" s="4">
        <f t="shared" si="4"/>
        <v>0</v>
      </c>
      <c r="H151" s="3"/>
      <c r="I151" s="3" t="s">
        <v>582</v>
      </c>
      <c r="J151" s="3" t="s">
        <v>688</v>
      </c>
      <c r="K151" s="173">
        <v>-728285.16</v>
      </c>
      <c r="L151" s="1">
        <v>114819.6</v>
      </c>
      <c r="M151" s="173">
        <v>90092.36</v>
      </c>
      <c r="N151" s="4">
        <v>-703557.92</v>
      </c>
      <c r="O151" s="4">
        <f>Tab_04.Abr[[#This Row],[DÉBITO]]-Tab_04.Abr[[#This Row],[CRÉDITO]]</f>
        <v>24727.24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SUMIFS(Tab_03.Mar[SALDO
ATUAL],Tab_03.Mar[CONTA],$I152)</f>
        <v>-73.3</v>
      </c>
      <c r="G152" s="4">
        <f t="shared" si="4"/>
        <v>0</v>
      </c>
      <c r="H152" s="3"/>
      <c r="I152" s="3" t="s">
        <v>583</v>
      </c>
      <c r="J152" s="3" t="s">
        <v>689</v>
      </c>
      <c r="K152" s="173">
        <v>-73.3</v>
      </c>
      <c r="L152" s="1">
        <v>0</v>
      </c>
      <c r="M152" s="173">
        <v>0.05</v>
      </c>
      <c r="N152" s="4">
        <v>-73.349999999999994</v>
      </c>
      <c r="O152" s="4">
        <f>Tab_04.Abr[[#This Row],[DÉBITO]]-Tab_04.Abr[[#This Row],[CRÉDITO]]</f>
        <v>-0.05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SUMIFS(Tab_03.Mar[SALDO
ATUAL],Tab_03.Mar[CONTA],$I153)</f>
        <v>-73.3</v>
      </c>
      <c r="G153" s="4">
        <f t="shared" si="4"/>
        <v>0</v>
      </c>
      <c r="H153" s="3"/>
      <c r="I153" s="3" t="s">
        <v>584</v>
      </c>
      <c r="J153" s="3" t="s">
        <v>689</v>
      </c>
      <c r="K153" s="1">
        <v>-73.3</v>
      </c>
      <c r="L153" s="1">
        <v>0</v>
      </c>
      <c r="M153" s="1">
        <v>0.05</v>
      </c>
      <c r="N153" s="4">
        <v>-73.349999999999994</v>
      </c>
      <c r="O153" s="4">
        <f>Tab_04.Abr[[#This Row],[DÉBITO]]-Tab_04.Abr[[#This Row],[CRÉDITO]]</f>
        <v>-0.05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A</v>
      </c>
      <c r="E154" s="2">
        <f>IF($I154="","",COUNTIFS(Tab_00.Trial[CONTA],$I154))</f>
        <v>1</v>
      </c>
      <c r="F154" s="4">
        <f>SUMIFS(Tab_03.Mar[SALDO
ATUAL],Tab_03.Mar[CONTA],$I154)</f>
        <v>-73.3</v>
      </c>
      <c r="G154" s="4">
        <f t="shared" si="4"/>
        <v>0</v>
      </c>
      <c r="H154" s="3"/>
      <c r="I154" s="3" t="s">
        <v>391</v>
      </c>
      <c r="J154" s="3" t="s">
        <v>392</v>
      </c>
      <c r="K154" s="1">
        <v>-73.3</v>
      </c>
      <c r="L154" s="1">
        <v>0</v>
      </c>
      <c r="M154" s="1">
        <v>0.05</v>
      </c>
      <c r="N154" s="4">
        <v>-73.349999999999994</v>
      </c>
      <c r="O154" s="4">
        <f>Tab_04.Abr[[#This Row],[DÉBITO]]-Tab_04.Abr[[#This Row],[CRÉDITO]]</f>
        <v>-0.05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SUMIFS(Tab_03.Mar[SALDO
ATUAL],Tab_03.Mar[CONTA],$I155)</f>
        <v>-728211.86</v>
      </c>
      <c r="G155" s="4">
        <f t="shared" si="4"/>
        <v>0</v>
      </c>
      <c r="H155" s="3"/>
      <c r="I155" s="3" t="s">
        <v>585</v>
      </c>
      <c r="J155" s="3" t="s">
        <v>690</v>
      </c>
      <c r="K155" s="1">
        <v>-728211.86</v>
      </c>
      <c r="L155" s="1">
        <v>114819.6</v>
      </c>
      <c r="M155" s="1">
        <v>90092.31</v>
      </c>
      <c r="N155" s="4">
        <v>-703484.57</v>
      </c>
      <c r="O155" s="4">
        <f>Tab_04.Abr[[#This Row],[DÉBITO]]-Tab_04.Abr[[#This Row],[CRÉDITO]]</f>
        <v>24727.29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SUMIFS(Tab_03.Mar[SALDO
ATUAL],Tab_03.Mar[CONTA],$I156)</f>
        <v>-728211.86</v>
      </c>
      <c r="G156" s="4">
        <f t="shared" si="4"/>
        <v>0</v>
      </c>
      <c r="H156" s="3"/>
      <c r="I156" s="3" t="s">
        <v>586</v>
      </c>
      <c r="J156" s="3" t="s">
        <v>394</v>
      </c>
      <c r="K156" s="1">
        <v>-728211.86</v>
      </c>
      <c r="L156" s="1">
        <v>114819.6</v>
      </c>
      <c r="M156" s="1">
        <v>90092.31</v>
      </c>
      <c r="N156" s="4">
        <v>-703484.57</v>
      </c>
      <c r="O156" s="4">
        <f>Tab_04.Abr[[#This Row],[DÉBITO]]-Tab_04.Abr[[#This Row],[CRÉDITO]]</f>
        <v>24727.29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A</v>
      </c>
      <c r="E157" s="2">
        <f>IF($I157="","",COUNTIFS(Tab_00.Trial[CONTA],$I157))</f>
        <v>1</v>
      </c>
      <c r="F157" s="4">
        <f>SUMIFS(Tab_03.Mar[SALDO
ATUAL],Tab_03.Mar[CONTA],$I157)</f>
        <v>-728211.86</v>
      </c>
      <c r="G157" s="4">
        <f t="shared" si="4"/>
        <v>0</v>
      </c>
      <c r="H157" s="3"/>
      <c r="I157" s="3" t="s">
        <v>393</v>
      </c>
      <c r="J157" s="3" t="s">
        <v>394</v>
      </c>
      <c r="K157" s="173">
        <v>-728211.86</v>
      </c>
      <c r="L157" s="173">
        <v>114819.6</v>
      </c>
      <c r="M157" s="1">
        <v>90092.31</v>
      </c>
      <c r="N157" s="4">
        <v>-703484.57</v>
      </c>
      <c r="O157" s="4">
        <f>Tab_04.Abr[[#This Row],[DÉBITO]]-Tab_04.Abr[[#This Row],[CRÉDITO]]</f>
        <v>24727.29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2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SUMIFS(Tab_03.Mar[SALDO
ATUAL],Tab_03.Mar[CONTA],$I158)</f>
        <v>-2700</v>
      </c>
      <c r="G158" s="4">
        <f t="shared" si="4"/>
        <v>0</v>
      </c>
      <c r="H158" s="3"/>
      <c r="I158" s="3" t="s">
        <v>587</v>
      </c>
      <c r="J158" s="3" t="s">
        <v>691</v>
      </c>
      <c r="K158" s="173">
        <v>-2700</v>
      </c>
      <c r="L158" s="173">
        <v>0</v>
      </c>
      <c r="M158" s="1">
        <v>2300</v>
      </c>
      <c r="N158" s="4">
        <v>-5000</v>
      </c>
      <c r="O158" s="4">
        <f>Tab_04.Abr[[#This Row],[DÉBITO]]-Tab_04.Abr[[#This Row],[CRÉDITO]]</f>
        <v>-2300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SUMIFS(Tab_03.Mar[SALDO
ATUAL],Tab_03.Mar[CONTA],$I159)</f>
        <v>-2700</v>
      </c>
      <c r="G159" s="4">
        <f t="shared" si="4"/>
        <v>0</v>
      </c>
      <c r="H159" s="3"/>
      <c r="I159" s="3" t="s">
        <v>588</v>
      </c>
      <c r="J159" s="3" t="s">
        <v>692</v>
      </c>
      <c r="K159" s="173">
        <v>-2700</v>
      </c>
      <c r="L159" s="173">
        <v>0</v>
      </c>
      <c r="M159" s="1">
        <v>2300</v>
      </c>
      <c r="N159" s="4">
        <v>-5000</v>
      </c>
      <c r="O159" s="4">
        <f>Tab_04.Abr[[#This Row],[DÉBITO]]-Tab_04.Abr[[#This Row],[CRÉDITO]]</f>
        <v>-2300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SUMIFS(Tab_03.Mar[SALDO
ATUAL],Tab_03.Mar[CONTA],$I160)</f>
        <v>-2700</v>
      </c>
      <c r="G160" s="4">
        <f t="shared" si="4"/>
        <v>0</v>
      </c>
      <c r="H160" s="3"/>
      <c r="I160" s="3" t="s">
        <v>589</v>
      </c>
      <c r="J160" s="3" t="s">
        <v>692</v>
      </c>
      <c r="K160" s="173">
        <v>-2700</v>
      </c>
      <c r="L160" s="173">
        <v>0</v>
      </c>
      <c r="M160" s="1">
        <v>2300</v>
      </c>
      <c r="N160" s="4">
        <v>-5000</v>
      </c>
      <c r="O160" s="4">
        <f>Tab_04.Abr[[#This Row],[DÉBITO]]-Tab_04.Abr[[#This Row],[CRÉDITO]]</f>
        <v>-2300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SUMIFS(Tab_03.Mar[SALDO
ATUAL],Tab_03.Mar[CONTA],$I161)</f>
        <v>-2700</v>
      </c>
      <c r="G161" s="4">
        <f t="shared" si="4"/>
        <v>0</v>
      </c>
      <c r="H161" s="3"/>
      <c r="I161" s="3" t="s">
        <v>395</v>
      </c>
      <c r="J161" s="3" t="s">
        <v>396</v>
      </c>
      <c r="K161" s="173">
        <v>-2700</v>
      </c>
      <c r="L161" s="173">
        <v>0</v>
      </c>
      <c r="M161" s="1">
        <v>2300</v>
      </c>
      <c r="N161" s="4">
        <v>-5000</v>
      </c>
      <c r="O161" s="4">
        <f>Tab_04.Abr[[#This Row],[DÉBITO]]-Tab_04.Abr[[#This Row],[CRÉDITO]]</f>
        <v>-2300</v>
      </c>
    </row>
    <row r="162" spans="2:15" x14ac:dyDescent="0.3">
      <c r="B162" s="2" t="str">
        <f>_xlfn.XLOOKUP($I162,Tab_00.Trial[CONTA],Tab_00.Trial[TP],"",0,1)</f>
        <v>C</v>
      </c>
      <c r="C162" s="2">
        <f>_xlfn.XLOOKUP($I162,Tab_00.Trial[CONTA],Tab_00.Trial[NV],"",0,1)</f>
        <v>1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SUMIFS(Tab_03.Mar[SALDO
ATUAL],Tab_03.Mar[CONTA],$I162)</f>
        <v>2708358.79</v>
      </c>
      <c r="G162" s="4">
        <f t="shared" ref="G162:G195" si="5">$F162-$K162</f>
        <v>0</v>
      </c>
      <c r="I162" s="3">
        <v>4</v>
      </c>
      <c r="J162" s="3" t="s">
        <v>693</v>
      </c>
      <c r="K162" s="1">
        <v>2708358.79</v>
      </c>
      <c r="L162" s="1">
        <v>851849.55</v>
      </c>
      <c r="M162" s="1">
        <v>18131.96</v>
      </c>
      <c r="N162" s="4">
        <v>3542076.38</v>
      </c>
      <c r="O162" s="4">
        <f>Tab_04.Abr[[#This Row],[DÉBITO]]-Tab_04.Abr[[#This Row],[CRÉDITO]]</f>
        <v>833717.59</v>
      </c>
    </row>
    <row r="163" spans="2:15" x14ac:dyDescent="0.3">
      <c r="B163" s="2" t="str">
        <f>_xlfn.XLOOKUP($I163,Tab_00.Trial[CONTA],Tab_00.Trial[TP],"",0,1)</f>
        <v>C</v>
      </c>
      <c r="C163" s="2">
        <f>_xlfn.XLOOKUP($I163,Tab_00.Trial[CONTA],Tab_00.Trial[NV],"",0,1)</f>
        <v>2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SUMIFS(Tab_03.Mar[SALDO
ATUAL],Tab_03.Mar[CONTA],$I163)</f>
        <v>2708358.79</v>
      </c>
      <c r="G163" s="4">
        <f t="shared" si="5"/>
        <v>0</v>
      </c>
      <c r="I163" s="3" t="s">
        <v>234</v>
      </c>
      <c r="J163" s="3" t="s">
        <v>823</v>
      </c>
      <c r="K163" s="173">
        <v>2708358.79</v>
      </c>
      <c r="L163" s="173">
        <v>851849.55</v>
      </c>
      <c r="M163" s="1">
        <v>18131.96</v>
      </c>
      <c r="N163" s="4">
        <v>3542076.38</v>
      </c>
      <c r="O163" s="4">
        <f>Tab_04.Abr[[#This Row],[DÉBITO]]-Tab_04.Abr[[#This Row],[CRÉDITO]]</f>
        <v>833717.59</v>
      </c>
    </row>
    <row r="164" spans="2:15" x14ac:dyDescent="0.3">
      <c r="B164" s="2" t="str">
        <f>_xlfn.XLOOKUP($I164,Tab_00.Trial[CONTA],Tab_00.Trial[TP],"",0,1)</f>
        <v>C</v>
      </c>
      <c r="C164" s="2">
        <f>_xlfn.XLOOKUP($I164,Tab_00.Trial[CONTA],Tab_00.Trial[NV],"",0,1)</f>
        <v>5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SUMIFS(Tab_03.Mar[SALDO
ATUAL],Tab_03.Mar[CONTA],$I164)</f>
        <v>430740.91</v>
      </c>
      <c r="G164" s="4">
        <f t="shared" si="5"/>
        <v>0</v>
      </c>
      <c r="I164" s="3" t="s">
        <v>235</v>
      </c>
      <c r="J164" s="3" t="s">
        <v>824</v>
      </c>
      <c r="K164" s="173">
        <v>430740.91</v>
      </c>
      <c r="L164" s="173">
        <v>192812.58</v>
      </c>
      <c r="M164" s="1">
        <v>18131.96</v>
      </c>
      <c r="N164" s="4">
        <v>605421.53</v>
      </c>
      <c r="O164" s="4">
        <f>Tab_04.Abr[[#This Row],[DÉBITO]]-Tab_04.Abr[[#This Row],[CRÉDITO]]</f>
        <v>174680.62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5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SUMIFS(Tab_03.Mar[SALDO
ATUAL],Tab_03.Mar[CONTA],$I165)</f>
        <v>184999.1</v>
      </c>
      <c r="G165" s="4">
        <f t="shared" si="5"/>
        <v>0</v>
      </c>
      <c r="I165" s="3" t="s">
        <v>236</v>
      </c>
      <c r="J165" s="3" t="s">
        <v>696</v>
      </c>
      <c r="K165" s="173">
        <v>184999.1</v>
      </c>
      <c r="L165" s="173">
        <v>98601.1</v>
      </c>
      <c r="M165" s="1">
        <v>14110.68</v>
      </c>
      <c r="N165" s="4">
        <v>269489.52</v>
      </c>
      <c r="O165" s="4">
        <f>Tab_04.Abr[[#This Row],[DÉBITO]]-Tab_04.Abr[[#This Row],[CRÉDITO]]</f>
        <v>84490.42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5</v>
      </c>
      <c r="D166" s="2" t="str">
        <f>_xlfn.XLOOKUP($I166,Tab_00.Trial[CONTA],Tab_00.Trial[S/A],"",0,1)</f>
        <v>A</v>
      </c>
      <c r="E166" s="2">
        <f>IF($I166="","",COUNTIFS(Tab_00.Trial[CONTA],$I166))</f>
        <v>1</v>
      </c>
      <c r="F166" s="4">
        <f>SUMIFS(Tab_03.Mar[SALDO
ATUAL],Tab_03.Mar[CONTA],$I166)</f>
        <v>103060.46</v>
      </c>
      <c r="G166" s="4">
        <f t="shared" si="5"/>
        <v>0</v>
      </c>
      <c r="I166" s="3" t="s">
        <v>195</v>
      </c>
      <c r="J166" s="3" t="s">
        <v>427</v>
      </c>
      <c r="K166" s="173">
        <v>103060.46</v>
      </c>
      <c r="L166" s="173">
        <v>81136.98</v>
      </c>
      <c r="M166" s="1">
        <v>13804.39</v>
      </c>
      <c r="N166" s="4">
        <v>170393.05</v>
      </c>
      <c r="O166" s="4">
        <f>Tab_04.Abr[[#This Row],[DÉBITO]]-Tab_04.Abr[[#This Row],[CRÉDITO]]</f>
        <v>67332.59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SUMIFS(Tab_03.Mar[SALDO
ATUAL],Tab_03.Mar[CONTA],$I167)</f>
        <v>23634.400000000001</v>
      </c>
      <c r="G167" s="4">
        <f t="shared" si="5"/>
        <v>0</v>
      </c>
      <c r="I167" s="3" t="s">
        <v>430</v>
      </c>
      <c r="J167" s="3" t="s">
        <v>431</v>
      </c>
      <c r="K167" s="173">
        <v>23634.400000000001</v>
      </c>
      <c r="L167" s="173">
        <v>8176.23</v>
      </c>
      <c r="M167" s="1">
        <v>0</v>
      </c>
      <c r="N167" s="4">
        <v>31810.63</v>
      </c>
      <c r="O167" s="4">
        <f>Tab_04.Abr[[#This Row],[DÉBITO]]-Tab_04.Abr[[#This Row],[CRÉDITO]]</f>
        <v>8176.23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SUMIFS(Tab_03.Mar[SALDO
ATUAL],Tab_03.Mar[CONTA],$I168)</f>
        <v>15135.09</v>
      </c>
      <c r="G168" s="4">
        <f t="shared" si="5"/>
        <v>0</v>
      </c>
      <c r="I168" s="3" t="s">
        <v>432</v>
      </c>
      <c r="J168" s="3" t="s">
        <v>433</v>
      </c>
      <c r="K168" s="173">
        <v>15135.09</v>
      </c>
      <c r="L168" s="173">
        <v>5044.99</v>
      </c>
      <c r="M168" s="1">
        <v>0</v>
      </c>
      <c r="N168" s="4">
        <v>20180.080000000002</v>
      </c>
      <c r="O168" s="4">
        <f>Tab_04.Abr[[#This Row],[DÉBITO]]-Tab_04.Abr[[#This Row],[CRÉDITO]]</f>
        <v>5044.99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SUMIFS(Tab_03.Mar[SALDO
ATUAL],Tab_03.Mar[CONTA],$I169)</f>
        <v>36497.67</v>
      </c>
      <c r="G169" s="4">
        <f t="shared" si="5"/>
        <v>0</v>
      </c>
      <c r="I169" s="3" t="s">
        <v>796</v>
      </c>
      <c r="J169" s="3" t="s">
        <v>797</v>
      </c>
      <c r="K169" s="173">
        <v>36497.67</v>
      </c>
      <c r="L169" s="173">
        <v>1802.69</v>
      </c>
      <c r="M169" s="1">
        <v>47.72</v>
      </c>
      <c r="N169" s="4">
        <v>38252.639999999999</v>
      </c>
      <c r="O169" s="4">
        <f>Tab_04.Abr[[#This Row],[DÉBITO]]-Tab_04.Abr[[#This Row],[CRÉDITO]]</f>
        <v>1754.97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SUMIFS(Tab_03.Mar[SALDO
ATUAL],Tab_03.Mar[CONTA],$I170)</f>
        <v>1138.78</v>
      </c>
      <c r="G170" s="4">
        <f t="shared" si="5"/>
        <v>0</v>
      </c>
      <c r="I170" s="3" t="s">
        <v>798</v>
      </c>
      <c r="J170" s="3" t="s">
        <v>799</v>
      </c>
      <c r="K170" s="173">
        <v>1138.78</v>
      </c>
      <c r="L170" s="1">
        <v>553.25</v>
      </c>
      <c r="M170" s="1">
        <v>251.02</v>
      </c>
      <c r="N170" s="4">
        <v>1441.01</v>
      </c>
      <c r="O170" s="4">
        <f>Tab_04.Abr[[#This Row],[DÉBITO]]-Tab_04.Abr[[#This Row],[CRÉDITO]]</f>
        <v>302.23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SUMIFS(Tab_03.Mar[SALDO
ATUAL],Tab_03.Mar[CONTA],$I171)</f>
        <v>114.43</v>
      </c>
      <c r="G171" s="4">
        <f t="shared" si="5"/>
        <v>0</v>
      </c>
      <c r="I171" s="3" t="s">
        <v>800</v>
      </c>
      <c r="J171" s="3" t="s">
        <v>801</v>
      </c>
      <c r="K171" s="173">
        <v>114.43</v>
      </c>
      <c r="L171" s="173">
        <v>80.84</v>
      </c>
      <c r="M171" s="1">
        <v>7.55</v>
      </c>
      <c r="N171" s="4">
        <v>187.72</v>
      </c>
      <c r="O171" s="4">
        <f>Tab_04.Abr[[#This Row],[DÉBITO]]-Tab_04.Abr[[#This Row],[CRÉDITO]]</f>
        <v>73.290000000000006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SUMIFS(Tab_03.Mar[SALDO
ATUAL],Tab_03.Mar[CONTA],$I172)</f>
        <v>4056.14</v>
      </c>
      <c r="G172" s="4">
        <f t="shared" si="5"/>
        <v>0</v>
      </c>
      <c r="I172" s="3" t="s">
        <v>802</v>
      </c>
      <c r="J172" s="3" t="s">
        <v>803</v>
      </c>
      <c r="K172" s="173">
        <v>4056.14</v>
      </c>
      <c r="L172" s="173">
        <v>1352.07</v>
      </c>
      <c r="M172" s="1">
        <v>0</v>
      </c>
      <c r="N172" s="4">
        <v>5408.21</v>
      </c>
      <c r="O172" s="4">
        <f>Tab_04.Abr[[#This Row],[DÉBITO]]-Tab_04.Abr[[#This Row],[CRÉDITO]]</f>
        <v>1352.07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SUMIFS(Tab_03.Mar[SALDO
ATUAL],Tab_03.Mar[CONTA],$I173)</f>
        <v>1210.78</v>
      </c>
      <c r="G173" s="4">
        <f t="shared" si="5"/>
        <v>0</v>
      </c>
      <c r="I173" s="3" t="s">
        <v>804</v>
      </c>
      <c r="J173" s="3" t="s">
        <v>805</v>
      </c>
      <c r="K173" s="1">
        <v>1210.78</v>
      </c>
      <c r="L173" s="1">
        <v>403.59</v>
      </c>
      <c r="M173" s="1">
        <v>0</v>
      </c>
      <c r="N173" s="4">
        <v>1614.37</v>
      </c>
      <c r="O173" s="4">
        <f>Tab_04.Abr[[#This Row],[DÉBITO]]-Tab_04.Abr[[#This Row],[CRÉDITO]]</f>
        <v>403.59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SUMIFS(Tab_03.Mar[SALDO
ATUAL],Tab_03.Mar[CONTA],$I174)</f>
        <v>151.35</v>
      </c>
      <c r="G174" s="4">
        <f t="shared" si="5"/>
        <v>0</v>
      </c>
      <c r="I174" s="3" t="s">
        <v>806</v>
      </c>
      <c r="J174" s="3" t="s">
        <v>807</v>
      </c>
      <c r="K174" s="173">
        <v>151.35</v>
      </c>
      <c r="L174" s="173">
        <v>50.46</v>
      </c>
      <c r="M174" s="1">
        <v>0</v>
      </c>
      <c r="N174" s="4">
        <v>201.81</v>
      </c>
      <c r="O174" s="4">
        <f>Tab_04.Abr[[#This Row],[DÉBITO]]-Tab_04.Abr[[#This Row],[CRÉDITO]]</f>
        <v>50.46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S</v>
      </c>
      <c r="E175" s="2">
        <f>IF($I175="","",COUNTIFS(Tab_00.Trial[CONTA],$I175))</f>
        <v>1</v>
      </c>
      <c r="F175" s="4">
        <f>SUMIFS(Tab_03.Mar[SALDO
ATUAL],Tab_03.Mar[CONTA],$I175)</f>
        <v>78861.22</v>
      </c>
      <c r="G175" s="4">
        <f t="shared" si="5"/>
        <v>0</v>
      </c>
      <c r="I175" s="3" t="s">
        <v>590</v>
      </c>
      <c r="J175" s="3" t="s">
        <v>697</v>
      </c>
      <c r="K175" s="173">
        <v>78861.22</v>
      </c>
      <c r="L175" s="173">
        <v>28608.11</v>
      </c>
      <c r="M175" s="1">
        <v>2499.11</v>
      </c>
      <c r="N175" s="4">
        <v>104970.22</v>
      </c>
      <c r="O175" s="4">
        <f>Tab_04.Abr[[#This Row],[DÉBITO]]-Tab_04.Abr[[#This Row],[CRÉDITO]]</f>
        <v>26109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SUMIFS(Tab_03.Mar[SALDO
ATUAL],Tab_03.Mar[CONTA],$I176)</f>
        <v>75029.38</v>
      </c>
      <c r="G176" s="4">
        <f t="shared" si="5"/>
        <v>0</v>
      </c>
      <c r="I176" s="3" t="s">
        <v>434</v>
      </c>
      <c r="J176" s="3" t="s">
        <v>435</v>
      </c>
      <c r="K176" s="173">
        <v>75029.38</v>
      </c>
      <c r="L176" s="173">
        <v>26491.11</v>
      </c>
      <c r="M176" s="1">
        <v>731.6</v>
      </c>
      <c r="N176" s="4">
        <v>100788.89</v>
      </c>
      <c r="O176" s="4">
        <f>Tab_04.Abr[[#This Row],[DÉBITO]]-Tab_04.Abr[[#This Row],[CRÉDITO]]</f>
        <v>25759.51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SUMIFS(Tab_03.Mar[SALDO
ATUAL],Tab_03.Mar[CONTA],$I177)</f>
        <v>3831.84</v>
      </c>
      <c r="G177" s="4">
        <f t="shared" si="5"/>
        <v>0</v>
      </c>
      <c r="I177" s="3" t="s">
        <v>750</v>
      </c>
      <c r="J177" s="3" t="s">
        <v>751</v>
      </c>
      <c r="K177" s="173">
        <v>3831.84</v>
      </c>
      <c r="L177" s="1">
        <v>2117</v>
      </c>
      <c r="M177" s="1">
        <v>1767.51</v>
      </c>
      <c r="N177" s="4">
        <v>4181.33</v>
      </c>
      <c r="O177" s="4">
        <f>Tab_04.Abr[[#This Row],[DÉBITO]]-Tab_04.Abr[[#This Row],[CRÉDITO]]</f>
        <v>349.49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S</v>
      </c>
      <c r="E178" s="2">
        <f>IF($I178="","",COUNTIFS(Tab_00.Trial[CONTA],$I178))</f>
        <v>1</v>
      </c>
      <c r="F178" s="4">
        <f>SUMIFS(Tab_03.Mar[SALDO
ATUAL],Tab_03.Mar[CONTA],$I178)</f>
        <v>62180.74</v>
      </c>
      <c r="G178" s="4">
        <f t="shared" si="5"/>
        <v>0</v>
      </c>
      <c r="I178" s="3" t="s">
        <v>591</v>
      </c>
      <c r="J178" s="3" t="s">
        <v>698</v>
      </c>
      <c r="K178" s="173">
        <v>62180.74</v>
      </c>
      <c r="L178" s="173">
        <v>25496.19</v>
      </c>
      <c r="M178" s="1">
        <v>1522.17</v>
      </c>
      <c r="N178" s="4">
        <v>86154.76</v>
      </c>
      <c r="O178" s="4">
        <f>Tab_04.Abr[[#This Row],[DÉBITO]]-Tab_04.Abr[[#This Row],[CRÉDITO]]</f>
        <v>23974.02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SUMIFS(Tab_03.Mar[SALDO
ATUAL],Tab_03.Mar[CONTA],$I179)</f>
        <v>50448.83</v>
      </c>
      <c r="G179" s="4">
        <f t="shared" si="5"/>
        <v>0</v>
      </c>
      <c r="I179" s="3" t="s">
        <v>436</v>
      </c>
      <c r="J179" s="3" t="s">
        <v>437</v>
      </c>
      <c r="K179" s="173">
        <v>50448.83</v>
      </c>
      <c r="L179" s="1">
        <v>18989.13</v>
      </c>
      <c r="M179" s="1">
        <v>0</v>
      </c>
      <c r="N179" s="4">
        <v>69437.960000000006</v>
      </c>
      <c r="O179" s="4">
        <f>Tab_04.Abr[[#This Row],[DÉBITO]]-Tab_04.Abr[[#This Row],[CRÉDITO]]</f>
        <v>18989.13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SUMIFS(Tab_03.Mar[SALDO
ATUAL],Tab_03.Mar[CONTA],$I180)</f>
        <v>10113.6</v>
      </c>
      <c r="G180" s="4">
        <f t="shared" si="5"/>
        <v>0</v>
      </c>
      <c r="I180" s="3" t="s">
        <v>438</v>
      </c>
      <c r="J180" s="3" t="s">
        <v>196</v>
      </c>
      <c r="K180" s="1">
        <v>10113.6</v>
      </c>
      <c r="L180" s="1">
        <v>5820.89</v>
      </c>
      <c r="M180" s="1">
        <v>1522.17</v>
      </c>
      <c r="N180" s="4">
        <v>14412.32</v>
      </c>
      <c r="O180" s="4">
        <f>Tab_04.Abr[[#This Row],[DÉBITO]]-Tab_04.Abr[[#This Row],[CRÉDITO]]</f>
        <v>4298.72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SUMIFS(Tab_03.Mar[SALDO
ATUAL],Tab_03.Mar[CONTA],$I181)</f>
        <v>1618.31</v>
      </c>
      <c r="G181" s="4">
        <f t="shared" si="5"/>
        <v>0</v>
      </c>
      <c r="I181" s="3" t="s">
        <v>439</v>
      </c>
      <c r="J181" s="3" t="s">
        <v>440</v>
      </c>
      <c r="K181" s="1">
        <v>1618.31</v>
      </c>
      <c r="L181" s="1">
        <v>686.17</v>
      </c>
      <c r="M181" s="1">
        <v>0</v>
      </c>
      <c r="N181" s="4">
        <v>2304.48</v>
      </c>
      <c r="O181" s="4">
        <f>Tab_04.Abr[[#This Row],[DÉBITO]]-Tab_04.Abr[[#This Row],[CRÉDITO]]</f>
        <v>686.17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SUMIFS(Tab_03.Mar[SALDO
ATUAL],Tab_03.Mar[CONTA],$I182)</f>
        <v>5788.26</v>
      </c>
      <c r="G182" s="4">
        <f t="shared" si="5"/>
        <v>0</v>
      </c>
      <c r="I182" s="3" t="s">
        <v>592</v>
      </c>
      <c r="J182" s="3" t="s">
        <v>699</v>
      </c>
      <c r="K182" s="173">
        <v>5788.26</v>
      </c>
      <c r="L182" s="1">
        <v>590.51</v>
      </c>
      <c r="M182" s="1">
        <v>0</v>
      </c>
      <c r="N182" s="4">
        <v>6378.77</v>
      </c>
      <c r="O182" s="4">
        <f>Tab_04.Abr[[#This Row],[DÉBITO]]-Tab_04.Abr[[#This Row],[CRÉDITO]]</f>
        <v>590.51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SUMIFS(Tab_03.Mar[SALDO
ATUAL],Tab_03.Mar[CONTA],$I183)</f>
        <v>5788.26</v>
      </c>
      <c r="G183" s="4">
        <f t="shared" si="5"/>
        <v>0</v>
      </c>
      <c r="I183" s="3" t="s">
        <v>397</v>
      </c>
      <c r="J183" s="3" t="s">
        <v>398</v>
      </c>
      <c r="K183" s="173">
        <v>5788.26</v>
      </c>
      <c r="L183" s="1">
        <v>590.51</v>
      </c>
      <c r="M183" s="1">
        <v>0</v>
      </c>
      <c r="N183" s="4">
        <v>6378.77</v>
      </c>
      <c r="O183" s="4">
        <f>Tab_04.Abr[[#This Row],[DÉBITO]]-Tab_04.Abr[[#This Row],[CRÉDITO]]</f>
        <v>590.51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S</v>
      </c>
      <c r="E184" s="2">
        <f>IF($I184="","",COUNTIFS(Tab_00.Trial[CONTA],$I184))</f>
        <v>1</v>
      </c>
      <c r="F184" s="4">
        <f>SUMIFS(Tab_03.Mar[SALDO
ATUAL],Tab_03.Mar[CONTA],$I184)</f>
        <v>95206.93</v>
      </c>
      <c r="G184" s="4">
        <f t="shared" si="5"/>
        <v>0</v>
      </c>
      <c r="I184" s="3" t="s">
        <v>593</v>
      </c>
      <c r="J184" s="3" t="s">
        <v>711</v>
      </c>
      <c r="K184" s="173">
        <v>95206.93</v>
      </c>
      <c r="L184" s="173">
        <v>38505.96</v>
      </c>
      <c r="M184" s="1">
        <v>0</v>
      </c>
      <c r="N184" s="4">
        <v>133712.89000000001</v>
      </c>
      <c r="O184" s="4">
        <f>Tab_04.Abr[[#This Row],[DÉBITO]]-Tab_04.Abr[[#This Row],[CRÉDITO]]</f>
        <v>38505.96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SUMIFS(Tab_03.Mar[SALDO
ATUAL],Tab_03.Mar[CONTA],$I185)</f>
        <v>12407.88</v>
      </c>
      <c r="G185" s="4">
        <f t="shared" si="5"/>
        <v>0</v>
      </c>
      <c r="I185" s="3" t="s">
        <v>403</v>
      </c>
      <c r="J185" s="3" t="s">
        <v>404</v>
      </c>
      <c r="K185" s="173">
        <v>12407.88</v>
      </c>
      <c r="L185" s="173">
        <v>4135.96</v>
      </c>
      <c r="M185" s="1">
        <v>0</v>
      </c>
      <c r="N185" s="4">
        <v>16543.84</v>
      </c>
      <c r="O185" s="4">
        <f>Tab_04.Abr[[#This Row],[DÉBITO]]-Tab_04.Abr[[#This Row],[CRÉDITO]]</f>
        <v>4135.96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SUMIFS(Tab_03.Mar[SALDO
ATUAL],Tab_03.Mar[CONTA],$I186)</f>
        <v>76447</v>
      </c>
      <c r="G186" s="4">
        <f t="shared" si="5"/>
        <v>0</v>
      </c>
      <c r="I186" s="3" t="s">
        <v>405</v>
      </c>
      <c r="J186" s="3" t="s">
        <v>406</v>
      </c>
      <c r="K186" s="173">
        <v>76447</v>
      </c>
      <c r="L186" s="173">
        <v>31370</v>
      </c>
      <c r="M186" s="1">
        <v>0</v>
      </c>
      <c r="N186" s="4">
        <v>107817</v>
      </c>
      <c r="O186" s="4">
        <f>Tab_04.Abr[[#This Row],[DÉBITO]]-Tab_04.Abr[[#This Row],[CRÉDITO]]</f>
        <v>31370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SUMIFS(Tab_03.Mar[SALDO
ATUAL],Tab_03.Mar[CONTA],$I187)</f>
        <v>6352.05</v>
      </c>
      <c r="G187" s="4">
        <f t="shared" si="5"/>
        <v>0</v>
      </c>
      <c r="I187" s="3" t="s">
        <v>407</v>
      </c>
      <c r="J187" s="3" t="s">
        <v>408</v>
      </c>
      <c r="K187" s="173">
        <v>6352.05</v>
      </c>
      <c r="L187" s="173">
        <v>3000</v>
      </c>
      <c r="M187" s="1">
        <v>0</v>
      </c>
      <c r="N187" s="4">
        <v>9352.0499999999993</v>
      </c>
      <c r="O187" s="4">
        <f>Tab_04.Abr[[#This Row],[DÉBITO]]-Tab_04.Abr[[#This Row],[CRÉDITO]]</f>
        <v>3000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SUMIFS(Tab_03.Mar[SALDO
ATUAL],Tab_03.Mar[CONTA],$I188)</f>
        <v>2422.88</v>
      </c>
      <c r="G188" s="4">
        <f t="shared" si="5"/>
        <v>0</v>
      </c>
      <c r="I188" s="3" t="s">
        <v>594</v>
      </c>
      <c r="J188" s="3" t="s">
        <v>825</v>
      </c>
      <c r="K188" s="173">
        <v>2422.88</v>
      </c>
      <c r="L188" s="1">
        <v>583.45000000000005</v>
      </c>
      <c r="M188" s="1">
        <v>0</v>
      </c>
      <c r="N188" s="4">
        <v>3006.33</v>
      </c>
      <c r="O188" s="4">
        <f>Tab_04.Abr[[#This Row],[DÉBITO]]-Tab_04.Abr[[#This Row],[CRÉDITO]]</f>
        <v>583.45000000000005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SUMIFS(Tab_03.Mar[SALDO
ATUAL],Tab_03.Mar[CONTA],$I189)</f>
        <v>300</v>
      </c>
      <c r="G189" s="4">
        <f t="shared" si="5"/>
        <v>0</v>
      </c>
      <c r="I189" s="3" t="s">
        <v>411</v>
      </c>
      <c r="J189" s="3" t="s">
        <v>412</v>
      </c>
      <c r="K189" s="173">
        <v>300</v>
      </c>
      <c r="L189" s="1">
        <v>0</v>
      </c>
      <c r="M189" s="1">
        <v>0</v>
      </c>
      <c r="N189" s="4">
        <v>300</v>
      </c>
      <c r="O189" s="4">
        <f>Tab_04.Abr[[#This Row],[DÉBITO]]-Tab_04.Abr[[#This Row],[CRÉDITO]]</f>
        <v>0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SUMIFS(Tab_03.Mar[SALDO
ATUAL],Tab_03.Mar[CONTA],$I190)</f>
        <v>2122.88</v>
      </c>
      <c r="G190" s="4">
        <f t="shared" si="5"/>
        <v>0</v>
      </c>
      <c r="I190" s="3" t="s">
        <v>413</v>
      </c>
      <c r="J190" s="3" t="s">
        <v>414</v>
      </c>
      <c r="K190" s="173">
        <v>2122.88</v>
      </c>
      <c r="L190" s="1">
        <v>583.45000000000005</v>
      </c>
      <c r="M190" s="1">
        <v>0</v>
      </c>
      <c r="N190" s="4">
        <v>2706.33</v>
      </c>
      <c r="O190" s="4">
        <f>Tab_04.Abr[[#This Row],[DÉBITO]]-Tab_04.Abr[[#This Row],[CRÉDITO]]</f>
        <v>583.45000000000005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S</v>
      </c>
      <c r="E191" s="2">
        <f>IF($I191="","",COUNTIFS(Tab_00.Trial[CONTA],$I191))</f>
        <v>1</v>
      </c>
      <c r="F191" s="4">
        <f>SUMIFS(Tab_03.Mar[SALDO
ATUAL],Tab_03.Mar[CONTA],$I191)</f>
        <v>1281.78</v>
      </c>
      <c r="G191" s="4">
        <f t="shared" si="5"/>
        <v>0</v>
      </c>
      <c r="I191" s="3" t="s">
        <v>595</v>
      </c>
      <c r="J191" s="3" t="s">
        <v>420</v>
      </c>
      <c r="K191" s="173">
        <v>1281.78</v>
      </c>
      <c r="L191" s="1">
        <v>427.26</v>
      </c>
      <c r="M191" s="1">
        <v>0</v>
      </c>
      <c r="N191" s="4">
        <v>1709.04</v>
      </c>
      <c r="O191" s="4">
        <f>Tab_04.Abr[[#This Row],[DÉBITO]]-Tab_04.Abr[[#This Row],[CRÉDITO]]</f>
        <v>427.26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SUMIFS(Tab_03.Mar[SALDO
ATUAL],Tab_03.Mar[CONTA],$I192)</f>
        <v>1281.78</v>
      </c>
      <c r="G192" s="4">
        <f t="shared" si="5"/>
        <v>0</v>
      </c>
      <c r="I192" s="3" t="s">
        <v>419</v>
      </c>
      <c r="J192" s="3" t="s">
        <v>420</v>
      </c>
      <c r="K192" s="173">
        <v>1281.78</v>
      </c>
      <c r="L192" s="173">
        <v>427.26</v>
      </c>
      <c r="M192" s="173">
        <v>0</v>
      </c>
      <c r="N192" s="4">
        <v>1709.04</v>
      </c>
      <c r="O192" s="4">
        <f>Tab_04.Abr[[#This Row],[DÉBITO]]-Tab_04.Abr[[#This Row],[CRÉDITO]]</f>
        <v>427.26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S</v>
      </c>
      <c r="E193" s="2">
        <f>IF($I193="","",COUNTIFS(Tab_00.Trial[CONTA],$I193))</f>
        <v>1</v>
      </c>
      <c r="F193" s="4">
        <f>SUMIFS(Tab_03.Mar[SALDO
ATUAL],Tab_03.Mar[CONTA],$I193)</f>
        <v>2277617.88</v>
      </c>
      <c r="G193" s="4">
        <f t="shared" si="5"/>
        <v>0</v>
      </c>
      <c r="I193" s="3" t="s">
        <v>237</v>
      </c>
      <c r="J193" s="3" t="s">
        <v>702</v>
      </c>
      <c r="K193" s="173">
        <v>2277617.88</v>
      </c>
      <c r="L193" s="173">
        <v>659036.97</v>
      </c>
      <c r="M193" s="173">
        <v>0</v>
      </c>
      <c r="N193" s="4">
        <v>2936654.85</v>
      </c>
      <c r="O193" s="4">
        <f>Tab_04.Abr[[#This Row],[DÉBITO]]-Tab_04.Abr[[#This Row],[CRÉDITO]]</f>
        <v>659036.97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S</v>
      </c>
      <c r="E194" s="2">
        <f>IF($I194="","",COUNTIFS(Tab_00.Trial[CONTA],$I194))</f>
        <v>1</v>
      </c>
      <c r="F194" s="4">
        <f>SUMIFS(Tab_03.Mar[SALDO
ATUAL],Tab_03.Mar[CONTA],$I194)</f>
        <v>2277617.88</v>
      </c>
      <c r="G194" s="4">
        <f t="shared" si="5"/>
        <v>0</v>
      </c>
      <c r="I194" s="3" t="s">
        <v>238</v>
      </c>
      <c r="J194" s="3" t="s">
        <v>826</v>
      </c>
      <c r="K194" s="173">
        <v>2277617.88</v>
      </c>
      <c r="L194" s="173">
        <v>659036.97</v>
      </c>
      <c r="M194" s="173">
        <v>0</v>
      </c>
      <c r="N194" s="4">
        <v>2936654.85</v>
      </c>
      <c r="O194" s="4">
        <f>Tab_04.Abr[[#This Row],[DÉBITO]]-Tab_04.Abr[[#This Row],[CRÉDITO]]</f>
        <v>659036.97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SUMIFS(Tab_03.Mar[SALDO
ATUAL],Tab_03.Mar[CONTA],$I195)</f>
        <v>682368.86</v>
      </c>
      <c r="G195" s="4">
        <f t="shared" si="5"/>
        <v>0</v>
      </c>
      <c r="I195" s="3" t="s">
        <v>421</v>
      </c>
      <c r="J195" s="3" t="s">
        <v>422</v>
      </c>
      <c r="K195" s="173">
        <v>682368.86</v>
      </c>
      <c r="L195" s="173">
        <v>180215.42</v>
      </c>
      <c r="M195" s="173">
        <v>0</v>
      </c>
      <c r="N195" s="4">
        <v>862584.28</v>
      </c>
      <c r="O195" s="4">
        <f>Tab_04.Abr[[#This Row],[DÉBITO]]-Tab_04.Abr[[#This Row],[CRÉDITO]]</f>
        <v>180215.42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SUMIFS(Tab_03.Mar[SALDO
ATUAL],Tab_03.Mar[CONTA],$I196)</f>
        <v>382498.04</v>
      </c>
      <c r="G196" s="4">
        <f>$F196-$K196</f>
        <v>0</v>
      </c>
      <c r="I196" s="3" t="s">
        <v>738</v>
      </c>
      <c r="J196" s="3" t="s">
        <v>367</v>
      </c>
      <c r="K196" s="173">
        <v>382498.04</v>
      </c>
      <c r="L196" s="173">
        <v>132289.44</v>
      </c>
      <c r="M196" s="173">
        <v>0</v>
      </c>
      <c r="N196" s="4">
        <v>514787.48</v>
      </c>
      <c r="O196" s="4">
        <f>Tab_04.Abr[[#This Row],[DÉBITO]]-Tab_04.Abr[[#This Row],[CRÉDITO]]</f>
        <v>132289.44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SUMIFS(Tab_03.Mar[SALDO
ATUAL],Tab_03.Mar[CONTA],$I197)</f>
        <v>1212750.98</v>
      </c>
      <c r="G197" s="4">
        <f>$F197-$K197</f>
        <v>0</v>
      </c>
      <c r="I197" s="3" t="s">
        <v>423</v>
      </c>
      <c r="J197" s="3" t="s">
        <v>424</v>
      </c>
      <c r="K197" s="173">
        <v>1212750.98</v>
      </c>
      <c r="L197" s="1">
        <v>346532.11</v>
      </c>
      <c r="M197" s="1">
        <v>0</v>
      </c>
      <c r="N197" s="4">
        <v>1559283.09</v>
      </c>
      <c r="O197" s="4">
        <f>Tab_04.Abr[[#This Row],[DÉBITO]]-Tab_04.Abr[[#This Row],[CRÉDITO]]</f>
        <v>346532.11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1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SUMIFS(Tab_03.Mar[SALDO
ATUAL],Tab_03.Mar[CONTA],$I198)</f>
        <v>1027226.37</v>
      </c>
      <c r="G198" s="4">
        <f>$F198-$K198</f>
        <v>0</v>
      </c>
      <c r="I198" s="3">
        <v>5</v>
      </c>
      <c r="J198" s="3" t="s">
        <v>705</v>
      </c>
      <c r="K198" s="173">
        <v>1027226.37</v>
      </c>
      <c r="L198" s="173">
        <v>243126.5</v>
      </c>
      <c r="M198" s="1">
        <v>13155.51</v>
      </c>
      <c r="N198" s="4">
        <v>1257197.3600000001</v>
      </c>
      <c r="O198" s="4">
        <f>Tab_04.Abr[[#This Row],[DÉBITO]]-Tab_04.Abr[[#This Row],[CRÉDITO]]</f>
        <v>229970.99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2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SUMIFS(Tab_03.Mar[SALDO
ATUAL],Tab_03.Mar[CONTA],$I199)</f>
        <v>1027145.37</v>
      </c>
      <c r="G199" s="4">
        <f t="shared" ref="G199:G230" si="6">$F199-$K199</f>
        <v>0</v>
      </c>
      <c r="I199" s="3" t="s">
        <v>599</v>
      </c>
      <c r="J199" s="3" t="s">
        <v>827</v>
      </c>
      <c r="K199" s="173">
        <v>1027145.37</v>
      </c>
      <c r="L199" s="173">
        <v>243126.5</v>
      </c>
      <c r="M199" s="1">
        <v>13155.51</v>
      </c>
      <c r="N199" s="4">
        <v>1257116.3600000001</v>
      </c>
      <c r="O199" s="4">
        <f>Tab_04.Abr[[#This Row],[DÉBITO]]-Tab_04.Abr[[#This Row],[CRÉDITO]]</f>
        <v>229970.99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SUMIFS(Tab_03.Mar[SALDO
ATUAL],Tab_03.Mar[CONTA],$I200)</f>
        <v>560407.41</v>
      </c>
      <c r="G200" s="4">
        <f t="shared" si="6"/>
        <v>0</v>
      </c>
      <c r="I200" s="3" t="s">
        <v>600</v>
      </c>
      <c r="J200" s="3" t="s">
        <v>706</v>
      </c>
      <c r="K200" s="1">
        <v>560407.41</v>
      </c>
      <c r="L200" s="1">
        <v>64963.93</v>
      </c>
      <c r="M200" s="1">
        <v>13155.51</v>
      </c>
      <c r="N200" s="4">
        <v>612215.82999999996</v>
      </c>
      <c r="O200" s="4">
        <f>Tab_04.Abr[[#This Row],[DÉBITO]]-Tab_04.Abr[[#This Row],[CRÉDITO]]</f>
        <v>51808.42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S</v>
      </c>
      <c r="E201" s="2">
        <f>IF($I201="","",COUNTIFS(Tab_00.Trial[CONTA],$I201))</f>
        <v>1</v>
      </c>
      <c r="F201" s="4">
        <f>SUMIFS(Tab_03.Mar[SALDO
ATUAL],Tab_03.Mar[CONTA],$I201)</f>
        <v>314679</v>
      </c>
      <c r="G201" s="4">
        <f t="shared" si="6"/>
        <v>0</v>
      </c>
      <c r="I201" s="3" t="s">
        <v>601</v>
      </c>
      <c r="J201" s="3" t="s">
        <v>707</v>
      </c>
      <c r="K201" s="173">
        <v>314679</v>
      </c>
      <c r="L201" s="173">
        <v>51815.64</v>
      </c>
      <c r="M201" s="1">
        <v>11432.48</v>
      </c>
      <c r="N201" s="4">
        <v>355062.16</v>
      </c>
      <c r="O201" s="4">
        <f>Tab_04.Abr[[#This Row],[DÉBITO]]-Tab_04.Abr[[#This Row],[CRÉDITO]]</f>
        <v>40383.160000000003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SUMIFS(Tab_03.Mar[SALDO
ATUAL],Tab_03.Mar[CONTA],$I202)</f>
        <v>162656.29999999999</v>
      </c>
      <c r="G202" s="4">
        <f t="shared" si="6"/>
        <v>0</v>
      </c>
      <c r="I202" s="3" t="s">
        <v>441</v>
      </c>
      <c r="J202" s="3" t="s">
        <v>427</v>
      </c>
      <c r="K202" s="1">
        <v>162656.29999999999</v>
      </c>
      <c r="L202" s="1">
        <v>42704.29</v>
      </c>
      <c r="M202" s="1">
        <v>11432.48</v>
      </c>
      <c r="N202" s="4">
        <v>193928.11</v>
      </c>
      <c r="O202" s="4">
        <f>Tab_04.Abr[[#This Row],[DÉBITO]]-Tab_04.Abr[[#This Row],[CRÉDITO]]</f>
        <v>31271.81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SUMIFS(Tab_03.Mar[SALDO
ATUAL],Tab_03.Mar[CONTA],$I203)</f>
        <v>28400.5</v>
      </c>
      <c r="G203" s="4">
        <f t="shared" si="6"/>
        <v>0</v>
      </c>
      <c r="I203" s="3" t="s">
        <v>443</v>
      </c>
      <c r="J203" s="3" t="s">
        <v>431</v>
      </c>
      <c r="K203" s="173">
        <v>28400.5</v>
      </c>
      <c r="L203" s="173">
        <v>2959.89</v>
      </c>
      <c r="M203" s="1">
        <v>0</v>
      </c>
      <c r="N203" s="4">
        <v>31360.39</v>
      </c>
      <c r="O203" s="4">
        <f>Tab_04.Abr[[#This Row],[DÉBITO]]-Tab_04.Abr[[#This Row],[CRÉDITO]]</f>
        <v>2959.89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SUMIFS(Tab_03.Mar[SALDO
ATUAL],Tab_03.Mar[CONTA],$I204)</f>
        <v>21653.9</v>
      </c>
      <c r="G204" s="4">
        <f t="shared" si="6"/>
        <v>0</v>
      </c>
      <c r="I204" s="3" t="s">
        <v>444</v>
      </c>
      <c r="J204" s="3" t="s">
        <v>433</v>
      </c>
      <c r="K204" s="173">
        <v>21653.9</v>
      </c>
      <c r="L204" s="173">
        <v>3238.34</v>
      </c>
      <c r="M204" s="1">
        <v>0</v>
      </c>
      <c r="N204" s="4">
        <v>24892.240000000002</v>
      </c>
      <c r="O204" s="4">
        <f>Tab_04.Abr[[#This Row],[DÉBITO]]-Tab_04.Abr[[#This Row],[CRÉDITO]]</f>
        <v>3238.34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SUMIFS(Tab_03.Mar[SALDO
ATUAL],Tab_03.Mar[CONTA],$I205)</f>
        <v>85959.77</v>
      </c>
      <c r="G205" s="4">
        <f t="shared" si="6"/>
        <v>0</v>
      </c>
      <c r="I205" s="3" t="s">
        <v>777</v>
      </c>
      <c r="J205" s="3" t="s">
        <v>749</v>
      </c>
      <c r="K205" s="173">
        <v>85959.77</v>
      </c>
      <c r="L205" s="173">
        <v>0</v>
      </c>
      <c r="M205" s="1">
        <v>0</v>
      </c>
      <c r="N205" s="4">
        <v>85959.77</v>
      </c>
      <c r="O205" s="4">
        <f>Tab_04.Abr[[#This Row],[DÉBITO]]-Tab_04.Abr[[#This Row],[CRÉDITO]]</f>
        <v>0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SUMIFS(Tab_03.Mar[SALDO
ATUAL],Tab_03.Mar[CONTA],$I206)</f>
        <v>862.74</v>
      </c>
      <c r="G206" s="4">
        <f t="shared" si="6"/>
        <v>0</v>
      </c>
      <c r="I206" s="3" t="s">
        <v>808</v>
      </c>
      <c r="J206" s="3" t="s">
        <v>797</v>
      </c>
      <c r="K206" s="173">
        <v>862.74</v>
      </c>
      <c r="L206" s="1">
        <v>1157.1500000000001</v>
      </c>
      <c r="M206" s="1">
        <v>0</v>
      </c>
      <c r="N206" s="4">
        <v>2019.89</v>
      </c>
      <c r="O206" s="4">
        <f>Tab_04.Abr[[#This Row],[DÉBITO]]-Tab_04.Abr[[#This Row],[CRÉDITO]]</f>
        <v>1157.1500000000001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SUMIFS(Tab_03.Mar[SALDO
ATUAL],Tab_03.Mar[CONTA],$I207)</f>
        <v>9458.86</v>
      </c>
      <c r="G207" s="4">
        <f t="shared" si="6"/>
        <v>0</v>
      </c>
      <c r="I207" s="3" t="s">
        <v>809</v>
      </c>
      <c r="J207" s="3" t="s">
        <v>799</v>
      </c>
      <c r="K207" s="1">
        <v>9458.86</v>
      </c>
      <c r="L207" s="1">
        <v>567.08000000000004</v>
      </c>
      <c r="M207" s="1">
        <v>0</v>
      </c>
      <c r="N207" s="4">
        <v>10025.94</v>
      </c>
      <c r="O207" s="4">
        <f>Tab_04.Abr[[#This Row],[DÉBITO]]-Tab_04.Abr[[#This Row],[CRÉDITO]]</f>
        <v>567.08000000000004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SUMIFS(Tab_03.Mar[SALDO
ATUAL],Tab_03.Mar[CONTA],$I208)</f>
        <v>71.84</v>
      </c>
      <c r="G208" s="4">
        <f t="shared" si="6"/>
        <v>0</v>
      </c>
      <c r="I208" s="3" t="s">
        <v>810</v>
      </c>
      <c r="J208" s="3" t="s">
        <v>801</v>
      </c>
      <c r="K208" s="1">
        <v>71.84</v>
      </c>
      <c r="L208" s="1">
        <v>29.6</v>
      </c>
      <c r="M208" s="1">
        <v>0</v>
      </c>
      <c r="N208" s="4">
        <v>101.44</v>
      </c>
      <c r="O208" s="4">
        <f>Tab_04.Abr[[#This Row],[DÉBITO]]-Tab_04.Abr[[#This Row],[CRÉDITO]]</f>
        <v>29.6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SUMIFS(Tab_03.Mar[SALDO
ATUAL],Tab_03.Mar[CONTA],$I209)</f>
        <v>4203.51</v>
      </c>
      <c r="G209" s="4">
        <f t="shared" si="6"/>
        <v>0</v>
      </c>
      <c r="I209" s="3" t="s">
        <v>811</v>
      </c>
      <c r="J209" s="3" t="s">
        <v>803</v>
      </c>
      <c r="K209" s="173">
        <v>4203.51</v>
      </c>
      <c r="L209" s="173">
        <v>867.85</v>
      </c>
      <c r="M209" s="1">
        <v>0</v>
      </c>
      <c r="N209" s="4">
        <v>5071.3599999999997</v>
      </c>
      <c r="O209" s="4">
        <f>Tab_04.Abr[[#This Row],[DÉBITO]]-Tab_04.Abr[[#This Row],[CRÉDITO]]</f>
        <v>867.85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SUMIFS(Tab_03.Mar[SALDO
ATUAL],Tab_03.Mar[CONTA],$I210)</f>
        <v>1254.74</v>
      </c>
      <c r="G210" s="4">
        <f t="shared" si="6"/>
        <v>0</v>
      </c>
      <c r="I210" s="3" t="s">
        <v>812</v>
      </c>
      <c r="J210" s="3" t="s">
        <v>805</v>
      </c>
      <c r="K210" s="173">
        <v>1254.74</v>
      </c>
      <c r="L210" s="173">
        <v>259.06</v>
      </c>
      <c r="M210" s="1">
        <v>0</v>
      </c>
      <c r="N210" s="4">
        <v>1513.8</v>
      </c>
      <c r="O210" s="4">
        <f>Tab_04.Abr[[#This Row],[DÉBITO]]-Tab_04.Abr[[#This Row],[CRÉDITO]]</f>
        <v>259.06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SUMIFS(Tab_03.Mar[SALDO
ATUAL],Tab_03.Mar[CONTA],$I211)</f>
        <v>156.84</v>
      </c>
      <c r="G211" s="4">
        <f t="shared" si="6"/>
        <v>0</v>
      </c>
      <c r="I211" s="3" t="s">
        <v>813</v>
      </c>
      <c r="J211" s="3" t="s">
        <v>807</v>
      </c>
      <c r="K211" s="173">
        <v>156.84</v>
      </c>
      <c r="L211" s="173">
        <v>32.380000000000003</v>
      </c>
      <c r="M211" s="1">
        <v>0</v>
      </c>
      <c r="N211" s="4">
        <v>189.22</v>
      </c>
      <c r="O211" s="4">
        <f>Tab_04.Abr[[#This Row],[DÉBITO]]-Tab_04.Abr[[#This Row],[CRÉDITO]]</f>
        <v>32.380000000000003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S</v>
      </c>
      <c r="E212" s="2">
        <f>IF($I212="","",COUNTIFS(Tab_00.Trial[CONTA],$I212))</f>
        <v>1</v>
      </c>
      <c r="F212" s="4">
        <f>SUMIFS(Tab_03.Mar[SALDO
ATUAL],Tab_03.Mar[CONTA],$I212)</f>
        <v>1014</v>
      </c>
      <c r="G212" s="4">
        <f t="shared" si="6"/>
        <v>0</v>
      </c>
      <c r="I212" s="3" t="s">
        <v>602</v>
      </c>
      <c r="J212" s="3" t="s">
        <v>708</v>
      </c>
      <c r="K212" s="173">
        <v>1014</v>
      </c>
      <c r="L212" s="173">
        <v>1723.03</v>
      </c>
      <c r="M212" s="1">
        <v>1723.03</v>
      </c>
      <c r="N212" s="4">
        <v>1014</v>
      </c>
      <c r="O212" s="4">
        <f>Tab_04.Abr[[#This Row],[DÉBITO]]-Tab_04.Abr[[#This Row],[CRÉDITO]]</f>
        <v>0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SUMIFS(Tab_03.Mar[SALDO
ATUAL],Tab_03.Mar[CONTA],$I213)</f>
        <v>0</v>
      </c>
      <c r="G213" s="4">
        <f t="shared" si="6"/>
        <v>0</v>
      </c>
      <c r="I213" s="3" t="s">
        <v>774</v>
      </c>
      <c r="J213" s="3" t="s">
        <v>435</v>
      </c>
      <c r="K213" s="173">
        <v>0</v>
      </c>
      <c r="L213" s="1">
        <v>462.53</v>
      </c>
      <c r="M213" s="1">
        <v>462.53</v>
      </c>
      <c r="N213" s="4">
        <v>0</v>
      </c>
      <c r="O213" s="4">
        <f>Tab_04.Abr[[#This Row],[DÉBITO]]-Tab_04.Abr[[#This Row],[CRÉDITO]]</f>
        <v>0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SUMIFS(Tab_03.Mar[SALDO
ATUAL],Tab_03.Mar[CONTA],$I214)</f>
        <v>0</v>
      </c>
      <c r="G214" s="4">
        <f t="shared" si="6"/>
        <v>0</v>
      </c>
      <c r="I214" s="3" t="s">
        <v>775</v>
      </c>
      <c r="J214" s="3" t="s">
        <v>751</v>
      </c>
      <c r="K214" s="173">
        <v>0</v>
      </c>
      <c r="L214" s="173">
        <v>1260.5</v>
      </c>
      <c r="M214" s="1">
        <v>1260.5</v>
      </c>
      <c r="N214" s="4">
        <v>0</v>
      </c>
      <c r="O214" s="4">
        <f>Tab_04.Abr[[#This Row],[DÉBITO]]-Tab_04.Abr[[#This Row],[CRÉDITO]]</f>
        <v>0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SUMIFS(Tab_03.Mar[SALDO
ATUAL],Tab_03.Mar[CONTA],$I215)</f>
        <v>1014</v>
      </c>
      <c r="G215" s="4">
        <f t="shared" si="6"/>
        <v>0</v>
      </c>
      <c r="I215" s="3" t="s">
        <v>455</v>
      </c>
      <c r="J215" s="3" t="s">
        <v>456</v>
      </c>
      <c r="K215" s="173">
        <v>1014</v>
      </c>
      <c r="L215" s="173">
        <v>0</v>
      </c>
      <c r="M215" s="1">
        <v>0</v>
      </c>
      <c r="N215" s="4">
        <v>1014</v>
      </c>
      <c r="O215" s="4">
        <f>Tab_04.Abr[[#This Row],[DÉBITO]]-Tab_04.Abr[[#This Row],[CRÉDITO]]</f>
        <v>0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S</v>
      </c>
      <c r="E216" s="2">
        <f>IF($I216="","",COUNTIFS(Tab_00.Trial[CONTA],$I216))</f>
        <v>1</v>
      </c>
      <c r="F216" s="4">
        <f>SUMIFS(Tab_03.Mar[SALDO
ATUAL],Tab_03.Mar[CONTA],$I216)</f>
        <v>244054.41</v>
      </c>
      <c r="G216" s="4">
        <f t="shared" si="6"/>
        <v>0</v>
      </c>
      <c r="I216" s="3" t="s">
        <v>603</v>
      </c>
      <c r="J216" s="3" t="s">
        <v>709</v>
      </c>
      <c r="K216" s="1">
        <v>244054.41</v>
      </c>
      <c r="L216" s="1">
        <v>11195.26</v>
      </c>
      <c r="M216" s="1">
        <v>0</v>
      </c>
      <c r="N216" s="4">
        <v>255249.67</v>
      </c>
      <c r="O216" s="4">
        <f>Tab_04.Abr[[#This Row],[DÉBITO]]-Tab_04.Abr[[#This Row],[CRÉDITO]]</f>
        <v>11195.26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SUMIFS(Tab_03.Mar[SALDO
ATUAL],Tab_03.Mar[CONTA],$I217)</f>
        <v>43252.27</v>
      </c>
      <c r="G217" s="4">
        <f t="shared" si="6"/>
        <v>0</v>
      </c>
      <c r="I217" s="3" t="s">
        <v>451</v>
      </c>
      <c r="J217" s="3" t="s">
        <v>437</v>
      </c>
      <c r="K217" s="173">
        <v>43252.27</v>
      </c>
      <c r="L217" s="173">
        <v>8380.82</v>
      </c>
      <c r="M217" s="1">
        <v>0</v>
      </c>
      <c r="N217" s="4">
        <v>51633.09</v>
      </c>
      <c r="O217" s="4">
        <f>Tab_04.Abr[[#This Row],[DÉBITO]]-Tab_04.Abr[[#This Row],[CRÉDITO]]</f>
        <v>8380.82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SUMIFS(Tab_03.Mar[SALDO
ATUAL],Tab_03.Mar[CONTA],$I218)</f>
        <v>199188.25</v>
      </c>
      <c r="G218" s="4">
        <f t="shared" si="6"/>
        <v>0</v>
      </c>
      <c r="I218" s="3" t="s">
        <v>452</v>
      </c>
      <c r="J218" s="3" t="s">
        <v>196</v>
      </c>
      <c r="K218" s="173">
        <v>199188.25</v>
      </c>
      <c r="L218" s="173">
        <v>2501.7199999999998</v>
      </c>
      <c r="M218" s="1">
        <v>0</v>
      </c>
      <c r="N218" s="4">
        <v>201689.97</v>
      </c>
      <c r="O218" s="4">
        <f>Tab_04.Abr[[#This Row],[DÉBITO]]-Tab_04.Abr[[#This Row],[CRÉDITO]]</f>
        <v>2501.7199999999998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SUMIFS(Tab_03.Mar[SALDO
ATUAL],Tab_03.Mar[CONTA],$I219)</f>
        <v>1613.89</v>
      </c>
      <c r="G219" s="4">
        <f t="shared" si="6"/>
        <v>0</v>
      </c>
      <c r="I219" s="3" t="s">
        <v>453</v>
      </c>
      <c r="J219" s="3" t="s">
        <v>454</v>
      </c>
      <c r="K219" s="173">
        <v>1613.89</v>
      </c>
      <c r="L219" s="1">
        <v>312.72000000000003</v>
      </c>
      <c r="M219" s="1">
        <v>0</v>
      </c>
      <c r="N219" s="4">
        <v>1926.61</v>
      </c>
      <c r="O219" s="4">
        <f>Tab_04.Abr[[#This Row],[DÉBITO]]-Tab_04.Abr[[#This Row],[CRÉDITO]]</f>
        <v>312.72000000000003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S</v>
      </c>
      <c r="E220" s="2">
        <f>IF($I220="","",COUNTIFS(Tab_00.Trial[CONTA],$I220))</f>
        <v>1</v>
      </c>
      <c r="F220" s="4">
        <f>SUMIFS(Tab_03.Mar[SALDO
ATUAL],Tab_03.Mar[CONTA],$I220)</f>
        <v>660</v>
      </c>
      <c r="G220" s="4">
        <f t="shared" si="6"/>
        <v>0</v>
      </c>
      <c r="I220" s="3" t="s">
        <v>604</v>
      </c>
      <c r="J220" s="3" t="s">
        <v>710</v>
      </c>
      <c r="K220" s="173">
        <v>660</v>
      </c>
      <c r="L220" s="1">
        <v>230</v>
      </c>
      <c r="M220" s="1">
        <v>0</v>
      </c>
      <c r="N220" s="4">
        <v>890</v>
      </c>
      <c r="O220" s="4">
        <f>Tab_04.Abr[[#This Row],[DÉBITO]]-Tab_04.Abr[[#This Row],[CRÉDITO]]</f>
        <v>230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SUMIFS(Tab_03.Mar[SALDO
ATUAL],Tab_03.Mar[CONTA],$I221)</f>
        <v>660</v>
      </c>
      <c r="G221" s="4">
        <f t="shared" si="6"/>
        <v>0</v>
      </c>
      <c r="I221" s="3" t="s">
        <v>457</v>
      </c>
      <c r="J221" s="3" t="s">
        <v>458</v>
      </c>
      <c r="K221" s="173">
        <v>660</v>
      </c>
      <c r="L221" s="1">
        <v>230</v>
      </c>
      <c r="M221" s="1">
        <v>0</v>
      </c>
      <c r="N221" s="4">
        <v>890</v>
      </c>
      <c r="O221" s="4">
        <f>Tab_04.Abr[[#This Row],[DÉBITO]]-Tab_04.Abr[[#This Row],[CRÉDITO]]</f>
        <v>230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S</v>
      </c>
      <c r="E222" s="2">
        <f>IF($I222="","",COUNTIFS(Tab_00.Trial[CONTA],$I222))</f>
        <v>1</v>
      </c>
      <c r="F222" s="4">
        <f>SUMIFS(Tab_03.Mar[SALDO
ATUAL],Tab_03.Mar[CONTA],$I222)</f>
        <v>378070.5</v>
      </c>
      <c r="G222" s="4">
        <f t="shared" si="6"/>
        <v>0</v>
      </c>
      <c r="I222" s="3" t="s">
        <v>605</v>
      </c>
      <c r="J222" s="3" t="s">
        <v>711</v>
      </c>
      <c r="K222" s="173">
        <v>378070.5</v>
      </c>
      <c r="L222" s="173">
        <v>133340.35999999999</v>
      </c>
      <c r="M222" s="1">
        <v>0</v>
      </c>
      <c r="N222" s="4">
        <v>511410.86</v>
      </c>
      <c r="O222" s="4">
        <f>Tab_04.Abr[[#This Row],[DÉBITO]]-Tab_04.Abr[[#This Row],[CRÉDITO]]</f>
        <v>133340.35999999999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S</v>
      </c>
      <c r="E223" s="2">
        <f>IF($I223="","",COUNTIFS(Tab_00.Trial[CONTA],$I223))</f>
        <v>1</v>
      </c>
      <c r="F223" s="4">
        <f>SUMIFS(Tab_03.Mar[SALDO
ATUAL],Tab_03.Mar[CONTA],$I223)</f>
        <v>129172.26</v>
      </c>
      <c r="G223" s="4">
        <f t="shared" si="6"/>
        <v>0</v>
      </c>
      <c r="I223" s="3" t="s">
        <v>606</v>
      </c>
      <c r="J223" s="3" t="s">
        <v>712</v>
      </c>
      <c r="K223" s="173">
        <v>129172.26</v>
      </c>
      <c r="L223" s="173">
        <v>50374.28</v>
      </c>
      <c r="M223" s="1">
        <v>0</v>
      </c>
      <c r="N223" s="4">
        <v>179546.54</v>
      </c>
      <c r="O223" s="4">
        <f>Tab_04.Abr[[#This Row],[DÉBITO]]-Tab_04.Abr[[#This Row],[CRÉDITO]]</f>
        <v>50374.28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SUMIFS(Tab_03.Mar[SALDO
ATUAL],Tab_03.Mar[CONTA],$I224)</f>
        <v>22903.86</v>
      </c>
      <c r="G224" s="4">
        <f t="shared" si="6"/>
        <v>0</v>
      </c>
      <c r="I224" s="3" t="s">
        <v>459</v>
      </c>
      <c r="J224" s="3" t="s">
        <v>460</v>
      </c>
      <c r="K224" s="173">
        <v>22903.86</v>
      </c>
      <c r="L224" s="173">
        <v>7678.72</v>
      </c>
      <c r="M224" s="1">
        <v>0</v>
      </c>
      <c r="N224" s="4">
        <v>30582.58</v>
      </c>
      <c r="O224" s="4">
        <f>Tab_04.Abr[[#This Row],[DÉBITO]]-Tab_04.Abr[[#This Row],[CRÉDITO]]</f>
        <v>7678.72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SUMIFS(Tab_03.Mar[SALDO
ATUAL],Tab_03.Mar[CONTA],$I225)</f>
        <v>44914.68</v>
      </c>
      <c r="G225" s="4">
        <f t="shared" si="6"/>
        <v>0</v>
      </c>
      <c r="I225" s="3" t="s">
        <v>461</v>
      </c>
      <c r="J225" s="3" t="s">
        <v>462</v>
      </c>
      <c r="K225" s="173">
        <v>44914.68</v>
      </c>
      <c r="L225" s="173">
        <v>13657.65</v>
      </c>
      <c r="M225" s="1">
        <v>0</v>
      </c>
      <c r="N225" s="4">
        <v>58572.33</v>
      </c>
      <c r="O225" s="4">
        <f>Tab_04.Abr[[#This Row],[DÉBITO]]-Tab_04.Abr[[#This Row],[CRÉDITO]]</f>
        <v>13657.65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SUMIFS(Tab_03.Mar[SALDO
ATUAL],Tab_03.Mar[CONTA],$I226)</f>
        <v>0</v>
      </c>
      <c r="G226" s="4">
        <f t="shared" si="6"/>
        <v>0</v>
      </c>
      <c r="I226" s="3" t="s">
        <v>463</v>
      </c>
      <c r="J226" s="3" t="s">
        <v>464</v>
      </c>
      <c r="K226" s="173">
        <v>0</v>
      </c>
      <c r="L226" s="1">
        <v>7166.67</v>
      </c>
      <c r="M226" s="1">
        <v>0</v>
      </c>
      <c r="N226" s="4">
        <v>7166.67</v>
      </c>
      <c r="O226" s="4">
        <f>Tab_04.Abr[[#This Row],[DÉBITO]]-Tab_04.Abr[[#This Row],[CRÉDITO]]</f>
        <v>7166.67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SUMIFS(Tab_03.Mar[SALDO
ATUAL],Tab_03.Mar[CONTA],$I227)</f>
        <v>13393.35</v>
      </c>
      <c r="G227" s="4">
        <f t="shared" si="6"/>
        <v>0</v>
      </c>
      <c r="I227" s="3" t="s">
        <v>465</v>
      </c>
      <c r="J227" s="3" t="s">
        <v>466</v>
      </c>
      <c r="K227" s="173">
        <v>13393.35</v>
      </c>
      <c r="L227" s="1">
        <v>5884.45</v>
      </c>
      <c r="M227" s="1">
        <v>0</v>
      </c>
      <c r="N227" s="4">
        <v>19277.8</v>
      </c>
      <c r="O227" s="4">
        <f>Tab_04.Abr[[#This Row],[DÉBITO]]-Tab_04.Abr[[#This Row],[CRÉDITO]]</f>
        <v>5884.45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SUMIFS(Tab_03.Mar[SALDO
ATUAL],Tab_03.Mar[CONTA],$I228)</f>
        <v>13500</v>
      </c>
      <c r="G228" s="4">
        <f t="shared" si="6"/>
        <v>0</v>
      </c>
      <c r="I228" s="3" t="s">
        <v>473</v>
      </c>
      <c r="J228" s="3" t="s">
        <v>474</v>
      </c>
      <c r="K228" s="1">
        <v>13500</v>
      </c>
      <c r="L228" s="173">
        <v>4500</v>
      </c>
      <c r="M228" s="1">
        <v>0</v>
      </c>
      <c r="N228" s="4">
        <v>18000</v>
      </c>
      <c r="O228" s="4">
        <f>Tab_04.Abr[[#This Row],[DÉBITO]]-Tab_04.Abr[[#This Row],[CRÉDITO]]</f>
        <v>4500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SUMIFS(Tab_03.Mar[SALDO
ATUAL],Tab_03.Mar[CONTA],$I229)</f>
        <v>670.68</v>
      </c>
      <c r="G229" s="4">
        <f t="shared" si="6"/>
        <v>0</v>
      </c>
      <c r="I229" s="3" t="s">
        <v>467</v>
      </c>
      <c r="J229" s="3" t="s">
        <v>468</v>
      </c>
      <c r="K229" s="1">
        <v>670.68</v>
      </c>
      <c r="L229" s="1">
        <v>223.56</v>
      </c>
      <c r="M229" s="1">
        <v>0</v>
      </c>
      <c r="N229" s="4">
        <v>894.24</v>
      </c>
      <c r="O229" s="4">
        <f>Tab_04.Abr[[#This Row],[DÉBITO]]-Tab_04.Abr[[#This Row],[CRÉDITO]]</f>
        <v>223.56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SUMIFS(Tab_03.Mar[SALDO
ATUAL],Tab_03.Mar[CONTA],$I230)</f>
        <v>19799.46</v>
      </c>
      <c r="G230" s="4">
        <f t="shared" si="6"/>
        <v>0</v>
      </c>
      <c r="I230" s="3" t="s">
        <v>469</v>
      </c>
      <c r="J230" s="3" t="s">
        <v>470</v>
      </c>
      <c r="K230" s="1">
        <v>19799.46</v>
      </c>
      <c r="L230" s="1">
        <v>6599.82</v>
      </c>
      <c r="M230" s="1">
        <v>0</v>
      </c>
      <c r="N230" s="4">
        <v>26399.279999999999</v>
      </c>
      <c r="O230" s="4">
        <f>Tab_04.Abr[[#This Row],[DÉBITO]]-Tab_04.Abr[[#This Row],[CRÉDITO]]</f>
        <v>6599.82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SUMIFS(Tab_03.Mar[SALDO
ATUAL],Tab_03.Mar[CONTA],$I231)</f>
        <v>13990.23</v>
      </c>
      <c r="G231" s="4">
        <f t="shared" ref="G231:G233" si="7">$F231-$K231</f>
        <v>0</v>
      </c>
      <c r="I231" s="3" t="s">
        <v>471</v>
      </c>
      <c r="J231" s="3" t="s">
        <v>472</v>
      </c>
      <c r="K231" s="173">
        <v>13990.23</v>
      </c>
      <c r="L231" s="173">
        <v>4663.41</v>
      </c>
      <c r="M231" s="1">
        <v>0</v>
      </c>
      <c r="N231" s="4">
        <v>18653.64</v>
      </c>
      <c r="O231" s="4">
        <f>Tab_04.Abr[[#This Row],[DÉBITO]]-Tab_04.Abr[[#This Row],[CRÉDITO]]</f>
        <v>4663.41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S</v>
      </c>
      <c r="E232" s="2">
        <f>IF($I232="","",COUNTIFS(Tab_00.Trial[CONTA],$I232))</f>
        <v>1</v>
      </c>
      <c r="F232" s="4">
        <f>SUMIFS(Tab_03.Mar[SALDO
ATUAL],Tab_03.Mar[CONTA],$I232)</f>
        <v>248898.24</v>
      </c>
      <c r="G232" s="4">
        <f t="shared" si="7"/>
        <v>0</v>
      </c>
      <c r="I232" s="3" t="s">
        <v>608</v>
      </c>
      <c r="J232" s="3" t="s">
        <v>713</v>
      </c>
      <c r="K232" s="173">
        <v>248898.24</v>
      </c>
      <c r="L232" s="173">
        <v>82966.080000000002</v>
      </c>
      <c r="M232" s="1">
        <v>0</v>
      </c>
      <c r="N232" s="4">
        <v>331864.32000000001</v>
      </c>
      <c r="O232" s="4">
        <f>Tab_04.Abr[[#This Row],[DÉBITO]]-Tab_04.Abr[[#This Row],[CRÉDITO]]</f>
        <v>82966.080000000002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SUMIFS(Tab_03.Mar[SALDO
ATUAL],Tab_03.Mar[CONTA],$I233)</f>
        <v>53940.24</v>
      </c>
      <c r="G233" s="4">
        <f t="shared" si="7"/>
        <v>0</v>
      </c>
      <c r="I233" s="3" t="s">
        <v>741</v>
      </c>
      <c r="J233" s="3" t="s">
        <v>742</v>
      </c>
      <c r="K233" s="173">
        <v>53940.24</v>
      </c>
      <c r="L233" s="1">
        <v>17980.080000000002</v>
      </c>
      <c r="M233" s="1">
        <v>0</v>
      </c>
      <c r="N233" s="4">
        <v>71920.320000000007</v>
      </c>
      <c r="O233" s="4">
        <f>Tab_04.Abr[[#This Row],[DÉBITO]]-Tab_04.Abr[[#This Row],[CRÉDITO]]</f>
        <v>17980.080000000002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SUMIFS(Tab_03.Mar[SALDO
ATUAL],Tab_03.Mar[CONTA],$I234)</f>
        <v>22500</v>
      </c>
      <c r="G234" s="4">
        <f t="shared" ref="G234:G242" si="8">$F234-$K234</f>
        <v>0</v>
      </c>
      <c r="I234" s="3" t="s">
        <v>839</v>
      </c>
      <c r="J234" s="3" t="s">
        <v>840</v>
      </c>
      <c r="K234" s="4">
        <v>22500</v>
      </c>
      <c r="L234" s="4">
        <v>7500</v>
      </c>
      <c r="M234" s="4">
        <v>0</v>
      </c>
      <c r="N234" s="4">
        <v>30000</v>
      </c>
      <c r="O234" s="4">
        <f>Tab_04.Abr[[#This Row],[DÉBITO]]-Tab_04.Abr[[#This Row],[CRÉDITO]]</f>
        <v>7500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SUMIFS(Tab_03.Mar[SALDO
ATUAL],Tab_03.Mar[CONTA],$I235)</f>
        <v>172458</v>
      </c>
      <c r="G235" s="4">
        <f t="shared" si="8"/>
        <v>0</v>
      </c>
      <c r="I235" s="3" t="s">
        <v>480</v>
      </c>
      <c r="J235" s="3" t="s">
        <v>481</v>
      </c>
      <c r="K235" s="4">
        <v>172458</v>
      </c>
      <c r="L235" s="4">
        <v>57486</v>
      </c>
      <c r="M235" s="4">
        <v>0</v>
      </c>
      <c r="N235" s="4">
        <v>229944</v>
      </c>
      <c r="O235" s="4">
        <f>Tab_04.Abr[[#This Row],[DÉBITO]]-Tab_04.Abr[[#This Row],[CRÉDITO]]</f>
        <v>57486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S</v>
      </c>
      <c r="E236" s="2">
        <f>IF($I236="","",COUNTIFS(Tab_00.Trial[CONTA],$I236))</f>
        <v>1</v>
      </c>
      <c r="F236" s="4">
        <f>SUMIFS(Tab_03.Mar[SALDO
ATUAL],Tab_03.Mar[CONTA],$I236)</f>
        <v>4891.75</v>
      </c>
      <c r="G236" s="4">
        <f t="shared" si="8"/>
        <v>0</v>
      </c>
      <c r="I236" s="3" t="s">
        <v>609</v>
      </c>
      <c r="J236" s="3" t="s">
        <v>714</v>
      </c>
      <c r="K236" s="4">
        <v>4891.75</v>
      </c>
      <c r="L236" s="4">
        <v>6518.03</v>
      </c>
      <c r="M236" s="4">
        <v>0</v>
      </c>
      <c r="N236" s="4">
        <v>11409.78</v>
      </c>
      <c r="O236" s="4">
        <f>Tab_04.Abr[[#This Row],[DÉBITO]]-Tab_04.Abr[[#This Row],[CRÉDITO]]</f>
        <v>6518.03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SUMIFS(Tab_03.Mar[SALDO
ATUAL],Tab_03.Mar[CONTA],$I237)</f>
        <v>4891.75</v>
      </c>
      <c r="G237" s="4">
        <f t="shared" si="8"/>
        <v>0</v>
      </c>
      <c r="I237" s="3" t="s">
        <v>610</v>
      </c>
      <c r="J237" s="3" t="s">
        <v>714</v>
      </c>
      <c r="K237" s="4">
        <v>4891.75</v>
      </c>
      <c r="L237" s="4">
        <v>6518.03</v>
      </c>
      <c r="M237" s="4">
        <v>0</v>
      </c>
      <c r="N237" s="4">
        <v>11409.78</v>
      </c>
      <c r="O237" s="4">
        <f>Tab_04.Abr[[#This Row],[DÉBITO]]-Tab_04.Abr[[#This Row],[CRÉDITO]]</f>
        <v>6518.03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SUMIFS(Tab_03.Mar[SALDO
ATUAL],Tab_03.Mar[CONTA],$I238)</f>
        <v>2236.27</v>
      </c>
      <c r="G238" s="4">
        <f t="shared" si="8"/>
        <v>0</v>
      </c>
      <c r="I238" s="3" t="s">
        <v>482</v>
      </c>
      <c r="J238" s="3" t="s">
        <v>483</v>
      </c>
      <c r="K238" s="4">
        <v>2236.27</v>
      </c>
      <c r="L238" s="4">
        <v>738.03</v>
      </c>
      <c r="M238" s="4">
        <v>0</v>
      </c>
      <c r="N238" s="4">
        <v>2974.3</v>
      </c>
      <c r="O238" s="4">
        <f>Tab_04.Abr[[#This Row],[DÉBITO]]-Tab_04.Abr[[#This Row],[CRÉDITO]]</f>
        <v>738.03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SUMIFS(Tab_03.Mar[SALDO
ATUAL],Tab_03.Mar[CONTA],$I239)</f>
        <v>0</v>
      </c>
      <c r="G239" s="4">
        <f t="shared" si="8"/>
        <v>0</v>
      </c>
      <c r="I239" s="3" t="s">
        <v>752</v>
      </c>
      <c r="J239" s="3" t="s">
        <v>753</v>
      </c>
      <c r="K239" s="4">
        <v>0</v>
      </c>
      <c r="L239" s="4">
        <v>5000</v>
      </c>
      <c r="M239" s="4">
        <v>0</v>
      </c>
      <c r="N239" s="4">
        <v>5000</v>
      </c>
      <c r="O239" s="4">
        <f>Tab_04.Abr[[#This Row],[DÉBITO]]-Tab_04.Abr[[#This Row],[CRÉDITO]]</f>
        <v>5000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SUMIFS(Tab_03.Mar[SALDO
ATUAL],Tab_03.Mar[CONTA],$I240)</f>
        <v>2655.48</v>
      </c>
      <c r="G240" s="4">
        <f t="shared" si="8"/>
        <v>0</v>
      </c>
      <c r="I240" s="3" t="s">
        <v>484</v>
      </c>
      <c r="J240" s="3" t="s">
        <v>485</v>
      </c>
      <c r="K240" s="4">
        <v>2655.48</v>
      </c>
      <c r="L240" s="4">
        <v>780</v>
      </c>
      <c r="M240" s="4">
        <v>0</v>
      </c>
      <c r="N240" s="4">
        <v>3435.48</v>
      </c>
      <c r="O240" s="4">
        <f>Tab_04.Abr[[#This Row],[DÉBITO]]-Tab_04.Abr[[#This Row],[CRÉDITO]]</f>
        <v>780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SUMIFS(Tab_03.Mar[SALDO
ATUAL],Tab_03.Mar[CONTA],$I241)</f>
        <v>25641.82</v>
      </c>
      <c r="G241" s="4">
        <f t="shared" si="8"/>
        <v>0</v>
      </c>
      <c r="I241" s="3" t="s">
        <v>612</v>
      </c>
      <c r="J241" s="3" t="s">
        <v>716</v>
      </c>
      <c r="K241" s="4">
        <v>25641.82</v>
      </c>
      <c r="L241" s="4">
        <v>14288.74</v>
      </c>
      <c r="M241" s="4">
        <v>0</v>
      </c>
      <c r="N241" s="4">
        <v>39930.559999999998</v>
      </c>
      <c r="O241" s="4">
        <f>Tab_04.Abr[[#This Row],[DÉBITO]]-Tab_04.Abr[[#This Row],[CRÉDITO]]</f>
        <v>14288.74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S</v>
      </c>
      <c r="E242" s="2">
        <f>IF($I242="","",COUNTIFS(Tab_00.Trial[CONTA],$I242))</f>
        <v>1</v>
      </c>
      <c r="F242" s="4">
        <f>SUMIFS(Tab_03.Mar[SALDO
ATUAL],Tab_03.Mar[CONTA],$I242)</f>
        <v>19862.189999999999</v>
      </c>
      <c r="G242" s="4">
        <f t="shared" si="8"/>
        <v>0</v>
      </c>
      <c r="I242" s="3" t="s">
        <v>613</v>
      </c>
      <c r="J242" s="3" t="s">
        <v>717</v>
      </c>
      <c r="K242" s="4">
        <v>19862.189999999999</v>
      </c>
      <c r="L242" s="4">
        <v>6494.45</v>
      </c>
      <c r="M242" s="4">
        <v>0</v>
      </c>
      <c r="N242" s="4">
        <v>26356.639999999999</v>
      </c>
      <c r="O242" s="4">
        <f>Tab_04.Abr[[#This Row],[DÉBITO]]-Tab_04.Abr[[#This Row],[CRÉDITO]]</f>
        <v>6494.45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SUMIFS(Tab_03.Mar[SALDO
ATUAL],Tab_03.Mar[CONTA],$I243)</f>
        <v>10495.8</v>
      </c>
      <c r="G243" s="4">
        <f t="shared" ref="G243:G270" si="9">$F243-$K243</f>
        <v>0</v>
      </c>
      <c r="I243" s="3" t="s">
        <v>491</v>
      </c>
      <c r="J243" s="3" t="s">
        <v>492</v>
      </c>
      <c r="K243" s="4">
        <v>10495.8</v>
      </c>
      <c r="L243" s="4">
        <v>2664.43</v>
      </c>
      <c r="M243" s="4">
        <v>0</v>
      </c>
      <c r="N243" s="4">
        <v>13160.23</v>
      </c>
      <c r="O243" s="4">
        <f>Tab_04.Abr[[#This Row],[DÉBITO]]-Tab_04.Abr[[#This Row],[CRÉDITO]]</f>
        <v>2664.43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SUMIFS(Tab_03.Mar[SALDO
ATUAL],Tab_03.Mar[CONTA],$I244)</f>
        <v>5149.7</v>
      </c>
      <c r="G244" s="4">
        <f t="shared" si="9"/>
        <v>0</v>
      </c>
      <c r="I244" s="3" t="s">
        <v>493</v>
      </c>
      <c r="J244" s="3" t="s">
        <v>494</v>
      </c>
      <c r="K244" s="4">
        <v>5149.7</v>
      </c>
      <c r="L244" s="4">
        <v>2390.13</v>
      </c>
      <c r="M244" s="4">
        <v>0</v>
      </c>
      <c r="N244" s="4">
        <v>7539.83</v>
      </c>
      <c r="O244" s="4">
        <f>Tab_04.Abr[[#This Row],[DÉBITO]]-Tab_04.Abr[[#This Row],[CRÉDITO]]</f>
        <v>2390.13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SUMIFS(Tab_03.Mar[SALDO
ATUAL],Tab_03.Mar[CONTA],$I245)</f>
        <v>4216.6899999999996</v>
      </c>
      <c r="G245" s="4">
        <f t="shared" si="9"/>
        <v>0</v>
      </c>
      <c r="I245" s="3" t="s">
        <v>495</v>
      </c>
      <c r="J245" s="3" t="s">
        <v>496</v>
      </c>
      <c r="K245" s="4">
        <v>4216.6899999999996</v>
      </c>
      <c r="L245" s="4">
        <v>1439.89</v>
      </c>
      <c r="M245" s="4">
        <v>0</v>
      </c>
      <c r="N245" s="4">
        <v>5656.58</v>
      </c>
      <c r="O245" s="4">
        <f>Tab_04.Abr[[#This Row],[DÉBITO]]-Tab_04.Abr[[#This Row],[CRÉDITO]]</f>
        <v>1439.89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S</v>
      </c>
      <c r="E246" s="2">
        <f>IF($I246="","",COUNTIFS(Tab_00.Trial[CONTA],$I246))</f>
        <v>1</v>
      </c>
      <c r="F246" s="4">
        <f>SUMIFS(Tab_03.Mar[SALDO
ATUAL],Tab_03.Mar[CONTA],$I246)</f>
        <v>5779.63</v>
      </c>
      <c r="G246" s="4">
        <f t="shared" si="9"/>
        <v>0</v>
      </c>
      <c r="I246" s="3" t="s">
        <v>614</v>
      </c>
      <c r="J246" s="3" t="s">
        <v>718</v>
      </c>
      <c r="K246" s="4">
        <v>5779.63</v>
      </c>
      <c r="L246" s="4">
        <v>7794.29</v>
      </c>
      <c r="M246" s="4">
        <v>0</v>
      </c>
      <c r="N246" s="4">
        <v>13573.92</v>
      </c>
      <c r="O246" s="4">
        <f>Tab_04.Abr[[#This Row],[DÉBITO]]-Tab_04.Abr[[#This Row],[CRÉDITO]]</f>
        <v>7794.29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SUMIFS(Tab_03.Mar[SALDO
ATUAL],Tab_03.Mar[CONTA],$I247)</f>
        <v>0</v>
      </c>
      <c r="G247" s="4">
        <f t="shared" si="9"/>
        <v>0</v>
      </c>
      <c r="I247" s="3" t="s">
        <v>497</v>
      </c>
      <c r="J247" s="3" t="s">
        <v>498</v>
      </c>
      <c r="K247" s="4">
        <v>0</v>
      </c>
      <c r="L247" s="4">
        <v>95</v>
      </c>
      <c r="M247" s="4">
        <v>0</v>
      </c>
      <c r="N247" s="4">
        <v>95</v>
      </c>
      <c r="O247" s="4">
        <f>Tab_04.Abr[[#This Row],[DÉBITO]]-Tab_04.Abr[[#This Row],[CRÉDITO]]</f>
        <v>95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SUMIFS(Tab_03.Mar[SALDO
ATUAL],Tab_03.Mar[CONTA],$I248)</f>
        <v>1361.94</v>
      </c>
      <c r="G248" s="4">
        <f t="shared" si="9"/>
        <v>0</v>
      </c>
      <c r="I248" s="3" t="s">
        <v>499</v>
      </c>
      <c r="J248" s="3" t="s">
        <v>500</v>
      </c>
      <c r="K248" s="4">
        <v>1361.94</v>
      </c>
      <c r="L248" s="4">
        <v>2247.4</v>
      </c>
      <c r="M248" s="4">
        <v>0</v>
      </c>
      <c r="N248" s="4">
        <v>3609.34</v>
      </c>
      <c r="O248" s="4">
        <f>Tab_04.Abr[[#This Row],[DÉBITO]]-Tab_04.Abr[[#This Row],[CRÉDITO]]</f>
        <v>2247.4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SUMIFS(Tab_03.Mar[SALDO
ATUAL],Tab_03.Mar[CONTA],$I249)</f>
        <v>2551.17</v>
      </c>
      <c r="G249" s="4">
        <f t="shared" si="9"/>
        <v>0</v>
      </c>
      <c r="I249" s="3" t="s">
        <v>501</v>
      </c>
      <c r="J249" s="3" t="s">
        <v>502</v>
      </c>
      <c r="K249" s="4">
        <v>2551.17</v>
      </c>
      <c r="L249" s="4">
        <v>4810.78</v>
      </c>
      <c r="M249" s="4">
        <v>0</v>
      </c>
      <c r="N249" s="4">
        <v>7361.95</v>
      </c>
      <c r="O249" s="4">
        <f>Tab_04.Abr[[#This Row],[DÉBITO]]-Tab_04.Abr[[#This Row],[CRÉDITO]]</f>
        <v>4810.78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SUMIFS(Tab_03.Mar[SALDO
ATUAL],Tab_03.Mar[CONTA],$I250)</f>
        <v>1866.52</v>
      </c>
      <c r="G250" s="4">
        <f t="shared" si="9"/>
        <v>0</v>
      </c>
      <c r="I250" s="3" t="s">
        <v>503</v>
      </c>
      <c r="J250" s="3" t="s">
        <v>504</v>
      </c>
      <c r="K250" s="4">
        <v>1866.52</v>
      </c>
      <c r="L250" s="4">
        <v>641.11</v>
      </c>
      <c r="M250" s="4">
        <v>0</v>
      </c>
      <c r="N250" s="4">
        <v>2507.63</v>
      </c>
      <c r="O250" s="4">
        <f>Tab_04.Abr[[#This Row],[DÉBITO]]-Tab_04.Abr[[#This Row],[CRÉDITO]]</f>
        <v>641.11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SUMIFS(Tab_03.Mar[SALDO
ATUAL],Tab_03.Mar[CONTA],$I251)</f>
        <v>13360.81</v>
      </c>
      <c r="G251" s="4">
        <f t="shared" si="9"/>
        <v>0</v>
      </c>
      <c r="I251" s="3" t="s">
        <v>615</v>
      </c>
      <c r="J251" s="3" t="s">
        <v>719</v>
      </c>
      <c r="K251" s="4">
        <v>13360.81</v>
      </c>
      <c r="L251" s="4">
        <v>15889.19</v>
      </c>
      <c r="M251" s="4">
        <v>0</v>
      </c>
      <c r="N251" s="4">
        <v>29250</v>
      </c>
      <c r="O251" s="4">
        <f>Tab_04.Abr[[#This Row],[DÉBITO]]-Tab_04.Abr[[#This Row],[CRÉDITO]]</f>
        <v>15889.19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S</v>
      </c>
      <c r="E252" s="2">
        <f>IF($I252="","",COUNTIFS(Tab_00.Trial[CONTA],$I252))</f>
        <v>1</v>
      </c>
      <c r="F252" s="4">
        <f>SUMIFS(Tab_03.Mar[SALDO
ATUAL],Tab_03.Mar[CONTA],$I252)</f>
        <v>863.22</v>
      </c>
      <c r="G252" s="4">
        <f t="shared" si="9"/>
        <v>0</v>
      </c>
      <c r="I252" s="3" t="s">
        <v>617</v>
      </c>
      <c r="J252" s="3" t="s">
        <v>721</v>
      </c>
      <c r="K252" s="4">
        <v>863.22</v>
      </c>
      <c r="L252" s="4">
        <v>287.74</v>
      </c>
      <c r="M252" s="4">
        <v>0</v>
      </c>
      <c r="N252" s="4">
        <v>1150.96</v>
      </c>
      <c r="O252" s="4">
        <f>Tab_04.Abr[[#This Row],[DÉBITO]]-Tab_04.Abr[[#This Row],[CRÉDITO]]</f>
        <v>287.74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SUMIFS(Tab_03.Mar[SALDO
ATUAL],Tab_03.Mar[CONTA],$I253)</f>
        <v>863.22</v>
      </c>
      <c r="G253" s="4">
        <f t="shared" si="9"/>
        <v>0</v>
      </c>
      <c r="I253" s="3" t="s">
        <v>739</v>
      </c>
      <c r="J253" s="3" t="s">
        <v>740</v>
      </c>
      <c r="K253" s="4">
        <v>863.22</v>
      </c>
      <c r="L253" s="4">
        <v>287.74</v>
      </c>
      <c r="M253" s="4">
        <v>0</v>
      </c>
      <c r="N253" s="4">
        <v>1150.96</v>
      </c>
      <c r="O253" s="4">
        <f>Tab_04.Abr[[#This Row],[DÉBITO]]-Tab_04.Abr[[#This Row],[CRÉDITO]]</f>
        <v>287.74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SUMIFS(Tab_03.Mar[SALDO
ATUAL],Tab_03.Mar[CONTA],$I254)</f>
        <v>7514.12</v>
      </c>
      <c r="G254" s="4">
        <f t="shared" si="9"/>
        <v>0</v>
      </c>
      <c r="I254" s="3" t="s">
        <v>618</v>
      </c>
      <c r="J254" s="3" t="s">
        <v>722</v>
      </c>
      <c r="K254" s="4">
        <v>7514.12</v>
      </c>
      <c r="L254" s="4">
        <v>2716.14</v>
      </c>
      <c r="M254" s="4">
        <v>0</v>
      </c>
      <c r="N254" s="4">
        <v>10230.26</v>
      </c>
      <c r="O254" s="4">
        <f>Tab_04.Abr[[#This Row],[DÉBITO]]-Tab_04.Abr[[#This Row],[CRÉDITO]]</f>
        <v>2716.14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SUMIFS(Tab_03.Mar[SALDO
ATUAL],Tab_03.Mar[CONTA],$I255)</f>
        <v>7514.12</v>
      </c>
      <c r="G255" s="4">
        <f t="shared" si="9"/>
        <v>0</v>
      </c>
      <c r="I255" s="3" t="s">
        <v>511</v>
      </c>
      <c r="J255" s="3" t="s">
        <v>512</v>
      </c>
      <c r="K255" s="4">
        <v>7514.12</v>
      </c>
      <c r="L255" s="4">
        <v>2716.14</v>
      </c>
      <c r="M255" s="4">
        <v>0</v>
      </c>
      <c r="N255" s="4">
        <v>10230.26</v>
      </c>
      <c r="O255" s="4">
        <f>Tab_04.Abr[[#This Row],[DÉBITO]]-Tab_04.Abr[[#This Row],[CRÉDITO]]</f>
        <v>2716.14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SUMIFS(Tab_03.Mar[SALDO
ATUAL],Tab_03.Mar[CONTA],$I256)</f>
        <v>4983.47</v>
      </c>
      <c r="G256" s="4">
        <f t="shared" si="9"/>
        <v>0</v>
      </c>
      <c r="I256" s="3" t="s">
        <v>619</v>
      </c>
      <c r="J256" s="3" t="s">
        <v>420</v>
      </c>
      <c r="K256" s="4">
        <v>4983.47</v>
      </c>
      <c r="L256" s="4">
        <v>12885.31</v>
      </c>
      <c r="M256" s="4">
        <v>0</v>
      </c>
      <c r="N256" s="4">
        <v>17868.78</v>
      </c>
      <c r="O256" s="4">
        <f>Tab_04.Abr[[#This Row],[DÉBITO]]-Tab_04.Abr[[#This Row],[CRÉDITO]]</f>
        <v>12885.31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SUMIFS(Tab_03.Mar[SALDO
ATUAL],Tab_03.Mar[CONTA],$I257)</f>
        <v>4983.47</v>
      </c>
      <c r="G257" s="4">
        <f t="shared" si="9"/>
        <v>0</v>
      </c>
      <c r="I257" s="3" t="s">
        <v>515</v>
      </c>
      <c r="J257" s="3" t="s">
        <v>420</v>
      </c>
      <c r="K257" s="4">
        <v>4983.47</v>
      </c>
      <c r="L257" s="4">
        <v>12885.31</v>
      </c>
      <c r="M257" s="4">
        <v>0</v>
      </c>
      <c r="N257" s="4">
        <v>17868.78</v>
      </c>
      <c r="O257" s="4">
        <f>Tab_04.Abr[[#This Row],[DÉBITO]]-Tab_04.Abr[[#This Row],[CRÉDITO]]</f>
        <v>12885.31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S</v>
      </c>
      <c r="E258" s="2">
        <f>IF($I258="","",COUNTIFS(Tab_00.Trial[CONTA],$I258))</f>
        <v>1</v>
      </c>
      <c r="F258" s="4">
        <f>SUMIFS(Tab_03.Mar[SALDO
ATUAL],Tab_03.Mar[CONTA],$I258)</f>
        <v>4660.51</v>
      </c>
      <c r="G258" s="4">
        <f t="shared" si="9"/>
        <v>0</v>
      </c>
      <c r="I258" s="3" t="s">
        <v>621</v>
      </c>
      <c r="J258" s="3" t="s">
        <v>723</v>
      </c>
      <c r="K258" s="4">
        <v>4660.51</v>
      </c>
      <c r="L258" s="4">
        <v>2476.92</v>
      </c>
      <c r="M258" s="4">
        <v>0</v>
      </c>
      <c r="N258" s="4">
        <v>7137.43</v>
      </c>
      <c r="O258" s="4">
        <f>Tab_04.Abr[[#This Row],[DÉBITO]]-Tab_04.Abr[[#This Row],[CRÉDITO]]</f>
        <v>2476.92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SUMIFS(Tab_03.Mar[SALDO
ATUAL],Tab_03.Mar[CONTA],$I259)</f>
        <v>4660.51</v>
      </c>
      <c r="G259" s="4">
        <f t="shared" si="9"/>
        <v>0</v>
      </c>
      <c r="I259" s="3" t="s">
        <v>622</v>
      </c>
      <c r="J259" s="3" t="s">
        <v>723</v>
      </c>
      <c r="K259" s="4">
        <v>4660.51</v>
      </c>
      <c r="L259" s="4">
        <v>2476.92</v>
      </c>
      <c r="M259" s="4">
        <v>0</v>
      </c>
      <c r="N259" s="4">
        <v>7137.43</v>
      </c>
      <c r="O259" s="4">
        <f>Tab_04.Abr[[#This Row],[DÉBITO]]-Tab_04.Abr[[#This Row],[CRÉDITO]]</f>
        <v>2476.92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SUMIFS(Tab_03.Mar[SALDO
ATUAL],Tab_03.Mar[CONTA],$I260)</f>
        <v>4660.51</v>
      </c>
      <c r="G260" s="4">
        <f t="shared" si="9"/>
        <v>0</v>
      </c>
      <c r="I260" s="3" t="s">
        <v>518</v>
      </c>
      <c r="J260" s="3" t="s">
        <v>519</v>
      </c>
      <c r="K260" s="4">
        <v>4660.51</v>
      </c>
      <c r="L260" s="4">
        <v>2476.92</v>
      </c>
      <c r="M260" s="4">
        <v>0</v>
      </c>
      <c r="N260" s="4">
        <v>7137.43</v>
      </c>
      <c r="O260" s="4">
        <f>Tab_04.Abr[[#This Row],[DÉBITO]]-Tab_04.Abr[[#This Row],[CRÉDITO]]</f>
        <v>2476.92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SUMIFS(Tab_03.Mar[SALDO
ATUAL],Tab_03.Mar[CONTA],$I261)</f>
        <v>14280.89</v>
      </c>
      <c r="G261" s="4">
        <f t="shared" si="9"/>
        <v>0</v>
      </c>
      <c r="I261" s="3" t="s">
        <v>623</v>
      </c>
      <c r="J261" s="3" t="s">
        <v>724</v>
      </c>
      <c r="K261" s="4">
        <v>14280.89</v>
      </c>
      <c r="L261" s="4">
        <v>3667.05</v>
      </c>
      <c r="M261" s="4">
        <v>0</v>
      </c>
      <c r="N261" s="4">
        <v>17947.939999999999</v>
      </c>
      <c r="O261" s="4">
        <f>Tab_04.Abr[[#This Row],[DÉBITO]]-Tab_04.Abr[[#This Row],[CRÉDITO]]</f>
        <v>3667.05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S</v>
      </c>
      <c r="E262" s="2">
        <f>IF($I262="","",COUNTIFS(Tab_00.Trial[CONTA],$I262))</f>
        <v>1</v>
      </c>
      <c r="F262" s="4">
        <f>SUMIFS(Tab_03.Mar[SALDO
ATUAL],Tab_03.Mar[CONTA],$I262)</f>
        <v>14280.89</v>
      </c>
      <c r="G262" s="4">
        <f t="shared" si="9"/>
        <v>0</v>
      </c>
      <c r="I262" s="3" t="s">
        <v>624</v>
      </c>
      <c r="J262" s="3" t="s">
        <v>724</v>
      </c>
      <c r="K262" s="4">
        <v>14280.89</v>
      </c>
      <c r="L262" s="4">
        <v>3667.05</v>
      </c>
      <c r="M262" s="4">
        <v>0</v>
      </c>
      <c r="N262" s="4">
        <v>17947.939999999999</v>
      </c>
      <c r="O262" s="4">
        <f>Tab_04.Abr[[#This Row],[DÉBITO]]-Tab_04.Abr[[#This Row],[CRÉDITO]]</f>
        <v>3667.05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SUMIFS(Tab_03.Mar[SALDO
ATUAL],Tab_03.Mar[CONTA],$I263)</f>
        <v>14280.89</v>
      </c>
      <c r="G263" s="4">
        <f t="shared" si="9"/>
        <v>0</v>
      </c>
      <c r="I263" s="3" t="s">
        <v>520</v>
      </c>
      <c r="J263" s="3" t="s">
        <v>521</v>
      </c>
      <c r="K263" s="4">
        <v>14280.89</v>
      </c>
      <c r="L263" s="4">
        <v>3667.05</v>
      </c>
      <c r="M263" s="4">
        <v>0</v>
      </c>
      <c r="N263" s="4">
        <v>17947.939999999999</v>
      </c>
      <c r="O263" s="4">
        <f>Tab_04.Abr[[#This Row],[DÉBITO]]-Tab_04.Abr[[#This Row],[CRÉDITO]]</f>
        <v>3667.05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SUMIFS(Tab_03.Mar[SALDO
ATUAL],Tab_03.Mar[CONTA],$I264)</f>
        <v>25831.68</v>
      </c>
      <c r="G264" s="4">
        <f t="shared" si="9"/>
        <v>0</v>
      </c>
      <c r="I264" s="3" t="s">
        <v>625</v>
      </c>
      <c r="J264" s="3" t="s">
        <v>542</v>
      </c>
      <c r="K264" s="4">
        <v>25831.68</v>
      </c>
      <c r="L264" s="4">
        <v>1982.28</v>
      </c>
      <c r="M264" s="4">
        <v>0</v>
      </c>
      <c r="N264" s="4">
        <v>27813.96</v>
      </c>
      <c r="O264" s="4">
        <f>Tab_04.Abr[[#This Row],[DÉBITO]]-Tab_04.Abr[[#This Row],[CRÉDITO]]</f>
        <v>1982.28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S</v>
      </c>
      <c r="E265" s="2">
        <f>IF($I265="","",COUNTIFS(Tab_00.Trial[CONTA],$I265))</f>
        <v>1</v>
      </c>
      <c r="F265" s="4">
        <f>SUMIFS(Tab_03.Mar[SALDO
ATUAL],Tab_03.Mar[CONTA],$I265)</f>
        <v>15442.9</v>
      </c>
      <c r="G265" s="4">
        <f t="shared" si="9"/>
        <v>0</v>
      </c>
      <c r="I265" s="3" t="s">
        <v>626</v>
      </c>
      <c r="J265" s="3" t="s">
        <v>725</v>
      </c>
      <c r="K265" s="4">
        <v>15442.9</v>
      </c>
      <c r="L265" s="4">
        <v>425.45</v>
      </c>
      <c r="M265" s="4">
        <v>0</v>
      </c>
      <c r="N265" s="4">
        <v>15868.35</v>
      </c>
      <c r="O265" s="4">
        <f>Tab_04.Abr[[#This Row],[DÉBITO]]-Tab_04.Abr[[#This Row],[CRÉDITO]]</f>
        <v>425.45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SUMIFS(Tab_03.Mar[SALDO
ATUAL],Tab_03.Mar[CONTA],$I266)</f>
        <v>15412.24</v>
      </c>
      <c r="G266" s="4">
        <f t="shared" si="9"/>
        <v>0</v>
      </c>
      <c r="I266" s="3" t="s">
        <v>522</v>
      </c>
      <c r="J266" s="3" t="s">
        <v>523</v>
      </c>
      <c r="K266" s="4">
        <v>15412.24</v>
      </c>
      <c r="L266" s="4">
        <v>0</v>
      </c>
      <c r="M266" s="4">
        <v>0</v>
      </c>
      <c r="N266" s="4">
        <v>15412.24</v>
      </c>
      <c r="O266" s="4">
        <f>Tab_04.Abr[[#This Row],[DÉBITO]]-Tab_04.Abr[[#This Row],[CRÉDITO]]</f>
        <v>0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SUMIFS(Tab_03.Mar[SALDO
ATUAL],Tab_03.Mar[CONTA],$I267)</f>
        <v>30.66</v>
      </c>
      <c r="G267" s="4">
        <f t="shared" si="9"/>
        <v>0</v>
      </c>
      <c r="I267" s="3" t="s">
        <v>524</v>
      </c>
      <c r="J267" s="3" t="s">
        <v>525</v>
      </c>
      <c r="K267" s="4">
        <v>30.66</v>
      </c>
      <c r="L267" s="4">
        <v>425.45</v>
      </c>
      <c r="M267" s="4">
        <v>0</v>
      </c>
      <c r="N267" s="4">
        <v>456.11</v>
      </c>
      <c r="O267" s="4">
        <f>Tab_04.Abr[[#This Row],[DÉBITO]]-Tab_04.Abr[[#This Row],[CRÉDITO]]</f>
        <v>425.45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SUMIFS(Tab_03.Mar[SALDO
ATUAL],Tab_03.Mar[CONTA],$I268)</f>
        <v>10388.780000000001</v>
      </c>
      <c r="G268" s="4">
        <f t="shared" si="9"/>
        <v>0</v>
      </c>
      <c r="I268" s="3" t="s">
        <v>627</v>
      </c>
      <c r="J268" s="3" t="s">
        <v>542</v>
      </c>
      <c r="K268" s="4">
        <v>10388.780000000001</v>
      </c>
      <c r="L268" s="4">
        <v>1556.83</v>
      </c>
      <c r="M268" s="4">
        <v>0</v>
      </c>
      <c r="N268" s="4">
        <v>11945.61</v>
      </c>
      <c r="O268" s="4">
        <f>Tab_04.Abr[[#This Row],[DÉBITO]]-Tab_04.Abr[[#This Row],[CRÉDITO]]</f>
        <v>1556.83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SUMIFS(Tab_03.Mar[SALDO
ATUAL],Tab_03.Mar[CONTA],$I269)</f>
        <v>349.64</v>
      </c>
      <c r="G269" s="4">
        <f t="shared" si="9"/>
        <v>0</v>
      </c>
      <c r="I269" s="3" t="s">
        <v>528</v>
      </c>
      <c r="J269" s="3" t="s">
        <v>416</v>
      </c>
      <c r="K269" s="4">
        <v>349.64</v>
      </c>
      <c r="L269" s="4">
        <v>50</v>
      </c>
      <c r="M269" s="4">
        <v>0</v>
      </c>
      <c r="N269" s="4">
        <v>399.64</v>
      </c>
      <c r="O269" s="4">
        <f>Tab_04.Abr[[#This Row],[DÉBITO]]-Tab_04.Abr[[#This Row],[CRÉDITO]]</f>
        <v>50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SUMIFS(Tab_03.Mar[SALDO
ATUAL],Tab_03.Mar[CONTA],$I270)</f>
        <v>176.97</v>
      </c>
      <c r="G270" s="4">
        <f t="shared" si="9"/>
        <v>0</v>
      </c>
      <c r="I270" s="3" t="s">
        <v>531</v>
      </c>
      <c r="J270" s="3" t="s">
        <v>532</v>
      </c>
      <c r="K270" s="4">
        <v>176.97</v>
      </c>
      <c r="L270" s="4">
        <v>93.26</v>
      </c>
      <c r="M270" s="4">
        <v>0</v>
      </c>
      <c r="N270" s="4">
        <v>270.23</v>
      </c>
      <c r="O270" s="4">
        <f>Tab_04.Abr[[#This Row],[DÉBITO]]-Tab_04.Abr[[#This Row],[CRÉDITO]]</f>
        <v>93.26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SUMIFS(Tab_03.Mar[SALDO
ATUAL],Tab_03.Mar[CONTA],$I271)</f>
        <v>350</v>
      </c>
      <c r="G271" s="4">
        <f t="shared" ref="G271:G276" si="10">$F271-$K271</f>
        <v>0</v>
      </c>
      <c r="I271" s="3" t="s">
        <v>533</v>
      </c>
      <c r="J271" s="3" t="s">
        <v>534</v>
      </c>
      <c r="K271" s="4">
        <v>350</v>
      </c>
      <c r="L271" s="4">
        <v>0</v>
      </c>
      <c r="M271" s="4">
        <v>0</v>
      </c>
      <c r="N271" s="4">
        <v>350</v>
      </c>
      <c r="O271" s="4">
        <f>Tab_04.Abr[[#This Row],[DÉBITO]]-Tab_04.Abr[[#This Row],[CRÉDITO]]</f>
        <v>0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SUMIFS(Tab_03.Mar[SALDO
ATUAL],Tab_03.Mar[CONTA],$I272)</f>
        <v>4744.78</v>
      </c>
      <c r="G272" s="4">
        <f t="shared" si="10"/>
        <v>0</v>
      </c>
      <c r="I272" s="3" t="s">
        <v>537</v>
      </c>
      <c r="J272" s="3" t="s">
        <v>538</v>
      </c>
      <c r="K272" s="4">
        <v>4744.78</v>
      </c>
      <c r="L272" s="4">
        <v>0</v>
      </c>
      <c r="M272" s="4">
        <v>0</v>
      </c>
      <c r="N272" s="4">
        <v>4744.78</v>
      </c>
      <c r="O272" s="4">
        <f>Tab_04.Abr[[#This Row],[DÉBITO]]-Tab_04.Abr[[#This Row],[CRÉDITO]]</f>
        <v>0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A</v>
      </c>
      <c r="E273" s="2">
        <f>IF($I273="","",COUNTIFS(Tab_00.Trial[CONTA],$I273))</f>
        <v>1</v>
      </c>
      <c r="F273" s="4">
        <f>SUMIFS(Tab_03.Mar[SALDO
ATUAL],Tab_03.Mar[CONTA],$I273)</f>
        <v>4226.5200000000004</v>
      </c>
      <c r="G273" s="4">
        <f t="shared" si="10"/>
        <v>0</v>
      </c>
      <c r="I273" s="3" t="s">
        <v>539</v>
      </c>
      <c r="J273" s="3" t="s">
        <v>540</v>
      </c>
      <c r="K273" s="4">
        <v>4226.5200000000004</v>
      </c>
      <c r="L273" s="4">
        <v>1253.57</v>
      </c>
      <c r="M273" s="4">
        <v>0</v>
      </c>
      <c r="N273" s="4">
        <v>5480.09</v>
      </c>
      <c r="O273" s="4">
        <f>Tab_04.Abr[[#This Row],[DÉBITO]]-Tab_04.Abr[[#This Row],[CRÉDITO]]</f>
        <v>1253.57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SUMIFS(Tab_03.Mar[SALDO
ATUAL],Tab_03.Mar[CONTA],$I274)</f>
        <v>540.87</v>
      </c>
      <c r="G274" s="4">
        <f t="shared" si="10"/>
        <v>0</v>
      </c>
      <c r="I274" s="3" t="s">
        <v>541</v>
      </c>
      <c r="J274" s="3" t="s">
        <v>542</v>
      </c>
      <c r="K274" s="4">
        <v>540.87</v>
      </c>
      <c r="L274" s="4">
        <v>160</v>
      </c>
      <c r="M274" s="4">
        <v>0</v>
      </c>
      <c r="N274" s="4">
        <v>700.87</v>
      </c>
      <c r="O274" s="4">
        <f>Tab_04.Abr[[#This Row],[DÉBITO]]-Tab_04.Abr[[#This Row],[CRÉDITO]]</f>
        <v>160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2</v>
      </c>
      <c r="D275" s="2" t="str">
        <f>_xlfn.XLOOKUP($I275,Tab_00.Trial[CONTA],Tab_00.Trial[S/A],"",0,1)</f>
        <v>S</v>
      </c>
      <c r="E275" s="2">
        <f>IF($I275="","",COUNTIFS(Tab_00.Trial[CONTA],$I275))</f>
        <v>1</v>
      </c>
      <c r="F275" s="4">
        <f>SUMIFS(Tab_03.Mar[SALDO
ATUAL],Tab_03.Mar[CONTA],$I275)</f>
        <v>270</v>
      </c>
      <c r="G275" s="4">
        <f t="shared" si="10"/>
        <v>0</v>
      </c>
      <c r="I275" s="3" t="s">
        <v>630</v>
      </c>
      <c r="J275" s="3" t="s">
        <v>728</v>
      </c>
      <c r="K275" s="4">
        <v>270</v>
      </c>
      <c r="L275" s="4">
        <v>0</v>
      </c>
      <c r="M275" s="4">
        <v>0</v>
      </c>
      <c r="N275" s="4">
        <v>270</v>
      </c>
      <c r="O275" s="4">
        <f>Tab_04.Abr[[#This Row],[DÉBITO]]-Tab_04.Abr[[#This Row],[CRÉDITO]]</f>
        <v>0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SUMIFS(Tab_03.Mar[SALDO
ATUAL],Tab_03.Mar[CONTA],$I276)</f>
        <v>270</v>
      </c>
      <c r="G276" s="4">
        <f t="shared" si="10"/>
        <v>0</v>
      </c>
      <c r="I276" s="3" t="s">
        <v>631</v>
      </c>
      <c r="J276" s="3" t="s">
        <v>728</v>
      </c>
      <c r="K276" s="4">
        <v>270</v>
      </c>
      <c r="L276" s="4">
        <v>0</v>
      </c>
      <c r="M276" s="4">
        <v>0</v>
      </c>
      <c r="N276" s="4">
        <v>270</v>
      </c>
      <c r="O276" s="4">
        <f>Tab_04.Abr[[#This Row],[DÉBITO]]-Tab_04.Abr[[#This Row],[CRÉDITO]]</f>
        <v>0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SUMIFS(Tab_03.Mar[SALDO
ATUAL],Tab_03.Mar[CONTA],$I277)</f>
        <v>270</v>
      </c>
      <c r="G277" s="4">
        <f t="shared" ref="G277:G282" si="11">$F277-$K277</f>
        <v>0</v>
      </c>
      <c r="I277" s="3" t="s">
        <v>633</v>
      </c>
      <c r="J277" s="3" t="s">
        <v>548</v>
      </c>
      <c r="K277" s="4">
        <v>270</v>
      </c>
      <c r="L277" s="4">
        <v>0</v>
      </c>
      <c r="M277" s="4">
        <v>0</v>
      </c>
      <c r="N277" s="4">
        <v>270</v>
      </c>
      <c r="O277" s="4">
        <f>Tab_04.Abr[[#This Row],[DÉBITO]]-Tab_04.Abr[[#This Row],[CRÉDITO]]</f>
        <v>0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SUMIFS(Tab_03.Mar[SALDO
ATUAL],Tab_03.Mar[CONTA],$I278)</f>
        <v>270</v>
      </c>
      <c r="G278" s="4">
        <f t="shared" si="11"/>
        <v>0</v>
      </c>
      <c r="I278" s="3" t="s">
        <v>547</v>
      </c>
      <c r="J278" s="3" t="s">
        <v>548</v>
      </c>
      <c r="K278" s="4">
        <v>270</v>
      </c>
      <c r="L278" s="4">
        <v>0</v>
      </c>
      <c r="M278" s="4">
        <v>0</v>
      </c>
      <c r="N278" s="4">
        <v>270</v>
      </c>
      <c r="O278" s="4">
        <f>Tab_04.Abr[[#This Row],[DÉBITO]]-Tab_04.Abr[[#This Row],[CRÉDITO]]</f>
        <v>0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2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SUMIFS(Tab_03.Mar[SALDO
ATUAL],Tab_03.Mar[CONTA],$I279)</f>
        <v>-189</v>
      </c>
      <c r="G279" s="4">
        <f t="shared" si="11"/>
        <v>0</v>
      </c>
      <c r="I279" s="3" t="s">
        <v>634</v>
      </c>
      <c r="J279" s="3" t="s">
        <v>730</v>
      </c>
      <c r="K279" s="4">
        <v>-189</v>
      </c>
      <c r="L279" s="4">
        <v>0</v>
      </c>
      <c r="M279" s="4">
        <v>0</v>
      </c>
      <c r="N279" s="4">
        <v>-189</v>
      </c>
      <c r="O279" s="4">
        <f>Tab_04.Abr[[#This Row],[DÉBITO]]-Tab_04.Abr[[#This Row],[CRÉDITO]]</f>
        <v>0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SUMIFS(Tab_03.Mar[SALDO
ATUAL],Tab_03.Mar[CONTA],$I280)</f>
        <v>-189</v>
      </c>
      <c r="G280" s="4">
        <f t="shared" si="11"/>
        <v>0</v>
      </c>
      <c r="I280" s="3" t="s">
        <v>831</v>
      </c>
      <c r="J280" s="3" t="s">
        <v>832</v>
      </c>
      <c r="K280" s="4">
        <v>-189</v>
      </c>
      <c r="L280" s="4">
        <v>0</v>
      </c>
      <c r="M280" s="4">
        <v>0</v>
      </c>
      <c r="N280" s="4">
        <v>-189</v>
      </c>
      <c r="O280" s="4">
        <f>Tab_04.Abr[[#This Row],[DÉBITO]]-Tab_04.Abr[[#This Row],[CRÉDITO]]</f>
        <v>0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S</v>
      </c>
      <c r="E281" s="2">
        <f>IF($I281="","",COUNTIFS(Tab_00.Trial[CONTA],$I281))</f>
        <v>1</v>
      </c>
      <c r="F281" s="4">
        <f>SUMIFS(Tab_03.Mar[SALDO
ATUAL],Tab_03.Mar[CONTA],$I281)</f>
        <v>-189</v>
      </c>
      <c r="G281" s="4">
        <f t="shared" si="11"/>
        <v>0</v>
      </c>
      <c r="I281" s="3" t="s">
        <v>833</v>
      </c>
      <c r="J281" s="3" t="s">
        <v>832</v>
      </c>
      <c r="K281" s="4">
        <v>-189</v>
      </c>
      <c r="L281" s="4">
        <v>0</v>
      </c>
      <c r="M281" s="4">
        <v>0</v>
      </c>
      <c r="N281" s="4">
        <v>-189</v>
      </c>
      <c r="O281" s="4">
        <f>Tab_04.Abr[[#This Row],[DÉBITO]]-Tab_04.Abr[[#This Row],[CRÉDITO]]</f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SUMIFS(Tab_03.Mar[SALDO
ATUAL],Tab_03.Mar[CONTA],$I282)</f>
        <v>-189</v>
      </c>
      <c r="G282" s="4">
        <f t="shared" si="11"/>
        <v>0</v>
      </c>
      <c r="I282" s="3" t="s">
        <v>834</v>
      </c>
      <c r="J282" s="3" t="s">
        <v>835</v>
      </c>
      <c r="K282" s="4">
        <v>-189</v>
      </c>
      <c r="L282" s="4">
        <v>0</v>
      </c>
      <c r="M282" s="4">
        <v>0</v>
      </c>
      <c r="N282" s="4">
        <v>-189</v>
      </c>
      <c r="O282" s="4">
        <f>Tab_04.Abr[[#This Row],[DÉBITO]]-Tab_04.Abr[[#This Row],[CRÉDITO]]</f>
        <v>0</v>
      </c>
    </row>
  </sheetData>
  <sheetProtection autoFilter="0"/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4AB4E-77C8-4E21-A895-DA92282B4CA5}">
  <sheetPr codeName="Planilha15"/>
  <dimension ref="B1:O281"/>
  <sheetViews>
    <sheetView showGridLines="0" showRowColHeaders="0" zoomScale="85" zoomScaleNormal="85" workbookViewId="0">
      <pane xSplit="7" ySplit="14" topLeftCell="J15" activePane="bottomRight" state="frozen"/>
      <selection activeCell="J28" sqref="J28"/>
      <selection pane="topRight" activeCell="J28" sqref="J28"/>
      <selection pane="bottomLeft" activeCell="J28" sqref="J28"/>
      <selection pane="bottomRight" activeCell="I15" sqref="I15:N281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SUMIFS(INDIRECT("Tab_05.Mai["&amp;F$14&amp;"]"),Tab_05.Mai[TP],$B2,Tab_05.Mai[NV],"A")</f>
        <v>0</v>
      </c>
      <c r="G2" s="7">
        <f ca="1">SUMIFS(INDIRECT("Tab_05.Mai["&amp;G$14&amp;"]"),Tab_05.Mai[TP],$B2,Tab_05.Mai[NV],"A")</f>
        <v>0</v>
      </c>
      <c r="H2" s="3"/>
      <c r="I2" s="3"/>
      <c r="J2" s="88" t="s">
        <v>15</v>
      </c>
      <c r="K2" s="7">
        <f ca="1">SUMIFS(INDIRECT("Tab_05.Mai["&amp;K$14&amp;"]"),Tab_05.Mai[TP],$B2,Tab_05.Mai[S/A],"A")</f>
        <v>83383806.790000007</v>
      </c>
      <c r="L2" s="7">
        <f ca="1">SUMIFS(INDIRECT("Tab_05.Mai["&amp;L$14&amp;"]"),Tab_05.Mai[TP],$B2,Tab_05.Mai[S/A],"A")</f>
        <v>2168401.65</v>
      </c>
      <c r="M2" s="7">
        <f ca="1">SUMIFS(INDIRECT("Tab_05.Mai["&amp;M$14&amp;"]"),Tab_05.Mai[TP],$B2,Tab_05.Mai[S/A],"A")</f>
        <v>1833574.76</v>
      </c>
      <c r="N2" s="7">
        <f ca="1">SUMIFS(INDIRECT("Tab_05.Mai["&amp;N$14&amp;"]"),Tab_05.Mai[TP],$B2,Tab_05.Mai[S/A],"A")</f>
        <v>83718633.680000007</v>
      </c>
      <c r="O2" s="7">
        <f ca="1">SUMIFS(INDIRECT("Tab_05.Mai["&amp;O$14&amp;"]"),Tab_05.Mai[TP],$B2,Tab_05.Mai[S/A],"A")</f>
        <v>334826.89</v>
      </c>
    </row>
    <row r="3" spans="2:15" outlineLevel="1" x14ac:dyDescent="0.3">
      <c r="B3" s="2" t="s">
        <v>116</v>
      </c>
      <c r="F3" s="7">
        <f ca="1">SUMIFS(INDIRECT("Tab_05.Mai["&amp;F$14&amp;"]"),Tab_05.Mai[TP],$B3,Tab_05.Mai[NV],"A")</f>
        <v>0</v>
      </c>
      <c r="G3" s="7">
        <f ca="1">SUMIFS(INDIRECT("Tab_05.Mai["&amp;G$14&amp;"]"),Tab_05.Mai[TP],$B3,Tab_05.Mai[NV],"A")</f>
        <v>0</v>
      </c>
      <c r="H3" s="3"/>
      <c r="I3" s="3"/>
      <c r="J3" s="88" t="s">
        <v>110</v>
      </c>
      <c r="K3" s="7">
        <f ca="1">SUMIFS(INDIRECT("Tab_05.Mai["&amp;K$14&amp;"]"),Tab_05.Mai[TP],$B3,Tab_05.Mai[S/A],"A")</f>
        <v>-83453877.370000005</v>
      </c>
      <c r="L3" s="7">
        <f ca="1">SUMIFS(INDIRECT("Tab_05.Mai["&amp;L$14&amp;"]"),Tab_05.Mai[TP],$B3,Tab_05.Mai[S/A],"A")</f>
        <v>661116.39</v>
      </c>
      <c r="M3" s="7">
        <f ca="1">SUMIFS(INDIRECT("Tab_05.Mai["&amp;M$14&amp;"]"),Tab_05.Mai[TP],$B3,Tab_05.Mai[S/A],"A")</f>
        <v>533437.39</v>
      </c>
      <c r="N3" s="7">
        <f ca="1">SUMIFS(INDIRECT("Tab_05.Mai["&amp;N$14&amp;"]"),Tab_05.Mai[TP],$B3,Tab_05.Mai[S/A],"A")</f>
        <v>-83326198.370000005</v>
      </c>
      <c r="O3" s="7">
        <f ca="1">SUMIFS(INDIRECT("Tab_05.Mai["&amp;O$14&amp;"]"),Tab_05.Mai[TP],$B3,Tab_05.Mai[S/A],"A")</f>
        <v>127679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-70070.58</v>
      </c>
      <c r="L4" s="8">
        <f t="shared" ca="1" si="0"/>
        <v>2829518.04</v>
      </c>
      <c r="M4" s="8">
        <f t="shared" ca="1" si="0"/>
        <v>2367012.15</v>
      </c>
      <c r="N4" s="8">
        <f ca="1">SUM(N$2:N$3)</f>
        <v>392435.31</v>
      </c>
      <c r="O4" s="8">
        <f t="shared" ca="1" si="0"/>
        <v>462505.89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SUMIFS(INDIRECT("Tab_05.Mai["&amp;F$14&amp;"]"),Tab_05.Mai[TP],$B6,Tab_05.Mai[NV],"A")</f>
        <v>0</v>
      </c>
      <c r="G6" s="7">
        <f ca="1">SUMIFS(INDIRECT("Tab_05.Mai["&amp;G$14&amp;"]"),Tab_05.Mai[TP],$B6,Tab_05.Mai[NV],"A")</f>
        <v>0</v>
      </c>
      <c r="H6" s="3"/>
      <c r="I6" s="3"/>
      <c r="J6" s="88" t="s">
        <v>18</v>
      </c>
      <c r="K6" s="7">
        <f ca="1">SUMIFS(INDIRECT("Tab_05.Mai["&amp;K$14&amp;"]"),Tab_05.Mai[TP],$B6,Tab_05.Mai[S/A],"A")</f>
        <v>-4729203.16</v>
      </c>
      <c r="L6" s="7">
        <f ca="1">SUMIFS(INDIRECT("Tab_05.Mai["&amp;L$14&amp;"]"),Tab_05.Mai[TP],$B6,Tab_05.Mai[S/A],"A")</f>
        <v>0</v>
      </c>
      <c r="M6" s="7">
        <f ca="1">SUMIFS(INDIRECT("Tab_05.Mai["&amp;M$14&amp;"]"),Tab_05.Mai[TP],$B6,Tab_05.Mai[S/A],"A")</f>
        <v>1527340.71</v>
      </c>
      <c r="N6" s="7">
        <f ca="1">SUMIFS(INDIRECT("Tab_05.Mai["&amp;N$14&amp;"]"),Tab_05.Mai[TP],$B6,Tab_05.Mai[S/A],"A")</f>
        <v>-6256543.8700000001</v>
      </c>
      <c r="O6" s="7">
        <f ca="1">SUMIFS(INDIRECT("Tab_05.Mai["&amp;O$14&amp;"]"),Tab_05.Mai[TP],$B6,Tab_05.Mai[S/A],"A")</f>
        <v>-1527340.71</v>
      </c>
    </row>
    <row r="7" spans="2:15" outlineLevel="1" x14ac:dyDescent="0.3">
      <c r="B7" s="2" t="s">
        <v>20</v>
      </c>
      <c r="F7" s="7">
        <f ca="1">SUMIFS(INDIRECT("Tab_05.Mai["&amp;F$14&amp;"]"),Tab_05.Mai[TP],$B7,Tab_05.Mai[NV],"A")</f>
        <v>0</v>
      </c>
      <c r="G7" s="7">
        <f ca="1">SUMIFS(INDIRECT("Tab_05.Mai["&amp;G$14&amp;"]"),Tab_05.Mai[TP],$B7,Tab_05.Mai[NV],"A")</f>
        <v>0</v>
      </c>
      <c r="H7" s="3"/>
      <c r="I7" s="3"/>
      <c r="J7" s="88" t="s">
        <v>111</v>
      </c>
      <c r="K7" s="7">
        <f ca="1">SUMIFS(INDIRECT("Tab_05.Mai["&amp;K$14&amp;"]"),Tab_05.Mai[TP],$B7,Tab_05.Mai[S/A],"A")</f>
        <v>4799273.74</v>
      </c>
      <c r="L7" s="7">
        <f ca="1">SUMIFS(INDIRECT("Tab_05.Mai["&amp;L$14&amp;"]"),Tab_05.Mai[TP],$B7,Tab_05.Mai[S/A],"A")</f>
        <v>1101017.96</v>
      </c>
      <c r="M7" s="7">
        <f ca="1">SUMIFS(INDIRECT("Tab_05.Mai["&amp;M$14&amp;"]"),Tab_05.Mai[TP],$B7,Tab_05.Mai[S/A],"A")</f>
        <v>36183.14</v>
      </c>
      <c r="N7" s="7">
        <f ca="1">SUMIFS(INDIRECT("Tab_05.Mai["&amp;N$14&amp;"]"),Tab_05.Mai[TP],$B7,Tab_05.Mai[S/A],"A")</f>
        <v>5864108.5599999996</v>
      </c>
      <c r="O7" s="7">
        <f ca="1">SUMIFS(INDIRECT("Tab_05.Mai["&amp;O$14&amp;"]"),Tab_05.Mai[TP],$B7,Tab_05.Mai[S/A],"A")</f>
        <v>1064834.82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70070.58</v>
      </c>
      <c r="L8" s="8">
        <f ca="1">SUM(L$6:L$7)</f>
        <v>1101017.96</v>
      </c>
      <c r="M8" s="8">
        <f ca="1">SUM(M$6:M$7)</f>
        <v>1563523.85</v>
      </c>
      <c r="N8" s="8">
        <f ca="1">SUM(N$6:N$7)</f>
        <v>-392435.31</v>
      </c>
      <c r="O8" s="8">
        <f ca="1">SUM(O$6:O$7)</f>
        <v>-462505.89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3930536</v>
      </c>
      <c r="M10" s="11">
        <f t="shared" ca="1" si="1"/>
        <v>3930536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SUBTOTAL(9,Tab_05.Mai[SALDO FINAL
ANTERIOR])</f>
        <v>0</v>
      </c>
      <c r="G12" s="7">
        <f>SUBTOTAL(9,Tab_05.Mai[DIFERENÇA])</f>
        <v>0</v>
      </c>
      <c r="H12" s="3"/>
      <c r="I12" s="3"/>
      <c r="J12" s="3"/>
      <c r="K12" s="7">
        <f>SUBTOTAL(9,Tab_05.Mai[SALDO
ANTERIOR])</f>
        <v>0</v>
      </c>
      <c r="L12" s="7">
        <f>SUBTOTAL(9,Tab_05.Mai[DÉBITO])</f>
        <v>19652680</v>
      </c>
      <c r="M12" s="7">
        <f>SUBTOTAL(9,Tab_05.Mai[CRÉDITO])</f>
        <v>19652680</v>
      </c>
      <c r="N12" s="7">
        <f>SUBTOTAL(9,Tab_05.Mai[SALDO
ATUAL])</f>
        <v>0</v>
      </c>
      <c r="O12" s="7">
        <f>SUBTOTAL(9,Tab_05.Mai[MOVIMENTO])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SUMIFS(Tab_04.Abr[SALDO
ATUAL],Tab_04.Abr[CONTA],$I15)</f>
        <v>83383806.790000007</v>
      </c>
      <c r="G15" s="4">
        <f>$F15-$K15</f>
        <v>0</v>
      </c>
      <c r="H15" s="3"/>
      <c r="I15" s="3">
        <v>1</v>
      </c>
      <c r="J15" s="3" t="s">
        <v>637</v>
      </c>
      <c r="K15" s="4">
        <v>83383806.790000007</v>
      </c>
      <c r="L15" s="4">
        <v>2168401.65</v>
      </c>
      <c r="M15" s="4">
        <v>1833574.76</v>
      </c>
      <c r="N15" s="4">
        <v>83718633.680000007</v>
      </c>
      <c r="O15" s="4">
        <f>Tab_05.Mai[[#This Row],[DÉBITO]]-Tab_05.Mai[[#This Row],[CRÉDITO]]</f>
        <v>334826.89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SUMIFS(Tab_04.Abr[SALDO
ATUAL],Tab_04.Abr[CONTA],$I16)</f>
        <v>10490443.23</v>
      </c>
      <c r="G16" s="4">
        <f>$F16-$K16</f>
        <v>0</v>
      </c>
      <c r="H16" s="3"/>
      <c r="I16" s="3" t="s">
        <v>197</v>
      </c>
      <c r="J16" s="3" t="s">
        <v>247</v>
      </c>
      <c r="K16" s="4">
        <v>10490443.23</v>
      </c>
      <c r="L16" s="4">
        <v>1908887.3</v>
      </c>
      <c r="M16" s="4">
        <v>1829907.71</v>
      </c>
      <c r="N16" s="4">
        <v>10569422.82</v>
      </c>
      <c r="O16" s="4">
        <f>Tab_05.Mai[[#This Row],[DÉBITO]]-Tab_05.Mai[[#This Row],[CRÉDITO]]</f>
        <v>78979.59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SUMIFS(Tab_04.Abr[SALDO
ATUAL],Tab_04.Abr[CONTA],$I17)</f>
        <v>10295691.26</v>
      </c>
      <c r="G17" s="4">
        <f>$F17-$K17</f>
        <v>0</v>
      </c>
      <c r="H17" s="3"/>
      <c r="I17" s="3" t="s">
        <v>199</v>
      </c>
      <c r="J17" s="3" t="s">
        <v>638</v>
      </c>
      <c r="K17" s="4">
        <v>10295691.26</v>
      </c>
      <c r="L17" s="4">
        <v>1908887.3</v>
      </c>
      <c r="M17" s="4">
        <v>1829575.39</v>
      </c>
      <c r="N17" s="4">
        <v>10375003.17</v>
      </c>
      <c r="O17" s="4">
        <f>Tab_05.Mai[[#This Row],[DÉBITO]]-Tab_05.Mai[[#This Row],[CRÉDITO]]</f>
        <v>79311.91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SUMIFS(Tab_04.Abr[SALDO
ATUAL],Tab_04.Abr[CONTA],$I18)</f>
        <v>2993.41</v>
      </c>
      <c r="G18" s="4">
        <f t="shared" ref="G18:G49" si="2">$F18-$K18</f>
        <v>0</v>
      </c>
      <c r="I18" s="3" t="s">
        <v>201</v>
      </c>
      <c r="J18" s="3" t="s">
        <v>639</v>
      </c>
      <c r="K18" s="4">
        <v>2993.41</v>
      </c>
      <c r="L18" s="4">
        <v>0</v>
      </c>
      <c r="M18" s="4">
        <v>451.58</v>
      </c>
      <c r="N18" s="4">
        <v>2541.83</v>
      </c>
      <c r="O18" s="4">
        <f>Tab_05.Mai[[#This Row],[DÉBITO]]-Tab_05.Mai[[#This Row],[CRÉDITO]]</f>
        <v>-451.58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SUMIFS(Tab_04.Abr[SALDO
ATUAL],Tab_04.Abr[CONTA],$I19)</f>
        <v>2993.41</v>
      </c>
      <c r="G19" s="4">
        <f t="shared" si="2"/>
        <v>0</v>
      </c>
      <c r="I19" s="3" t="s">
        <v>176</v>
      </c>
      <c r="J19" s="3" t="s">
        <v>274</v>
      </c>
      <c r="K19" s="4">
        <v>2993.41</v>
      </c>
      <c r="L19" s="4">
        <v>0</v>
      </c>
      <c r="M19" s="4">
        <v>451.58</v>
      </c>
      <c r="N19" s="4">
        <v>2541.83</v>
      </c>
      <c r="O19" s="4">
        <f>Tab_05.Mai[[#This Row],[DÉBITO]]-Tab_05.Mai[[#This Row],[CRÉDITO]]</f>
        <v>-451.58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SUMIFS(Tab_04.Abr[SALDO
ATUAL],Tab_04.Abr[CONTA],$I20)</f>
        <v>16601.48</v>
      </c>
      <c r="G20" s="4">
        <f t="shared" si="2"/>
        <v>0</v>
      </c>
      <c r="I20" s="3" t="s">
        <v>202</v>
      </c>
      <c r="J20" s="3" t="s">
        <v>640</v>
      </c>
      <c r="K20" s="4">
        <v>16601.48</v>
      </c>
      <c r="L20" s="4">
        <v>1234348.67</v>
      </c>
      <c r="M20" s="4">
        <v>1242524.17</v>
      </c>
      <c r="N20" s="4">
        <v>8425.98</v>
      </c>
      <c r="O20" s="4">
        <f>Tab_05.Mai[[#This Row],[DÉBITO]]-Tab_05.Mai[[#This Row],[CRÉDITO]]</f>
        <v>-8175.5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SUMIFS(Tab_04.Abr[SALDO
ATUAL],Tab_04.Abr[CONTA],$I21)</f>
        <v>1</v>
      </c>
      <c r="G21" s="4">
        <f t="shared" si="2"/>
        <v>0</v>
      </c>
      <c r="I21" s="3" t="s">
        <v>277</v>
      </c>
      <c r="J21" s="3" t="s">
        <v>278</v>
      </c>
      <c r="K21" s="4">
        <v>1</v>
      </c>
      <c r="L21" s="4">
        <v>1228411.44</v>
      </c>
      <c r="M21" s="4">
        <v>1228411.44</v>
      </c>
      <c r="N21" s="4">
        <v>1</v>
      </c>
      <c r="O21" s="4">
        <f>Tab_05.Mai[[#This Row],[DÉBITO]]-Tab_05.Mai[[#This Row],[CRÉDITO]]</f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SUMIFS(Tab_04.Abr[SALDO
ATUAL],Tab_04.Abr[CONTA],$I22)</f>
        <v>8590.7000000000007</v>
      </c>
      <c r="G22" s="4">
        <f t="shared" si="2"/>
        <v>0</v>
      </c>
      <c r="I22" s="3" t="s">
        <v>177</v>
      </c>
      <c r="J22" s="3" t="s">
        <v>279</v>
      </c>
      <c r="K22" s="4">
        <v>8590.7000000000007</v>
      </c>
      <c r="L22" s="4">
        <v>5787.33</v>
      </c>
      <c r="M22" s="4">
        <v>13696.83</v>
      </c>
      <c r="N22" s="4">
        <v>681.2</v>
      </c>
      <c r="O22" s="4">
        <f>Tab_05.Mai[[#This Row],[DÉBITO]]-Tab_05.Mai[[#This Row],[CRÉDITO]]</f>
        <v>-7909.5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SUMIFS(Tab_04.Abr[SALDO
ATUAL],Tab_04.Abr[CONTA],$I23)</f>
        <v>8009.78</v>
      </c>
      <c r="G23" s="4">
        <f t="shared" si="2"/>
        <v>0</v>
      </c>
      <c r="I23" s="3" t="s">
        <v>280</v>
      </c>
      <c r="J23" s="3" t="s">
        <v>281</v>
      </c>
      <c r="K23" s="4">
        <v>8009.78</v>
      </c>
      <c r="L23" s="4">
        <v>0</v>
      </c>
      <c r="M23" s="4">
        <v>266</v>
      </c>
      <c r="N23" s="4">
        <v>7743.78</v>
      </c>
      <c r="O23" s="4">
        <f>Tab_05.Mai[[#This Row],[DÉBITO]]-Tab_05.Mai[[#This Row],[CRÉDITO]]</f>
        <v>-266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A</v>
      </c>
      <c r="E24" s="2">
        <f>IF($I24="","",COUNTIFS(Tab_00.Trial[CONTA],$I24))</f>
        <v>1</v>
      </c>
      <c r="F24" s="4">
        <f>SUMIFS(Tab_04.Abr[SALDO
ATUAL],Tab_04.Abr[CONTA],$I24)</f>
        <v>0</v>
      </c>
      <c r="G24" s="4">
        <f t="shared" si="2"/>
        <v>0</v>
      </c>
      <c r="I24" s="3" t="s">
        <v>282</v>
      </c>
      <c r="J24" s="3" t="s">
        <v>283</v>
      </c>
      <c r="K24" s="4">
        <v>0</v>
      </c>
      <c r="L24" s="4">
        <v>149.9</v>
      </c>
      <c r="M24" s="4">
        <v>149.9</v>
      </c>
      <c r="N24" s="4">
        <v>0</v>
      </c>
      <c r="O24" s="4">
        <f>Tab_05.Mai[[#This Row],[DÉBITO]]-Tab_05.Mai[[#This Row],[CRÉDITO]]</f>
        <v>0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S</v>
      </c>
      <c r="E25" s="2">
        <f>IF($I25="","",COUNTIFS(Tab_00.Trial[CONTA],$I25))</f>
        <v>1</v>
      </c>
      <c r="F25" s="4">
        <f>SUMIFS(Tab_04.Abr[SALDO
ATUAL],Tab_04.Abr[CONTA],$I25)</f>
        <v>10276096.369999999</v>
      </c>
      <c r="G25" s="4">
        <f t="shared" si="2"/>
        <v>0</v>
      </c>
      <c r="I25" s="3" t="s">
        <v>203</v>
      </c>
      <c r="J25" s="3" t="s">
        <v>641</v>
      </c>
      <c r="K25" s="4">
        <v>10276096.369999999</v>
      </c>
      <c r="L25" s="4">
        <v>674538.63</v>
      </c>
      <c r="M25" s="4">
        <v>586599.64</v>
      </c>
      <c r="N25" s="4">
        <v>10364035.359999999</v>
      </c>
      <c r="O25" s="4">
        <f>Tab_05.Mai[[#This Row],[DÉBITO]]-Tab_05.Mai[[#This Row],[CRÉDITO]]</f>
        <v>87938.99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SUMIFS(Tab_04.Abr[SALDO
ATUAL],Tab_04.Abr[CONTA],$I26)</f>
        <v>4704925.87</v>
      </c>
      <c r="G26" s="4">
        <f t="shared" si="2"/>
        <v>0</v>
      </c>
      <c r="I26" s="3" t="s">
        <v>178</v>
      </c>
      <c r="J26" s="3" t="s">
        <v>284</v>
      </c>
      <c r="K26" s="4">
        <v>4704925.87</v>
      </c>
      <c r="L26" s="4">
        <v>629172.21</v>
      </c>
      <c r="M26" s="4">
        <v>586599.64</v>
      </c>
      <c r="N26" s="4">
        <v>4747498.4400000004</v>
      </c>
      <c r="O26" s="4">
        <f>Tab_05.Mai[[#This Row],[DÉBITO]]-Tab_05.Mai[[#This Row],[CRÉDITO]]</f>
        <v>42572.57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SUMIFS(Tab_04.Abr[SALDO
ATUAL],Tab_04.Abr[CONTA],$I27)</f>
        <v>5571170.5</v>
      </c>
      <c r="G27" s="4">
        <f t="shared" si="2"/>
        <v>0</v>
      </c>
      <c r="I27" s="3" t="s">
        <v>287</v>
      </c>
      <c r="J27" s="3" t="s">
        <v>288</v>
      </c>
      <c r="K27" s="4">
        <v>5571170.5</v>
      </c>
      <c r="L27" s="4">
        <v>45366.42</v>
      </c>
      <c r="M27" s="4">
        <v>0</v>
      </c>
      <c r="N27" s="4">
        <v>5616536.9199999999</v>
      </c>
      <c r="O27" s="4">
        <f>Tab_05.Mai[[#This Row],[DÉBITO]]-Tab_05.Mai[[#This Row],[CRÉDITO]]</f>
        <v>45366.42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SUMIFS(Tab_04.Abr[SALDO
ATUAL],Tab_04.Abr[CONTA],$I28)</f>
        <v>99274.97</v>
      </c>
      <c r="G28" s="4">
        <f t="shared" si="2"/>
        <v>0</v>
      </c>
      <c r="I28" s="3" t="s">
        <v>204</v>
      </c>
      <c r="J28" s="3" t="s">
        <v>642</v>
      </c>
      <c r="K28" s="4">
        <v>99274.97</v>
      </c>
      <c r="L28" s="4">
        <v>0</v>
      </c>
      <c r="M28" s="4">
        <v>0</v>
      </c>
      <c r="N28" s="4">
        <v>99274.97</v>
      </c>
      <c r="O28" s="4">
        <f>Tab_05.Mai[[#This Row],[DÉBITO]]-Tab_05.Mai[[#This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SUMIFS(Tab_04.Abr[SALDO
ATUAL],Tab_04.Abr[CONTA],$I29)</f>
        <v>99274.97</v>
      </c>
      <c r="G29" s="4">
        <f t="shared" si="2"/>
        <v>0</v>
      </c>
      <c r="I29" s="3" t="s">
        <v>205</v>
      </c>
      <c r="J29" s="3" t="s">
        <v>643</v>
      </c>
      <c r="K29" s="4">
        <v>99274.97</v>
      </c>
      <c r="L29" s="4">
        <v>0</v>
      </c>
      <c r="M29" s="4">
        <v>0</v>
      </c>
      <c r="N29" s="4">
        <v>99274.97</v>
      </c>
      <c r="O29" s="4">
        <f>Tab_05.Mai[[#This Row],[DÉBITO]]-Tab_05.Mai[[#This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SUMIFS(Tab_04.Abr[SALDO
ATUAL],Tab_04.Abr[CONTA],$I30)</f>
        <v>99274.97</v>
      </c>
      <c r="G30" s="4">
        <f t="shared" si="2"/>
        <v>0</v>
      </c>
      <c r="I30" s="3" t="s">
        <v>291</v>
      </c>
      <c r="J30" s="3" t="s">
        <v>292</v>
      </c>
      <c r="K30" s="4">
        <v>99274.97</v>
      </c>
      <c r="L30" s="4">
        <v>0</v>
      </c>
      <c r="M30" s="4">
        <v>0</v>
      </c>
      <c r="N30" s="4">
        <v>99274.97</v>
      </c>
      <c r="O30" s="4">
        <f>Tab_05.Mai[[#This Row],[DÉBITO]]-Tab_05.Mai[[#This Row],[CRÉDITO]]</f>
        <v>0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SUMIFS(Tab_04.Abr[SALDO
ATUAL],Tab_04.Abr[CONTA],$I31)</f>
        <v>15269.35</v>
      </c>
      <c r="G31" s="4">
        <f t="shared" si="2"/>
        <v>0</v>
      </c>
      <c r="I31" s="3" t="s">
        <v>206</v>
      </c>
      <c r="J31" s="3" t="s">
        <v>644</v>
      </c>
      <c r="K31" s="4">
        <v>15269.35</v>
      </c>
      <c r="L31" s="4">
        <v>0</v>
      </c>
      <c r="M31" s="4">
        <v>44.58</v>
      </c>
      <c r="N31" s="4">
        <v>15224.77</v>
      </c>
      <c r="O31" s="4">
        <f>Tab_05.Mai[[#This Row],[DÉBITO]]-Tab_05.Mai[[#This Row],[CRÉDITO]]</f>
        <v>-44.58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SUMIFS(Tab_04.Abr[SALDO
ATUAL],Tab_04.Abr[CONTA],$I32)</f>
        <v>44.58</v>
      </c>
      <c r="G32" s="4">
        <f t="shared" si="2"/>
        <v>0</v>
      </c>
      <c r="I32" s="3" t="s">
        <v>208</v>
      </c>
      <c r="J32" s="3" t="s">
        <v>139</v>
      </c>
      <c r="K32" s="4">
        <v>44.58</v>
      </c>
      <c r="L32" s="4">
        <v>0</v>
      </c>
      <c r="M32" s="4">
        <v>44.58</v>
      </c>
      <c r="N32" s="4">
        <v>0</v>
      </c>
      <c r="O32" s="4">
        <f>Tab_05.Mai[[#This Row],[DÉBITO]]-Tab_05.Mai[[#This Row],[CRÉDITO]]</f>
        <v>-44.58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SUMIFS(Tab_04.Abr[SALDO
ATUAL],Tab_04.Abr[CONTA],$I33)</f>
        <v>44.58</v>
      </c>
      <c r="G33" s="4">
        <f t="shared" si="2"/>
        <v>0</v>
      </c>
      <c r="I33" s="3" t="s">
        <v>179</v>
      </c>
      <c r="J33" s="3" t="s">
        <v>293</v>
      </c>
      <c r="K33" s="4">
        <v>44.58</v>
      </c>
      <c r="L33" s="4">
        <v>0</v>
      </c>
      <c r="M33" s="4">
        <v>44.58</v>
      </c>
      <c r="N33" s="4">
        <v>0</v>
      </c>
      <c r="O33" s="4">
        <f>Tab_05.Mai[[#This Row],[DÉBITO]]-Tab_05.Mai[[#This Row],[CRÉDITO]]</f>
        <v>-44.58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S</v>
      </c>
      <c r="E34" s="2">
        <f>IF($I34="","",COUNTIFS(Tab_00.Trial[CONTA],$I34))</f>
        <v>1</v>
      </c>
      <c r="F34" s="4">
        <f>SUMIFS(Tab_04.Abr[SALDO
ATUAL],Tab_04.Abr[CONTA],$I34)</f>
        <v>15224.77</v>
      </c>
      <c r="G34" s="4">
        <f t="shared" si="2"/>
        <v>0</v>
      </c>
      <c r="I34" s="3" t="s">
        <v>551</v>
      </c>
      <c r="J34" s="3" t="s">
        <v>645</v>
      </c>
      <c r="K34" s="4">
        <v>15224.77</v>
      </c>
      <c r="L34" s="4">
        <v>0</v>
      </c>
      <c r="M34" s="4">
        <v>0</v>
      </c>
      <c r="N34" s="4">
        <v>15224.77</v>
      </c>
      <c r="O34" s="4">
        <f>Tab_05.Mai[[#This Row],[DÉBITO]]-Tab_05.Mai[[#This Row],[CRÉDITO]]</f>
        <v>0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A</v>
      </c>
      <c r="E35" s="2">
        <f>IF($I35="","",COUNTIFS(Tab_00.Trial[CONTA],$I35))</f>
        <v>1</v>
      </c>
      <c r="F35" s="4">
        <f>SUMIFS(Tab_04.Abr[SALDO
ATUAL],Tab_04.Abr[CONTA],$I35)</f>
        <v>15224.77</v>
      </c>
      <c r="G35" s="4">
        <f t="shared" si="2"/>
        <v>0</v>
      </c>
      <c r="I35" s="3" t="s">
        <v>837</v>
      </c>
      <c r="J35" s="3" t="s">
        <v>838</v>
      </c>
      <c r="K35" s="4">
        <v>15224.77</v>
      </c>
      <c r="L35" s="4">
        <v>0</v>
      </c>
      <c r="M35" s="4">
        <v>0</v>
      </c>
      <c r="N35" s="4">
        <v>15224.77</v>
      </c>
      <c r="O35" s="4">
        <f>Tab_05.Mai[[#This Row],[DÉBITO]]-Tab_05.Mai[[#This Row],[CRÉDITO]]</f>
        <v>0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SUMIFS(Tab_04.Abr[SALDO
ATUAL],Tab_04.Abr[CONTA],$I36)</f>
        <v>78781.539999999994</v>
      </c>
      <c r="G36" s="4">
        <f t="shared" si="2"/>
        <v>0</v>
      </c>
      <c r="I36" s="3" t="s">
        <v>846</v>
      </c>
      <c r="J36" s="3" t="s">
        <v>847</v>
      </c>
      <c r="K36" s="4">
        <v>78781.539999999994</v>
      </c>
      <c r="L36" s="4">
        <v>0</v>
      </c>
      <c r="M36" s="4">
        <v>0</v>
      </c>
      <c r="N36" s="4">
        <v>78781.539999999994</v>
      </c>
      <c r="O36" s="4">
        <f>Tab_05.Mai[[#This Row],[DÉBITO]]-Tab_05.Mai[[#This Row],[CRÉDITO]]</f>
        <v>0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SUMIFS(Tab_04.Abr[SALDO
ATUAL],Tab_04.Abr[CONTA],$I37)</f>
        <v>78781.539999999994</v>
      </c>
      <c r="G37" s="4">
        <f t="shared" si="2"/>
        <v>0</v>
      </c>
      <c r="I37" s="3" t="s">
        <v>848</v>
      </c>
      <c r="J37" s="3" t="s">
        <v>849</v>
      </c>
      <c r="K37" s="4">
        <v>78781.539999999994</v>
      </c>
      <c r="L37" s="4">
        <v>0</v>
      </c>
      <c r="M37" s="4">
        <v>0</v>
      </c>
      <c r="N37" s="4">
        <v>78781.539999999994</v>
      </c>
      <c r="O37" s="4">
        <f>Tab_05.Mai[[#This Row],[DÉBITO]]-Tab_05.Mai[[#This Row],[CRÉDITO]]</f>
        <v>0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A</v>
      </c>
      <c r="E38" s="2">
        <f>IF($I38="","",COUNTIFS(Tab_00.Trial[CONTA],$I38))</f>
        <v>1</v>
      </c>
      <c r="F38" s="4">
        <f>SUMIFS(Tab_04.Abr[SALDO
ATUAL],Tab_04.Abr[CONTA],$I38)</f>
        <v>78781.539999999994</v>
      </c>
      <c r="G38" s="4">
        <f t="shared" si="2"/>
        <v>0</v>
      </c>
      <c r="I38" s="3" t="s">
        <v>850</v>
      </c>
      <c r="J38" s="3" t="s">
        <v>849</v>
      </c>
      <c r="K38" s="4">
        <v>78781.539999999994</v>
      </c>
      <c r="L38" s="4">
        <v>0</v>
      </c>
      <c r="M38" s="4">
        <v>0</v>
      </c>
      <c r="N38" s="4">
        <v>78781.539999999994</v>
      </c>
      <c r="O38" s="4">
        <f>Tab_05.Mai[[#This Row],[DÉBITO]]-Tab_05.Mai[[#This Row],[CRÉDITO]]</f>
        <v>0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S</v>
      </c>
      <c r="E39" s="2">
        <f>IF($I39="","",COUNTIFS(Tab_00.Trial[CONTA],$I39))</f>
        <v>1</v>
      </c>
      <c r="F39" s="4">
        <f>SUMIFS(Tab_04.Abr[SALDO
ATUAL],Tab_04.Abr[CONTA],$I39)</f>
        <v>1426.11</v>
      </c>
      <c r="G39" s="4">
        <f t="shared" si="2"/>
        <v>0</v>
      </c>
      <c r="I39" s="3" t="s">
        <v>209</v>
      </c>
      <c r="J39" s="3" t="s">
        <v>646</v>
      </c>
      <c r="K39" s="4">
        <v>1426.11</v>
      </c>
      <c r="L39" s="4">
        <v>0</v>
      </c>
      <c r="M39" s="4">
        <v>287.74</v>
      </c>
      <c r="N39" s="4">
        <v>1138.3699999999999</v>
      </c>
      <c r="O39" s="4">
        <f>Tab_05.Mai[[#This Row],[DÉBITO]]-Tab_05.Mai[[#This Row],[CRÉDITO]]</f>
        <v>-287.74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SUMIFS(Tab_04.Abr[SALDO
ATUAL],Tab_04.Abr[CONTA],$I40)</f>
        <v>1426.11</v>
      </c>
      <c r="G40" s="4">
        <f t="shared" si="2"/>
        <v>0</v>
      </c>
      <c r="I40" s="3" t="s">
        <v>210</v>
      </c>
      <c r="J40" s="3" t="s">
        <v>646</v>
      </c>
      <c r="K40" s="4">
        <v>1426.11</v>
      </c>
      <c r="L40" s="4">
        <v>0</v>
      </c>
      <c r="M40" s="4">
        <v>287.74</v>
      </c>
      <c r="N40" s="4">
        <v>1138.3699999999999</v>
      </c>
      <c r="O40" s="4">
        <f>Tab_05.Mai[[#This Row],[DÉBITO]]-Tab_05.Mai[[#This Row],[CRÉDITO]]</f>
        <v>-287.74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A</v>
      </c>
      <c r="E41" s="2">
        <f>IF($I41="","",COUNTIFS(Tab_00.Trial[CONTA],$I41))</f>
        <v>1</v>
      </c>
      <c r="F41" s="4">
        <f>SUMIFS(Tab_04.Abr[SALDO
ATUAL],Tab_04.Abr[CONTA],$I41)</f>
        <v>1426.11</v>
      </c>
      <c r="G41" s="4">
        <f t="shared" si="2"/>
        <v>0</v>
      </c>
      <c r="I41" s="3" t="s">
        <v>298</v>
      </c>
      <c r="J41" s="3" t="s">
        <v>299</v>
      </c>
      <c r="K41" s="4">
        <v>1426.11</v>
      </c>
      <c r="L41" s="4">
        <v>0</v>
      </c>
      <c r="M41" s="4">
        <v>287.74</v>
      </c>
      <c r="N41" s="4">
        <v>1138.3699999999999</v>
      </c>
      <c r="O41" s="4">
        <f>Tab_05.Mai[[#This Row],[DÉBITO]]-Tab_05.Mai[[#This Row],[CRÉDITO]]</f>
        <v>-287.74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2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SUMIFS(Tab_04.Abr[SALDO
ATUAL],Tab_04.Abr[CONTA],$I42)</f>
        <v>72893363.560000002</v>
      </c>
      <c r="G42" s="4">
        <f t="shared" si="2"/>
        <v>0</v>
      </c>
      <c r="I42" s="3" t="s">
        <v>211</v>
      </c>
      <c r="J42" s="3" t="s">
        <v>76</v>
      </c>
      <c r="K42" s="4">
        <v>72893363.560000002</v>
      </c>
      <c r="L42" s="4">
        <v>259514.35</v>
      </c>
      <c r="M42" s="4">
        <v>3667.05</v>
      </c>
      <c r="N42" s="4">
        <v>73149210.859999999</v>
      </c>
      <c r="O42" s="4">
        <f>Tab_05.Mai[[#This Row],[DÉBITO]]-Tab_05.Mai[[#This Row],[CRÉDITO]]</f>
        <v>255847.3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SUMIFS(Tab_04.Abr[SALDO
ATUAL],Tab_04.Abr[CONTA],$I43)</f>
        <v>254045.35</v>
      </c>
      <c r="G43" s="4">
        <f t="shared" si="2"/>
        <v>0</v>
      </c>
      <c r="I43" s="3" t="s">
        <v>552</v>
      </c>
      <c r="J43" s="3" t="s">
        <v>647</v>
      </c>
      <c r="K43" s="4">
        <v>254045.35</v>
      </c>
      <c r="L43" s="4">
        <v>411.92</v>
      </c>
      <c r="M43" s="4">
        <v>0</v>
      </c>
      <c r="N43" s="4">
        <v>254457.27</v>
      </c>
      <c r="O43" s="4">
        <f>Tab_05.Mai[[#This Row],[DÉBITO]]-Tab_05.Mai[[#This Row],[CRÉDITO]]</f>
        <v>411.92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SUMIFS(Tab_04.Abr[SALDO
ATUAL],Tab_04.Abr[CONTA],$I44)</f>
        <v>254045.35</v>
      </c>
      <c r="G44" s="4">
        <f t="shared" si="2"/>
        <v>0</v>
      </c>
      <c r="I44" s="3" t="s">
        <v>553</v>
      </c>
      <c r="J44" s="3" t="s">
        <v>301</v>
      </c>
      <c r="K44" s="4">
        <v>254045.35</v>
      </c>
      <c r="L44" s="4">
        <v>411.92</v>
      </c>
      <c r="M44" s="4">
        <v>0</v>
      </c>
      <c r="N44" s="4">
        <v>254457.27</v>
      </c>
      <c r="O44" s="4">
        <f>Tab_05.Mai[[#This Row],[DÉBITO]]-Tab_05.Mai[[#This Row],[CRÉDITO]]</f>
        <v>411.92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A</v>
      </c>
      <c r="E45" s="2">
        <f>IF($I45="","",COUNTIFS(Tab_00.Trial[CONTA],$I45))</f>
        <v>1</v>
      </c>
      <c r="F45" s="4">
        <f>SUMIFS(Tab_04.Abr[SALDO
ATUAL],Tab_04.Abr[CONTA],$I45)</f>
        <v>254045.35</v>
      </c>
      <c r="G45" s="4">
        <f t="shared" si="2"/>
        <v>0</v>
      </c>
      <c r="I45" s="3" t="s">
        <v>300</v>
      </c>
      <c r="J45" s="3" t="s">
        <v>301</v>
      </c>
      <c r="K45" s="4">
        <v>254045.35</v>
      </c>
      <c r="L45" s="4">
        <v>411.92</v>
      </c>
      <c r="M45" s="4">
        <v>0</v>
      </c>
      <c r="N45" s="4">
        <v>254457.27</v>
      </c>
      <c r="O45" s="4">
        <f>Tab_05.Mai[[#This Row],[DÉBITO]]-Tab_05.Mai[[#This Row],[CRÉDITO]]</f>
        <v>411.92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SUMIFS(Tab_04.Abr[SALDO
ATUAL],Tab_04.Abr[CONTA],$I46)</f>
        <v>70282824.340000004</v>
      </c>
      <c r="G46" s="4">
        <f t="shared" si="2"/>
        <v>0</v>
      </c>
      <c r="I46" s="3" t="s">
        <v>554</v>
      </c>
      <c r="J46" s="3" t="s">
        <v>648</v>
      </c>
      <c r="K46" s="4">
        <v>70282824.340000004</v>
      </c>
      <c r="L46" s="4">
        <v>239696.34</v>
      </c>
      <c r="M46" s="4">
        <v>0</v>
      </c>
      <c r="N46" s="4">
        <v>70522520.680000007</v>
      </c>
      <c r="O46" s="4">
        <f>Tab_05.Mai[[#This Row],[DÉBITO]]-Tab_05.Mai[[#This Row],[CRÉDITO]]</f>
        <v>239696.34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SUMIFS(Tab_04.Abr[SALDO
ATUAL],Tab_04.Abr[CONTA],$I47)</f>
        <v>45344232.229999997</v>
      </c>
      <c r="G47" s="4">
        <f t="shared" si="2"/>
        <v>0</v>
      </c>
      <c r="I47" s="3" t="s">
        <v>555</v>
      </c>
      <c r="J47" s="3" t="s">
        <v>649</v>
      </c>
      <c r="K47" s="4">
        <v>45344232.229999997</v>
      </c>
      <c r="L47" s="4">
        <v>0</v>
      </c>
      <c r="M47" s="4">
        <v>0</v>
      </c>
      <c r="N47" s="4">
        <v>45344232.229999997</v>
      </c>
      <c r="O47" s="4">
        <f>Tab_05.Mai[[#This Row],[DÉBITO]]-Tab_05.Mai[[#This Row],[CRÉDITO]]</f>
        <v>0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SUMIFS(Tab_04.Abr[SALDO
ATUAL],Tab_04.Abr[CONTA],$I48)</f>
        <v>42477392.43</v>
      </c>
      <c r="G48" s="4">
        <f t="shared" si="2"/>
        <v>0</v>
      </c>
      <c r="I48" s="3" t="s">
        <v>302</v>
      </c>
      <c r="J48" s="3" t="s">
        <v>303</v>
      </c>
      <c r="K48" s="4">
        <v>42477392.43</v>
      </c>
      <c r="L48" s="4">
        <v>0</v>
      </c>
      <c r="M48" s="4">
        <v>0</v>
      </c>
      <c r="N48" s="4">
        <v>42477392.43</v>
      </c>
      <c r="O48" s="4">
        <f>Tab_05.Mai[[#This Row],[DÉBITO]]-Tab_05.Mai[[#This Row],[CRÉDITO]]</f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SUMIFS(Tab_04.Abr[SALDO
ATUAL],Tab_04.Abr[CONTA],$I49)</f>
        <v>2866839.8</v>
      </c>
      <c r="G49" s="4">
        <f t="shared" si="2"/>
        <v>0</v>
      </c>
      <c r="I49" s="3" t="s">
        <v>304</v>
      </c>
      <c r="J49" s="3" t="s">
        <v>305</v>
      </c>
      <c r="K49" s="4">
        <v>2866839.8</v>
      </c>
      <c r="L49" s="4">
        <v>0</v>
      </c>
      <c r="M49" s="4">
        <v>0</v>
      </c>
      <c r="N49" s="4">
        <v>2866839.8</v>
      </c>
      <c r="O49" s="4">
        <f>Tab_05.Mai[[#This Row],[DÉBITO]]-Tab_05.Mai[[#This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SUMIFS(Tab_04.Abr[SALDO
ATUAL],Tab_04.Abr[CONTA],$I50)</f>
        <v>4760.84</v>
      </c>
      <c r="G50" s="4">
        <f t="shared" ref="G50:G81" si="3">$F50-$K50</f>
        <v>0</v>
      </c>
      <c r="I50" s="3" t="s">
        <v>556</v>
      </c>
      <c r="J50" s="3" t="s">
        <v>650</v>
      </c>
      <c r="K50" s="4">
        <v>4760.84</v>
      </c>
      <c r="L50" s="4">
        <v>0</v>
      </c>
      <c r="M50" s="4">
        <v>0</v>
      </c>
      <c r="N50" s="4">
        <v>4760.84</v>
      </c>
      <c r="O50" s="4">
        <f>Tab_05.Mai[[#This Row],[DÉBITO]]-Tab_05.Mai[[#This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SUMIFS(Tab_04.Abr[SALDO
ATUAL],Tab_04.Abr[CONTA],$I51)</f>
        <v>4760.84</v>
      </c>
      <c r="G51" s="4">
        <f t="shared" si="3"/>
        <v>0</v>
      </c>
      <c r="I51" s="3" t="s">
        <v>306</v>
      </c>
      <c r="J51" s="3" t="s">
        <v>307</v>
      </c>
      <c r="K51" s="4">
        <v>4760.84</v>
      </c>
      <c r="L51" s="4">
        <v>0</v>
      </c>
      <c r="M51" s="4">
        <v>0</v>
      </c>
      <c r="N51" s="4">
        <v>4760.84</v>
      </c>
      <c r="O51" s="4">
        <f>Tab_05.Mai[[#This Row],[DÉBITO]]-Tab_05.Mai[[#This Row],[CRÉDITO]]</f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S</v>
      </c>
      <c r="E52" s="2">
        <f>IF($I52="","",COUNTIFS(Tab_00.Trial[CONTA],$I52))</f>
        <v>1</v>
      </c>
      <c r="F52" s="4">
        <f>SUMIFS(Tab_04.Abr[SALDO
ATUAL],Tab_04.Abr[CONTA],$I52)</f>
        <v>24933831.27</v>
      </c>
      <c r="G52" s="4">
        <f t="shared" si="3"/>
        <v>0</v>
      </c>
      <c r="I52" s="3" t="s">
        <v>557</v>
      </c>
      <c r="J52" s="3" t="s">
        <v>309</v>
      </c>
      <c r="K52" s="4">
        <v>24933831.27</v>
      </c>
      <c r="L52" s="4">
        <v>239696.34</v>
      </c>
      <c r="M52" s="4">
        <v>0</v>
      </c>
      <c r="N52" s="4">
        <v>25173527.609999999</v>
      </c>
      <c r="O52" s="4">
        <f>Tab_05.Mai[[#This Row],[DÉBITO]]-Tab_05.Mai[[#This Row],[CRÉDITO]]</f>
        <v>239696.34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A</v>
      </c>
      <c r="E53" s="2">
        <f>IF($I53="","",COUNTIFS(Tab_00.Trial[CONTA],$I53))</f>
        <v>1</v>
      </c>
      <c r="F53" s="4">
        <f>SUMIFS(Tab_04.Abr[SALDO
ATUAL],Tab_04.Abr[CONTA],$I53)</f>
        <v>24933831.27</v>
      </c>
      <c r="G53" s="4">
        <f t="shared" si="3"/>
        <v>0</v>
      </c>
      <c r="I53" s="3" t="s">
        <v>308</v>
      </c>
      <c r="J53" s="3" t="s">
        <v>309</v>
      </c>
      <c r="K53" s="4">
        <v>24933831.27</v>
      </c>
      <c r="L53" s="4">
        <v>239696.34</v>
      </c>
      <c r="M53" s="4">
        <v>0</v>
      </c>
      <c r="N53" s="4">
        <v>25173527.609999999</v>
      </c>
      <c r="O53" s="4">
        <f>Tab_05.Mai[[#This Row],[DÉBITO]]-Tab_05.Mai[[#This Row],[CRÉDITO]]</f>
        <v>239696.34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S</v>
      </c>
      <c r="E54" s="2">
        <f>IF($I54="","",COUNTIFS(Tab_00.Trial[CONTA],$I54))</f>
        <v>1</v>
      </c>
      <c r="F54" s="4">
        <f>SUMIFS(Tab_04.Abr[SALDO
ATUAL],Tab_04.Abr[CONTA],$I54)</f>
        <v>2356493.87</v>
      </c>
      <c r="G54" s="4">
        <f t="shared" si="3"/>
        <v>0</v>
      </c>
      <c r="I54" s="3" t="s">
        <v>213</v>
      </c>
      <c r="J54" s="3" t="s">
        <v>35</v>
      </c>
      <c r="K54" s="4">
        <v>2356493.87</v>
      </c>
      <c r="L54" s="4">
        <v>19406.09</v>
      </c>
      <c r="M54" s="4">
        <v>3667.05</v>
      </c>
      <c r="N54" s="4">
        <v>2372232.91</v>
      </c>
      <c r="O54" s="4">
        <f>Tab_05.Mai[[#This Row],[DÉBITO]]-Tab_05.Mai[[#This Row],[CRÉDITO]]</f>
        <v>15739.04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SUMIFS(Tab_04.Abr[SALDO
ATUAL],Tab_04.Abr[CONTA],$I55)</f>
        <v>3526215.82</v>
      </c>
      <c r="G55" s="4">
        <f t="shared" si="3"/>
        <v>0</v>
      </c>
      <c r="I55" s="3" t="s">
        <v>214</v>
      </c>
      <c r="J55" s="3" t="s">
        <v>651</v>
      </c>
      <c r="K55" s="4">
        <v>3526215.82</v>
      </c>
      <c r="L55" s="4">
        <v>19406.09</v>
      </c>
      <c r="M55" s="4">
        <v>0</v>
      </c>
      <c r="N55" s="4">
        <v>3545621.91</v>
      </c>
      <c r="O55" s="4">
        <f>Tab_05.Mai[[#This Row],[DÉBITO]]-Tab_05.Mai[[#This Row],[CRÉDITO]]</f>
        <v>19406.09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SUMIFS(Tab_04.Abr[SALDO
ATUAL],Tab_04.Abr[CONTA],$I56)</f>
        <v>1379260.84</v>
      </c>
      <c r="G56" s="4">
        <f t="shared" si="3"/>
        <v>0</v>
      </c>
      <c r="I56" s="3" t="s">
        <v>310</v>
      </c>
      <c r="J56" s="3" t="s">
        <v>311</v>
      </c>
      <c r="K56" s="4">
        <v>1379260.84</v>
      </c>
      <c r="L56" s="4">
        <v>0</v>
      </c>
      <c r="M56" s="4">
        <v>0</v>
      </c>
      <c r="N56" s="4">
        <v>1379260.84</v>
      </c>
      <c r="O56" s="4">
        <f>Tab_05.Mai[[#This Row],[DÉBITO]]-Tab_05.Mai[[#This Row],[CRÉDITO]]</f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SUMIFS(Tab_04.Abr[SALDO
ATUAL],Tab_04.Abr[CONTA],$I57)</f>
        <v>1271804.96</v>
      </c>
      <c r="G57" s="4">
        <f t="shared" si="3"/>
        <v>0</v>
      </c>
      <c r="I57" s="3" t="s">
        <v>312</v>
      </c>
      <c r="J57" s="3" t="s">
        <v>313</v>
      </c>
      <c r="K57" s="4">
        <v>1271804.96</v>
      </c>
      <c r="L57" s="4">
        <v>18588.89</v>
      </c>
      <c r="M57" s="4">
        <v>0</v>
      </c>
      <c r="N57" s="4">
        <v>1290393.8500000001</v>
      </c>
      <c r="O57" s="4">
        <f>Tab_05.Mai[[#This Row],[DÉBITO]]-Tab_05.Mai[[#This Row],[CRÉDITO]]</f>
        <v>18588.89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SUMIFS(Tab_04.Abr[SALDO
ATUAL],Tab_04.Abr[CONTA],$I58)</f>
        <v>23000</v>
      </c>
      <c r="G58" s="4">
        <f t="shared" si="3"/>
        <v>0</v>
      </c>
      <c r="I58" s="3" t="s">
        <v>181</v>
      </c>
      <c r="J58" s="3" t="s">
        <v>314</v>
      </c>
      <c r="K58" s="4">
        <v>23000</v>
      </c>
      <c r="L58" s="4">
        <v>0</v>
      </c>
      <c r="M58" s="4">
        <v>0</v>
      </c>
      <c r="N58" s="4">
        <v>23000</v>
      </c>
      <c r="O58" s="4">
        <f>Tab_05.Mai[[#This Row],[DÉBITO]]-Tab_05.Mai[[#This Row],[CRÉDITO]]</f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SUMIFS(Tab_04.Abr[SALDO
ATUAL],Tab_04.Abr[CONTA],$I59)</f>
        <v>12594</v>
      </c>
      <c r="G59" s="4">
        <f t="shared" si="3"/>
        <v>0</v>
      </c>
      <c r="I59" s="3" t="s">
        <v>182</v>
      </c>
      <c r="J59" s="3" t="s">
        <v>315</v>
      </c>
      <c r="K59" s="4">
        <v>12594</v>
      </c>
      <c r="L59" s="4">
        <v>0</v>
      </c>
      <c r="M59" s="4">
        <v>0</v>
      </c>
      <c r="N59" s="4">
        <v>12594</v>
      </c>
      <c r="O59" s="4">
        <f>Tab_05.Mai[[#This Row],[DÉBITO]]-Tab_05.Mai[[#This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SUMIFS(Tab_04.Abr[SALDO
ATUAL],Tab_04.Abr[CONTA],$I60)</f>
        <v>224642.85</v>
      </c>
      <c r="G60" s="4">
        <f t="shared" si="3"/>
        <v>0</v>
      </c>
      <c r="I60" s="3" t="s">
        <v>183</v>
      </c>
      <c r="J60" s="3" t="s">
        <v>316</v>
      </c>
      <c r="K60" s="4">
        <v>224642.85</v>
      </c>
      <c r="L60" s="4">
        <v>0</v>
      </c>
      <c r="M60" s="4">
        <v>0</v>
      </c>
      <c r="N60" s="4">
        <v>224642.85</v>
      </c>
      <c r="O60" s="4">
        <f>Tab_05.Mai[[#This Row],[DÉBITO]]-Tab_05.Mai[[#This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SUMIFS(Tab_04.Abr[SALDO
ATUAL],Tab_04.Abr[CONTA],$I61)</f>
        <v>7349.9</v>
      </c>
      <c r="G61" s="4">
        <f t="shared" si="3"/>
        <v>0</v>
      </c>
      <c r="I61" s="3" t="s">
        <v>317</v>
      </c>
      <c r="J61" s="3" t="s">
        <v>318</v>
      </c>
      <c r="K61" s="4">
        <v>7349.9</v>
      </c>
      <c r="L61" s="4">
        <v>0</v>
      </c>
      <c r="M61" s="4">
        <v>0</v>
      </c>
      <c r="N61" s="4">
        <v>7349.9</v>
      </c>
      <c r="O61" s="4">
        <f>Tab_05.Mai[[#This Row],[DÉBITO]]-Tab_05.Mai[[#This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SUMIFS(Tab_04.Abr[SALDO
ATUAL],Tab_04.Abr[CONTA],$I62)</f>
        <v>128697.03</v>
      </c>
      <c r="G62" s="4">
        <f t="shared" si="3"/>
        <v>0</v>
      </c>
      <c r="I62" s="3" t="s">
        <v>184</v>
      </c>
      <c r="J62" s="3" t="s">
        <v>319</v>
      </c>
      <c r="K62" s="4">
        <v>128697.03</v>
      </c>
      <c r="L62" s="4">
        <v>0</v>
      </c>
      <c r="M62" s="4">
        <v>0</v>
      </c>
      <c r="N62" s="4">
        <v>128697.03</v>
      </c>
      <c r="O62" s="4">
        <f>Tab_05.Mai[[#This Row],[DÉBITO]]-Tab_05.Mai[[#This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SUMIFS(Tab_04.Abr[SALDO
ATUAL],Tab_04.Abr[CONTA],$I63)</f>
        <v>15029.74</v>
      </c>
      <c r="G63" s="4">
        <f t="shared" si="3"/>
        <v>0</v>
      </c>
      <c r="I63" s="3" t="s">
        <v>185</v>
      </c>
      <c r="J63" s="3" t="s">
        <v>320</v>
      </c>
      <c r="K63" s="4">
        <v>15029.74</v>
      </c>
      <c r="L63" s="4">
        <v>0</v>
      </c>
      <c r="M63" s="4">
        <v>0</v>
      </c>
      <c r="N63" s="4">
        <v>15029.74</v>
      </c>
      <c r="O63" s="4">
        <f>Tab_05.Mai[[#This Row],[DÉBITO]]-Tab_05.Mai[[#This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SUMIFS(Tab_04.Abr[SALDO
ATUAL],Tab_04.Abr[CONTA],$I64)</f>
        <v>463836.5</v>
      </c>
      <c r="G64" s="4">
        <f t="shared" si="3"/>
        <v>0</v>
      </c>
      <c r="I64" s="3" t="s">
        <v>321</v>
      </c>
      <c r="J64" s="3" t="s">
        <v>322</v>
      </c>
      <c r="K64" s="4">
        <v>463836.5</v>
      </c>
      <c r="L64" s="4">
        <v>817.2</v>
      </c>
      <c r="M64" s="4">
        <v>0</v>
      </c>
      <c r="N64" s="4">
        <v>464653.7</v>
      </c>
      <c r="O64" s="4">
        <f>Tab_05.Mai[[#This Row],[DÉBITO]]-Tab_05.Mai[[#This Row],[CRÉDITO]]</f>
        <v>817.2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S</v>
      </c>
      <c r="E65" s="2">
        <f>IF($I65="","",COUNTIFS(Tab_00.Trial[CONTA],$I65))</f>
        <v>1</v>
      </c>
      <c r="F65" s="4">
        <f>SUMIFS(Tab_04.Abr[SALDO
ATUAL],Tab_04.Abr[CONTA],$I65)</f>
        <v>-1169721.95</v>
      </c>
      <c r="G65" s="4">
        <f t="shared" si="3"/>
        <v>0</v>
      </c>
      <c r="I65" s="3" t="s">
        <v>215</v>
      </c>
      <c r="J65" s="3" t="s">
        <v>652</v>
      </c>
      <c r="K65" s="4">
        <v>-1169721.95</v>
      </c>
      <c r="L65" s="4">
        <v>0</v>
      </c>
      <c r="M65" s="4">
        <v>3667.05</v>
      </c>
      <c r="N65" s="4">
        <v>-1173389</v>
      </c>
      <c r="O65" s="4">
        <f>Tab_05.Mai[[#This Row],[DÉBITO]]-Tab_05.Mai[[#This Row],[CRÉDITO]]</f>
        <v>-3667.05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SUMIFS(Tab_04.Abr[SALDO
ATUAL],Tab_04.Abr[CONTA],$I66)</f>
        <v>-658870.76</v>
      </c>
      <c r="G66" s="4">
        <f t="shared" si="3"/>
        <v>0</v>
      </c>
      <c r="I66" s="3" t="s">
        <v>186</v>
      </c>
      <c r="J66" s="3" t="s">
        <v>313</v>
      </c>
      <c r="K66" s="4">
        <v>-658870.76</v>
      </c>
      <c r="L66" s="4">
        <v>0</v>
      </c>
      <c r="M66" s="4">
        <v>2997.93</v>
      </c>
      <c r="N66" s="4">
        <v>-661868.68999999994</v>
      </c>
      <c r="O66" s="4">
        <f>Tab_05.Mai[[#This Row],[DÉBITO]]-Tab_05.Mai[[#This Row],[CRÉDITO]]</f>
        <v>-2997.93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SUMIFS(Tab_04.Abr[SALDO
ATUAL],Tab_04.Abr[CONTA],$I67)</f>
        <v>-17633.61</v>
      </c>
      <c r="G67" s="4">
        <f t="shared" si="3"/>
        <v>0</v>
      </c>
      <c r="I67" s="3" t="s">
        <v>187</v>
      </c>
      <c r="J67" s="3" t="s">
        <v>314</v>
      </c>
      <c r="K67" s="4">
        <v>-17633.61</v>
      </c>
      <c r="L67" s="4">
        <v>0</v>
      </c>
      <c r="M67" s="4">
        <v>191.67</v>
      </c>
      <c r="N67" s="4">
        <v>-17825.28</v>
      </c>
      <c r="O67" s="4">
        <f>Tab_05.Mai[[#This Row],[DÉBITO]]-Tab_05.Mai[[#This Row],[CRÉDITO]]</f>
        <v>-191.67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SUMIFS(Tab_04.Abr[SALDO
ATUAL],Tab_04.Abr[CONTA],$I68)</f>
        <v>-6473.91</v>
      </c>
      <c r="G68" s="4">
        <f t="shared" si="3"/>
        <v>0</v>
      </c>
      <c r="I68" s="3" t="s">
        <v>188</v>
      </c>
      <c r="J68" s="3" t="s">
        <v>315</v>
      </c>
      <c r="K68" s="4">
        <v>-6473.91</v>
      </c>
      <c r="L68" s="4">
        <v>0</v>
      </c>
      <c r="M68" s="4">
        <v>104.95</v>
      </c>
      <c r="N68" s="4">
        <v>-6578.86</v>
      </c>
      <c r="O68" s="4">
        <f>Tab_05.Mai[[#This Row],[DÉBITO]]-Tab_05.Mai[[#This Row],[CRÉDITO]]</f>
        <v>-104.95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SUMIFS(Tab_04.Abr[SALDO
ATUAL],Tab_04.Abr[CONTA],$I69)</f>
        <v>-224642.85</v>
      </c>
      <c r="G69" s="4">
        <f t="shared" si="3"/>
        <v>0</v>
      </c>
      <c r="I69" s="3" t="s">
        <v>189</v>
      </c>
      <c r="J69" s="3" t="s">
        <v>316</v>
      </c>
      <c r="K69" s="4">
        <v>-224642.85</v>
      </c>
      <c r="L69" s="4">
        <v>0</v>
      </c>
      <c r="M69" s="4">
        <v>0</v>
      </c>
      <c r="N69" s="4">
        <v>-224642.85</v>
      </c>
      <c r="O69" s="4">
        <f>Tab_05.Mai[[#This Row],[DÉBITO]]-Tab_05.Mai[[#This Row],[CRÉDITO]]</f>
        <v>0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SUMIFS(Tab_04.Abr[SALDO
ATUAL],Tab_04.Abr[CONTA],$I70)</f>
        <v>-3942.34</v>
      </c>
      <c r="G70" s="4">
        <f t="shared" si="3"/>
        <v>0</v>
      </c>
      <c r="I70" s="3" t="s">
        <v>190</v>
      </c>
      <c r="J70" s="3" t="s">
        <v>318</v>
      </c>
      <c r="K70" s="4">
        <v>-3942.34</v>
      </c>
      <c r="L70" s="4">
        <v>0</v>
      </c>
      <c r="M70" s="4">
        <v>122.5</v>
      </c>
      <c r="N70" s="4">
        <v>-4064.84</v>
      </c>
      <c r="O70" s="4">
        <f>Tab_05.Mai[[#This Row],[DÉBITO]]-Tab_05.Mai[[#This Row],[CRÉDITO]]</f>
        <v>-122.5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SUMIFS(Tab_04.Abr[SALDO
ATUAL],Tab_04.Abr[CONTA],$I71)</f>
        <v>-128697.03</v>
      </c>
      <c r="G71" s="4">
        <f t="shared" si="3"/>
        <v>0</v>
      </c>
      <c r="I71" s="3" t="s">
        <v>323</v>
      </c>
      <c r="J71" s="3" t="s">
        <v>319</v>
      </c>
      <c r="K71" s="4">
        <v>-128697.03</v>
      </c>
      <c r="L71" s="4">
        <v>0</v>
      </c>
      <c r="M71" s="4">
        <v>0</v>
      </c>
      <c r="N71" s="4">
        <v>-128697.03</v>
      </c>
      <c r="O71" s="4">
        <f>Tab_05.Mai[[#This Row],[DÉBITO]]-Tab_05.Mai[[#This Row],[CRÉDITO]]</f>
        <v>0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SUMIFS(Tab_04.Abr[SALDO
ATUAL],Tab_04.Abr[CONTA],$I72)</f>
        <v>-15029.74</v>
      </c>
      <c r="G72" s="4">
        <f t="shared" si="3"/>
        <v>0</v>
      </c>
      <c r="I72" s="3" t="s">
        <v>324</v>
      </c>
      <c r="J72" s="3" t="s">
        <v>320</v>
      </c>
      <c r="K72" s="4">
        <v>-15029.74</v>
      </c>
      <c r="L72" s="4">
        <v>0</v>
      </c>
      <c r="M72" s="4">
        <v>0</v>
      </c>
      <c r="N72" s="4">
        <v>-15029.74</v>
      </c>
      <c r="O72" s="4">
        <f>Tab_05.Mai[[#This Row],[DÉBITO]]-Tab_05.Mai[[#This Row],[CRÉDITO]]</f>
        <v>0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SUMIFS(Tab_04.Abr[SALDO
ATUAL],Tab_04.Abr[CONTA],$I73)</f>
        <v>-114431.71</v>
      </c>
      <c r="G73" s="4">
        <f t="shared" si="3"/>
        <v>0</v>
      </c>
      <c r="I73" s="3" t="s">
        <v>325</v>
      </c>
      <c r="J73" s="3" t="s">
        <v>322</v>
      </c>
      <c r="K73" s="4">
        <v>-114431.71</v>
      </c>
      <c r="L73" s="4">
        <v>0</v>
      </c>
      <c r="M73" s="4">
        <v>250</v>
      </c>
      <c r="N73" s="4">
        <v>-114681.71</v>
      </c>
      <c r="O73" s="4">
        <f>Tab_05.Mai[[#This Row],[DÉBITO]]-Tab_05.Mai[[#This Row],[CRÉDITO]]</f>
        <v>-250</v>
      </c>
    </row>
    <row r="74" spans="2:15" x14ac:dyDescent="0.3">
      <c r="B74" s="2" t="str">
        <f>_xlfn.XLOOKUP($I74,Tab_00.Trial[CONTA],Tab_00.Trial[TP],"",0,1)</f>
        <v>P</v>
      </c>
      <c r="C74" s="2">
        <f>_xlfn.XLOOKUP($I74,Tab_00.Trial[CONTA],Tab_00.Trial[NV],"",0,1)</f>
        <v>1</v>
      </c>
      <c r="D74" s="2" t="str">
        <f>_xlfn.XLOOKUP($I74,Tab_00.Trial[CONTA],Tab_00.Trial[S/A],"",0,1)</f>
        <v>S</v>
      </c>
      <c r="E74" s="2">
        <f>IF($I74="","",COUNTIFS(Tab_00.Trial[CONTA],$I74))</f>
        <v>1</v>
      </c>
      <c r="F74" s="4">
        <f>SUMIFS(Tab_04.Abr[SALDO
ATUAL],Tab_04.Abr[CONTA],$I74)</f>
        <v>-83453877.370000005</v>
      </c>
      <c r="G74" s="4">
        <f t="shared" si="3"/>
        <v>0</v>
      </c>
      <c r="I74" s="3">
        <v>2</v>
      </c>
      <c r="J74" s="3" t="s">
        <v>653</v>
      </c>
      <c r="K74" s="4">
        <v>-83453877.370000005</v>
      </c>
      <c r="L74" s="4">
        <v>661116.39</v>
      </c>
      <c r="M74" s="4">
        <v>533437.39</v>
      </c>
      <c r="N74" s="4">
        <v>-83326198.370000005</v>
      </c>
      <c r="O74" s="4">
        <f>Tab_05.Mai[[#This Row],[DÉBITO]]-Tab_05.Mai[[#This Row],[CRÉDITO]]</f>
        <v>127679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2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SUMIFS(Tab_04.Abr[SALDO
ATUAL],Tab_04.Abr[CONTA],$I75)</f>
        <v>-1551412.84</v>
      </c>
      <c r="G75" s="4">
        <f t="shared" si="3"/>
        <v>0</v>
      </c>
      <c r="I75" s="3" t="s">
        <v>216</v>
      </c>
      <c r="J75" s="3" t="s">
        <v>31</v>
      </c>
      <c r="K75" s="4">
        <v>-1551412.84</v>
      </c>
      <c r="L75" s="4">
        <v>661116.39</v>
      </c>
      <c r="M75" s="4">
        <v>533437.39</v>
      </c>
      <c r="N75" s="4">
        <v>-1423733.84</v>
      </c>
      <c r="O75" s="4">
        <f>Tab_05.Mai[[#This Row],[DÉBITO]]-Tab_05.Mai[[#This Row],[CRÉDITO]]</f>
        <v>127679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5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SUMIFS(Tab_04.Abr[SALDO
ATUAL],Tab_04.Abr[CONTA],$I76)</f>
        <v>-313316.90000000002</v>
      </c>
      <c r="G76" s="4">
        <f t="shared" si="3"/>
        <v>0</v>
      </c>
      <c r="I76" s="3" t="s">
        <v>558</v>
      </c>
      <c r="J76" s="3" t="s">
        <v>654</v>
      </c>
      <c r="K76" s="4">
        <v>-313316.90000000002</v>
      </c>
      <c r="L76" s="4">
        <v>149240.24</v>
      </c>
      <c r="M76" s="4">
        <v>175118.31</v>
      </c>
      <c r="N76" s="4">
        <v>-339194.97</v>
      </c>
      <c r="O76" s="4">
        <f>Tab_05.Mai[[#This Row],[DÉBITO]]-Tab_05.Mai[[#This Row],[CRÉDITO]]</f>
        <v>-25878.07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SUMIFS(Tab_04.Abr[SALDO
ATUAL],Tab_04.Abr[CONTA],$I77)</f>
        <v>0</v>
      </c>
      <c r="G77" s="4">
        <f t="shared" si="3"/>
        <v>0</v>
      </c>
      <c r="I77" s="3" t="s">
        <v>559</v>
      </c>
      <c r="J77" s="3" t="s">
        <v>655</v>
      </c>
      <c r="K77" s="4">
        <v>0</v>
      </c>
      <c r="L77" s="4">
        <v>85878.56</v>
      </c>
      <c r="M77" s="4">
        <v>85878.56</v>
      </c>
      <c r="N77" s="4">
        <v>0</v>
      </c>
      <c r="O77" s="4">
        <f>Tab_05.Mai[[#This Row],[DÉBITO]]-Tab_05.Mai[[#This Row],[CRÉDITO]]</f>
        <v>0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A</v>
      </c>
      <c r="E78" s="2">
        <f>IF($I78="","",COUNTIFS(Tab_00.Trial[CONTA],$I78))</f>
        <v>1</v>
      </c>
      <c r="F78" s="4">
        <f>SUMIFS(Tab_04.Abr[SALDO
ATUAL],Tab_04.Abr[CONTA],$I78)</f>
        <v>0</v>
      </c>
      <c r="G78" s="4">
        <f t="shared" si="3"/>
        <v>0</v>
      </c>
      <c r="I78" s="3" t="s">
        <v>326</v>
      </c>
      <c r="J78" s="3" t="s">
        <v>327</v>
      </c>
      <c r="K78" s="4">
        <v>0</v>
      </c>
      <c r="L78" s="4">
        <v>83479.429999999993</v>
      </c>
      <c r="M78" s="4">
        <v>83479.429999999993</v>
      </c>
      <c r="N78" s="4">
        <v>0</v>
      </c>
      <c r="O78" s="4">
        <f>Tab_05.Mai[[#This Row],[DÉBITO]]-Tab_05.Mai[[#This Row],[CRÉDITO]]</f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SUMIFS(Tab_04.Abr[SALDO
ATUAL],Tab_04.Abr[CONTA],$I79)</f>
        <v>0</v>
      </c>
      <c r="G79" s="4">
        <f t="shared" si="3"/>
        <v>0</v>
      </c>
      <c r="I79" s="3" t="s">
        <v>328</v>
      </c>
      <c r="J79" s="3" t="s">
        <v>329</v>
      </c>
      <c r="K79" s="4">
        <v>0</v>
      </c>
      <c r="L79" s="4">
        <v>1210</v>
      </c>
      <c r="M79" s="4">
        <v>1210</v>
      </c>
      <c r="N79" s="4">
        <v>0</v>
      </c>
      <c r="O79" s="4">
        <f>Tab_05.Mai[[#This Row],[DÉBITO]]-Tab_05.Mai[[#This Row],[CRÉDITO]]</f>
        <v>0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SUMIFS(Tab_04.Abr[SALDO
ATUAL],Tab_04.Abr[CONTA],$I80)</f>
        <v>0</v>
      </c>
      <c r="G80" s="4">
        <f t="shared" si="3"/>
        <v>0</v>
      </c>
      <c r="I80" s="3" t="s">
        <v>330</v>
      </c>
      <c r="J80" s="3" t="s">
        <v>331</v>
      </c>
      <c r="K80" s="4">
        <v>0</v>
      </c>
      <c r="L80" s="4">
        <v>1189.1300000000001</v>
      </c>
      <c r="M80" s="4">
        <v>1189.1300000000001</v>
      </c>
      <c r="N80" s="4">
        <v>0</v>
      </c>
      <c r="O80" s="4">
        <f>Tab_05.Mai[[#This Row],[DÉBITO]]-Tab_05.Mai[[#This Row],[CRÉDITO]]</f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S</v>
      </c>
      <c r="E81" s="2">
        <f>IF($I81="","",COUNTIFS(Tab_00.Trial[CONTA],$I81))</f>
        <v>1</v>
      </c>
      <c r="F81" s="4">
        <f>SUMIFS(Tab_04.Abr[SALDO
ATUAL],Tab_04.Abr[CONTA],$I81)</f>
        <v>-44995.19</v>
      </c>
      <c r="G81" s="4">
        <f t="shared" si="3"/>
        <v>0</v>
      </c>
      <c r="I81" s="3" t="s">
        <v>560</v>
      </c>
      <c r="J81" s="3" t="s">
        <v>656</v>
      </c>
      <c r="K81" s="4">
        <v>-44995.19</v>
      </c>
      <c r="L81" s="4">
        <v>0</v>
      </c>
      <c r="M81" s="4">
        <v>11610.98</v>
      </c>
      <c r="N81" s="4">
        <v>-56606.17</v>
      </c>
      <c r="O81" s="4">
        <f>Tab_05.Mai[[#This Row],[DÉBITO]]-Tab_05.Mai[[#This Row],[CRÉDITO]]</f>
        <v>-11610.98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SUMIFS(Tab_04.Abr[SALDO
ATUAL],Tab_04.Abr[CONTA],$I82)</f>
        <v>-33133.46</v>
      </c>
      <c r="G82" s="4">
        <f t="shared" ref="G82:G113" si="4">$F82-$K82</f>
        <v>0</v>
      </c>
      <c r="I82" s="3" t="s">
        <v>332</v>
      </c>
      <c r="J82" s="3" t="s">
        <v>333</v>
      </c>
      <c r="K82" s="4">
        <v>-33133.46</v>
      </c>
      <c r="L82" s="4">
        <v>0</v>
      </c>
      <c r="M82" s="4">
        <v>8550.06</v>
      </c>
      <c r="N82" s="4">
        <v>-41683.519999999997</v>
      </c>
      <c r="O82" s="4">
        <f>Tab_05.Mai[[#This Row],[DÉBITO]]-Tab_05.Mai[[#This Row],[CRÉDITO]]</f>
        <v>-8550.06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SUMIFS(Tab_04.Abr[SALDO
ATUAL],Tab_04.Abr[CONTA],$I83)</f>
        <v>-2650.62</v>
      </c>
      <c r="G83" s="4">
        <f t="shared" si="4"/>
        <v>0</v>
      </c>
      <c r="I83" s="3" t="s">
        <v>784</v>
      </c>
      <c r="J83" s="3" t="s">
        <v>785</v>
      </c>
      <c r="K83" s="4">
        <v>-2650.62</v>
      </c>
      <c r="L83" s="4">
        <v>0</v>
      </c>
      <c r="M83" s="4">
        <v>684.02</v>
      </c>
      <c r="N83" s="4">
        <v>-3334.64</v>
      </c>
      <c r="O83" s="4">
        <f>Tab_05.Mai[[#This Row],[DÉBITO]]-Tab_05.Mai[[#This Row],[CRÉDITO]]</f>
        <v>-684.02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SUMIFS(Tab_04.Abr[SALDO
ATUAL],Tab_04.Abr[CONTA],$I84)</f>
        <v>-331.34</v>
      </c>
      <c r="G84" s="4">
        <f t="shared" si="4"/>
        <v>0</v>
      </c>
      <c r="I84" s="3" t="s">
        <v>786</v>
      </c>
      <c r="J84" s="3" t="s">
        <v>787</v>
      </c>
      <c r="K84" s="4">
        <v>-331.34</v>
      </c>
      <c r="L84" s="4">
        <v>0</v>
      </c>
      <c r="M84" s="4">
        <v>85.49</v>
      </c>
      <c r="N84" s="4">
        <v>-416.83</v>
      </c>
      <c r="O84" s="4">
        <f>Tab_05.Mai[[#This Row],[DÉBITO]]-Tab_05.Mai[[#This Row],[CRÉDITO]]</f>
        <v>-85.49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SUMIFS(Tab_04.Abr[SALDO
ATUAL],Tab_04.Abr[CONTA],$I85)</f>
        <v>-8879.77</v>
      </c>
      <c r="G85" s="4">
        <f t="shared" si="4"/>
        <v>0</v>
      </c>
      <c r="I85" s="3" t="s">
        <v>788</v>
      </c>
      <c r="J85" s="3" t="s">
        <v>789</v>
      </c>
      <c r="K85" s="4">
        <v>-8879.77</v>
      </c>
      <c r="L85" s="4">
        <v>0</v>
      </c>
      <c r="M85" s="4">
        <v>2291.41</v>
      </c>
      <c r="N85" s="4">
        <v>-11171.18</v>
      </c>
      <c r="O85" s="4">
        <f>Tab_05.Mai[[#This Row],[DÉBITO]]-Tab_05.Mai[[#This Row],[CRÉDITO]]</f>
        <v>-2291.41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S</v>
      </c>
      <c r="E86" s="2">
        <f>IF($I86="","",COUNTIFS(Tab_00.Trial[CONTA],$I86))</f>
        <v>1</v>
      </c>
      <c r="F86" s="4">
        <f>SUMIFS(Tab_04.Abr[SALDO
ATUAL],Tab_04.Abr[CONTA],$I86)</f>
        <v>-221867.95</v>
      </c>
      <c r="G86" s="4">
        <f t="shared" si="4"/>
        <v>0</v>
      </c>
      <c r="I86" s="3" t="s">
        <v>561</v>
      </c>
      <c r="J86" s="3" t="s">
        <v>657</v>
      </c>
      <c r="K86" s="4">
        <v>-221867.95</v>
      </c>
      <c r="L86" s="4">
        <v>742.23</v>
      </c>
      <c r="M86" s="4">
        <v>15481.25</v>
      </c>
      <c r="N86" s="4">
        <v>-236606.97</v>
      </c>
      <c r="O86" s="4">
        <f>Tab_05.Mai[[#This Row],[DÉBITO]]-Tab_05.Mai[[#This Row],[CRÉDITO]]</f>
        <v>-14739.02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SUMIFS(Tab_04.Abr[SALDO
ATUAL],Tab_04.Abr[CONTA],$I87)</f>
        <v>-163377.99</v>
      </c>
      <c r="G87" s="4">
        <f t="shared" si="4"/>
        <v>0</v>
      </c>
      <c r="I87" s="3" t="s">
        <v>334</v>
      </c>
      <c r="J87" s="3" t="s">
        <v>335</v>
      </c>
      <c r="K87" s="4">
        <v>-163377.99</v>
      </c>
      <c r="L87" s="4">
        <v>733.33</v>
      </c>
      <c r="M87" s="4">
        <v>11400.04</v>
      </c>
      <c r="N87" s="4">
        <v>-174044.7</v>
      </c>
      <c r="O87" s="4">
        <f>Tab_05.Mai[[#This Row],[DÉBITO]]-Tab_05.Mai[[#This Row],[CRÉDITO]]</f>
        <v>-10666.71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SUMIFS(Tab_04.Abr[SALDO
ATUAL],Tab_04.Abr[CONTA],$I88)</f>
        <v>-13011.43</v>
      </c>
      <c r="G88" s="4">
        <f t="shared" si="4"/>
        <v>0</v>
      </c>
      <c r="I88" s="3" t="s">
        <v>790</v>
      </c>
      <c r="J88" s="3" t="s">
        <v>791</v>
      </c>
      <c r="K88" s="4">
        <v>-13011.43</v>
      </c>
      <c r="L88" s="4">
        <v>0</v>
      </c>
      <c r="M88" s="4">
        <v>911.99</v>
      </c>
      <c r="N88" s="4">
        <v>-13923.42</v>
      </c>
      <c r="O88" s="4">
        <f>Tab_05.Mai[[#This Row],[DÉBITO]]-Tab_05.Mai[[#This Row],[CRÉDITO]]</f>
        <v>-911.99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SUMIFS(Tab_04.Abr[SALDO
ATUAL],Tab_04.Abr[CONTA],$I89)</f>
        <v>-1889.75</v>
      </c>
      <c r="G89" s="4">
        <f t="shared" si="4"/>
        <v>0</v>
      </c>
      <c r="I89" s="3" t="s">
        <v>792</v>
      </c>
      <c r="J89" s="3" t="s">
        <v>793</v>
      </c>
      <c r="K89" s="4">
        <v>-1889.75</v>
      </c>
      <c r="L89" s="4">
        <v>8.9</v>
      </c>
      <c r="M89" s="4">
        <v>114</v>
      </c>
      <c r="N89" s="4">
        <v>-1994.85</v>
      </c>
      <c r="O89" s="4">
        <f>Tab_05.Mai[[#This Row],[DÉBITO]]-Tab_05.Mai[[#This Row],[CRÉDITO]]</f>
        <v>-105.1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SUMIFS(Tab_04.Abr[SALDO
ATUAL],Tab_04.Abr[CONTA],$I90)</f>
        <v>-43588.78</v>
      </c>
      <c r="G90" s="4">
        <f t="shared" si="4"/>
        <v>0</v>
      </c>
      <c r="I90" s="3" t="s">
        <v>794</v>
      </c>
      <c r="J90" s="3" t="s">
        <v>795</v>
      </c>
      <c r="K90" s="4">
        <v>-43588.78</v>
      </c>
      <c r="L90" s="4">
        <v>0</v>
      </c>
      <c r="M90" s="4">
        <v>3055.22</v>
      </c>
      <c r="N90" s="4">
        <v>-46644</v>
      </c>
      <c r="O90" s="4">
        <f>Tab_05.Mai[[#This Row],[DÉBITO]]-Tab_05.Mai[[#This Row],[CRÉDITO]]</f>
        <v>-3055.22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S</v>
      </c>
      <c r="E91" s="2">
        <f>IF($I91="","",COUNTIFS(Tab_00.Trial[CONTA],$I91))</f>
        <v>1</v>
      </c>
      <c r="F91" s="4">
        <f>SUMIFS(Tab_04.Abr[SALDO
ATUAL],Tab_04.Abr[CONTA],$I91)</f>
        <v>-31551.8</v>
      </c>
      <c r="G91" s="4">
        <f t="shared" si="4"/>
        <v>0</v>
      </c>
      <c r="I91" s="3" t="s">
        <v>562</v>
      </c>
      <c r="J91" s="3" t="s">
        <v>658</v>
      </c>
      <c r="K91" s="4">
        <v>-31551.8</v>
      </c>
      <c r="L91" s="4">
        <v>51775.79</v>
      </c>
      <c r="M91" s="4">
        <v>52604.6</v>
      </c>
      <c r="N91" s="4">
        <v>-32380.61</v>
      </c>
      <c r="O91" s="4">
        <f>Tab_05.Mai[[#This Row],[DÉBITO]]-Tab_05.Mai[[#This Row],[CRÉDITO]]</f>
        <v>-828.81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SUMIFS(Tab_04.Abr[SALDO
ATUAL],Tab_04.Abr[CONTA],$I92)</f>
        <v>-30763.82</v>
      </c>
      <c r="G92" s="4">
        <f t="shared" si="4"/>
        <v>0</v>
      </c>
      <c r="I92" s="3" t="s">
        <v>336</v>
      </c>
      <c r="J92" s="3" t="s">
        <v>337</v>
      </c>
      <c r="K92" s="4">
        <v>-30763.82</v>
      </c>
      <c r="L92" s="4">
        <v>50987.81</v>
      </c>
      <c r="M92" s="4">
        <v>52091.62</v>
      </c>
      <c r="N92" s="4">
        <v>-31867.63</v>
      </c>
      <c r="O92" s="4">
        <f>Tab_05.Mai[[#This Row],[DÉBITO]]-Tab_05.Mai[[#This Row],[CRÉDITO]]</f>
        <v>-1103.81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SUMIFS(Tab_04.Abr[SALDO
ATUAL],Tab_04.Abr[CONTA],$I93)</f>
        <v>-787.98</v>
      </c>
      <c r="G93" s="4">
        <f t="shared" si="4"/>
        <v>0</v>
      </c>
      <c r="I93" s="3" t="s">
        <v>338</v>
      </c>
      <c r="J93" s="3" t="s">
        <v>339</v>
      </c>
      <c r="K93" s="4">
        <v>-787.98</v>
      </c>
      <c r="L93" s="4">
        <v>787.98</v>
      </c>
      <c r="M93" s="4">
        <v>512.98</v>
      </c>
      <c r="N93" s="4">
        <v>-512.98</v>
      </c>
      <c r="O93" s="4">
        <f>Tab_05.Mai[[#This Row],[DÉBITO]]-Tab_05.Mai[[#This Row],[CRÉDITO]]</f>
        <v>275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S</v>
      </c>
      <c r="E94" s="2">
        <f>IF($I94="","",COUNTIFS(Tab_00.Trial[CONTA],$I94))</f>
        <v>1</v>
      </c>
      <c r="F94" s="4">
        <f>SUMIFS(Tab_04.Abr[SALDO
ATUAL],Tab_04.Abr[CONTA],$I94)</f>
        <v>-14901.96</v>
      </c>
      <c r="G94" s="4">
        <f t="shared" si="4"/>
        <v>0</v>
      </c>
      <c r="I94" s="3" t="s">
        <v>563</v>
      </c>
      <c r="J94" s="3" t="s">
        <v>659</v>
      </c>
      <c r="K94" s="4">
        <v>-14901.96</v>
      </c>
      <c r="L94" s="4">
        <v>10843.66</v>
      </c>
      <c r="M94" s="4">
        <v>9542.92</v>
      </c>
      <c r="N94" s="4">
        <v>-13601.22</v>
      </c>
      <c r="O94" s="4">
        <f>Tab_05.Mai[[#This Row],[DÉBITO]]-Tab_05.Mai[[#This Row],[CRÉDITO]]</f>
        <v>1300.74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SUMIFS(Tab_04.Abr[SALDO
ATUAL],Tab_04.Abr[CONTA],$I95)</f>
        <v>-13962.75</v>
      </c>
      <c r="G95" s="4">
        <f t="shared" si="4"/>
        <v>0</v>
      </c>
      <c r="I95" s="3" t="s">
        <v>340</v>
      </c>
      <c r="J95" s="3" t="s">
        <v>341</v>
      </c>
      <c r="K95" s="4">
        <v>-13962.75</v>
      </c>
      <c r="L95" s="4">
        <v>9844.7800000000007</v>
      </c>
      <c r="M95" s="4">
        <v>8467.67</v>
      </c>
      <c r="N95" s="4">
        <v>-12585.64</v>
      </c>
      <c r="O95" s="4">
        <f>Tab_05.Mai[[#This Row],[DÉBITO]]-Tab_05.Mai[[#This Row],[CRÉDITO]]</f>
        <v>1377.11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SUMIFS(Tab_04.Abr[SALDO
ATUAL],Tab_04.Abr[CONTA],$I96)</f>
        <v>-939.21</v>
      </c>
      <c r="G96" s="4">
        <f t="shared" si="4"/>
        <v>0</v>
      </c>
      <c r="I96" s="3" t="s">
        <v>342</v>
      </c>
      <c r="J96" s="3" t="s">
        <v>343</v>
      </c>
      <c r="K96" s="4">
        <v>-939.21</v>
      </c>
      <c r="L96" s="4">
        <v>998.88</v>
      </c>
      <c r="M96" s="4">
        <v>1075.25</v>
      </c>
      <c r="N96" s="4">
        <v>-1015.58</v>
      </c>
      <c r="O96" s="4">
        <f>Tab_05.Mai[[#This Row],[DÉBITO]]-Tab_05.Mai[[#This Row],[CRÉDITO]]</f>
        <v>-76.37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SUMIFS(Tab_04.Abr[SALDO
ATUAL],Tab_04.Abr[CONTA],$I97)</f>
        <v>-1193079.8400000001</v>
      </c>
      <c r="G97" s="4">
        <f t="shared" si="4"/>
        <v>0</v>
      </c>
      <c r="I97" s="3" t="s">
        <v>218</v>
      </c>
      <c r="J97" s="3" t="s">
        <v>660</v>
      </c>
      <c r="K97" s="4">
        <v>-1193079.8400000001</v>
      </c>
      <c r="L97" s="4">
        <v>491225.47</v>
      </c>
      <c r="M97" s="4">
        <v>338973.52</v>
      </c>
      <c r="N97" s="4">
        <v>-1040827.89</v>
      </c>
      <c r="O97" s="4">
        <f>Tab_05.Mai[[#This Row],[DÉBITO]]-Tab_05.Mai[[#This Row],[CRÉDITO]]</f>
        <v>152251.95000000001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SUMIFS(Tab_04.Abr[SALDO
ATUAL],Tab_04.Abr[CONTA],$I98)</f>
        <v>-443731.25</v>
      </c>
      <c r="G98" s="4">
        <f t="shared" si="4"/>
        <v>0</v>
      </c>
      <c r="I98" s="3" t="s">
        <v>219</v>
      </c>
      <c r="J98" s="3" t="s">
        <v>56</v>
      </c>
      <c r="K98" s="4">
        <v>-443731.25</v>
      </c>
      <c r="L98" s="4">
        <v>491225.47</v>
      </c>
      <c r="M98" s="4">
        <v>132025.5</v>
      </c>
      <c r="N98" s="4">
        <v>-84531.28</v>
      </c>
      <c r="O98" s="4">
        <f>Tab_05.Mai[[#This Row],[DÉBITO]]-Tab_05.Mai[[#This Row],[CRÉDITO]]</f>
        <v>359199.97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SUMIFS(Tab_04.Abr[SALDO
ATUAL],Tab_04.Abr[CONTA],$I99)</f>
        <v>-443731.25</v>
      </c>
      <c r="G99" s="4">
        <f t="shared" si="4"/>
        <v>0</v>
      </c>
      <c r="I99" s="3" t="s">
        <v>344</v>
      </c>
      <c r="J99" s="3" t="s">
        <v>56</v>
      </c>
      <c r="K99" s="4">
        <v>-443731.25</v>
      </c>
      <c r="L99" s="4">
        <v>491225.47</v>
      </c>
      <c r="M99" s="4">
        <v>132025.5</v>
      </c>
      <c r="N99" s="4">
        <v>-84531.28</v>
      </c>
      <c r="O99" s="4">
        <f>Tab_05.Mai[[#This Row],[DÉBITO]]-Tab_05.Mai[[#This Row],[CRÉDITO]]</f>
        <v>359199.97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SUMIFS(Tab_04.Abr[SALDO
ATUAL],Tab_04.Abr[CONTA],$I100)</f>
        <v>-749348.59</v>
      </c>
      <c r="G100" s="4">
        <f t="shared" si="4"/>
        <v>0</v>
      </c>
      <c r="I100" s="3" t="s">
        <v>220</v>
      </c>
      <c r="J100" s="3" t="s">
        <v>346</v>
      </c>
      <c r="K100" s="4">
        <v>-749348.59</v>
      </c>
      <c r="L100" s="4">
        <v>0</v>
      </c>
      <c r="M100" s="4">
        <v>206948.02</v>
      </c>
      <c r="N100" s="4">
        <v>-956296.61</v>
      </c>
      <c r="O100" s="4">
        <f>Tab_05.Mai[[#This Row],[DÉBITO]]-Tab_05.Mai[[#This Row],[CRÉDITO]]</f>
        <v>-206948.02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SUMIFS(Tab_04.Abr[SALDO
ATUAL],Tab_04.Abr[CONTA],$I101)</f>
        <v>-749348.59</v>
      </c>
      <c r="G101" s="4">
        <f t="shared" si="4"/>
        <v>0</v>
      </c>
      <c r="I101" s="3" t="s">
        <v>345</v>
      </c>
      <c r="J101" s="3" t="s">
        <v>346</v>
      </c>
      <c r="K101" s="4">
        <v>-749348.59</v>
      </c>
      <c r="L101" s="4">
        <v>0</v>
      </c>
      <c r="M101" s="4">
        <v>206948.02</v>
      </c>
      <c r="N101" s="4">
        <v>-956296.61</v>
      </c>
      <c r="O101" s="4">
        <f>Tab_05.Mai[[#This Row],[DÉBITO]]-Tab_05.Mai[[#This Row],[CRÉDITO]]</f>
        <v>-206948.02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SUMIFS(Tab_04.Abr[SALDO
ATUAL],Tab_04.Abr[CONTA],$I102)</f>
        <v>-18439.41</v>
      </c>
      <c r="G102" s="4">
        <f t="shared" si="4"/>
        <v>0</v>
      </c>
      <c r="I102" s="3" t="s">
        <v>221</v>
      </c>
      <c r="J102" s="3" t="s">
        <v>661</v>
      </c>
      <c r="K102" s="4">
        <v>-18439.41</v>
      </c>
      <c r="L102" s="4">
        <v>19820.3</v>
      </c>
      <c r="M102" s="4">
        <v>18769.16</v>
      </c>
      <c r="N102" s="4">
        <v>-17388.27</v>
      </c>
      <c r="O102" s="4">
        <f>Tab_05.Mai[[#This Row],[DÉBITO]]-Tab_05.Mai[[#This Row],[CRÉDITO]]</f>
        <v>1051.1400000000001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SUMIFS(Tab_04.Abr[SALDO
ATUAL],Tab_04.Abr[CONTA],$I103)</f>
        <v>-18439.41</v>
      </c>
      <c r="G103" s="4">
        <f t="shared" si="4"/>
        <v>0</v>
      </c>
      <c r="I103" s="3" t="s">
        <v>222</v>
      </c>
      <c r="J103" s="3" t="s">
        <v>662</v>
      </c>
      <c r="K103" s="4">
        <v>-18439.41</v>
      </c>
      <c r="L103" s="4">
        <v>19820.3</v>
      </c>
      <c r="M103" s="4">
        <v>18769.16</v>
      </c>
      <c r="N103" s="4">
        <v>-17388.27</v>
      </c>
      <c r="O103" s="4">
        <f>Tab_05.Mai[[#This Row],[DÉBITO]]-Tab_05.Mai[[#This Row],[CRÉDITO]]</f>
        <v>1051.1400000000001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SUMIFS(Tab_04.Abr[SALDO
ATUAL],Tab_04.Abr[CONTA],$I104)</f>
        <v>-555.79999999999995</v>
      </c>
      <c r="G104" s="4">
        <f t="shared" si="4"/>
        <v>0</v>
      </c>
      <c r="I104" s="3" t="s">
        <v>191</v>
      </c>
      <c r="J104" s="3" t="s">
        <v>347</v>
      </c>
      <c r="K104" s="4">
        <v>-555.79999999999995</v>
      </c>
      <c r="L104" s="4">
        <v>722.06</v>
      </c>
      <c r="M104" s="4">
        <v>583.54</v>
      </c>
      <c r="N104" s="4">
        <v>-417.28</v>
      </c>
      <c r="O104" s="4">
        <f>Tab_05.Mai[[#This Row],[DÉBITO]]-Tab_05.Mai[[#This Row],[CRÉDITO]]</f>
        <v>138.52000000000001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SUMIFS(Tab_04.Abr[SALDO
ATUAL],Tab_04.Abr[CONTA],$I105)</f>
        <v>-15492.44</v>
      </c>
      <c r="G105" s="4">
        <f t="shared" si="4"/>
        <v>0</v>
      </c>
      <c r="I105" s="3" t="s">
        <v>192</v>
      </c>
      <c r="J105" s="3" t="s">
        <v>348</v>
      </c>
      <c r="K105" s="4">
        <v>-15492.44</v>
      </c>
      <c r="L105" s="4">
        <v>15492.44</v>
      </c>
      <c r="M105" s="4">
        <v>15450.8</v>
      </c>
      <c r="N105" s="4">
        <v>-15450.8</v>
      </c>
      <c r="O105" s="4">
        <f>Tab_05.Mai[[#This Row],[DÉBITO]]-Tab_05.Mai[[#This Row],[CRÉDITO]]</f>
        <v>41.64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SUMIFS(Tab_04.Abr[SALDO
ATUAL],Tab_04.Abr[CONTA],$I106)</f>
        <v>-120.94</v>
      </c>
      <c r="G106" s="4">
        <f t="shared" si="4"/>
        <v>0</v>
      </c>
      <c r="I106" s="3" t="s">
        <v>264</v>
      </c>
      <c r="J106" s="3" t="s">
        <v>349</v>
      </c>
      <c r="K106" s="4">
        <v>-120.94</v>
      </c>
      <c r="L106" s="4">
        <v>134.13999999999999</v>
      </c>
      <c r="M106" s="4">
        <v>572.5</v>
      </c>
      <c r="N106" s="4">
        <v>-559.29999999999995</v>
      </c>
      <c r="O106" s="4">
        <f>Tab_05.Mai[[#This Row],[DÉBITO]]-Tab_05.Mai[[#This Row],[CRÉDITO]]</f>
        <v>-438.36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SUMIFS(Tab_04.Abr[SALDO
ATUAL],Tab_04.Abr[CONTA],$I107)</f>
        <v>-2247.7800000000002</v>
      </c>
      <c r="G107" s="4">
        <f t="shared" si="4"/>
        <v>0</v>
      </c>
      <c r="I107" s="3" t="s">
        <v>350</v>
      </c>
      <c r="J107" s="3" t="s">
        <v>351</v>
      </c>
      <c r="K107" s="4">
        <v>-2247.7800000000002</v>
      </c>
      <c r="L107" s="4">
        <v>3460.49</v>
      </c>
      <c r="M107" s="4">
        <v>2151.15</v>
      </c>
      <c r="N107" s="4">
        <v>-938.44</v>
      </c>
      <c r="O107" s="4">
        <f>Tab_05.Mai[[#This Row],[DÉBITO]]-Tab_05.Mai[[#This Row],[CRÉDITO]]</f>
        <v>1309.3399999999999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SUMIFS(Tab_04.Abr[SALDO
ATUAL],Tab_04.Abr[CONTA],$I108)</f>
        <v>-22.45</v>
      </c>
      <c r="G108" s="4">
        <f t="shared" si="4"/>
        <v>0</v>
      </c>
      <c r="I108" s="3" t="s">
        <v>352</v>
      </c>
      <c r="J108" s="3" t="s">
        <v>353</v>
      </c>
      <c r="K108" s="4">
        <v>-22.45</v>
      </c>
      <c r="L108" s="4">
        <v>11.17</v>
      </c>
      <c r="M108" s="4">
        <v>11.17</v>
      </c>
      <c r="N108" s="4">
        <v>-22.45</v>
      </c>
      <c r="O108" s="4">
        <f>Tab_05.Mai[[#This Row],[DÉBITO]]-Tab_05.Mai[[#This Row],[CRÉDITO]]</f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SUMIFS(Tab_04.Abr[SALDO
ATUAL],Tab_04.Abr[CONTA],$I109)</f>
        <v>-22727.49</v>
      </c>
      <c r="G109" s="4">
        <f t="shared" si="4"/>
        <v>0</v>
      </c>
      <c r="I109" s="3" t="s">
        <v>224</v>
      </c>
      <c r="J109" s="3" t="s">
        <v>664</v>
      </c>
      <c r="K109" s="4">
        <v>-22727.49</v>
      </c>
      <c r="L109" s="4">
        <v>830.38</v>
      </c>
      <c r="M109" s="4">
        <v>576.4</v>
      </c>
      <c r="N109" s="4">
        <v>-22473.51</v>
      </c>
      <c r="O109" s="4">
        <f>Tab_05.Mai[[#This Row],[DÉBITO]]-Tab_05.Mai[[#This Row],[CRÉDITO]]</f>
        <v>253.98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SUMIFS(Tab_04.Abr[SALDO
ATUAL],Tab_04.Abr[CONTA],$I110)</f>
        <v>-22727.49</v>
      </c>
      <c r="G110" s="4">
        <f t="shared" si="4"/>
        <v>0</v>
      </c>
      <c r="I110" s="3" t="s">
        <v>225</v>
      </c>
      <c r="J110" s="3" t="s">
        <v>665</v>
      </c>
      <c r="K110" s="4">
        <v>-22727.49</v>
      </c>
      <c r="L110" s="4">
        <v>830.38</v>
      </c>
      <c r="M110" s="4">
        <v>576.4</v>
      </c>
      <c r="N110" s="4">
        <v>-22473.51</v>
      </c>
      <c r="O110" s="4">
        <f>Tab_05.Mai[[#This Row],[DÉBITO]]-Tab_05.Mai[[#This Row],[CRÉDITO]]</f>
        <v>253.98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A</v>
      </c>
      <c r="E111" s="2">
        <f>IF($I111="","",COUNTIFS(Tab_00.Trial[CONTA],$I111))</f>
        <v>1</v>
      </c>
      <c r="F111" s="4">
        <f>SUMIFS(Tab_04.Abr[SALDO
ATUAL],Tab_04.Abr[CONTA],$I111)</f>
        <v>-22727.49</v>
      </c>
      <c r="G111" s="4">
        <f t="shared" si="4"/>
        <v>0</v>
      </c>
      <c r="I111" s="3" t="s">
        <v>356</v>
      </c>
      <c r="J111" s="3" t="s">
        <v>357</v>
      </c>
      <c r="K111" s="4">
        <v>-22727.49</v>
      </c>
      <c r="L111" s="4">
        <v>830.38</v>
      </c>
      <c r="M111" s="4">
        <v>576.4</v>
      </c>
      <c r="N111" s="4">
        <v>-22473.51</v>
      </c>
      <c r="O111" s="4">
        <f>Tab_05.Mai[[#This Row],[DÉBITO]]-Tab_05.Mai[[#This Row],[CRÉDITO]]</f>
        <v>253.98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SUMIFS(Tab_04.Abr[SALDO
ATUAL],Tab_04.Abr[CONTA],$I112)</f>
        <v>-3849.2</v>
      </c>
      <c r="G112" s="4">
        <f t="shared" si="4"/>
        <v>0</v>
      </c>
      <c r="I112" s="3" t="s">
        <v>564</v>
      </c>
      <c r="J112" s="3" t="s">
        <v>666</v>
      </c>
      <c r="K112" s="4">
        <v>-3849.2</v>
      </c>
      <c r="L112" s="4">
        <v>0</v>
      </c>
      <c r="M112" s="4">
        <v>0</v>
      </c>
      <c r="N112" s="4">
        <v>-3849.2</v>
      </c>
      <c r="O112" s="4">
        <f>Tab_05.Mai[[#This Row],[DÉBITO]]-Tab_05.Mai[[#This Row],[CRÉDITO]]</f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SUMIFS(Tab_04.Abr[SALDO
ATUAL],Tab_04.Abr[CONTA],$I113)</f>
        <v>-3849.2</v>
      </c>
      <c r="G113" s="4">
        <f t="shared" si="4"/>
        <v>0</v>
      </c>
      <c r="I113" s="3" t="s">
        <v>565</v>
      </c>
      <c r="J113" s="3" t="s">
        <v>667</v>
      </c>
      <c r="K113" s="4">
        <v>-3849.2</v>
      </c>
      <c r="L113" s="4">
        <v>0</v>
      </c>
      <c r="M113" s="4">
        <v>0</v>
      </c>
      <c r="N113" s="4">
        <v>-3849.2</v>
      </c>
      <c r="O113" s="4">
        <f>Tab_05.Mai[[#This Row],[DÉBITO]]-Tab_05.Mai[[#This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A</v>
      </c>
      <c r="E114" s="2">
        <f>IF($I114="","",COUNTIFS(Tab_00.Trial[CONTA],$I114))</f>
        <v>1</v>
      </c>
      <c r="F114" s="4">
        <f>SUMIFS(Tab_04.Abr[SALDO
ATUAL],Tab_04.Abr[CONTA],$I114)</f>
        <v>-3849.2</v>
      </c>
      <c r="G114" s="4">
        <f t="shared" ref="G114:G145" si="5">$F114-$K114</f>
        <v>0</v>
      </c>
      <c r="I114" s="3" t="s">
        <v>358</v>
      </c>
      <c r="J114" s="3" t="s">
        <v>359</v>
      </c>
      <c r="K114" s="4">
        <v>-3849.2</v>
      </c>
      <c r="L114" s="4">
        <v>0</v>
      </c>
      <c r="M114" s="4">
        <v>0</v>
      </c>
      <c r="N114" s="4">
        <v>-3849.2</v>
      </c>
      <c r="O114" s="4">
        <f>Tab_05.Mai[[#This Row],[DÉBITO]]-Tab_05.Mai[[#This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2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SUMIFS(Tab_04.Abr[SALDO
ATUAL],Tab_04.Abr[CONTA],$I115)</f>
        <v>-46934.04</v>
      </c>
      <c r="G115" s="4">
        <f t="shared" si="5"/>
        <v>0</v>
      </c>
      <c r="I115" s="3" t="s">
        <v>226</v>
      </c>
      <c r="J115" s="3" t="s">
        <v>76</v>
      </c>
      <c r="K115" s="4">
        <v>-46934.04</v>
      </c>
      <c r="L115" s="4">
        <v>0</v>
      </c>
      <c r="M115" s="4">
        <v>0</v>
      </c>
      <c r="N115" s="4">
        <v>-46934.04</v>
      </c>
      <c r="O115" s="4">
        <f>Tab_05.Mai[[#This Row],[DÉBITO]]-Tab_05.Mai[[#This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SUMIFS(Tab_04.Abr[SALDO
ATUAL],Tab_04.Abr[CONTA],$I116)</f>
        <v>-46934.04</v>
      </c>
      <c r="G116" s="4">
        <f t="shared" si="5"/>
        <v>0</v>
      </c>
      <c r="I116" s="3" t="s">
        <v>566</v>
      </c>
      <c r="J116" s="3" t="s">
        <v>668</v>
      </c>
      <c r="K116" s="4">
        <v>-46934.04</v>
      </c>
      <c r="L116" s="4">
        <v>0</v>
      </c>
      <c r="M116" s="4">
        <v>0</v>
      </c>
      <c r="N116" s="4">
        <v>-46934.04</v>
      </c>
      <c r="O116" s="4">
        <f>Tab_05.Mai[[#This Row],[DÉBITO]]-Tab_05.Mai[[#This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SUMIFS(Tab_04.Abr[SALDO
ATUAL],Tab_04.Abr[CONTA],$I117)</f>
        <v>-46934.04</v>
      </c>
      <c r="G117" s="4">
        <f t="shared" si="5"/>
        <v>0</v>
      </c>
      <c r="I117" s="3" t="s">
        <v>567</v>
      </c>
      <c r="J117" s="3" t="s">
        <v>669</v>
      </c>
      <c r="K117" s="4">
        <v>-46934.04</v>
      </c>
      <c r="L117" s="4">
        <v>0</v>
      </c>
      <c r="M117" s="4">
        <v>0</v>
      </c>
      <c r="N117" s="4">
        <v>-46934.04</v>
      </c>
      <c r="O117" s="4">
        <f>Tab_05.Mai[[#This Row],[DÉBITO]]-Tab_05.Mai[[#This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SUMIFS(Tab_04.Abr[SALDO
ATUAL],Tab_04.Abr[CONTA],$I118)</f>
        <v>-31934.04</v>
      </c>
      <c r="G118" s="4">
        <f t="shared" si="5"/>
        <v>0</v>
      </c>
      <c r="I118" s="3" t="s">
        <v>360</v>
      </c>
      <c r="J118" s="3" t="s">
        <v>361</v>
      </c>
      <c r="K118" s="4">
        <v>-31934.04</v>
      </c>
      <c r="L118" s="4">
        <v>0</v>
      </c>
      <c r="M118" s="4">
        <v>0</v>
      </c>
      <c r="N118" s="4">
        <v>-31934.04</v>
      </c>
      <c r="O118" s="4">
        <f>Tab_05.Mai[[#This Row],[DÉBITO]]-Tab_05.Mai[[#This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SUMIFS(Tab_04.Abr[SALDO
ATUAL],Tab_04.Abr[CONTA],$I119)</f>
        <v>-15000</v>
      </c>
      <c r="G119" s="4">
        <f t="shared" si="5"/>
        <v>0</v>
      </c>
      <c r="I119" s="3" t="s">
        <v>362</v>
      </c>
      <c r="J119" s="3" t="s">
        <v>363</v>
      </c>
      <c r="K119" s="4">
        <v>-15000</v>
      </c>
      <c r="L119" s="4">
        <v>0</v>
      </c>
      <c r="M119" s="4">
        <v>0</v>
      </c>
      <c r="N119" s="4">
        <v>-15000</v>
      </c>
      <c r="O119" s="4">
        <f>Tab_05.Mai[[#This Row],[DÉBITO]]-Tab_05.Mai[[#This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2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SUMIFS(Tab_04.Abr[SALDO
ATUAL],Tab_04.Abr[CONTA],$I120)</f>
        <v>-81855530.489999995</v>
      </c>
      <c r="G120" s="4">
        <f t="shared" si="5"/>
        <v>0</v>
      </c>
      <c r="I120" s="3" t="s">
        <v>228</v>
      </c>
      <c r="J120" s="3" t="s">
        <v>670</v>
      </c>
      <c r="K120" s="4">
        <v>-81855530.489999995</v>
      </c>
      <c r="L120" s="4">
        <v>0</v>
      </c>
      <c r="M120" s="4">
        <v>0</v>
      </c>
      <c r="N120" s="4">
        <v>-81855530.489999995</v>
      </c>
      <c r="O120" s="4">
        <f>Tab_05.Mai[[#This Row],[DÉBITO]]-Tab_05.Mai[[#This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SUMIFS(Tab_04.Abr[SALDO
ATUAL],Tab_04.Abr[CONTA],$I121)</f>
        <v>-81855530.489999995</v>
      </c>
      <c r="G121" s="4">
        <f t="shared" si="5"/>
        <v>0</v>
      </c>
      <c r="I121" s="3" t="s">
        <v>229</v>
      </c>
      <c r="J121" s="3" t="s">
        <v>670</v>
      </c>
      <c r="K121" s="4">
        <v>-81855530.489999995</v>
      </c>
      <c r="L121" s="4">
        <v>0</v>
      </c>
      <c r="M121" s="4">
        <v>0</v>
      </c>
      <c r="N121" s="4">
        <v>-81855530.489999995</v>
      </c>
      <c r="O121" s="4">
        <f>Tab_05.Mai[[#This Row],[DÉBITO]]-Tab_05.Mai[[#This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SUMIFS(Tab_04.Abr[SALDO
ATUAL],Tab_04.Abr[CONTA],$I122)</f>
        <v>-104784619.59999999</v>
      </c>
      <c r="G122" s="4">
        <f t="shared" si="5"/>
        <v>0</v>
      </c>
      <c r="I122" s="3" t="s">
        <v>230</v>
      </c>
      <c r="J122" s="3" t="s">
        <v>364</v>
      </c>
      <c r="K122" s="4">
        <v>-104784619.59999999</v>
      </c>
      <c r="L122" s="4">
        <v>0</v>
      </c>
      <c r="M122" s="4">
        <v>0</v>
      </c>
      <c r="N122" s="4">
        <v>-104784619.59999999</v>
      </c>
      <c r="O122" s="4">
        <f>Tab_05.Mai[[#This Row],[DÉBITO]]-Tab_05.Mai[[#This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SUMIFS(Tab_04.Abr[SALDO
ATUAL],Tab_04.Abr[CONTA],$I123)</f>
        <v>-104784619.59999999</v>
      </c>
      <c r="G123" s="4">
        <f t="shared" si="5"/>
        <v>0</v>
      </c>
      <c r="I123" s="3" t="s">
        <v>193</v>
      </c>
      <c r="J123" s="3" t="s">
        <v>364</v>
      </c>
      <c r="K123" s="4">
        <v>-104784619.59999999</v>
      </c>
      <c r="L123" s="4">
        <v>0</v>
      </c>
      <c r="M123" s="4">
        <v>0</v>
      </c>
      <c r="N123" s="4">
        <v>-104784619.59999999</v>
      </c>
      <c r="O123" s="4">
        <f>Tab_05.Mai[[#This Row],[DÉBITO]]-Tab_05.Mai[[#This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SUMIFS(Tab_04.Abr[SALDO
ATUAL],Tab_04.Abr[CONTA],$I124)</f>
        <v>32587250.850000001</v>
      </c>
      <c r="G124" s="4">
        <f t="shared" si="5"/>
        <v>0</v>
      </c>
      <c r="I124" s="3" t="s">
        <v>568</v>
      </c>
      <c r="J124" s="3" t="s">
        <v>671</v>
      </c>
      <c r="K124" s="4">
        <v>32587250.850000001</v>
      </c>
      <c r="L124" s="4">
        <v>0</v>
      </c>
      <c r="M124" s="4">
        <v>0</v>
      </c>
      <c r="N124" s="4">
        <v>32587250.850000001</v>
      </c>
      <c r="O124" s="4">
        <f>Tab_05.Mai[[#This Row],[DÉBITO]]-Tab_05.Mai[[#This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SUMIFS(Tab_04.Abr[SALDO
ATUAL],Tab_04.Abr[CONTA],$I125)</f>
        <v>-827719.82</v>
      </c>
      <c r="G125" s="4">
        <f t="shared" si="5"/>
        <v>0</v>
      </c>
      <c r="I125" s="3" t="s">
        <v>743</v>
      </c>
      <c r="J125" s="3" t="s">
        <v>744</v>
      </c>
      <c r="K125" s="4">
        <v>-827719.82</v>
      </c>
      <c r="L125" s="4">
        <v>0</v>
      </c>
      <c r="M125" s="4">
        <v>0</v>
      </c>
      <c r="N125" s="4">
        <v>-827719.82</v>
      </c>
      <c r="O125" s="4">
        <f>Tab_05.Mai[[#This Row],[DÉBITO]]-Tab_05.Mai[[#This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SUMIFS(Tab_04.Abr[SALDO
ATUAL],Tab_04.Abr[CONTA],$I126)</f>
        <v>33414970.670000002</v>
      </c>
      <c r="G126" s="4">
        <f t="shared" si="5"/>
        <v>0</v>
      </c>
      <c r="I126" s="3" t="s">
        <v>365</v>
      </c>
      <c r="J126" s="3" t="s">
        <v>366</v>
      </c>
      <c r="K126" s="4">
        <v>33414970.670000002</v>
      </c>
      <c r="L126" s="4">
        <v>0</v>
      </c>
      <c r="M126" s="4">
        <v>0</v>
      </c>
      <c r="N126" s="4">
        <v>33414970.670000002</v>
      </c>
      <c r="O126" s="4">
        <f>Tab_05.Mai[[#This Row],[DÉBITO]]-Tab_05.Mai[[#This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SUMIFS(Tab_04.Abr[SALDO
ATUAL],Tab_04.Abr[CONTA],$I127)</f>
        <v>-9658161.7400000002</v>
      </c>
      <c r="G127" s="4">
        <f t="shared" si="5"/>
        <v>0</v>
      </c>
      <c r="I127" s="3" t="s">
        <v>745</v>
      </c>
      <c r="J127" s="3" t="s">
        <v>746</v>
      </c>
      <c r="K127" s="4">
        <v>-9658161.7400000002</v>
      </c>
      <c r="L127" s="4">
        <v>0</v>
      </c>
      <c r="M127" s="4">
        <v>0</v>
      </c>
      <c r="N127" s="4">
        <v>-9658161.7400000002</v>
      </c>
      <c r="O127" s="4">
        <f>Tab_05.Mai[[#This Row],[DÉBITO]]-Tab_05.Mai[[#This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SUMIFS(Tab_04.Abr[SALDO
ATUAL],Tab_04.Abr[CONTA],$I128)</f>
        <v>-9658161.7400000002</v>
      </c>
      <c r="G128" s="4">
        <f t="shared" si="5"/>
        <v>0</v>
      </c>
      <c r="I128" s="3" t="s">
        <v>747</v>
      </c>
      <c r="J128" s="3" t="s">
        <v>746</v>
      </c>
      <c r="K128" s="4">
        <v>-9658161.7400000002</v>
      </c>
      <c r="L128" s="4">
        <v>0</v>
      </c>
      <c r="M128" s="4">
        <v>0</v>
      </c>
      <c r="N128" s="4">
        <v>-9658161.7400000002</v>
      </c>
      <c r="O128" s="4">
        <f>Tab_05.Mai[[#This Row],[DÉBITO]]-Tab_05.Mai[[#This Row],[CRÉDITO]]</f>
        <v>0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1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SUMIFS(Tab_04.Abr[SALDO
ATUAL],Tab_04.Abr[CONTA],$I129)</f>
        <v>-4729203.16</v>
      </c>
      <c r="G129" s="4">
        <f t="shared" si="5"/>
        <v>0</v>
      </c>
      <c r="I129" s="3">
        <v>3</v>
      </c>
      <c r="J129" s="3" t="s">
        <v>672</v>
      </c>
      <c r="K129" s="4">
        <v>-4729203.16</v>
      </c>
      <c r="L129" s="4">
        <v>0</v>
      </c>
      <c r="M129" s="4">
        <v>1527340.71</v>
      </c>
      <c r="N129" s="4">
        <v>-6256543.8700000001</v>
      </c>
      <c r="O129" s="4">
        <f>Tab_05.Mai[[#This Row],[DÉBITO]]-Tab_05.Mai[[#This Row],[CRÉDITO]]</f>
        <v>-1527340.71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2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SUMIFS(Tab_04.Abr[SALDO
ATUAL],Tab_04.Abr[CONTA],$I130)</f>
        <v>-2282592.58</v>
      </c>
      <c r="G130" s="4">
        <f t="shared" si="5"/>
        <v>0</v>
      </c>
      <c r="I130" s="3" t="s">
        <v>231</v>
      </c>
      <c r="J130" s="3" t="s">
        <v>673</v>
      </c>
      <c r="K130" s="4">
        <v>-2282592.58</v>
      </c>
      <c r="L130" s="4">
        <v>0</v>
      </c>
      <c r="M130" s="4">
        <v>747601.25</v>
      </c>
      <c r="N130" s="4">
        <v>-3030193.83</v>
      </c>
      <c r="O130" s="4">
        <f>Tab_05.Mai[[#This Row],[DÉBITO]]-Tab_05.Mai[[#This Row],[CRÉDITO]]</f>
        <v>-747601.25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SUMIFS(Tab_04.Abr[SALDO
ATUAL],Tab_04.Abr[CONTA],$I131)</f>
        <v>-1377371.76</v>
      </c>
      <c r="G131" s="4">
        <f t="shared" si="5"/>
        <v>0</v>
      </c>
      <c r="I131" s="3" t="s">
        <v>232</v>
      </c>
      <c r="J131" s="3" t="s">
        <v>674</v>
      </c>
      <c r="K131" s="4">
        <v>-1377371.76</v>
      </c>
      <c r="L131" s="4">
        <v>0</v>
      </c>
      <c r="M131" s="4">
        <v>470540.5</v>
      </c>
      <c r="N131" s="4">
        <v>-1847912.26</v>
      </c>
      <c r="O131" s="4">
        <f>Tab_05.Mai[[#This Row],[DÉBITO]]-Tab_05.Mai[[#This Row],[CRÉDITO]]</f>
        <v>-470540.5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SUMIFS(Tab_04.Abr[SALDO
ATUAL],Tab_04.Abr[CONTA],$I132)</f>
        <v>-514787.48</v>
      </c>
      <c r="G132" s="4">
        <f t="shared" si="5"/>
        <v>0</v>
      </c>
      <c r="I132" s="3" t="s">
        <v>233</v>
      </c>
      <c r="J132" s="3" t="s">
        <v>675</v>
      </c>
      <c r="K132" s="4">
        <v>-514787.48</v>
      </c>
      <c r="L132" s="4">
        <v>0</v>
      </c>
      <c r="M132" s="4">
        <v>137859.68</v>
      </c>
      <c r="N132" s="4">
        <v>-652647.16</v>
      </c>
      <c r="O132" s="4">
        <f>Tab_05.Mai[[#This Row],[DÉBITO]]-Tab_05.Mai[[#This Row],[CRÉDITO]]</f>
        <v>-137859.68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A</v>
      </c>
      <c r="E133" s="2">
        <f>IF($I133="","",COUNTIFS(Tab_00.Trial[CONTA],$I133))</f>
        <v>1</v>
      </c>
      <c r="F133" s="4">
        <f>SUMIFS(Tab_04.Abr[SALDO
ATUAL],Tab_04.Abr[CONTA],$I133)</f>
        <v>-514787.48</v>
      </c>
      <c r="G133" s="4">
        <f t="shared" si="5"/>
        <v>0</v>
      </c>
      <c r="I133" s="3" t="s">
        <v>194</v>
      </c>
      <c r="J133" s="3" t="s">
        <v>367</v>
      </c>
      <c r="K133" s="4">
        <v>-514787.48</v>
      </c>
      <c r="L133" s="4">
        <v>0</v>
      </c>
      <c r="M133" s="4">
        <v>137859.68</v>
      </c>
      <c r="N133" s="4">
        <v>-652647.16</v>
      </c>
      <c r="O133" s="4">
        <f>Tab_05.Mai[[#This Row],[DÉBITO]]-Tab_05.Mai[[#This Row],[CRÉDITO]]</f>
        <v>-137859.68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SUMIFS(Tab_04.Abr[SALDO
ATUAL],Tab_04.Abr[CONTA],$I134)</f>
        <v>-862584.28</v>
      </c>
      <c r="G134" s="4">
        <f t="shared" si="5"/>
        <v>0</v>
      </c>
      <c r="I134" s="3" t="s">
        <v>735</v>
      </c>
      <c r="J134" s="3" t="s">
        <v>736</v>
      </c>
      <c r="K134" s="4">
        <v>-862584.28</v>
      </c>
      <c r="L134" s="4">
        <v>0</v>
      </c>
      <c r="M134" s="4">
        <v>332680.82</v>
      </c>
      <c r="N134" s="4">
        <v>-1195265.1000000001</v>
      </c>
      <c r="O134" s="4">
        <f>Tab_05.Mai[[#This Row],[DÉBITO]]-Tab_05.Mai[[#This Row],[CRÉDITO]]</f>
        <v>-332680.82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SUMIFS(Tab_04.Abr[SALDO
ATUAL],Tab_04.Abr[CONTA],$I135)</f>
        <v>-862584.28</v>
      </c>
      <c r="G135" s="4">
        <f t="shared" si="5"/>
        <v>0</v>
      </c>
      <c r="I135" s="3" t="s">
        <v>737</v>
      </c>
      <c r="J135" s="3" t="s">
        <v>820</v>
      </c>
      <c r="K135" s="4">
        <v>-862584.28</v>
      </c>
      <c r="L135" s="4">
        <v>0</v>
      </c>
      <c r="M135" s="4">
        <v>332680.82</v>
      </c>
      <c r="N135" s="4">
        <v>-1195265.1000000001</v>
      </c>
      <c r="O135" s="4">
        <f>Tab_05.Mai[[#This Row],[DÉBITO]]-Tab_05.Mai[[#This Row],[CRÉDITO]]</f>
        <v>-332680.82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SUMIFS(Tab_04.Abr[SALDO
ATUAL],Tab_04.Abr[CONTA],$I136)</f>
        <v>-905220.82</v>
      </c>
      <c r="G136" s="4">
        <f t="shared" si="5"/>
        <v>0</v>
      </c>
      <c r="I136" s="3" t="s">
        <v>569</v>
      </c>
      <c r="J136" s="3" t="s">
        <v>676</v>
      </c>
      <c r="K136" s="4">
        <v>-905220.82</v>
      </c>
      <c r="L136" s="4">
        <v>0</v>
      </c>
      <c r="M136" s="4">
        <v>277060.75</v>
      </c>
      <c r="N136" s="4">
        <v>-1182281.57</v>
      </c>
      <c r="O136" s="4">
        <f>Tab_05.Mai[[#This Row],[DÉBITO]]-Tab_05.Mai[[#This Row],[CRÉDITO]]</f>
        <v>-277060.75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SUMIFS(Tab_04.Abr[SALDO
ATUAL],Tab_04.Abr[CONTA],$I137)</f>
        <v>-573356.5</v>
      </c>
      <c r="G137" s="4">
        <f t="shared" si="5"/>
        <v>0</v>
      </c>
      <c r="I137" s="3" t="s">
        <v>570</v>
      </c>
      <c r="J137" s="3" t="s">
        <v>677</v>
      </c>
      <c r="K137" s="4">
        <v>-573356.5</v>
      </c>
      <c r="L137" s="4">
        <v>0</v>
      </c>
      <c r="M137" s="4">
        <v>194094.67</v>
      </c>
      <c r="N137" s="4">
        <v>-767451.17</v>
      </c>
      <c r="O137" s="4">
        <f>Tab_05.Mai[[#This Row],[DÉBITO]]-Tab_05.Mai[[#This Row],[CRÉDITO]]</f>
        <v>-194094.67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SUMIFS(Tab_04.Abr[SALDO
ATUAL],Tab_04.Abr[CONTA],$I138)</f>
        <v>-241930.76</v>
      </c>
      <c r="G138" s="4">
        <f t="shared" si="5"/>
        <v>0</v>
      </c>
      <c r="I138" s="3" t="s">
        <v>368</v>
      </c>
      <c r="J138" s="3" t="s">
        <v>369</v>
      </c>
      <c r="K138" s="4">
        <v>-241930.76</v>
      </c>
      <c r="L138" s="4">
        <v>0</v>
      </c>
      <c r="M138" s="4">
        <v>159244</v>
      </c>
      <c r="N138" s="4">
        <v>-401174.76</v>
      </c>
      <c r="O138" s="4">
        <f>Tab_05.Mai[[#This Row],[DÉBITO]]-Tab_05.Mai[[#This Row],[CRÉDITO]]</f>
        <v>-159244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SUMIFS(Tab_04.Abr[SALDO
ATUAL],Tab_04.Abr[CONTA],$I139)</f>
        <v>-236231.01</v>
      </c>
      <c r="G139" s="4">
        <f t="shared" si="5"/>
        <v>0</v>
      </c>
      <c r="I139" s="3" t="s">
        <v>370</v>
      </c>
      <c r="J139" s="3" t="s">
        <v>371</v>
      </c>
      <c r="K139" s="4">
        <v>-236231.01</v>
      </c>
      <c r="L139" s="4">
        <v>0</v>
      </c>
      <c r="M139" s="4">
        <v>34850.67</v>
      </c>
      <c r="N139" s="4">
        <v>-271081.68</v>
      </c>
      <c r="O139" s="4">
        <f>Tab_05.Mai[[#This Row],[DÉBITO]]-Tab_05.Mai[[#This Row],[CRÉDITO]]</f>
        <v>-34850.67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SUMIFS(Tab_04.Abr[SALDO
ATUAL],Tab_04.Abr[CONTA],$I140)</f>
        <v>-5670.16</v>
      </c>
      <c r="G140" s="4">
        <f t="shared" si="5"/>
        <v>0</v>
      </c>
      <c r="I140" s="3" t="s">
        <v>372</v>
      </c>
      <c r="J140" s="3" t="s">
        <v>373</v>
      </c>
      <c r="K140" s="4">
        <v>-5670.16</v>
      </c>
      <c r="L140" s="4">
        <v>0</v>
      </c>
      <c r="M140" s="4">
        <v>0</v>
      </c>
      <c r="N140" s="4">
        <v>-5670.16</v>
      </c>
      <c r="O140" s="4">
        <f>Tab_05.Mai[[#This Row],[DÉBITO]]-Tab_05.Mai[[#This Row],[CRÉDITO]]</f>
        <v>0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SUMIFS(Tab_04.Abr[SALDO
ATUAL],Tab_04.Abr[CONTA],$I141)</f>
        <v>-89524.57</v>
      </c>
      <c r="G141" s="4">
        <f t="shared" si="5"/>
        <v>0</v>
      </c>
      <c r="I141" s="3" t="s">
        <v>851</v>
      </c>
      <c r="J141" s="3" t="s">
        <v>852</v>
      </c>
      <c r="K141" s="4">
        <v>-89524.57</v>
      </c>
      <c r="L141" s="4">
        <v>0</v>
      </c>
      <c r="M141" s="4">
        <v>0</v>
      </c>
      <c r="N141" s="4">
        <v>-89524.57</v>
      </c>
      <c r="O141" s="4">
        <f>Tab_05.Mai[[#This Row],[DÉBITO]]-Tab_05.Mai[[#This Row],[CRÉDITO]]</f>
        <v>0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SUMIFS(Tab_04.Abr[SALDO
ATUAL],Tab_04.Abr[CONTA],$I142)</f>
        <v>-331864.32000000001</v>
      </c>
      <c r="G142" s="4">
        <f t="shared" si="5"/>
        <v>0</v>
      </c>
      <c r="I142" s="3" t="s">
        <v>571</v>
      </c>
      <c r="J142" s="3" t="s">
        <v>377</v>
      </c>
      <c r="K142" s="4">
        <v>-331864.32000000001</v>
      </c>
      <c r="L142" s="4">
        <v>0</v>
      </c>
      <c r="M142" s="4">
        <v>82966.080000000002</v>
      </c>
      <c r="N142" s="4">
        <v>-414830.4</v>
      </c>
      <c r="O142" s="4">
        <f>Tab_05.Mai[[#This Row],[DÉBITO]]-Tab_05.Mai[[#This Row],[CRÉDITO]]</f>
        <v>-82966.080000000002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SUMIFS(Tab_04.Abr[SALDO
ATUAL],Tab_04.Abr[CONTA],$I143)</f>
        <v>-331864.32000000001</v>
      </c>
      <c r="G143" s="4">
        <f t="shared" si="5"/>
        <v>0</v>
      </c>
      <c r="I143" s="3" t="s">
        <v>376</v>
      </c>
      <c r="J143" s="3" t="s">
        <v>377</v>
      </c>
      <c r="K143" s="4">
        <v>-331864.32000000001</v>
      </c>
      <c r="L143" s="4">
        <v>0</v>
      </c>
      <c r="M143" s="4">
        <v>82966.080000000002</v>
      </c>
      <c r="N143" s="4">
        <v>-414830.4</v>
      </c>
      <c r="O143" s="4">
        <f>Tab_05.Mai[[#This Row],[DÉBITO]]-Tab_05.Mai[[#This Row],[CRÉDITO]]</f>
        <v>-82966.080000000002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2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SUMIFS(Tab_04.Abr[SALDO
ATUAL],Tab_04.Abr[CONTA],$I144)</f>
        <v>-1738052.66</v>
      </c>
      <c r="G144" s="4">
        <f t="shared" si="5"/>
        <v>0</v>
      </c>
      <c r="I144" s="3" t="s">
        <v>574</v>
      </c>
      <c r="J144" s="3" t="s">
        <v>680</v>
      </c>
      <c r="K144" s="4">
        <v>-1738052.66</v>
      </c>
      <c r="L144" s="4">
        <v>0</v>
      </c>
      <c r="M144" s="4">
        <v>453004.42</v>
      </c>
      <c r="N144" s="4">
        <v>-2191057.08</v>
      </c>
      <c r="O144" s="4">
        <f>Tab_05.Mai[[#This Row],[DÉBITO]]-Tab_05.Mai[[#This Row],[CRÉDITO]]</f>
        <v>-453004.42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SUMIFS(Tab_04.Abr[SALDO
ATUAL],Tab_04.Abr[CONTA],$I145)</f>
        <v>-1738052.66</v>
      </c>
      <c r="G145" s="4">
        <f t="shared" si="5"/>
        <v>0</v>
      </c>
      <c r="I145" s="3" t="s">
        <v>580</v>
      </c>
      <c r="J145" s="3" t="s">
        <v>822</v>
      </c>
      <c r="K145" s="4">
        <v>-1738052.66</v>
      </c>
      <c r="L145" s="4">
        <v>0</v>
      </c>
      <c r="M145" s="4">
        <v>453004.42</v>
      </c>
      <c r="N145" s="4">
        <v>-2191057.08</v>
      </c>
      <c r="O145" s="4">
        <f>Tab_05.Mai[[#This Row],[DÉBITO]]-Tab_05.Mai[[#This Row],[CRÉDITO]]</f>
        <v>-453004.42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SUMIFS(Tab_04.Abr[SALDO
ATUAL],Tab_04.Abr[CONTA],$I146)</f>
        <v>-1738052.66</v>
      </c>
      <c r="G146" s="4">
        <f t="shared" ref="G146:G177" si="6">$F146-$K146</f>
        <v>0</v>
      </c>
      <c r="I146" s="3" t="s">
        <v>581</v>
      </c>
      <c r="J146" s="3" t="s">
        <v>687</v>
      </c>
      <c r="K146" s="4">
        <v>-1738052.66</v>
      </c>
      <c r="L146" s="4">
        <v>0</v>
      </c>
      <c r="M146" s="4">
        <v>453004.42</v>
      </c>
      <c r="N146" s="4">
        <v>-2191057.08</v>
      </c>
      <c r="O146" s="4">
        <f>Tab_05.Mai[[#This Row],[DÉBITO]]-Tab_05.Mai[[#This Row],[CRÉDITO]]</f>
        <v>-453004.42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A</v>
      </c>
      <c r="E147" s="2">
        <f>IF($I147="","",COUNTIFS(Tab_00.Trial[CONTA],$I147))</f>
        <v>1</v>
      </c>
      <c r="F147" s="4">
        <f>SUMIFS(Tab_04.Abr[SALDO
ATUAL],Tab_04.Abr[CONTA],$I147)</f>
        <v>-1704834.52</v>
      </c>
      <c r="G147" s="4">
        <f t="shared" si="6"/>
        <v>0</v>
      </c>
      <c r="I147" s="3" t="s">
        <v>387</v>
      </c>
      <c r="J147" s="3" t="s">
        <v>388</v>
      </c>
      <c r="K147" s="4">
        <v>-1704834.52</v>
      </c>
      <c r="L147" s="4">
        <v>0</v>
      </c>
      <c r="M147" s="4">
        <v>440421.58</v>
      </c>
      <c r="N147" s="4">
        <v>-2145256.1</v>
      </c>
      <c r="O147" s="4">
        <f>Tab_05.Mai[[#This Row],[DÉBITO]]-Tab_05.Mai[[#This Row],[CRÉDITO]]</f>
        <v>-440421.58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A</v>
      </c>
      <c r="E148" s="2">
        <f>IF($I148="","",COUNTIFS(Tab_00.Trial[CONTA],$I148))</f>
        <v>1</v>
      </c>
      <c r="F148" s="4">
        <f>SUMIFS(Tab_04.Abr[SALDO
ATUAL],Tab_04.Abr[CONTA],$I148)</f>
        <v>-33218.14</v>
      </c>
      <c r="G148" s="4">
        <f t="shared" si="6"/>
        <v>0</v>
      </c>
      <c r="I148" s="3" t="s">
        <v>389</v>
      </c>
      <c r="J148" s="3" t="s">
        <v>390</v>
      </c>
      <c r="K148" s="4">
        <v>-33218.14</v>
      </c>
      <c r="L148" s="4">
        <v>0</v>
      </c>
      <c r="M148" s="4">
        <v>12582.84</v>
      </c>
      <c r="N148" s="4">
        <v>-45800.98</v>
      </c>
      <c r="O148" s="4">
        <f>Tab_05.Mai[[#This Row],[DÉBITO]]-Tab_05.Mai[[#This Row],[CRÉDITO]]</f>
        <v>-12582.84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2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SUMIFS(Tab_04.Abr[SALDO
ATUAL],Tab_04.Abr[CONTA],$I149)</f>
        <v>-703557.92</v>
      </c>
      <c r="G149" s="4">
        <f t="shared" si="6"/>
        <v>0</v>
      </c>
      <c r="I149" s="3" t="s">
        <v>582</v>
      </c>
      <c r="J149" s="3" t="s">
        <v>688</v>
      </c>
      <c r="K149" s="4">
        <v>-703557.92</v>
      </c>
      <c r="L149" s="4">
        <v>0</v>
      </c>
      <c r="M149" s="4">
        <v>326235.03999999998</v>
      </c>
      <c r="N149" s="4">
        <v>-1029792.96</v>
      </c>
      <c r="O149" s="4">
        <f>Tab_05.Mai[[#This Row],[DÉBITO]]-Tab_05.Mai[[#This Row],[CRÉDITO]]</f>
        <v>-326235.03999999998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SUMIFS(Tab_04.Abr[SALDO
ATUAL],Tab_04.Abr[CONTA],$I150)</f>
        <v>-73.349999999999994</v>
      </c>
      <c r="G150" s="4">
        <f t="shared" si="6"/>
        <v>0</v>
      </c>
      <c r="I150" s="3" t="s">
        <v>583</v>
      </c>
      <c r="J150" s="3" t="s">
        <v>689</v>
      </c>
      <c r="K150" s="4">
        <v>-73.349999999999994</v>
      </c>
      <c r="L150" s="4">
        <v>0</v>
      </c>
      <c r="M150" s="4">
        <v>7.0000000000000007E-2</v>
      </c>
      <c r="N150" s="4">
        <v>-73.42</v>
      </c>
      <c r="O150" s="4">
        <f>Tab_05.Mai[[#This Row],[DÉBITO]]-Tab_05.Mai[[#This Row],[CRÉDITO]]</f>
        <v>-7.0000000000000007E-2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SUMIFS(Tab_04.Abr[SALDO
ATUAL],Tab_04.Abr[CONTA],$I151)</f>
        <v>-73.349999999999994</v>
      </c>
      <c r="G151" s="4">
        <f t="shared" si="6"/>
        <v>0</v>
      </c>
      <c r="I151" s="3" t="s">
        <v>584</v>
      </c>
      <c r="J151" s="3" t="s">
        <v>689</v>
      </c>
      <c r="K151" s="4">
        <v>-73.349999999999994</v>
      </c>
      <c r="L151" s="4">
        <v>0</v>
      </c>
      <c r="M151" s="4">
        <v>7.0000000000000007E-2</v>
      </c>
      <c r="N151" s="4">
        <v>-73.42</v>
      </c>
      <c r="O151" s="4">
        <f>Tab_05.Mai[[#This Row],[DÉBITO]]-Tab_05.Mai[[#This Row],[CRÉDITO]]</f>
        <v>-7.0000000000000007E-2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SUMIFS(Tab_04.Abr[SALDO
ATUAL],Tab_04.Abr[CONTA],$I152)</f>
        <v>-73.349999999999994</v>
      </c>
      <c r="G152" s="4">
        <f t="shared" si="6"/>
        <v>0</v>
      </c>
      <c r="I152" s="3" t="s">
        <v>391</v>
      </c>
      <c r="J152" s="3" t="s">
        <v>392</v>
      </c>
      <c r="K152" s="4">
        <v>-73.349999999999994</v>
      </c>
      <c r="L152" s="4">
        <v>0</v>
      </c>
      <c r="M152" s="4">
        <v>7.0000000000000007E-2</v>
      </c>
      <c r="N152" s="4">
        <v>-73.42</v>
      </c>
      <c r="O152" s="4">
        <f>Tab_05.Mai[[#This Row],[DÉBITO]]-Tab_05.Mai[[#This Row],[CRÉDITO]]</f>
        <v>-7.0000000000000007E-2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SUMIFS(Tab_04.Abr[SALDO
ATUAL],Tab_04.Abr[CONTA],$I153)</f>
        <v>-703484.57</v>
      </c>
      <c r="G153" s="4">
        <f t="shared" si="6"/>
        <v>0</v>
      </c>
      <c r="I153" s="3" t="s">
        <v>585</v>
      </c>
      <c r="J153" s="3" t="s">
        <v>690</v>
      </c>
      <c r="K153" s="4">
        <v>-703484.57</v>
      </c>
      <c r="L153" s="4">
        <v>0</v>
      </c>
      <c r="M153" s="4">
        <v>326234.96999999997</v>
      </c>
      <c r="N153" s="4">
        <v>-1029719.54</v>
      </c>
      <c r="O153" s="4">
        <f>Tab_05.Mai[[#This Row],[DÉBITO]]-Tab_05.Mai[[#This Row],[CRÉDITO]]</f>
        <v>-326234.96999999997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SUMIFS(Tab_04.Abr[SALDO
ATUAL],Tab_04.Abr[CONTA],$I154)</f>
        <v>-703484.57</v>
      </c>
      <c r="G154" s="4">
        <f t="shared" si="6"/>
        <v>0</v>
      </c>
      <c r="I154" s="3" t="s">
        <v>586</v>
      </c>
      <c r="J154" s="3" t="s">
        <v>394</v>
      </c>
      <c r="K154" s="4">
        <v>-703484.57</v>
      </c>
      <c r="L154" s="4">
        <v>0</v>
      </c>
      <c r="M154" s="4">
        <v>326234.96999999997</v>
      </c>
      <c r="N154" s="4">
        <v>-1029719.54</v>
      </c>
      <c r="O154" s="4">
        <f>Tab_05.Mai[[#This Row],[DÉBITO]]-Tab_05.Mai[[#This Row],[CRÉDITO]]</f>
        <v>-326234.96999999997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A</v>
      </c>
      <c r="E155" s="2">
        <f>IF($I155="","",COUNTIFS(Tab_00.Trial[CONTA],$I155))</f>
        <v>1</v>
      </c>
      <c r="F155" s="4">
        <f>SUMIFS(Tab_04.Abr[SALDO
ATUAL],Tab_04.Abr[CONTA],$I155)</f>
        <v>-703484.57</v>
      </c>
      <c r="G155" s="4">
        <f t="shared" si="6"/>
        <v>0</v>
      </c>
      <c r="I155" s="3" t="s">
        <v>393</v>
      </c>
      <c r="J155" s="3" t="s">
        <v>394</v>
      </c>
      <c r="K155" s="4">
        <v>-703484.57</v>
      </c>
      <c r="L155" s="4">
        <v>0</v>
      </c>
      <c r="M155" s="4">
        <v>326234.96999999997</v>
      </c>
      <c r="N155" s="4">
        <v>-1029719.54</v>
      </c>
      <c r="O155" s="4">
        <f>Tab_05.Mai[[#This Row],[DÉBITO]]-Tab_05.Mai[[#This Row],[CRÉDITO]]</f>
        <v>-326234.96999999997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2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SUMIFS(Tab_04.Abr[SALDO
ATUAL],Tab_04.Abr[CONTA],$I156)</f>
        <v>-5000</v>
      </c>
      <c r="G156" s="4">
        <f t="shared" si="6"/>
        <v>0</v>
      </c>
      <c r="I156" s="3" t="s">
        <v>587</v>
      </c>
      <c r="J156" s="3" t="s">
        <v>691</v>
      </c>
      <c r="K156" s="4">
        <v>-5000</v>
      </c>
      <c r="L156" s="4">
        <v>0</v>
      </c>
      <c r="M156" s="4">
        <v>500</v>
      </c>
      <c r="N156" s="4">
        <v>-5500</v>
      </c>
      <c r="O156" s="4">
        <f>Tab_05.Mai[[#This Row],[DÉBITO]]-Tab_05.Mai[[#This Row],[CRÉDITO]]</f>
        <v>-500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SUMIFS(Tab_04.Abr[SALDO
ATUAL],Tab_04.Abr[CONTA],$I157)</f>
        <v>-5000</v>
      </c>
      <c r="G157" s="4">
        <f t="shared" si="6"/>
        <v>0</v>
      </c>
      <c r="I157" s="3" t="s">
        <v>588</v>
      </c>
      <c r="J157" s="3" t="s">
        <v>692</v>
      </c>
      <c r="K157" s="4">
        <v>-5000</v>
      </c>
      <c r="L157" s="4">
        <v>0</v>
      </c>
      <c r="M157" s="4">
        <v>500</v>
      </c>
      <c r="N157" s="4">
        <v>-5500</v>
      </c>
      <c r="O157" s="4">
        <f>Tab_05.Mai[[#This Row],[DÉBITO]]-Tab_05.Mai[[#This Row],[CRÉDITO]]</f>
        <v>-500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SUMIFS(Tab_04.Abr[SALDO
ATUAL],Tab_04.Abr[CONTA],$I158)</f>
        <v>-5000</v>
      </c>
      <c r="G158" s="4">
        <f t="shared" si="6"/>
        <v>0</v>
      </c>
      <c r="I158" s="3" t="s">
        <v>589</v>
      </c>
      <c r="J158" s="3" t="s">
        <v>692</v>
      </c>
      <c r="K158" s="4">
        <v>-5000</v>
      </c>
      <c r="L158" s="4">
        <v>0</v>
      </c>
      <c r="M158" s="4">
        <v>500</v>
      </c>
      <c r="N158" s="4">
        <v>-5500</v>
      </c>
      <c r="O158" s="4">
        <f>Tab_05.Mai[[#This Row],[DÉBITO]]-Tab_05.Mai[[#This Row],[CRÉDITO]]</f>
        <v>-500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A</v>
      </c>
      <c r="E159" s="2">
        <f>IF($I159="","",COUNTIFS(Tab_00.Trial[CONTA],$I159))</f>
        <v>1</v>
      </c>
      <c r="F159" s="4">
        <f>SUMIFS(Tab_04.Abr[SALDO
ATUAL],Tab_04.Abr[CONTA],$I159)</f>
        <v>-5000</v>
      </c>
      <c r="G159" s="4">
        <f t="shared" si="6"/>
        <v>0</v>
      </c>
      <c r="I159" s="3" t="s">
        <v>395</v>
      </c>
      <c r="J159" s="3" t="s">
        <v>396</v>
      </c>
      <c r="K159" s="4">
        <v>-5000</v>
      </c>
      <c r="L159" s="4">
        <v>0</v>
      </c>
      <c r="M159" s="4">
        <v>500</v>
      </c>
      <c r="N159" s="4">
        <v>-5500</v>
      </c>
      <c r="O159" s="4">
        <f>Tab_05.Mai[[#This Row],[DÉBITO]]-Tab_05.Mai[[#This Row],[CRÉDITO]]</f>
        <v>-500</v>
      </c>
    </row>
    <row r="160" spans="2:15" x14ac:dyDescent="0.3">
      <c r="B160" s="2" t="str">
        <f>_xlfn.XLOOKUP($I160,Tab_00.Trial[CONTA],Tab_00.Trial[TP],"",0,1)</f>
        <v>C</v>
      </c>
      <c r="C160" s="2">
        <f>_xlfn.XLOOKUP($I160,Tab_00.Trial[CONTA],Tab_00.Trial[NV],"",0,1)</f>
        <v>1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SUMIFS(Tab_04.Abr[SALDO
ATUAL],Tab_04.Abr[CONTA],$I160)</f>
        <v>3542076.38</v>
      </c>
      <c r="G160" s="4">
        <f t="shared" si="6"/>
        <v>0</v>
      </c>
      <c r="I160" s="3">
        <v>4</v>
      </c>
      <c r="J160" s="3" t="s">
        <v>693</v>
      </c>
      <c r="K160" s="4">
        <v>3542076.38</v>
      </c>
      <c r="L160" s="4">
        <v>872692.86</v>
      </c>
      <c r="M160" s="4">
        <v>22065.35</v>
      </c>
      <c r="N160" s="4">
        <v>4392703.8899999997</v>
      </c>
      <c r="O160" s="4">
        <f>Tab_05.Mai[[#This Row],[DÉBITO]]-Tab_05.Mai[[#This Row],[CRÉDITO]]</f>
        <v>850627.51</v>
      </c>
    </row>
    <row r="161" spans="2:15" x14ac:dyDescent="0.3">
      <c r="B161" s="2" t="str">
        <f>_xlfn.XLOOKUP($I161,Tab_00.Trial[CONTA],Tab_00.Trial[TP],"",0,1)</f>
        <v>C</v>
      </c>
      <c r="C161" s="2">
        <f>_xlfn.XLOOKUP($I161,Tab_00.Trial[CONTA],Tab_00.Trial[NV],"",0,1)</f>
        <v>2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SUMIFS(Tab_04.Abr[SALDO
ATUAL],Tab_04.Abr[CONTA],$I161)</f>
        <v>3542076.38</v>
      </c>
      <c r="G161" s="4">
        <f t="shared" si="6"/>
        <v>0</v>
      </c>
      <c r="I161" s="3" t="s">
        <v>234</v>
      </c>
      <c r="J161" s="3" t="s">
        <v>823</v>
      </c>
      <c r="K161" s="4">
        <v>3542076.38</v>
      </c>
      <c r="L161" s="4">
        <v>872692.86</v>
      </c>
      <c r="M161" s="4">
        <v>22065.35</v>
      </c>
      <c r="N161" s="4">
        <v>4392703.8899999997</v>
      </c>
      <c r="O161" s="4">
        <f>Tab_05.Mai[[#This Row],[DÉBITO]]-Tab_05.Mai[[#This Row],[CRÉDITO]]</f>
        <v>850627.51</v>
      </c>
    </row>
    <row r="162" spans="2:15" x14ac:dyDescent="0.3">
      <c r="B162" s="2" t="str">
        <f>_xlfn.XLOOKUP($I162,Tab_00.Trial[CONTA],Tab_00.Trial[TP],"",0,1)</f>
        <v>C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SUMIFS(Tab_04.Abr[SALDO
ATUAL],Tab_04.Abr[CONTA],$I162)</f>
        <v>605421.53</v>
      </c>
      <c r="G162" s="4">
        <f t="shared" si="6"/>
        <v>0</v>
      </c>
      <c r="I162" s="3" t="s">
        <v>235</v>
      </c>
      <c r="J162" s="3" t="s">
        <v>824</v>
      </c>
      <c r="K162" s="4">
        <v>605421.53</v>
      </c>
      <c r="L162" s="4">
        <v>195204.34</v>
      </c>
      <c r="M162" s="4">
        <v>22065.35</v>
      </c>
      <c r="N162" s="4">
        <v>778560.52</v>
      </c>
      <c r="O162" s="4">
        <f>Tab_05.Mai[[#This Row],[DÉBITO]]-Tab_05.Mai[[#This Row],[CRÉDITO]]</f>
        <v>173138.99</v>
      </c>
    </row>
    <row r="163" spans="2:15" x14ac:dyDescent="0.3">
      <c r="B163" s="2" t="str">
        <f>_xlfn.XLOOKUP($I163,Tab_00.Trial[CONTA],Tab_00.Trial[TP],"",0,1)</f>
        <v>C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SUMIFS(Tab_04.Abr[SALDO
ATUAL],Tab_04.Abr[CONTA],$I163)</f>
        <v>269489.52</v>
      </c>
      <c r="G163" s="4">
        <f t="shared" si="6"/>
        <v>0</v>
      </c>
      <c r="I163" s="3" t="s">
        <v>236</v>
      </c>
      <c r="J163" s="3" t="s">
        <v>696</v>
      </c>
      <c r="K163" s="4">
        <v>269489.52</v>
      </c>
      <c r="L163" s="4">
        <v>100166.8</v>
      </c>
      <c r="M163" s="4">
        <v>17126.39</v>
      </c>
      <c r="N163" s="4">
        <v>352529.93</v>
      </c>
      <c r="O163" s="4">
        <f>Tab_05.Mai[[#This Row],[DÉBITO]]-Tab_05.Mai[[#This Row],[CRÉDITO]]</f>
        <v>83040.41</v>
      </c>
    </row>
    <row r="164" spans="2:15" x14ac:dyDescent="0.3">
      <c r="B164" s="2" t="str">
        <f>_xlfn.XLOOKUP($I164,Tab_00.Trial[CONTA],Tab_00.Trial[TP],"",0,1)</f>
        <v>C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SUMIFS(Tab_04.Abr[SALDO
ATUAL],Tab_04.Abr[CONTA],$I164)</f>
        <v>170393.05</v>
      </c>
      <c r="G164" s="4">
        <f t="shared" si="6"/>
        <v>0</v>
      </c>
      <c r="I164" s="3" t="s">
        <v>195</v>
      </c>
      <c r="J164" s="3" t="s">
        <v>427</v>
      </c>
      <c r="K164" s="4">
        <v>170393.05</v>
      </c>
      <c r="L164" s="4">
        <v>82450.12</v>
      </c>
      <c r="M164" s="4">
        <v>17117.490000000002</v>
      </c>
      <c r="N164" s="4">
        <v>235725.68</v>
      </c>
      <c r="O164" s="4">
        <f>Tab_05.Mai[[#This Row],[DÉBITO]]-Tab_05.Mai[[#This Row],[CRÉDITO]]</f>
        <v>65332.63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5</v>
      </c>
      <c r="D165" s="2" t="str">
        <f>_xlfn.XLOOKUP($I165,Tab_00.Trial[CONTA],Tab_00.Trial[S/A],"",0,1)</f>
        <v>A</v>
      </c>
      <c r="E165" s="2">
        <f>IF($I165="","",COUNTIFS(Tab_00.Trial[CONTA],$I165))</f>
        <v>1</v>
      </c>
      <c r="F165" s="4">
        <f>SUMIFS(Tab_04.Abr[SALDO
ATUAL],Tab_04.Abr[CONTA],$I165)</f>
        <v>31810.63</v>
      </c>
      <c r="G165" s="4">
        <f t="shared" si="6"/>
        <v>0</v>
      </c>
      <c r="I165" s="3" t="s">
        <v>430</v>
      </c>
      <c r="J165" s="3" t="s">
        <v>431</v>
      </c>
      <c r="K165" s="4">
        <v>31810.63</v>
      </c>
      <c r="L165" s="4">
        <v>8440.17</v>
      </c>
      <c r="M165" s="4">
        <v>0</v>
      </c>
      <c r="N165" s="4">
        <v>40250.800000000003</v>
      </c>
      <c r="O165" s="4">
        <f>Tab_05.Mai[[#This Row],[DÉBITO]]-Tab_05.Mai[[#This Row],[CRÉDITO]]</f>
        <v>8440.17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5</v>
      </c>
      <c r="D166" s="2" t="str">
        <f>_xlfn.XLOOKUP($I166,Tab_00.Trial[CONTA],Tab_00.Trial[S/A],"",0,1)</f>
        <v>A</v>
      </c>
      <c r="E166" s="2">
        <f>IF($I166="","",COUNTIFS(Tab_00.Trial[CONTA],$I166))</f>
        <v>1</v>
      </c>
      <c r="F166" s="4">
        <f>SUMIFS(Tab_04.Abr[SALDO
ATUAL],Tab_04.Abr[CONTA],$I166)</f>
        <v>20180.080000000002</v>
      </c>
      <c r="G166" s="4">
        <f t="shared" si="6"/>
        <v>0</v>
      </c>
      <c r="I166" s="3" t="s">
        <v>432</v>
      </c>
      <c r="J166" s="3" t="s">
        <v>433</v>
      </c>
      <c r="K166" s="4">
        <v>20180.080000000002</v>
      </c>
      <c r="L166" s="4">
        <v>5045.05</v>
      </c>
      <c r="M166" s="4">
        <v>0</v>
      </c>
      <c r="N166" s="4">
        <v>25225.13</v>
      </c>
      <c r="O166" s="4">
        <f>Tab_05.Mai[[#This Row],[DÉBITO]]-Tab_05.Mai[[#This Row],[CRÉDITO]]</f>
        <v>5045.05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SUMIFS(Tab_04.Abr[SALDO
ATUAL],Tab_04.Abr[CONTA],$I167)</f>
        <v>38252.639999999999</v>
      </c>
      <c r="G167" s="4">
        <f t="shared" si="6"/>
        <v>0</v>
      </c>
      <c r="I167" s="3" t="s">
        <v>796</v>
      </c>
      <c r="J167" s="3" t="s">
        <v>797</v>
      </c>
      <c r="K167" s="4">
        <v>38252.639999999999</v>
      </c>
      <c r="L167" s="4">
        <v>1802.78</v>
      </c>
      <c r="M167" s="4">
        <v>0</v>
      </c>
      <c r="N167" s="4">
        <v>40055.42</v>
      </c>
      <c r="O167" s="4">
        <f>Tab_05.Mai[[#This Row],[DÉBITO]]-Tab_05.Mai[[#This Row],[CRÉDITO]]</f>
        <v>1802.78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SUMIFS(Tab_04.Abr[SALDO
ATUAL],Tab_04.Abr[CONTA],$I168)</f>
        <v>1441.01</v>
      </c>
      <c r="G168" s="4">
        <f t="shared" si="6"/>
        <v>0</v>
      </c>
      <c r="I168" s="3" t="s">
        <v>798</v>
      </c>
      <c r="J168" s="3" t="s">
        <v>799</v>
      </c>
      <c r="K168" s="4">
        <v>1441.01</v>
      </c>
      <c r="L168" s="4">
        <v>538.13</v>
      </c>
      <c r="M168" s="4">
        <v>0</v>
      </c>
      <c r="N168" s="4">
        <v>1979.14</v>
      </c>
      <c r="O168" s="4">
        <f>Tab_05.Mai[[#This Row],[DÉBITO]]-Tab_05.Mai[[#This Row],[CRÉDITO]]</f>
        <v>538.13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SUMIFS(Tab_04.Abr[SALDO
ATUAL],Tab_04.Abr[CONTA],$I169)</f>
        <v>187.72</v>
      </c>
      <c r="G169" s="4">
        <f t="shared" si="6"/>
        <v>0</v>
      </c>
      <c r="I169" s="3" t="s">
        <v>800</v>
      </c>
      <c r="J169" s="3" t="s">
        <v>801</v>
      </c>
      <c r="K169" s="4">
        <v>187.72</v>
      </c>
      <c r="L169" s="4">
        <v>84.41</v>
      </c>
      <c r="M169" s="4">
        <v>8.9</v>
      </c>
      <c r="N169" s="4">
        <v>263.23</v>
      </c>
      <c r="O169" s="4">
        <f>Tab_05.Mai[[#This Row],[DÉBITO]]-Tab_05.Mai[[#This Row],[CRÉDITO]]</f>
        <v>75.510000000000005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SUMIFS(Tab_04.Abr[SALDO
ATUAL],Tab_04.Abr[CONTA],$I170)</f>
        <v>5408.21</v>
      </c>
      <c r="G170" s="4">
        <f t="shared" si="6"/>
        <v>0</v>
      </c>
      <c r="I170" s="3" t="s">
        <v>802</v>
      </c>
      <c r="J170" s="3" t="s">
        <v>803</v>
      </c>
      <c r="K170" s="4">
        <v>5408.21</v>
      </c>
      <c r="L170" s="4">
        <v>1352.1</v>
      </c>
      <c r="M170" s="4">
        <v>0</v>
      </c>
      <c r="N170" s="4">
        <v>6760.31</v>
      </c>
      <c r="O170" s="4">
        <f>Tab_05.Mai[[#This Row],[DÉBITO]]-Tab_05.Mai[[#This Row],[CRÉDITO]]</f>
        <v>1352.1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SUMIFS(Tab_04.Abr[SALDO
ATUAL],Tab_04.Abr[CONTA],$I171)</f>
        <v>1614.37</v>
      </c>
      <c r="G171" s="4">
        <f t="shared" si="6"/>
        <v>0</v>
      </c>
      <c r="I171" s="3" t="s">
        <v>804</v>
      </c>
      <c r="J171" s="3" t="s">
        <v>805</v>
      </c>
      <c r="K171" s="4">
        <v>1614.37</v>
      </c>
      <c r="L171" s="4">
        <v>403.61</v>
      </c>
      <c r="M171" s="4">
        <v>0</v>
      </c>
      <c r="N171" s="4">
        <v>2017.98</v>
      </c>
      <c r="O171" s="4">
        <f>Tab_05.Mai[[#This Row],[DÉBITO]]-Tab_05.Mai[[#This Row],[CRÉDITO]]</f>
        <v>403.61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SUMIFS(Tab_04.Abr[SALDO
ATUAL],Tab_04.Abr[CONTA],$I172)</f>
        <v>201.81</v>
      </c>
      <c r="G172" s="4">
        <f t="shared" si="6"/>
        <v>0</v>
      </c>
      <c r="I172" s="3" t="s">
        <v>806</v>
      </c>
      <c r="J172" s="3" t="s">
        <v>807</v>
      </c>
      <c r="K172" s="4">
        <v>201.81</v>
      </c>
      <c r="L172" s="4">
        <v>50.43</v>
      </c>
      <c r="M172" s="4">
        <v>0</v>
      </c>
      <c r="N172" s="4">
        <v>252.24</v>
      </c>
      <c r="O172" s="4">
        <f>Tab_05.Mai[[#This Row],[DÉBITO]]-Tab_05.Mai[[#This Row],[CRÉDITO]]</f>
        <v>50.43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S</v>
      </c>
      <c r="E173" s="2">
        <f>IF($I173="","",COUNTIFS(Tab_00.Trial[CONTA],$I173))</f>
        <v>1</v>
      </c>
      <c r="F173" s="4">
        <f>SUMIFS(Tab_04.Abr[SALDO
ATUAL],Tab_04.Abr[CONTA],$I173)</f>
        <v>104970.22</v>
      </c>
      <c r="G173" s="4">
        <f t="shared" si="6"/>
        <v>0</v>
      </c>
      <c r="I173" s="3" t="s">
        <v>590</v>
      </c>
      <c r="J173" s="3" t="s">
        <v>697</v>
      </c>
      <c r="K173" s="4">
        <v>104970.22</v>
      </c>
      <c r="L173" s="4">
        <v>24148.37</v>
      </c>
      <c r="M173" s="4">
        <v>3416.79</v>
      </c>
      <c r="N173" s="4">
        <v>125701.8</v>
      </c>
      <c r="O173" s="4">
        <f>Tab_05.Mai[[#This Row],[DÉBITO]]-Tab_05.Mai[[#This Row],[CRÉDITO]]</f>
        <v>20731.580000000002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SUMIFS(Tab_04.Abr[SALDO
ATUAL],Tab_04.Abr[CONTA],$I174)</f>
        <v>100788.89</v>
      </c>
      <c r="G174" s="4">
        <f t="shared" si="6"/>
        <v>0</v>
      </c>
      <c r="I174" s="3" t="s">
        <v>434</v>
      </c>
      <c r="J174" s="3" t="s">
        <v>435</v>
      </c>
      <c r="K174" s="4">
        <v>100788.89</v>
      </c>
      <c r="L174" s="4">
        <v>22174.67</v>
      </c>
      <c r="M174" s="4">
        <v>1548.49</v>
      </c>
      <c r="N174" s="4">
        <v>121415.07</v>
      </c>
      <c r="O174" s="4">
        <f>Tab_05.Mai[[#This Row],[DÉBITO]]-Tab_05.Mai[[#This Row],[CRÉDITO]]</f>
        <v>20626.18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SUMIFS(Tab_04.Abr[SALDO
ATUAL],Tab_04.Abr[CONTA],$I175)</f>
        <v>4181.33</v>
      </c>
      <c r="G175" s="4">
        <f t="shared" si="6"/>
        <v>0</v>
      </c>
      <c r="I175" s="3" t="s">
        <v>750</v>
      </c>
      <c r="J175" s="3" t="s">
        <v>751</v>
      </c>
      <c r="K175" s="4">
        <v>4181.33</v>
      </c>
      <c r="L175" s="4">
        <v>1973.7</v>
      </c>
      <c r="M175" s="4">
        <v>1868.3</v>
      </c>
      <c r="N175" s="4">
        <v>4286.7299999999996</v>
      </c>
      <c r="O175" s="4">
        <f>Tab_05.Mai[[#This Row],[DÉBITO]]-Tab_05.Mai[[#This Row],[CRÉDITO]]</f>
        <v>105.4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S</v>
      </c>
      <c r="E176" s="2">
        <f>IF($I176="","",COUNTIFS(Tab_00.Trial[CONTA],$I176))</f>
        <v>1</v>
      </c>
      <c r="F176" s="4">
        <f>SUMIFS(Tab_04.Abr[SALDO
ATUAL],Tab_04.Abr[CONTA],$I176)</f>
        <v>86154.76</v>
      </c>
      <c r="G176" s="4">
        <f t="shared" si="6"/>
        <v>0</v>
      </c>
      <c r="I176" s="3" t="s">
        <v>591</v>
      </c>
      <c r="J176" s="3" t="s">
        <v>698</v>
      </c>
      <c r="K176" s="4">
        <v>86154.76</v>
      </c>
      <c r="L176" s="4">
        <v>27278.26</v>
      </c>
      <c r="M176" s="4">
        <v>1522.17</v>
      </c>
      <c r="N176" s="4">
        <v>111910.85</v>
      </c>
      <c r="O176" s="4">
        <f>Tab_05.Mai[[#This Row],[DÉBITO]]-Tab_05.Mai[[#This Row],[CRÉDITO]]</f>
        <v>25756.09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SUMIFS(Tab_04.Abr[SALDO
ATUAL],Tab_04.Abr[CONTA],$I177)</f>
        <v>69437.960000000006</v>
      </c>
      <c r="G177" s="4">
        <f t="shared" si="6"/>
        <v>0</v>
      </c>
      <c r="I177" s="3" t="s">
        <v>436</v>
      </c>
      <c r="J177" s="3" t="s">
        <v>437</v>
      </c>
      <c r="K177" s="4">
        <v>69437.960000000006</v>
      </c>
      <c r="L177" s="4">
        <v>20549.78</v>
      </c>
      <c r="M177" s="4">
        <v>0</v>
      </c>
      <c r="N177" s="4">
        <v>89987.74</v>
      </c>
      <c r="O177" s="4">
        <f>Tab_05.Mai[[#This Row],[DÉBITO]]-Tab_05.Mai[[#This Row],[CRÉDITO]]</f>
        <v>20549.78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SUMIFS(Tab_04.Abr[SALDO
ATUAL],Tab_04.Abr[CONTA],$I178)</f>
        <v>14412.32</v>
      </c>
      <c r="G178" s="4">
        <f t="shared" ref="G178:G197" si="7">$F178-$K178</f>
        <v>0</v>
      </c>
      <c r="I178" s="3" t="s">
        <v>438</v>
      </c>
      <c r="J178" s="3" t="s">
        <v>196</v>
      </c>
      <c r="K178" s="4">
        <v>14412.32</v>
      </c>
      <c r="L178" s="4">
        <v>5965.95</v>
      </c>
      <c r="M178" s="4">
        <v>1522.17</v>
      </c>
      <c r="N178" s="4">
        <v>18856.099999999999</v>
      </c>
      <c r="O178" s="4">
        <f>Tab_05.Mai[[#This Row],[DÉBITO]]-Tab_05.Mai[[#This Row],[CRÉDITO]]</f>
        <v>4443.78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SUMIFS(Tab_04.Abr[SALDO
ATUAL],Tab_04.Abr[CONTA],$I179)</f>
        <v>2304.48</v>
      </c>
      <c r="G179" s="4">
        <f t="shared" si="7"/>
        <v>0</v>
      </c>
      <c r="I179" s="3" t="s">
        <v>439</v>
      </c>
      <c r="J179" s="3" t="s">
        <v>440</v>
      </c>
      <c r="K179" s="4">
        <v>2304.48</v>
      </c>
      <c r="L179" s="4">
        <v>762.53</v>
      </c>
      <c r="M179" s="4">
        <v>0</v>
      </c>
      <c r="N179" s="4">
        <v>3067.01</v>
      </c>
      <c r="O179" s="4">
        <f>Tab_05.Mai[[#This Row],[DÉBITO]]-Tab_05.Mai[[#This Row],[CRÉDITO]]</f>
        <v>762.53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S</v>
      </c>
      <c r="E180" s="2">
        <f>IF($I180="","",COUNTIFS(Tab_00.Trial[CONTA],$I180))</f>
        <v>1</v>
      </c>
      <c r="F180" s="4">
        <f>SUMIFS(Tab_04.Abr[SALDO
ATUAL],Tab_04.Abr[CONTA],$I180)</f>
        <v>6378.77</v>
      </c>
      <c r="G180" s="4">
        <f t="shared" si="7"/>
        <v>0</v>
      </c>
      <c r="I180" s="3" t="s">
        <v>592</v>
      </c>
      <c r="J180" s="3" t="s">
        <v>699</v>
      </c>
      <c r="K180" s="4">
        <v>6378.77</v>
      </c>
      <c r="L180" s="4">
        <v>0</v>
      </c>
      <c r="M180" s="4">
        <v>0</v>
      </c>
      <c r="N180" s="4">
        <v>6378.77</v>
      </c>
      <c r="O180" s="4">
        <f>Tab_05.Mai[[#This Row],[DÉBITO]]-Tab_05.Mai[[#This Row],[CRÉDITO]]</f>
        <v>0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SUMIFS(Tab_04.Abr[SALDO
ATUAL],Tab_04.Abr[CONTA],$I181)</f>
        <v>6378.77</v>
      </c>
      <c r="G181" s="4">
        <f t="shared" si="7"/>
        <v>0</v>
      </c>
      <c r="I181" s="3" t="s">
        <v>397</v>
      </c>
      <c r="J181" s="3" t="s">
        <v>398</v>
      </c>
      <c r="K181" s="4">
        <v>6378.77</v>
      </c>
      <c r="L181" s="4">
        <v>0</v>
      </c>
      <c r="M181" s="4">
        <v>0</v>
      </c>
      <c r="N181" s="4">
        <v>6378.77</v>
      </c>
      <c r="O181" s="4">
        <f>Tab_05.Mai[[#This Row],[DÉBITO]]-Tab_05.Mai[[#This Row],[CRÉDITO]]</f>
        <v>0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SUMIFS(Tab_04.Abr[SALDO
ATUAL],Tab_04.Abr[CONTA],$I182)</f>
        <v>133712.89000000001</v>
      </c>
      <c r="G182" s="4">
        <f t="shared" si="7"/>
        <v>0</v>
      </c>
      <c r="I182" s="3" t="s">
        <v>593</v>
      </c>
      <c r="J182" s="3" t="s">
        <v>711</v>
      </c>
      <c r="K182" s="4">
        <v>133712.89000000001</v>
      </c>
      <c r="L182" s="4">
        <v>41455.96</v>
      </c>
      <c r="M182" s="4">
        <v>0</v>
      </c>
      <c r="N182" s="4">
        <v>175168.85</v>
      </c>
      <c r="O182" s="4">
        <f>Tab_05.Mai[[#This Row],[DÉBITO]]-Tab_05.Mai[[#This Row],[CRÉDITO]]</f>
        <v>41455.96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SUMIFS(Tab_04.Abr[SALDO
ATUAL],Tab_04.Abr[CONTA],$I183)</f>
        <v>16543.84</v>
      </c>
      <c r="G183" s="4">
        <f t="shared" si="7"/>
        <v>0</v>
      </c>
      <c r="I183" s="3" t="s">
        <v>403</v>
      </c>
      <c r="J183" s="3" t="s">
        <v>404</v>
      </c>
      <c r="K183" s="4">
        <v>16543.84</v>
      </c>
      <c r="L183" s="4">
        <v>4135.96</v>
      </c>
      <c r="M183" s="4">
        <v>0</v>
      </c>
      <c r="N183" s="4">
        <v>20679.8</v>
      </c>
      <c r="O183" s="4">
        <f>Tab_05.Mai[[#This Row],[DÉBITO]]-Tab_05.Mai[[#This Row],[CRÉDITO]]</f>
        <v>4135.96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SUMIFS(Tab_04.Abr[SALDO
ATUAL],Tab_04.Abr[CONTA],$I184)</f>
        <v>107817</v>
      </c>
      <c r="G184" s="4">
        <f t="shared" si="7"/>
        <v>0</v>
      </c>
      <c r="I184" s="3" t="s">
        <v>405</v>
      </c>
      <c r="J184" s="3" t="s">
        <v>406</v>
      </c>
      <c r="K184" s="4">
        <v>107817</v>
      </c>
      <c r="L184" s="4">
        <v>31320</v>
      </c>
      <c r="M184" s="4">
        <v>0</v>
      </c>
      <c r="N184" s="4">
        <v>139137</v>
      </c>
      <c r="O184" s="4">
        <f>Tab_05.Mai[[#This Row],[DÉBITO]]-Tab_05.Mai[[#This Row],[CRÉDITO]]</f>
        <v>31320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SUMIFS(Tab_04.Abr[SALDO
ATUAL],Tab_04.Abr[CONTA],$I185)</f>
        <v>9352.0499999999993</v>
      </c>
      <c r="G185" s="4">
        <f t="shared" si="7"/>
        <v>0</v>
      </c>
      <c r="I185" s="3" t="s">
        <v>407</v>
      </c>
      <c r="J185" s="3" t="s">
        <v>408</v>
      </c>
      <c r="K185" s="4">
        <v>9352.0499999999993</v>
      </c>
      <c r="L185" s="4">
        <v>6000</v>
      </c>
      <c r="M185" s="4">
        <v>0</v>
      </c>
      <c r="N185" s="4">
        <v>15352.05</v>
      </c>
      <c r="O185" s="4">
        <f>Tab_05.Mai[[#This Row],[DÉBITO]]-Tab_05.Mai[[#This Row],[CRÉDITO]]</f>
        <v>6000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S</v>
      </c>
      <c r="E186" s="2">
        <f>IF($I186="","",COUNTIFS(Tab_00.Trial[CONTA],$I186))</f>
        <v>1</v>
      </c>
      <c r="F186" s="4">
        <f>SUMIFS(Tab_04.Abr[SALDO
ATUAL],Tab_04.Abr[CONTA],$I186)</f>
        <v>3006.33</v>
      </c>
      <c r="G186" s="4">
        <f t="shared" si="7"/>
        <v>0</v>
      </c>
      <c r="I186" s="3" t="s">
        <v>594</v>
      </c>
      <c r="J186" s="3" t="s">
        <v>825</v>
      </c>
      <c r="K186" s="4">
        <v>3006.33</v>
      </c>
      <c r="L186" s="4">
        <v>888.37</v>
      </c>
      <c r="M186" s="4">
        <v>0</v>
      </c>
      <c r="N186" s="4">
        <v>3894.7</v>
      </c>
      <c r="O186" s="4">
        <f>Tab_05.Mai[[#This Row],[DÉBITO]]-Tab_05.Mai[[#This Row],[CRÉDITO]]</f>
        <v>888.37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SUMIFS(Tab_04.Abr[SALDO
ATUAL],Tab_04.Abr[CONTA],$I187)</f>
        <v>300</v>
      </c>
      <c r="G187" s="4">
        <f t="shared" si="7"/>
        <v>0</v>
      </c>
      <c r="I187" s="3" t="s">
        <v>411</v>
      </c>
      <c r="J187" s="3" t="s">
        <v>412</v>
      </c>
      <c r="K187" s="4">
        <v>300</v>
      </c>
      <c r="L187" s="4">
        <v>0</v>
      </c>
      <c r="M187" s="4">
        <v>0</v>
      </c>
      <c r="N187" s="4">
        <v>300</v>
      </c>
      <c r="O187" s="4">
        <f>Tab_05.Mai[[#This Row],[DÉBITO]]-Tab_05.Mai[[#This Row],[CRÉDITO]]</f>
        <v>0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SUMIFS(Tab_04.Abr[SALDO
ATUAL],Tab_04.Abr[CONTA],$I188)</f>
        <v>2706.33</v>
      </c>
      <c r="G188" s="4">
        <f t="shared" si="7"/>
        <v>0</v>
      </c>
      <c r="I188" s="3" t="s">
        <v>413</v>
      </c>
      <c r="J188" s="3" t="s">
        <v>414</v>
      </c>
      <c r="K188" s="4">
        <v>2706.33</v>
      </c>
      <c r="L188" s="4">
        <v>888.37</v>
      </c>
      <c r="M188" s="4">
        <v>0</v>
      </c>
      <c r="N188" s="4">
        <v>3594.7</v>
      </c>
      <c r="O188" s="4">
        <f>Tab_05.Mai[[#This Row],[DÉBITO]]-Tab_05.Mai[[#This Row],[CRÉDITO]]</f>
        <v>888.37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S</v>
      </c>
      <c r="E189" s="2">
        <f>IF($I189="","",COUNTIFS(Tab_00.Trial[CONTA],$I189))</f>
        <v>1</v>
      </c>
      <c r="F189" s="4">
        <f>SUMIFS(Tab_04.Abr[SALDO
ATUAL],Tab_04.Abr[CONTA],$I189)</f>
        <v>1709.04</v>
      </c>
      <c r="G189" s="4">
        <f t="shared" si="7"/>
        <v>0</v>
      </c>
      <c r="I189" s="3" t="s">
        <v>595</v>
      </c>
      <c r="J189" s="3" t="s">
        <v>420</v>
      </c>
      <c r="K189" s="4">
        <v>1709.04</v>
      </c>
      <c r="L189" s="4">
        <v>1266.58</v>
      </c>
      <c r="M189" s="4">
        <v>0</v>
      </c>
      <c r="N189" s="4">
        <v>2975.62</v>
      </c>
      <c r="O189" s="4">
        <f>Tab_05.Mai[[#This Row],[DÉBITO]]-Tab_05.Mai[[#This Row],[CRÉDITO]]</f>
        <v>1266.58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SUMIFS(Tab_04.Abr[SALDO
ATUAL],Tab_04.Abr[CONTA],$I190)</f>
        <v>1709.04</v>
      </c>
      <c r="G190" s="4">
        <f t="shared" si="7"/>
        <v>0</v>
      </c>
      <c r="I190" s="3" t="s">
        <v>419</v>
      </c>
      <c r="J190" s="3" t="s">
        <v>420</v>
      </c>
      <c r="K190" s="4">
        <v>1709.04</v>
      </c>
      <c r="L190" s="4">
        <v>1266.58</v>
      </c>
      <c r="M190" s="4">
        <v>0</v>
      </c>
      <c r="N190" s="4">
        <v>2975.62</v>
      </c>
      <c r="O190" s="4">
        <f>Tab_05.Mai[[#This Row],[DÉBITO]]-Tab_05.Mai[[#This Row],[CRÉDITO]]</f>
        <v>1266.58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S</v>
      </c>
      <c r="E191" s="2">
        <f>IF($I191="","",COUNTIFS(Tab_00.Trial[CONTA],$I191))</f>
        <v>1</v>
      </c>
      <c r="F191" s="4">
        <f>SUMIFS(Tab_04.Abr[SALDO
ATUAL],Tab_04.Abr[CONTA],$I191)</f>
        <v>2936654.85</v>
      </c>
      <c r="G191" s="4">
        <f t="shared" si="7"/>
        <v>0</v>
      </c>
      <c r="I191" s="3" t="s">
        <v>237</v>
      </c>
      <c r="J191" s="3" t="s">
        <v>702</v>
      </c>
      <c r="K191" s="4">
        <v>2936654.85</v>
      </c>
      <c r="L191" s="4">
        <v>677488.52</v>
      </c>
      <c r="M191" s="4">
        <v>0</v>
      </c>
      <c r="N191" s="4">
        <v>3614143.37</v>
      </c>
      <c r="O191" s="4">
        <f>Tab_05.Mai[[#This Row],[DÉBITO]]-Tab_05.Mai[[#This Row],[CRÉDITO]]</f>
        <v>677488.52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SUMIFS(Tab_04.Abr[SALDO
ATUAL],Tab_04.Abr[CONTA],$I192)</f>
        <v>2936654.85</v>
      </c>
      <c r="G192" s="4">
        <f t="shared" si="7"/>
        <v>0</v>
      </c>
      <c r="I192" s="3" t="s">
        <v>238</v>
      </c>
      <c r="J192" s="3" t="s">
        <v>826</v>
      </c>
      <c r="K192" s="4">
        <v>2936654.85</v>
      </c>
      <c r="L192" s="4">
        <v>677488.52</v>
      </c>
      <c r="M192" s="4">
        <v>0</v>
      </c>
      <c r="N192" s="4">
        <v>3614143.37</v>
      </c>
      <c r="O192" s="4">
        <f>Tab_05.Mai[[#This Row],[DÉBITO]]-Tab_05.Mai[[#This Row],[CRÉDITO]]</f>
        <v>677488.52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SUMIFS(Tab_04.Abr[SALDO
ATUAL],Tab_04.Abr[CONTA],$I193)</f>
        <v>862584.28</v>
      </c>
      <c r="G193" s="4">
        <f t="shared" si="7"/>
        <v>0</v>
      </c>
      <c r="I193" s="3" t="s">
        <v>421</v>
      </c>
      <c r="J193" s="3" t="s">
        <v>422</v>
      </c>
      <c r="K193" s="4">
        <v>862584.28</v>
      </c>
      <c r="L193" s="4">
        <v>332680.82</v>
      </c>
      <c r="M193" s="4">
        <v>0</v>
      </c>
      <c r="N193" s="4">
        <v>1195265.1000000001</v>
      </c>
      <c r="O193" s="4">
        <f>Tab_05.Mai[[#This Row],[DÉBITO]]-Tab_05.Mai[[#This Row],[CRÉDITO]]</f>
        <v>332680.82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SUMIFS(Tab_04.Abr[SALDO
ATUAL],Tab_04.Abr[CONTA],$I194)</f>
        <v>514787.48</v>
      </c>
      <c r="G194" s="4">
        <f t="shared" si="7"/>
        <v>0</v>
      </c>
      <c r="I194" s="3" t="s">
        <v>738</v>
      </c>
      <c r="J194" s="3" t="s">
        <v>367</v>
      </c>
      <c r="K194" s="4">
        <v>514787.48</v>
      </c>
      <c r="L194" s="4">
        <v>137859.68</v>
      </c>
      <c r="M194" s="4">
        <v>0</v>
      </c>
      <c r="N194" s="4">
        <v>652647.16</v>
      </c>
      <c r="O194" s="4">
        <f>Tab_05.Mai[[#This Row],[DÉBITO]]-Tab_05.Mai[[#This Row],[CRÉDITO]]</f>
        <v>137859.68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SUMIFS(Tab_04.Abr[SALDO
ATUAL],Tab_04.Abr[CONTA],$I195)</f>
        <v>1559283.09</v>
      </c>
      <c r="G195" s="4">
        <f t="shared" si="7"/>
        <v>0</v>
      </c>
      <c r="I195" s="3" t="s">
        <v>423</v>
      </c>
      <c r="J195" s="3" t="s">
        <v>424</v>
      </c>
      <c r="K195" s="4">
        <v>1559283.09</v>
      </c>
      <c r="L195" s="4">
        <v>206948.02</v>
      </c>
      <c r="M195" s="4">
        <v>0</v>
      </c>
      <c r="N195" s="4">
        <v>1766231.11</v>
      </c>
      <c r="O195" s="4">
        <f>Tab_05.Mai[[#This Row],[DÉBITO]]-Tab_05.Mai[[#This Row],[CRÉDITO]]</f>
        <v>206948.02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1</v>
      </c>
      <c r="D196" s="2" t="str">
        <f>_xlfn.XLOOKUP($I196,Tab_00.Trial[CONTA],Tab_00.Trial[S/A],"",0,1)</f>
        <v>S</v>
      </c>
      <c r="E196" s="2">
        <f>IF($I196="","",COUNTIFS(Tab_00.Trial[CONTA],$I196))</f>
        <v>1</v>
      </c>
      <c r="F196" s="4">
        <f>SUMIFS(Tab_04.Abr[SALDO
ATUAL],Tab_04.Abr[CONTA],$I196)</f>
        <v>1257197.3600000001</v>
      </c>
      <c r="G196" s="4">
        <f t="shared" si="7"/>
        <v>0</v>
      </c>
      <c r="I196" s="3">
        <v>5</v>
      </c>
      <c r="J196" s="3" t="s">
        <v>705</v>
      </c>
      <c r="K196" s="4">
        <v>1257197.3600000001</v>
      </c>
      <c r="L196" s="4">
        <v>228325.1</v>
      </c>
      <c r="M196" s="4">
        <v>14117.79</v>
      </c>
      <c r="N196" s="4">
        <v>1471404.67</v>
      </c>
      <c r="O196" s="4">
        <f>Tab_05.Mai[[#This Row],[DÉBITO]]-Tab_05.Mai[[#This Row],[CRÉDITO]]</f>
        <v>214207.31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2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SUMIFS(Tab_04.Abr[SALDO
ATUAL],Tab_04.Abr[CONTA],$I197)</f>
        <v>1257116.3600000001</v>
      </c>
      <c r="G197" s="4">
        <f t="shared" si="7"/>
        <v>0</v>
      </c>
      <c r="I197" s="3" t="s">
        <v>599</v>
      </c>
      <c r="J197" s="3" t="s">
        <v>827</v>
      </c>
      <c r="K197" s="4">
        <v>1257116.3600000001</v>
      </c>
      <c r="L197" s="4">
        <v>228325.1</v>
      </c>
      <c r="M197" s="4">
        <v>14117.79</v>
      </c>
      <c r="N197" s="4">
        <v>1471323.67</v>
      </c>
      <c r="O197" s="4">
        <f>Tab_05.Mai[[#This Row],[DÉBITO]]-Tab_05.Mai[[#This Row],[CRÉDITO]]</f>
        <v>214207.31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SUMIFS(Tab_04.Abr[SALDO
ATUAL],Tab_04.Abr[CONTA],$I198)</f>
        <v>612215.82999999996</v>
      </c>
      <c r="G198" s="4">
        <f>$F198-$K198</f>
        <v>0</v>
      </c>
      <c r="I198" s="3" t="s">
        <v>600</v>
      </c>
      <c r="J198" s="3" t="s">
        <v>706</v>
      </c>
      <c r="K198" s="4">
        <v>612215.82999999996</v>
      </c>
      <c r="L198" s="4">
        <v>65743.850000000006</v>
      </c>
      <c r="M198" s="4">
        <v>13967.89</v>
      </c>
      <c r="N198" s="4">
        <v>663991.79</v>
      </c>
      <c r="O198" s="4">
        <f>Tab_05.Mai[[#This Row],[DÉBITO]]-Tab_05.Mai[[#This Row],[CRÉDITO]]</f>
        <v>51775.96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SUMIFS(Tab_04.Abr[SALDO
ATUAL],Tab_04.Abr[CONTA],$I199)</f>
        <v>355062.16</v>
      </c>
      <c r="G199" s="4">
        <f t="shared" ref="G199:G230" si="8">$F199-$K199</f>
        <v>0</v>
      </c>
      <c r="I199" s="3" t="s">
        <v>601</v>
      </c>
      <c r="J199" s="3" t="s">
        <v>707</v>
      </c>
      <c r="K199" s="4">
        <v>355062.16</v>
      </c>
      <c r="L199" s="4">
        <v>52556.51</v>
      </c>
      <c r="M199" s="4">
        <v>12165.81</v>
      </c>
      <c r="N199" s="4">
        <v>395452.86</v>
      </c>
      <c r="O199" s="4">
        <f>Tab_05.Mai[[#This Row],[DÉBITO]]-Tab_05.Mai[[#This Row],[CRÉDITO]]</f>
        <v>40390.699999999997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SUMIFS(Tab_04.Abr[SALDO
ATUAL],Tab_04.Abr[CONTA],$I200)</f>
        <v>193928.11</v>
      </c>
      <c r="G200" s="4">
        <f t="shared" si="8"/>
        <v>0</v>
      </c>
      <c r="I200" s="3" t="s">
        <v>441</v>
      </c>
      <c r="J200" s="3" t="s">
        <v>427</v>
      </c>
      <c r="K200" s="4">
        <v>193928.11</v>
      </c>
      <c r="L200" s="4">
        <v>42704.29</v>
      </c>
      <c r="M200" s="4">
        <v>11432.48</v>
      </c>
      <c r="N200" s="4">
        <v>225199.92</v>
      </c>
      <c r="O200" s="4">
        <f>Tab_05.Mai[[#This Row],[DÉBITO]]-Tab_05.Mai[[#This Row],[CRÉDITO]]</f>
        <v>31271.81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SUMIFS(Tab_04.Abr[SALDO
ATUAL],Tab_04.Abr[CONTA],$I201)</f>
        <v>31360.39</v>
      </c>
      <c r="G201" s="4">
        <f t="shared" si="8"/>
        <v>0</v>
      </c>
      <c r="I201" s="3" t="s">
        <v>443</v>
      </c>
      <c r="J201" s="3" t="s">
        <v>431</v>
      </c>
      <c r="K201" s="4">
        <v>31360.39</v>
      </c>
      <c r="L201" s="4">
        <v>2959.87</v>
      </c>
      <c r="M201" s="4">
        <v>733.33</v>
      </c>
      <c r="N201" s="4">
        <v>33586.93</v>
      </c>
      <c r="O201" s="4">
        <f>Tab_05.Mai[[#This Row],[DÉBITO]]-Tab_05.Mai[[#This Row],[CRÉDITO]]</f>
        <v>2226.54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SUMIFS(Tab_04.Abr[SALDO
ATUAL],Tab_04.Abr[CONTA],$I202)</f>
        <v>24892.240000000002</v>
      </c>
      <c r="G202" s="4">
        <f t="shared" si="8"/>
        <v>0</v>
      </c>
      <c r="I202" s="3" t="s">
        <v>444</v>
      </c>
      <c r="J202" s="3" t="s">
        <v>433</v>
      </c>
      <c r="K202" s="4">
        <v>24892.240000000002</v>
      </c>
      <c r="L202" s="4">
        <v>3505.01</v>
      </c>
      <c r="M202" s="4">
        <v>0</v>
      </c>
      <c r="N202" s="4">
        <v>28397.25</v>
      </c>
      <c r="O202" s="4">
        <f>Tab_05.Mai[[#This Row],[DÉBITO]]-Tab_05.Mai[[#This Row],[CRÉDITO]]</f>
        <v>3505.01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SUMIFS(Tab_04.Abr[SALDO
ATUAL],Tab_04.Abr[CONTA],$I203)</f>
        <v>85959.77</v>
      </c>
      <c r="G203" s="4">
        <f t="shared" si="8"/>
        <v>0</v>
      </c>
      <c r="I203" s="3" t="s">
        <v>777</v>
      </c>
      <c r="J203" s="3" t="s">
        <v>749</v>
      </c>
      <c r="K203" s="4">
        <v>85959.77</v>
      </c>
      <c r="L203" s="4">
        <v>0</v>
      </c>
      <c r="M203" s="4">
        <v>0</v>
      </c>
      <c r="N203" s="4">
        <v>85959.77</v>
      </c>
      <c r="O203" s="4">
        <f>Tab_05.Mai[[#This Row],[DÉBITO]]-Tab_05.Mai[[#This Row],[CRÉDITO]]</f>
        <v>0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SUMIFS(Tab_04.Abr[SALDO
ATUAL],Tab_04.Abr[CONTA],$I204)</f>
        <v>0</v>
      </c>
      <c r="G204" s="4">
        <f t="shared" si="8"/>
        <v>0</v>
      </c>
      <c r="I204" s="3" t="s">
        <v>447</v>
      </c>
      <c r="J204" s="3" t="s">
        <v>448</v>
      </c>
      <c r="K204" s="4">
        <v>0</v>
      </c>
      <c r="L204" s="4">
        <v>476.67</v>
      </c>
      <c r="M204" s="4">
        <v>0</v>
      </c>
      <c r="N204" s="4">
        <v>476.67</v>
      </c>
      <c r="O204" s="4">
        <f>Tab_05.Mai[[#This Row],[DÉBITO]]-Tab_05.Mai[[#This Row],[CRÉDITO]]</f>
        <v>476.67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SUMIFS(Tab_04.Abr[SALDO
ATUAL],Tab_04.Abr[CONTA],$I205)</f>
        <v>2019.89</v>
      </c>
      <c r="G205" s="4">
        <f t="shared" si="8"/>
        <v>0</v>
      </c>
      <c r="I205" s="3" t="s">
        <v>808</v>
      </c>
      <c r="J205" s="3" t="s">
        <v>797</v>
      </c>
      <c r="K205" s="4">
        <v>2019.89</v>
      </c>
      <c r="L205" s="4">
        <v>1252.44</v>
      </c>
      <c r="M205" s="4">
        <v>0</v>
      </c>
      <c r="N205" s="4">
        <v>3272.33</v>
      </c>
      <c r="O205" s="4">
        <f>Tab_05.Mai[[#This Row],[DÉBITO]]-Tab_05.Mai[[#This Row],[CRÉDITO]]</f>
        <v>1252.44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SUMIFS(Tab_04.Abr[SALDO
ATUAL],Tab_04.Abr[CONTA],$I206)</f>
        <v>10025.94</v>
      </c>
      <c r="G206" s="4">
        <f t="shared" si="8"/>
        <v>0</v>
      </c>
      <c r="I206" s="3" t="s">
        <v>809</v>
      </c>
      <c r="J206" s="3" t="s">
        <v>799</v>
      </c>
      <c r="K206" s="4">
        <v>10025.94</v>
      </c>
      <c r="L206" s="4">
        <v>373.86</v>
      </c>
      <c r="M206" s="4">
        <v>0</v>
      </c>
      <c r="N206" s="4">
        <v>10399.799999999999</v>
      </c>
      <c r="O206" s="4">
        <f>Tab_05.Mai[[#This Row],[DÉBITO]]-Tab_05.Mai[[#This Row],[CRÉDITO]]</f>
        <v>373.86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SUMIFS(Tab_04.Abr[SALDO
ATUAL],Tab_04.Abr[CONTA],$I207)</f>
        <v>101.44</v>
      </c>
      <c r="G207" s="4">
        <f t="shared" si="8"/>
        <v>0</v>
      </c>
      <c r="I207" s="3" t="s">
        <v>810</v>
      </c>
      <c r="J207" s="3" t="s">
        <v>801</v>
      </c>
      <c r="K207" s="4">
        <v>101.44</v>
      </c>
      <c r="L207" s="4">
        <v>29.59</v>
      </c>
      <c r="M207" s="4">
        <v>0</v>
      </c>
      <c r="N207" s="4">
        <v>131.03</v>
      </c>
      <c r="O207" s="4">
        <f>Tab_05.Mai[[#This Row],[DÉBITO]]-Tab_05.Mai[[#This Row],[CRÉDITO]]</f>
        <v>29.59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SUMIFS(Tab_04.Abr[SALDO
ATUAL],Tab_04.Abr[CONTA],$I208)</f>
        <v>5071.3599999999997</v>
      </c>
      <c r="G208" s="4">
        <f t="shared" si="8"/>
        <v>0</v>
      </c>
      <c r="I208" s="3" t="s">
        <v>811</v>
      </c>
      <c r="J208" s="3" t="s">
        <v>803</v>
      </c>
      <c r="K208" s="4">
        <v>5071.3599999999997</v>
      </c>
      <c r="L208" s="4">
        <v>939.31</v>
      </c>
      <c r="M208" s="4">
        <v>0</v>
      </c>
      <c r="N208" s="4">
        <v>6010.67</v>
      </c>
      <c r="O208" s="4">
        <f>Tab_05.Mai[[#This Row],[DÉBITO]]-Tab_05.Mai[[#This Row],[CRÉDITO]]</f>
        <v>939.31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SUMIFS(Tab_04.Abr[SALDO
ATUAL],Tab_04.Abr[CONTA],$I209)</f>
        <v>1513.8</v>
      </c>
      <c r="G209" s="4">
        <f t="shared" si="8"/>
        <v>0</v>
      </c>
      <c r="I209" s="3" t="s">
        <v>812</v>
      </c>
      <c r="J209" s="3" t="s">
        <v>805</v>
      </c>
      <c r="K209" s="4">
        <v>1513.8</v>
      </c>
      <c r="L209" s="4">
        <v>280.41000000000003</v>
      </c>
      <c r="M209" s="4">
        <v>0</v>
      </c>
      <c r="N209" s="4">
        <v>1794.21</v>
      </c>
      <c r="O209" s="4">
        <f>Tab_05.Mai[[#This Row],[DÉBITO]]-Tab_05.Mai[[#This Row],[CRÉDITO]]</f>
        <v>280.41000000000003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SUMIFS(Tab_04.Abr[SALDO
ATUAL],Tab_04.Abr[CONTA],$I210)</f>
        <v>189.22</v>
      </c>
      <c r="G210" s="4">
        <f t="shared" si="8"/>
        <v>0</v>
      </c>
      <c r="I210" s="3" t="s">
        <v>813</v>
      </c>
      <c r="J210" s="3" t="s">
        <v>807</v>
      </c>
      <c r="K210" s="4">
        <v>189.22</v>
      </c>
      <c r="L210" s="4">
        <v>35.06</v>
      </c>
      <c r="M210" s="4">
        <v>0</v>
      </c>
      <c r="N210" s="4">
        <v>224.28</v>
      </c>
      <c r="O210" s="4">
        <f>Tab_05.Mai[[#This Row],[DÉBITO]]-Tab_05.Mai[[#This Row],[CRÉDITO]]</f>
        <v>35.06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S</v>
      </c>
      <c r="E211" s="2">
        <f>IF($I211="","",COUNTIFS(Tab_00.Trial[CONTA],$I211))</f>
        <v>1</v>
      </c>
      <c r="F211" s="4">
        <f>SUMIFS(Tab_04.Abr[SALDO
ATUAL],Tab_04.Abr[CONTA],$I211)</f>
        <v>1014</v>
      </c>
      <c r="G211" s="4">
        <f t="shared" si="8"/>
        <v>0</v>
      </c>
      <c r="I211" s="3" t="s">
        <v>602</v>
      </c>
      <c r="J211" s="3" t="s">
        <v>708</v>
      </c>
      <c r="K211" s="4">
        <v>1014</v>
      </c>
      <c r="L211" s="4">
        <v>1802.08</v>
      </c>
      <c r="M211" s="4">
        <v>1802.08</v>
      </c>
      <c r="N211" s="4">
        <v>1014</v>
      </c>
      <c r="O211" s="4">
        <f>Tab_05.Mai[[#This Row],[DÉBITO]]-Tab_05.Mai[[#This Row],[CRÉDITO]]</f>
        <v>0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SUMIFS(Tab_04.Abr[SALDO
ATUAL],Tab_04.Abr[CONTA],$I212)</f>
        <v>0</v>
      </c>
      <c r="G212" s="4">
        <f t="shared" si="8"/>
        <v>0</v>
      </c>
      <c r="I212" s="3" t="s">
        <v>774</v>
      </c>
      <c r="J212" s="3" t="s">
        <v>435</v>
      </c>
      <c r="K212" s="4">
        <v>0</v>
      </c>
      <c r="L212" s="4">
        <v>541.58000000000004</v>
      </c>
      <c r="M212" s="4">
        <v>541.58000000000004</v>
      </c>
      <c r="N212" s="4">
        <v>0</v>
      </c>
      <c r="O212" s="4">
        <f>Tab_05.Mai[[#This Row],[DÉBITO]]-Tab_05.Mai[[#This Row],[CRÉDITO]]</f>
        <v>0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SUMIFS(Tab_04.Abr[SALDO
ATUAL],Tab_04.Abr[CONTA],$I213)</f>
        <v>0</v>
      </c>
      <c r="G213" s="4">
        <f t="shared" si="8"/>
        <v>0</v>
      </c>
      <c r="I213" s="3" t="s">
        <v>775</v>
      </c>
      <c r="J213" s="3" t="s">
        <v>751</v>
      </c>
      <c r="K213" s="4">
        <v>0</v>
      </c>
      <c r="L213" s="4">
        <v>1260.5</v>
      </c>
      <c r="M213" s="4">
        <v>1260.5</v>
      </c>
      <c r="N213" s="4">
        <v>0</v>
      </c>
      <c r="O213" s="4">
        <f>Tab_05.Mai[[#This Row],[DÉBITO]]-Tab_05.Mai[[#This Row],[CRÉDITO]]</f>
        <v>0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SUMIFS(Tab_04.Abr[SALDO
ATUAL],Tab_04.Abr[CONTA],$I214)</f>
        <v>1014</v>
      </c>
      <c r="G214" s="4">
        <f t="shared" si="8"/>
        <v>0</v>
      </c>
      <c r="I214" s="3" t="s">
        <v>455</v>
      </c>
      <c r="J214" s="3" t="s">
        <v>456</v>
      </c>
      <c r="K214" s="4">
        <v>1014</v>
      </c>
      <c r="L214" s="4">
        <v>0</v>
      </c>
      <c r="M214" s="4">
        <v>0</v>
      </c>
      <c r="N214" s="4">
        <v>1014</v>
      </c>
      <c r="O214" s="4">
        <f>Tab_05.Mai[[#This Row],[DÉBITO]]-Tab_05.Mai[[#This Row],[CRÉDITO]]</f>
        <v>0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S</v>
      </c>
      <c r="E215" s="2">
        <f>IF($I215="","",COUNTIFS(Tab_00.Trial[CONTA],$I215))</f>
        <v>1</v>
      </c>
      <c r="F215" s="4">
        <f>SUMIFS(Tab_04.Abr[SALDO
ATUAL],Tab_04.Abr[CONTA],$I215)</f>
        <v>255249.67</v>
      </c>
      <c r="G215" s="4">
        <f t="shared" si="8"/>
        <v>0</v>
      </c>
      <c r="I215" s="3" t="s">
        <v>603</v>
      </c>
      <c r="J215" s="3" t="s">
        <v>709</v>
      </c>
      <c r="K215" s="4">
        <v>255249.67</v>
      </c>
      <c r="L215" s="4">
        <v>11195.26</v>
      </c>
      <c r="M215" s="4">
        <v>0</v>
      </c>
      <c r="N215" s="4">
        <v>266444.93</v>
      </c>
      <c r="O215" s="4">
        <f>Tab_05.Mai[[#This Row],[DÉBITO]]-Tab_05.Mai[[#This Row],[CRÉDITO]]</f>
        <v>11195.26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SUMIFS(Tab_04.Abr[SALDO
ATUAL],Tab_04.Abr[CONTA],$I216)</f>
        <v>51633.09</v>
      </c>
      <c r="G216" s="4">
        <f t="shared" si="8"/>
        <v>0</v>
      </c>
      <c r="I216" s="3" t="s">
        <v>451</v>
      </c>
      <c r="J216" s="3" t="s">
        <v>437</v>
      </c>
      <c r="K216" s="4">
        <v>51633.09</v>
      </c>
      <c r="L216" s="4">
        <v>8380.82</v>
      </c>
      <c r="M216" s="4">
        <v>0</v>
      </c>
      <c r="N216" s="4">
        <v>60013.91</v>
      </c>
      <c r="O216" s="4">
        <f>Tab_05.Mai[[#This Row],[DÉBITO]]-Tab_05.Mai[[#This Row],[CRÉDITO]]</f>
        <v>8380.82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SUMIFS(Tab_04.Abr[SALDO
ATUAL],Tab_04.Abr[CONTA],$I217)</f>
        <v>201689.97</v>
      </c>
      <c r="G217" s="4">
        <f t="shared" si="8"/>
        <v>0</v>
      </c>
      <c r="I217" s="3" t="s">
        <v>452</v>
      </c>
      <c r="J217" s="3" t="s">
        <v>196</v>
      </c>
      <c r="K217" s="4">
        <v>201689.97</v>
      </c>
      <c r="L217" s="4">
        <v>2501.7199999999998</v>
      </c>
      <c r="M217" s="4">
        <v>0</v>
      </c>
      <c r="N217" s="4">
        <v>204191.69</v>
      </c>
      <c r="O217" s="4">
        <f>Tab_05.Mai[[#This Row],[DÉBITO]]-Tab_05.Mai[[#This Row],[CRÉDITO]]</f>
        <v>2501.7199999999998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SUMIFS(Tab_04.Abr[SALDO
ATUAL],Tab_04.Abr[CONTA],$I218)</f>
        <v>1926.61</v>
      </c>
      <c r="G218" s="4">
        <f t="shared" si="8"/>
        <v>0</v>
      </c>
      <c r="I218" s="3" t="s">
        <v>453</v>
      </c>
      <c r="J218" s="3" t="s">
        <v>454</v>
      </c>
      <c r="K218" s="4">
        <v>1926.61</v>
      </c>
      <c r="L218" s="4">
        <v>312.72000000000003</v>
      </c>
      <c r="M218" s="4">
        <v>0</v>
      </c>
      <c r="N218" s="4">
        <v>2239.33</v>
      </c>
      <c r="O218" s="4">
        <f>Tab_05.Mai[[#This Row],[DÉBITO]]-Tab_05.Mai[[#This Row],[CRÉDITO]]</f>
        <v>312.72000000000003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S</v>
      </c>
      <c r="E219" s="2">
        <f>IF($I219="","",COUNTIFS(Tab_00.Trial[CONTA],$I219))</f>
        <v>1</v>
      </c>
      <c r="F219" s="4">
        <f>SUMIFS(Tab_04.Abr[SALDO
ATUAL],Tab_04.Abr[CONTA],$I219)</f>
        <v>890</v>
      </c>
      <c r="G219" s="4">
        <f t="shared" si="8"/>
        <v>0</v>
      </c>
      <c r="I219" s="3" t="s">
        <v>604</v>
      </c>
      <c r="J219" s="3" t="s">
        <v>710</v>
      </c>
      <c r="K219" s="4">
        <v>890</v>
      </c>
      <c r="L219" s="4">
        <v>190</v>
      </c>
      <c r="M219" s="4">
        <v>0</v>
      </c>
      <c r="N219" s="4">
        <v>1080</v>
      </c>
      <c r="O219" s="4">
        <f>Tab_05.Mai[[#This Row],[DÉBITO]]-Tab_05.Mai[[#This Row],[CRÉDITO]]</f>
        <v>190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SUMIFS(Tab_04.Abr[SALDO
ATUAL],Tab_04.Abr[CONTA],$I220)</f>
        <v>890</v>
      </c>
      <c r="G220" s="4">
        <f t="shared" si="8"/>
        <v>0</v>
      </c>
      <c r="I220" s="3" t="s">
        <v>457</v>
      </c>
      <c r="J220" s="3" t="s">
        <v>458</v>
      </c>
      <c r="K220" s="4">
        <v>890</v>
      </c>
      <c r="L220" s="4">
        <v>190</v>
      </c>
      <c r="M220" s="4">
        <v>0</v>
      </c>
      <c r="N220" s="4">
        <v>1080</v>
      </c>
      <c r="O220" s="4">
        <f>Tab_05.Mai[[#This Row],[DÉBITO]]-Tab_05.Mai[[#This Row],[CRÉDITO]]</f>
        <v>190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S</v>
      </c>
      <c r="E221" s="2">
        <f>IF($I221="","",COUNTIFS(Tab_00.Trial[CONTA],$I221))</f>
        <v>1</v>
      </c>
      <c r="F221" s="4">
        <f>SUMIFS(Tab_04.Abr[SALDO
ATUAL],Tab_04.Abr[CONTA],$I221)</f>
        <v>511410.86</v>
      </c>
      <c r="G221" s="4">
        <f t="shared" si="8"/>
        <v>0</v>
      </c>
      <c r="I221" s="3" t="s">
        <v>605</v>
      </c>
      <c r="J221" s="3" t="s">
        <v>711</v>
      </c>
      <c r="K221" s="4">
        <v>511410.86</v>
      </c>
      <c r="L221" s="4">
        <v>139724.43</v>
      </c>
      <c r="M221" s="4">
        <v>0</v>
      </c>
      <c r="N221" s="4">
        <v>651135.29</v>
      </c>
      <c r="O221" s="4">
        <f>Tab_05.Mai[[#This Row],[DÉBITO]]-Tab_05.Mai[[#This Row],[CRÉDITO]]</f>
        <v>139724.43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S</v>
      </c>
      <c r="E222" s="2">
        <f>IF($I222="","",COUNTIFS(Tab_00.Trial[CONTA],$I222))</f>
        <v>1</v>
      </c>
      <c r="F222" s="4">
        <f>SUMIFS(Tab_04.Abr[SALDO
ATUAL],Tab_04.Abr[CONTA],$I222)</f>
        <v>179546.54</v>
      </c>
      <c r="G222" s="4">
        <f t="shared" si="8"/>
        <v>0</v>
      </c>
      <c r="I222" s="3" t="s">
        <v>606</v>
      </c>
      <c r="J222" s="3" t="s">
        <v>712</v>
      </c>
      <c r="K222" s="4">
        <v>179546.54</v>
      </c>
      <c r="L222" s="4">
        <v>56758.35</v>
      </c>
      <c r="M222" s="4">
        <v>0</v>
      </c>
      <c r="N222" s="4">
        <v>236304.89</v>
      </c>
      <c r="O222" s="4">
        <f>Tab_05.Mai[[#This Row],[DÉBITO]]-Tab_05.Mai[[#This Row],[CRÉDITO]]</f>
        <v>56758.35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SUMIFS(Tab_04.Abr[SALDO
ATUAL],Tab_04.Abr[CONTA],$I223)</f>
        <v>30582.58</v>
      </c>
      <c r="G223" s="4">
        <f t="shared" si="8"/>
        <v>0</v>
      </c>
      <c r="I223" s="3" t="s">
        <v>459</v>
      </c>
      <c r="J223" s="3" t="s">
        <v>460</v>
      </c>
      <c r="K223" s="4">
        <v>30582.58</v>
      </c>
      <c r="L223" s="4">
        <v>7634.62</v>
      </c>
      <c r="M223" s="4">
        <v>0</v>
      </c>
      <c r="N223" s="4">
        <v>38217.199999999997</v>
      </c>
      <c r="O223" s="4">
        <f>Tab_05.Mai[[#This Row],[DÉBITO]]-Tab_05.Mai[[#This Row],[CRÉDITO]]</f>
        <v>7634.62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SUMIFS(Tab_04.Abr[SALDO
ATUAL],Tab_04.Abr[CONTA],$I224)</f>
        <v>58572.33</v>
      </c>
      <c r="G224" s="4">
        <f t="shared" si="8"/>
        <v>0</v>
      </c>
      <c r="I224" s="3" t="s">
        <v>461</v>
      </c>
      <c r="J224" s="3" t="s">
        <v>462</v>
      </c>
      <c r="K224" s="4">
        <v>58572.33</v>
      </c>
      <c r="L224" s="4">
        <v>20954.43</v>
      </c>
      <c r="M224" s="4">
        <v>0</v>
      </c>
      <c r="N224" s="4">
        <v>79526.759999999995</v>
      </c>
      <c r="O224" s="4">
        <f>Tab_05.Mai[[#This Row],[DÉBITO]]-Tab_05.Mai[[#This Row],[CRÉDITO]]</f>
        <v>20954.43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SUMIFS(Tab_04.Abr[SALDO
ATUAL],Tab_04.Abr[CONTA],$I225)</f>
        <v>7166.67</v>
      </c>
      <c r="G225" s="4">
        <f t="shared" si="8"/>
        <v>0</v>
      </c>
      <c r="I225" s="3" t="s">
        <v>463</v>
      </c>
      <c r="J225" s="3" t="s">
        <v>464</v>
      </c>
      <c r="K225" s="4">
        <v>7166.67</v>
      </c>
      <c r="L225" s="4">
        <v>7166.67</v>
      </c>
      <c r="M225" s="4">
        <v>0</v>
      </c>
      <c r="N225" s="4">
        <v>14333.34</v>
      </c>
      <c r="O225" s="4">
        <f>Tab_05.Mai[[#This Row],[DÉBITO]]-Tab_05.Mai[[#This Row],[CRÉDITO]]</f>
        <v>7166.67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SUMIFS(Tab_04.Abr[SALDO
ATUAL],Tab_04.Abr[CONTA],$I226)</f>
        <v>19277.8</v>
      </c>
      <c r="G226" s="4">
        <f t="shared" si="8"/>
        <v>0</v>
      </c>
      <c r="I226" s="3" t="s">
        <v>465</v>
      </c>
      <c r="J226" s="3" t="s">
        <v>466</v>
      </c>
      <c r="K226" s="4">
        <v>19277.8</v>
      </c>
      <c r="L226" s="4">
        <v>5015.84</v>
      </c>
      <c r="M226" s="4">
        <v>0</v>
      </c>
      <c r="N226" s="4">
        <v>24293.64</v>
      </c>
      <c r="O226" s="4">
        <f>Tab_05.Mai[[#This Row],[DÉBITO]]-Tab_05.Mai[[#This Row],[CRÉDITO]]</f>
        <v>5015.84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SUMIFS(Tab_04.Abr[SALDO
ATUAL],Tab_04.Abr[CONTA],$I227)</f>
        <v>18000</v>
      </c>
      <c r="G227" s="4">
        <f t="shared" si="8"/>
        <v>0</v>
      </c>
      <c r="I227" s="3" t="s">
        <v>473</v>
      </c>
      <c r="J227" s="3" t="s">
        <v>474</v>
      </c>
      <c r="K227" s="4">
        <v>18000</v>
      </c>
      <c r="L227" s="4">
        <v>4500</v>
      </c>
      <c r="M227" s="4">
        <v>0</v>
      </c>
      <c r="N227" s="4">
        <v>22500</v>
      </c>
      <c r="O227" s="4">
        <f>Tab_05.Mai[[#This Row],[DÉBITO]]-Tab_05.Mai[[#This Row],[CRÉDITO]]</f>
        <v>4500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SUMIFS(Tab_04.Abr[SALDO
ATUAL],Tab_04.Abr[CONTA],$I228)</f>
        <v>894.24</v>
      </c>
      <c r="G228" s="4">
        <f t="shared" si="8"/>
        <v>0</v>
      </c>
      <c r="I228" s="3" t="s">
        <v>467</v>
      </c>
      <c r="J228" s="3" t="s">
        <v>468</v>
      </c>
      <c r="K228" s="4">
        <v>894.24</v>
      </c>
      <c r="L228" s="4">
        <v>223.56</v>
      </c>
      <c r="M228" s="4">
        <v>0</v>
      </c>
      <c r="N228" s="4">
        <v>1117.8</v>
      </c>
      <c r="O228" s="4">
        <f>Tab_05.Mai[[#This Row],[DÉBITO]]-Tab_05.Mai[[#This Row],[CRÉDITO]]</f>
        <v>223.56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SUMIFS(Tab_04.Abr[SALDO
ATUAL],Tab_04.Abr[CONTA],$I229)</f>
        <v>26399.279999999999</v>
      </c>
      <c r="G229" s="4">
        <f t="shared" si="8"/>
        <v>0</v>
      </c>
      <c r="I229" s="3" t="s">
        <v>469</v>
      </c>
      <c r="J229" s="3" t="s">
        <v>470</v>
      </c>
      <c r="K229" s="4">
        <v>26399.279999999999</v>
      </c>
      <c r="L229" s="4">
        <v>6599.82</v>
      </c>
      <c r="M229" s="4">
        <v>0</v>
      </c>
      <c r="N229" s="4">
        <v>32999.1</v>
      </c>
      <c r="O229" s="4">
        <f>Tab_05.Mai[[#This Row],[DÉBITO]]-Tab_05.Mai[[#This Row],[CRÉDITO]]</f>
        <v>6599.82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SUMIFS(Tab_04.Abr[SALDO
ATUAL],Tab_04.Abr[CONTA],$I230)</f>
        <v>18653.64</v>
      </c>
      <c r="G230" s="4">
        <f t="shared" si="8"/>
        <v>0</v>
      </c>
      <c r="I230" s="3" t="s">
        <v>471</v>
      </c>
      <c r="J230" s="3" t="s">
        <v>472</v>
      </c>
      <c r="K230" s="4">
        <v>18653.64</v>
      </c>
      <c r="L230" s="4">
        <v>4663.41</v>
      </c>
      <c r="M230" s="4">
        <v>0</v>
      </c>
      <c r="N230" s="4">
        <v>23317.05</v>
      </c>
      <c r="O230" s="4">
        <f>Tab_05.Mai[[#This Row],[DÉBITO]]-Tab_05.Mai[[#This Row],[CRÉDITO]]</f>
        <v>4663.41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S</v>
      </c>
      <c r="E231" s="2">
        <f>IF($I231="","",COUNTIFS(Tab_00.Trial[CONTA],$I231))</f>
        <v>1</v>
      </c>
      <c r="F231" s="4">
        <f>SUMIFS(Tab_04.Abr[SALDO
ATUAL],Tab_04.Abr[CONTA],$I231)</f>
        <v>331864.32000000001</v>
      </c>
      <c r="G231" s="4">
        <f t="shared" ref="G231:G233" si="9">$F231-$K231</f>
        <v>0</v>
      </c>
      <c r="I231" s="3" t="s">
        <v>608</v>
      </c>
      <c r="J231" s="3" t="s">
        <v>713</v>
      </c>
      <c r="K231" s="4">
        <v>331864.32000000001</v>
      </c>
      <c r="L231" s="4">
        <v>82966.080000000002</v>
      </c>
      <c r="M231" s="4">
        <v>0</v>
      </c>
      <c r="N231" s="4">
        <v>414830.4</v>
      </c>
      <c r="O231" s="4">
        <f>Tab_05.Mai[[#This Row],[DÉBITO]]-Tab_05.Mai[[#This Row],[CRÉDITO]]</f>
        <v>82966.080000000002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SUMIFS(Tab_04.Abr[SALDO
ATUAL],Tab_04.Abr[CONTA],$I232)</f>
        <v>71920.320000000007</v>
      </c>
      <c r="G232" s="4">
        <f t="shared" si="9"/>
        <v>0</v>
      </c>
      <c r="I232" s="3" t="s">
        <v>741</v>
      </c>
      <c r="J232" s="3" t="s">
        <v>742</v>
      </c>
      <c r="K232" s="4">
        <v>71920.320000000007</v>
      </c>
      <c r="L232" s="4">
        <v>17980.080000000002</v>
      </c>
      <c r="M232" s="4">
        <v>0</v>
      </c>
      <c r="N232" s="4">
        <v>89900.4</v>
      </c>
      <c r="O232" s="4">
        <f>Tab_05.Mai[[#This Row],[DÉBITO]]-Tab_05.Mai[[#This Row],[CRÉDITO]]</f>
        <v>17980.080000000002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SUMIFS(Tab_04.Abr[SALDO
ATUAL],Tab_04.Abr[CONTA],$I233)</f>
        <v>30000</v>
      </c>
      <c r="G233" s="4">
        <f t="shared" si="9"/>
        <v>0</v>
      </c>
      <c r="I233" s="3" t="s">
        <v>839</v>
      </c>
      <c r="J233" s="3" t="s">
        <v>840</v>
      </c>
      <c r="K233" s="4">
        <v>30000</v>
      </c>
      <c r="L233" s="4">
        <v>7500</v>
      </c>
      <c r="M233" s="4">
        <v>0</v>
      </c>
      <c r="N233" s="4">
        <v>37500</v>
      </c>
      <c r="O233" s="4">
        <f>Tab_05.Mai[[#This Row],[DÉBITO]]-Tab_05.Mai[[#This Row],[CRÉDITO]]</f>
        <v>7500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SUMIFS(Tab_04.Abr[SALDO
ATUAL],Tab_04.Abr[CONTA],$I234)</f>
        <v>229944</v>
      </c>
      <c r="G234" s="4">
        <f t="shared" ref="G234:G242" si="10">$F234-$K234</f>
        <v>0</v>
      </c>
      <c r="I234" s="3" t="s">
        <v>480</v>
      </c>
      <c r="J234" s="3" t="s">
        <v>481</v>
      </c>
      <c r="K234" s="4">
        <v>229944</v>
      </c>
      <c r="L234" s="4">
        <v>57486</v>
      </c>
      <c r="M234" s="4">
        <v>0</v>
      </c>
      <c r="N234" s="4">
        <v>287430</v>
      </c>
      <c r="O234" s="4">
        <f>Tab_05.Mai[[#This Row],[DÉBITO]]-Tab_05.Mai[[#This Row],[CRÉDITO]]</f>
        <v>57486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S</v>
      </c>
      <c r="E235" s="2">
        <f>IF($I235="","",COUNTIFS(Tab_00.Trial[CONTA],$I235))</f>
        <v>1</v>
      </c>
      <c r="F235" s="4">
        <f>SUMIFS(Tab_04.Abr[SALDO
ATUAL],Tab_04.Abr[CONTA],$I235)</f>
        <v>11409.78</v>
      </c>
      <c r="G235" s="4">
        <f t="shared" si="10"/>
        <v>0</v>
      </c>
      <c r="I235" s="3" t="s">
        <v>609</v>
      </c>
      <c r="J235" s="3" t="s">
        <v>714</v>
      </c>
      <c r="K235" s="4">
        <v>11409.78</v>
      </c>
      <c r="L235" s="4">
        <v>517.5</v>
      </c>
      <c r="M235" s="4">
        <v>0</v>
      </c>
      <c r="N235" s="4">
        <v>11927.28</v>
      </c>
      <c r="O235" s="4">
        <f>Tab_05.Mai[[#This Row],[DÉBITO]]-Tab_05.Mai[[#This Row],[CRÉDITO]]</f>
        <v>517.5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S</v>
      </c>
      <c r="E236" s="2">
        <f>IF($I236="","",COUNTIFS(Tab_00.Trial[CONTA],$I236))</f>
        <v>1</v>
      </c>
      <c r="F236" s="4">
        <f>SUMIFS(Tab_04.Abr[SALDO
ATUAL],Tab_04.Abr[CONTA],$I236)</f>
        <v>11409.78</v>
      </c>
      <c r="G236" s="4">
        <f t="shared" si="10"/>
        <v>0</v>
      </c>
      <c r="I236" s="3" t="s">
        <v>610</v>
      </c>
      <c r="J236" s="3" t="s">
        <v>714</v>
      </c>
      <c r="K236" s="4">
        <v>11409.78</v>
      </c>
      <c r="L236" s="4">
        <v>517.5</v>
      </c>
      <c r="M236" s="4">
        <v>0</v>
      </c>
      <c r="N236" s="4">
        <v>11927.28</v>
      </c>
      <c r="O236" s="4">
        <f>Tab_05.Mai[[#This Row],[DÉBITO]]-Tab_05.Mai[[#This Row],[CRÉDITO]]</f>
        <v>517.5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SUMIFS(Tab_04.Abr[SALDO
ATUAL],Tab_04.Abr[CONTA],$I237)</f>
        <v>2974.3</v>
      </c>
      <c r="G237" s="4">
        <f t="shared" si="10"/>
        <v>0</v>
      </c>
      <c r="I237" s="3" t="s">
        <v>482</v>
      </c>
      <c r="J237" s="3" t="s">
        <v>483</v>
      </c>
      <c r="K237" s="4">
        <v>2974.3</v>
      </c>
      <c r="L237" s="4">
        <v>463.94</v>
      </c>
      <c r="M237" s="4">
        <v>0</v>
      </c>
      <c r="N237" s="4">
        <v>3438.24</v>
      </c>
      <c r="O237" s="4">
        <f>Tab_05.Mai[[#This Row],[DÉBITO]]-Tab_05.Mai[[#This Row],[CRÉDITO]]</f>
        <v>463.94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SUMIFS(Tab_04.Abr[SALDO
ATUAL],Tab_04.Abr[CONTA],$I238)</f>
        <v>5000</v>
      </c>
      <c r="G238" s="4">
        <f t="shared" si="10"/>
        <v>0</v>
      </c>
      <c r="I238" s="3" t="s">
        <v>752</v>
      </c>
      <c r="J238" s="3" t="s">
        <v>753</v>
      </c>
      <c r="K238" s="4">
        <v>5000</v>
      </c>
      <c r="L238" s="4">
        <v>0</v>
      </c>
      <c r="M238" s="4">
        <v>0</v>
      </c>
      <c r="N238" s="4">
        <v>5000</v>
      </c>
      <c r="O238" s="4">
        <f>Tab_05.Mai[[#This Row],[DÉBITO]]-Tab_05.Mai[[#This Row],[CRÉDITO]]</f>
        <v>0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SUMIFS(Tab_04.Abr[SALDO
ATUAL],Tab_04.Abr[CONTA],$I239)</f>
        <v>3435.48</v>
      </c>
      <c r="G239" s="4">
        <f t="shared" si="10"/>
        <v>0</v>
      </c>
      <c r="I239" s="3" t="s">
        <v>484</v>
      </c>
      <c r="J239" s="3" t="s">
        <v>485</v>
      </c>
      <c r="K239" s="4">
        <v>3435.48</v>
      </c>
      <c r="L239" s="4">
        <v>53.56</v>
      </c>
      <c r="M239" s="4">
        <v>0</v>
      </c>
      <c r="N239" s="4">
        <v>3489.04</v>
      </c>
      <c r="O239" s="4">
        <f>Tab_05.Mai[[#This Row],[DÉBITO]]-Tab_05.Mai[[#This Row],[CRÉDITO]]</f>
        <v>53.56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S</v>
      </c>
      <c r="E240" s="2">
        <f>IF($I240="","",COUNTIFS(Tab_00.Trial[CONTA],$I240))</f>
        <v>1</v>
      </c>
      <c r="F240" s="4">
        <f>SUMIFS(Tab_04.Abr[SALDO
ATUAL],Tab_04.Abr[CONTA],$I240)</f>
        <v>39930.559999999998</v>
      </c>
      <c r="G240" s="4">
        <f t="shared" si="10"/>
        <v>0</v>
      </c>
      <c r="I240" s="3" t="s">
        <v>612</v>
      </c>
      <c r="J240" s="3" t="s">
        <v>716</v>
      </c>
      <c r="K240" s="4">
        <v>39930.559999999998</v>
      </c>
      <c r="L240" s="4">
        <v>9004.27</v>
      </c>
      <c r="M240" s="4">
        <v>149.9</v>
      </c>
      <c r="N240" s="4">
        <v>48784.93</v>
      </c>
      <c r="O240" s="4">
        <f>Tab_05.Mai[[#This Row],[DÉBITO]]-Tab_05.Mai[[#This Row],[CRÉDITO]]</f>
        <v>8854.3700000000008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SUMIFS(Tab_04.Abr[SALDO
ATUAL],Tab_04.Abr[CONTA],$I241)</f>
        <v>26356.639999999999</v>
      </c>
      <c r="G241" s="4">
        <f t="shared" si="10"/>
        <v>0</v>
      </c>
      <c r="I241" s="3" t="s">
        <v>613</v>
      </c>
      <c r="J241" s="3" t="s">
        <v>717</v>
      </c>
      <c r="K241" s="4">
        <v>26356.639999999999</v>
      </c>
      <c r="L241" s="4">
        <v>6202.26</v>
      </c>
      <c r="M241" s="4">
        <v>0</v>
      </c>
      <c r="N241" s="4">
        <v>32558.9</v>
      </c>
      <c r="O241" s="4">
        <f>Tab_05.Mai[[#This Row],[DÉBITO]]-Tab_05.Mai[[#This Row],[CRÉDITO]]</f>
        <v>6202.26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SUMIFS(Tab_04.Abr[SALDO
ATUAL],Tab_04.Abr[CONTA],$I242)</f>
        <v>13160.23</v>
      </c>
      <c r="G242" s="4">
        <f t="shared" si="10"/>
        <v>0</v>
      </c>
      <c r="I242" s="3" t="s">
        <v>491</v>
      </c>
      <c r="J242" s="3" t="s">
        <v>492</v>
      </c>
      <c r="K242" s="4">
        <v>13160.23</v>
      </c>
      <c r="L242" s="4">
        <v>3313.41</v>
      </c>
      <c r="M242" s="4">
        <v>0</v>
      </c>
      <c r="N242" s="4">
        <v>16473.64</v>
      </c>
      <c r="O242" s="4">
        <f>Tab_05.Mai[[#This Row],[DÉBITO]]-Tab_05.Mai[[#This Row],[CRÉDITO]]</f>
        <v>3313.41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SUMIFS(Tab_04.Abr[SALDO
ATUAL],Tab_04.Abr[CONTA],$I243)</f>
        <v>7539.83</v>
      </c>
      <c r="G243" s="4">
        <f t="shared" ref="G243:G270" si="11">$F243-$K243</f>
        <v>0</v>
      </c>
      <c r="I243" s="3" t="s">
        <v>493</v>
      </c>
      <c r="J243" s="3" t="s">
        <v>494</v>
      </c>
      <c r="K243" s="4">
        <v>7539.83</v>
      </c>
      <c r="L243" s="4">
        <v>1448.96</v>
      </c>
      <c r="M243" s="4">
        <v>0</v>
      </c>
      <c r="N243" s="4">
        <v>8988.7900000000009</v>
      </c>
      <c r="O243" s="4">
        <f>Tab_05.Mai[[#This Row],[DÉBITO]]-Tab_05.Mai[[#This Row],[CRÉDITO]]</f>
        <v>1448.96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SUMIFS(Tab_04.Abr[SALDO
ATUAL],Tab_04.Abr[CONTA],$I244)</f>
        <v>5656.58</v>
      </c>
      <c r="G244" s="4">
        <f t="shared" si="11"/>
        <v>0</v>
      </c>
      <c r="I244" s="3" t="s">
        <v>495</v>
      </c>
      <c r="J244" s="3" t="s">
        <v>496</v>
      </c>
      <c r="K244" s="4">
        <v>5656.58</v>
      </c>
      <c r="L244" s="4">
        <v>1439.89</v>
      </c>
      <c r="M244" s="4">
        <v>0</v>
      </c>
      <c r="N244" s="4">
        <v>7096.47</v>
      </c>
      <c r="O244" s="4">
        <f>Tab_05.Mai[[#This Row],[DÉBITO]]-Tab_05.Mai[[#This Row],[CRÉDITO]]</f>
        <v>1439.89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S</v>
      </c>
      <c r="E245" s="2">
        <f>IF($I245="","",COUNTIFS(Tab_00.Trial[CONTA],$I245))</f>
        <v>1</v>
      </c>
      <c r="F245" s="4">
        <f>SUMIFS(Tab_04.Abr[SALDO
ATUAL],Tab_04.Abr[CONTA],$I245)</f>
        <v>13573.92</v>
      </c>
      <c r="G245" s="4">
        <f t="shared" si="11"/>
        <v>0</v>
      </c>
      <c r="I245" s="3" t="s">
        <v>614</v>
      </c>
      <c r="J245" s="3" t="s">
        <v>718</v>
      </c>
      <c r="K245" s="4">
        <v>13573.92</v>
      </c>
      <c r="L245" s="4">
        <v>2802.01</v>
      </c>
      <c r="M245" s="4">
        <v>149.9</v>
      </c>
      <c r="N245" s="4">
        <v>16226.03</v>
      </c>
      <c r="O245" s="4">
        <f>Tab_05.Mai[[#This Row],[DÉBITO]]-Tab_05.Mai[[#This Row],[CRÉDITO]]</f>
        <v>2652.11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SUMIFS(Tab_04.Abr[SALDO
ATUAL],Tab_04.Abr[CONTA],$I246)</f>
        <v>95</v>
      </c>
      <c r="G246" s="4">
        <f t="shared" si="11"/>
        <v>0</v>
      </c>
      <c r="I246" s="3" t="s">
        <v>497</v>
      </c>
      <c r="J246" s="3" t="s">
        <v>498</v>
      </c>
      <c r="K246" s="4">
        <v>95</v>
      </c>
      <c r="L246" s="4">
        <v>0</v>
      </c>
      <c r="M246" s="4">
        <v>0</v>
      </c>
      <c r="N246" s="4">
        <v>95</v>
      </c>
      <c r="O246" s="4">
        <f>Tab_05.Mai[[#This Row],[DÉBITO]]-Tab_05.Mai[[#This Row],[CRÉDITO]]</f>
        <v>0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SUMIFS(Tab_04.Abr[SALDO
ATUAL],Tab_04.Abr[CONTA],$I247)</f>
        <v>3609.34</v>
      </c>
      <c r="G247" s="4">
        <f t="shared" si="11"/>
        <v>0</v>
      </c>
      <c r="I247" s="3" t="s">
        <v>499</v>
      </c>
      <c r="J247" s="3" t="s">
        <v>500</v>
      </c>
      <c r="K247" s="4">
        <v>3609.34</v>
      </c>
      <c r="L247" s="4">
        <v>2080</v>
      </c>
      <c r="M247" s="4">
        <v>0</v>
      </c>
      <c r="N247" s="4">
        <v>5689.34</v>
      </c>
      <c r="O247" s="4">
        <f>Tab_05.Mai[[#This Row],[DÉBITO]]-Tab_05.Mai[[#This Row],[CRÉDITO]]</f>
        <v>2080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SUMIFS(Tab_04.Abr[SALDO
ATUAL],Tab_04.Abr[CONTA],$I248)</f>
        <v>7361.95</v>
      </c>
      <c r="G248" s="4">
        <f t="shared" si="11"/>
        <v>0</v>
      </c>
      <c r="I248" s="3" t="s">
        <v>501</v>
      </c>
      <c r="J248" s="3" t="s">
        <v>502</v>
      </c>
      <c r="K248" s="4">
        <v>7361.95</v>
      </c>
      <c r="L248" s="4">
        <v>115.5</v>
      </c>
      <c r="M248" s="4">
        <v>0</v>
      </c>
      <c r="N248" s="4">
        <v>7477.45</v>
      </c>
      <c r="O248" s="4">
        <f>Tab_05.Mai[[#This Row],[DÉBITO]]-Tab_05.Mai[[#This Row],[CRÉDITO]]</f>
        <v>115.5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SUMIFS(Tab_04.Abr[SALDO
ATUAL],Tab_04.Abr[CONTA],$I249)</f>
        <v>2507.63</v>
      </c>
      <c r="G249" s="4">
        <f t="shared" si="11"/>
        <v>0</v>
      </c>
      <c r="I249" s="3" t="s">
        <v>503</v>
      </c>
      <c r="J249" s="3" t="s">
        <v>504</v>
      </c>
      <c r="K249" s="4">
        <v>2507.63</v>
      </c>
      <c r="L249" s="4">
        <v>606.51</v>
      </c>
      <c r="M249" s="4">
        <v>149.9</v>
      </c>
      <c r="N249" s="4">
        <v>2964.24</v>
      </c>
      <c r="O249" s="4">
        <f>Tab_05.Mai[[#This Row],[DÉBITO]]-Tab_05.Mai[[#This Row],[CRÉDITO]]</f>
        <v>456.61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S</v>
      </c>
      <c r="E250" s="2">
        <f>IF($I250="","",COUNTIFS(Tab_00.Trial[CONTA],$I250))</f>
        <v>1</v>
      </c>
      <c r="F250" s="4">
        <f>SUMIFS(Tab_04.Abr[SALDO
ATUAL],Tab_04.Abr[CONTA],$I250)</f>
        <v>29250</v>
      </c>
      <c r="G250" s="4">
        <f t="shared" si="11"/>
        <v>0</v>
      </c>
      <c r="I250" s="3" t="s">
        <v>615</v>
      </c>
      <c r="J250" s="3" t="s">
        <v>719</v>
      </c>
      <c r="K250" s="4">
        <v>29250</v>
      </c>
      <c r="L250" s="4">
        <v>4504.12</v>
      </c>
      <c r="M250" s="4">
        <v>0</v>
      </c>
      <c r="N250" s="4">
        <v>33754.120000000003</v>
      </c>
      <c r="O250" s="4">
        <f>Tab_05.Mai[[#This Row],[DÉBITO]]-Tab_05.Mai[[#This Row],[CRÉDITO]]</f>
        <v>4504.12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SUMIFS(Tab_04.Abr[SALDO
ATUAL],Tab_04.Abr[CONTA],$I251)</f>
        <v>1150.96</v>
      </c>
      <c r="G251" s="4">
        <f t="shared" si="11"/>
        <v>0</v>
      </c>
      <c r="I251" s="3" t="s">
        <v>617</v>
      </c>
      <c r="J251" s="3" t="s">
        <v>721</v>
      </c>
      <c r="K251" s="4">
        <v>1150.96</v>
      </c>
      <c r="L251" s="4">
        <v>287.74</v>
      </c>
      <c r="M251" s="4">
        <v>0</v>
      </c>
      <c r="N251" s="4">
        <v>1438.7</v>
      </c>
      <c r="O251" s="4">
        <f>Tab_05.Mai[[#This Row],[DÉBITO]]-Tab_05.Mai[[#This Row],[CRÉDITO]]</f>
        <v>287.74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SUMIFS(Tab_04.Abr[SALDO
ATUAL],Tab_04.Abr[CONTA],$I252)</f>
        <v>1150.96</v>
      </c>
      <c r="G252" s="4">
        <f t="shared" si="11"/>
        <v>0</v>
      </c>
      <c r="I252" s="3" t="s">
        <v>739</v>
      </c>
      <c r="J252" s="3" t="s">
        <v>740</v>
      </c>
      <c r="K252" s="4">
        <v>1150.96</v>
      </c>
      <c r="L252" s="4">
        <v>287.74</v>
      </c>
      <c r="M252" s="4">
        <v>0</v>
      </c>
      <c r="N252" s="4">
        <v>1438.7</v>
      </c>
      <c r="O252" s="4">
        <f>Tab_05.Mai[[#This Row],[DÉBITO]]-Tab_05.Mai[[#This Row],[CRÉDITO]]</f>
        <v>287.74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S</v>
      </c>
      <c r="E253" s="2">
        <f>IF($I253="","",COUNTIFS(Tab_00.Trial[CONTA],$I253))</f>
        <v>1</v>
      </c>
      <c r="F253" s="4">
        <f>SUMIFS(Tab_04.Abr[SALDO
ATUAL],Tab_04.Abr[CONTA],$I253)</f>
        <v>10230.26</v>
      </c>
      <c r="G253" s="4">
        <f t="shared" si="11"/>
        <v>0</v>
      </c>
      <c r="I253" s="3" t="s">
        <v>618</v>
      </c>
      <c r="J253" s="3" t="s">
        <v>722</v>
      </c>
      <c r="K253" s="4">
        <v>10230.26</v>
      </c>
      <c r="L253" s="4">
        <v>2582.0300000000002</v>
      </c>
      <c r="M253" s="4">
        <v>0</v>
      </c>
      <c r="N253" s="4">
        <v>12812.29</v>
      </c>
      <c r="O253" s="4">
        <f>Tab_05.Mai[[#This Row],[DÉBITO]]-Tab_05.Mai[[#This Row],[CRÉDITO]]</f>
        <v>2582.0300000000002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SUMIFS(Tab_04.Abr[SALDO
ATUAL],Tab_04.Abr[CONTA],$I254)</f>
        <v>10230.26</v>
      </c>
      <c r="G254" s="4">
        <f t="shared" si="11"/>
        <v>0</v>
      </c>
      <c r="I254" s="3" t="s">
        <v>511</v>
      </c>
      <c r="J254" s="3" t="s">
        <v>512</v>
      </c>
      <c r="K254" s="4">
        <v>10230.26</v>
      </c>
      <c r="L254" s="4">
        <v>2582.0300000000002</v>
      </c>
      <c r="M254" s="4">
        <v>0</v>
      </c>
      <c r="N254" s="4">
        <v>12812.29</v>
      </c>
      <c r="O254" s="4">
        <f>Tab_05.Mai[[#This Row],[DÉBITO]]-Tab_05.Mai[[#This Row],[CRÉDITO]]</f>
        <v>2582.0300000000002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S</v>
      </c>
      <c r="E255" s="2">
        <f>IF($I255="","",COUNTIFS(Tab_00.Trial[CONTA],$I255))</f>
        <v>1</v>
      </c>
      <c r="F255" s="4">
        <f>SUMIFS(Tab_04.Abr[SALDO
ATUAL],Tab_04.Abr[CONTA],$I255)</f>
        <v>17868.78</v>
      </c>
      <c r="G255" s="4">
        <f t="shared" si="11"/>
        <v>0</v>
      </c>
      <c r="I255" s="3" t="s">
        <v>619</v>
      </c>
      <c r="J255" s="3" t="s">
        <v>420</v>
      </c>
      <c r="K255" s="4">
        <v>17868.78</v>
      </c>
      <c r="L255" s="4">
        <v>1634.35</v>
      </c>
      <c r="M255" s="4">
        <v>0</v>
      </c>
      <c r="N255" s="4">
        <v>19503.13</v>
      </c>
      <c r="O255" s="4">
        <f>Tab_05.Mai[[#This Row],[DÉBITO]]-Tab_05.Mai[[#This Row],[CRÉDITO]]</f>
        <v>1634.35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SUMIFS(Tab_04.Abr[SALDO
ATUAL],Tab_04.Abr[CONTA],$I256)</f>
        <v>17868.78</v>
      </c>
      <c r="G256" s="4">
        <f t="shared" si="11"/>
        <v>0</v>
      </c>
      <c r="I256" s="3" t="s">
        <v>515</v>
      </c>
      <c r="J256" s="3" t="s">
        <v>420</v>
      </c>
      <c r="K256" s="4">
        <v>17868.78</v>
      </c>
      <c r="L256" s="4">
        <v>1634.35</v>
      </c>
      <c r="M256" s="4">
        <v>0</v>
      </c>
      <c r="N256" s="4">
        <v>19503.13</v>
      </c>
      <c r="O256" s="4">
        <f>Tab_05.Mai[[#This Row],[DÉBITO]]-Tab_05.Mai[[#This Row],[CRÉDITO]]</f>
        <v>1634.35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SUMIFS(Tab_04.Abr[SALDO
ATUAL],Tab_04.Abr[CONTA],$I257)</f>
        <v>7137.43</v>
      </c>
      <c r="G257" s="4">
        <f t="shared" si="11"/>
        <v>0</v>
      </c>
      <c r="I257" s="3" t="s">
        <v>621</v>
      </c>
      <c r="J257" s="3" t="s">
        <v>723</v>
      </c>
      <c r="K257" s="4">
        <v>7137.43</v>
      </c>
      <c r="L257" s="4">
        <v>1451.38</v>
      </c>
      <c r="M257" s="4">
        <v>0</v>
      </c>
      <c r="N257" s="4">
        <v>8588.81</v>
      </c>
      <c r="O257" s="4">
        <f>Tab_05.Mai[[#This Row],[DÉBITO]]-Tab_05.Mai[[#This Row],[CRÉDITO]]</f>
        <v>1451.38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S</v>
      </c>
      <c r="E258" s="2">
        <f>IF($I258="","",COUNTIFS(Tab_00.Trial[CONTA],$I258))</f>
        <v>1</v>
      </c>
      <c r="F258" s="4">
        <f>SUMIFS(Tab_04.Abr[SALDO
ATUAL],Tab_04.Abr[CONTA],$I258)</f>
        <v>7137.43</v>
      </c>
      <c r="G258" s="4">
        <f t="shared" si="11"/>
        <v>0</v>
      </c>
      <c r="I258" s="3" t="s">
        <v>622</v>
      </c>
      <c r="J258" s="3" t="s">
        <v>723</v>
      </c>
      <c r="K258" s="4">
        <v>7137.43</v>
      </c>
      <c r="L258" s="4">
        <v>1451.38</v>
      </c>
      <c r="M258" s="4">
        <v>0</v>
      </c>
      <c r="N258" s="4">
        <v>8588.81</v>
      </c>
      <c r="O258" s="4">
        <f>Tab_05.Mai[[#This Row],[DÉBITO]]-Tab_05.Mai[[#This Row],[CRÉDITO]]</f>
        <v>1451.38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SUMIFS(Tab_04.Abr[SALDO
ATUAL],Tab_04.Abr[CONTA],$I259)</f>
        <v>7137.43</v>
      </c>
      <c r="G259" s="4">
        <f t="shared" si="11"/>
        <v>0</v>
      </c>
      <c r="I259" s="3" t="s">
        <v>518</v>
      </c>
      <c r="J259" s="3" t="s">
        <v>519</v>
      </c>
      <c r="K259" s="4">
        <v>7137.43</v>
      </c>
      <c r="L259" s="4">
        <v>1451.38</v>
      </c>
      <c r="M259" s="4">
        <v>0</v>
      </c>
      <c r="N259" s="4">
        <v>8588.81</v>
      </c>
      <c r="O259" s="4">
        <f>Tab_05.Mai[[#This Row],[DÉBITO]]-Tab_05.Mai[[#This Row],[CRÉDITO]]</f>
        <v>1451.38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S</v>
      </c>
      <c r="E260" s="2">
        <f>IF($I260="","",COUNTIFS(Tab_00.Trial[CONTA],$I260))</f>
        <v>1</v>
      </c>
      <c r="F260" s="4">
        <f>SUMIFS(Tab_04.Abr[SALDO
ATUAL],Tab_04.Abr[CONTA],$I260)</f>
        <v>17947.939999999999</v>
      </c>
      <c r="G260" s="4">
        <f t="shared" si="11"/>
        <v>0</v>
      </c>
      <c r="I260" s="3" t="s">
        <v>623</v>
      </c>
      <c r="J260" s="3" t="s">
        <v>724</v>
      </c>
      <c r="K260" s="4">
        <v>17947.939999999999</v>
      </c>
      <c r="L260" s="4">
        <v>3667.05</v>
      </c>
      <c r="M260" s="4">
        <v>0</v>
      </c>
      <c r="N260" s="4">
        <v>21614.99</v>
      </c>
      <c r="O260" s="4">
        <f>Tab_05.Mai[[#This Row],[DÉBITO]]-Tab_05.Mai[[#This Row],[CRÉDITO]]</f>
        <v>3667.05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SUMIFS(Tab_04.Abr[SALDO
ATUAL],Tab_04.Abr[CONTA],$I261)</f>
        <v>17947.939999999999</v>
      </c>
      <c r="G261" s="4">
        <f t="shared" si="11"/>
        <v>0</v>
      </c>
      <c r="I261" s="3" t="s">
        <v>624</v>
      </c>
      <c r="J261" s="3" t="s">
        <v>724</v>
      </c>
      <c r="K261" s="4">
        <v>17947.939999999999</v>
      </c>
      <c r="L261" s="4">
        <v>3667.05</v>
      </c>
      <c r="M261" s="4">
        <v>0</v>
      </c>
      <c r="N261" s="4">
        <v>21614.99</v>
      </c>
      <c r="O261" s="4">
        <f>Tab_05.Mai[[#This Row],[DÉBITO]]-Tab_05.Mai[[#This Row],[CRÉDITO]]</f>
        <v>3667.05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SUMIFS(Tab_04.Abr[SALDO
ATUAL],Tab_04.Abr[CONTA],$I262)</f>
        <v>17947.939999999999</v>
      </c>
      <c r="G262" s="4">
        <f t="shared" si="11"/>
        <v>0</v>
      </c>
      <c r="I262" s="3" t="s">
        <v>520</v>
      </c>
      <c r="J262" s="3" t="s">
        <v>521</v>
      </c>
      <c r="K262" s="4">
        <v>17947.939999999999</v>
      </c>
      <c r="L262" s="4">
        <v>3667.05</v>
      </c>
      <c r="M262" s="4">
        <v>0</v>
      </c>
      <c r="N262" s="4">
        <v>21614.99</v>
      </c>
      <c r="O262" s="4">
        <f>Tab_05.Mai[[#This Row],[DÉBITO]]-Tab_05.Mai[[#This Row],[CRÉDITO]]</f>
        <v>3667.05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SUMIFS(Tab_04.Abr[SALDO
ATUAL],Tab_04.Abr[CONTA],$I263)</f>
        <v>27813.96</v>
      </c>
      <c r="G263" s="4">
        <f t="shared" si="11"/>
        <v>0</v>
      </c>
      <c r="I263" s="3" t="s">
        <v>625</v>
      </c>
      <c r="J263" s="3" t="s">
        <v>542</v>
      </c>
      <c r="K263" s="4">
        <v>27813.96</v>
      </c>
      <c r="L263" s="4">
        <v>3712.5</v>
      </c>
      <c r="M263" s="4">
        <v>0</v>
      </c>
      <c r="N263" s="4">
        <v>31526.46</v>
      </c>
      <c r="O263" s="4">
        <f>Tab_05.Mai[[#This Row],[DÉBITO]]-Tab_05.Mai[[#This Row],[CRÉDITO]]</f>
        <v>3712.5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SUMIFS(Tab_04.Abr[SALDO
ATUAL],Tab_04.Abr[CONTA],$I264)</f>
        <v>15868.35</v>
      </c>
      <c r="G264" s="4">
        <f t="shared" si="11"/>
        <v>0</v>
      </c>
      <c r="I264" s="3" t="s">
        <v>626</v>
      </c>
      <c r="J264" s="3" t="s">
        <v>725</v>
      </c>
      <c r="K264" s="4">
        <v>15868.35</v>
      </c>
      <c r="L264" s="4">
        <v>115.5</v>
      </c>
      <c r="M264" s="4">
        <v>0</v>
      </c>
      <c r="N264" s="4">
        <v>15983.85</v>
      </c>
      <c r="O264" s="4">
        <f>Tab_05.Mai[[#This Row],[DÉBITO]]-Tab_05.Mai[[#This Row],[CRÉDITO]]</f>
        <v>115.5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SUMIFS(Tab_04.Abr[SALDO
ATUAL],Tab_04.Abr[CONTA],$I265)</f>
        <v>15412.24</v>
      </c>
      <c r="G265" s="4">
        <f t="shared" si="11"/>
        <v>0</v>
      </c>
      <c r="I265" s="3" t="s">
        <v>522</v>
      </c>
      <c r="J265" s="3" t="s">
        <v>523</v>
      </c>
      <c r="K265" s="4">
        <v>15412.24</v>
      </c>
      <c r="L265" s="4">
        <v>115.5</v>
      </c>
      <c r="M265" s="4">
        <v>0</v>
      </c>
      <c r="N265" s="4">
        <v>15527.74</v>
      </c>
      <c r="O265" s="4">
        <f>Tab_05.Mai[[#This Row],[DÉBITO]]-Tab_05.Mai[[#This Row],[CRÉDITO]]</f>
        <v>115.5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SUMIFS(Tab_04.Abr[SALDO
ATUAL],Tab_04.Abr[CONTA],$I266)</f>
        <v>456.11</v>
      </c>
      <c r="G266" s="4">
        <f t="shared" si="11"/>
        <v>0</v>
      </c>
      <c r="I266" s="3" t="s">
        <v>524</v>
      </c>
      <c r="J266" s="3" t="s">
        <v>525</v>
      </c>
      <c r="K266" s="4">
        <v>456.11</v>
      </c>
      <c r="L266" s="4">
        <v>0</v>
      </c>
      <c r="M266" s="4">
        <v>0</v>
      </c>
      <c r="N266" s="4">
        <v>456.11</v>
      </c>
      <c r="O266" s="4">
        <f>Tab_05.Mai[[#This Row],[DÉBITO]]-Tab_05.Mai[[#This Row],[CRÉDITO]]</f>
        <v>0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SUMIFS(Tab_04.Abr[SALDO
ATUAL],Tab_04.Abr[CONTA],$I267)</f>
        <v>11945.61</v>
      </c>
      <c r="G267" s="4">
        <f t="shared" si="11"/>
        <v>0</v>
      </c>
      <c r="I267" s="3" t="s">
        <v>627</v>
      </c>
      <c r="J267" s="3" t="s">
        <v>542</v>
      </c>
      <c r="K267" s="4">
        <v>11945.61</v>
      </c>
      <c r="L267" s="4">
        <v>3597</v>
      </c>
      <c r="M267" s="4">
        <v>0</v>
      </c>
      <c r="N267" s="4">
        <v>15542.61</v>
      </c>
      <c r="O267" s="4">
        <f>Tab_05.Mai[[#This Row],[DÉBITO]]-Tab_05.Mai[[#This Row],[CRÉDITO]]</f>
        <v>3597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SUMIFS(Tab_04.Abr[SALDO
ATUAL],Tab_04.Abr[CONTA],$I268)</f>
        <v>399.64</v>
      </c>
      <c r="G268" s="4">
        <f t="shared" si="11"/>
        <v>0</v>
      </c>
      <c r="I268" s="3" t="s">
        <v>528</v>
      </c>
      <c r="J268" s="3" t="s">
        <v>416</v>
      </c>
      <c r="K268" s="4">
        <v>399.64</v>
      </c>
      <c r="L268" s="4">
        <v>94.81</v>
      </c>
      <c r="M268" s="4">
        <v>0</v>
      </c>
      <c r="N268" s="4">
        <v>494.45</v>
      </c>
      <c r="O268" s="4">
        <f>Tab_05.Mai[[#This Row],[DÉBITO]]-Tab_05.Mai[[#This Row],[CRÉDITO]]</f>
        <v>94.81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SUMIFS(Tab_04.Abr[SALDO
ATUAL],Tab_04.Abr[CONTA],$I269)</f>
        <v>270.23</v>
      </c>
      <c r="G269" s="4">
        <f t="shared" si="11"/>
        <v>0</v>
      </c>
      <c r="I269" s="3" t="s">
        <v>531</v>
      </c>
      <c r="J269" s="3" t="s">
        <v>532</v>
      </c>
      <c r="K269" s="4">
        <v>270.23</v>
      </c>
      <c r="L269" s="4">
        <v>153.81</v>
      </c>
      <c r="M269" s="4">
        <v>0</v>
      </c>
      <c r="N269" s="4">
        <v>424.04</v>
      </c>
      <c r="O269" s="4">
        <f>Tab_05.Mai[[#This Row],[DÉBITO]]-Tab_05.Mai[[#This Row],[CRÉDITO]]</f>
        <v>153.81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SUMIFS(Tab_04.Abr[SALDO
ATUAL],Tab_04.Abr[CONTA],$I270)</f>
        <v>350</v>
      </c>
      <c r="G270" s="4">
        <f t="shared" si="11"/>
        <v>0</v>
      </c>
      <c r="I270" s="3" t="s">
        <v>533</v>
      </c>
      <c r="J270" s="3" t="s">
        <v>534</v>
      </c>
      <c r="K270" s="4">
        <v>350</v>
      </c>
      <c r="L270" s="4">
        <v>1400</v>
      </c>
      <c r="M270" s="4">
        <v>0</v>
      </c>
      <c r="N270" s="4">
        <v>1750</v>
      </c>
      <c r="O270" s="4">
        <f>Tab_05.Mai[[#This Row],[DÉBITO]]-Tab_05.Mai[[#This Row],[CRÉDITO]]</f>
        <v>1400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SUMIFS(Tab_04.Abr[SALDO
ATUAL],Tab_04.Abr[CONTA],$I271)</f>
        <v>4744.78</v>
      </c>
      <c r="G271" s="4">
        <f t="shared" ref="G271:G275" si="12">$F271-$K271</f>
        <v>0</v>
      </c>
      <c r="I271" s="3" t="s">
        <v>537</v>
      </c>
      <c r="J271" s="3" t="s">
        <v>538</v>
      </c>
      <c r="K271" s="4">
        <v>4744.78</v>
      </c>
      <c r="L271" s="4">
        <v>0</v>
      </c>
      <c r="M271" s="4">
        <v>0</v>
      </c>
      <c r="N271" s="4">
        <v>4744.78</v>
      </c>
      <c r="O271" s="4">
        <f>Tab_05.Mai[[#This Row],[DÉBITO]]-Tab_05.Mai[[#This Row],[CRÉDITO]]</f>
        <v>0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SUMIFS(Tab_04.Abr[SALDO
ATUAL],Tab_04.Abr[CONTA],$I272)</f>
        <v>5480.09</v>
      </c>
      <c r="G272" s="4">
        <f t="shared" si="12"/>
        <v>0</v>
      </c>
      <c r="I272" s="3" t="s">
        <v>539</v>
      </c>
      <c r="J272" s="3" t="s">
        <v>540</v>
      </c>
      <c r="K272" s="4">
        <v>5480.09</v>
      </c>
      <c r="L272" s="4">
        <v>1648.48</v>
      </c>
      <c r="M272" s="4">
        <v>0</v>
      </c>
      <c r="N272" s="4">
        <v>7128.57</v>
      </c>
      <c r="O272" s="4">
        <f>Tab_05.Mai[[#This Row],[DÉBITO]]-Tab_05.Mai[[#This Row],[CRÉDITO]]</f>
        <v>1648.48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A</v>
      </c>
      <c r="E273" s="2">
        <f>IF($I273="","",COUNTIFS(Tab_00.Trial[CONTA],$I273))</f>
        <v>1</v>
      </c>
      <c r="F273" s="4">
        <f>SUMIFS(Tab_04.Abr[SALDO
ATUAL],Tab_04.Abr[CONTA],$I273)</f>
        <v>700.87</v>
      </c>
      <c r="G273" s="4">
        <f t="shared" si="12"/>
        <v>0</v>
      </c>
      <c r="I273" s="3" t="s">
        <v>541</v>
      </c>
      <c r="J273" s="3" t="s">
        <v>542</v>
      </c>
      <c r="K273" s="4">
        <v>700.87</v>
      </c>
      <c r="L273" s="4">
        <v>299.89999999999998</v>
      </c>
      <c r="M273" s="4">
        <v>0</v>
      </c>
      <c r="N273" s="4">
        <v>1000.77</v>
      </c>
      <c r="O273" s="4">
        <f>Tab_05.Mai[[#This Row],[DÉBITO]]-Tab_05.Mai[[#This Row],[CRÉDITO]]</f>
        <v>299.89999999999998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2</v>
      </c>
      <c r="D274" s="2" t="str">
        <f>_xlfn.XLOOKUP($I274,Tab_00.Trial[CONTA],Tab_00.Trial[S/A],"",0,1)</f>
        <v>S</v>
      </c>
      <c r="E274" s="2">
        <f>IF($I274="","",COUNTIFS(Tab_00.Trial[CONTA],$I274))</f>
        <v>1</v>
      </c>
      <c r="F274" s="4">
        <f>SUMIFS(Tab_04.Abr[SALDO
ATUAL],Tab_04.Abr[CONTA],$I274)</f>
        <v>270</v>
      </c>
      <c r="G274" s="4">
        <f t="shared" si="12"/>
        <v>0</v>
      </c>
      <c r="I274" s="3" t="s">
        <v>630</v>
      </c>
      <c r="J274" s="3" t="s">
        <v>728</v>
      </c>
      <c r="K274" s="4">
        <v>270</v>
      </c>
      <c r="L274" s="4">
        <v>0</v>
      </c>
      <c r="M274" s="4">
        <v>0</v>
      </c>
      <c r="N274" s="4">
        <v>270</v>
      </c>
      <c r="O274" s="4">
        <f>Tab_05.Mai[[#This Row],[DÉBITO]]-Tab_05.Mai[[#This Row],[CRÉDITO]]</f>
        <v>0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S</v>
      </c>
      <c r="E275" s="2">
        <f>IF($I275="","",COUNTIFS(Tab_00.Trial[CONTA],$I275))</f>
        <v>1</v>
      </c>
      <c r="F275" s="4">
        <f>SUMIFS(Tab_04.Abr[SALDO
ATUAL],Tab_04.Abr[CONTA],$I275)</f>
        <v>270</v>
      </c>
      <c r="G275" s="4">
        <f t="shared" si="12"/>
        <v>0</v>
      </c>
      <c r="I275" s="3" t="s">
        <v>631</v>
      </c>
      <c r="J275" s="3" t="s">
        <v>728</v>
      </c>
      <c r="K275" s="4">
        <v>270</v>
      </c>
      <c r="L275" s="4">
        <v>0</v>
      </c>
      <c r="M275" s="4">
        <v>0</v>
      </c>
      <c r="N275" s="4">
        <v>270</v>
      </c>
      <c r="O275" s="4">
        <f>Tab_05.Mai[[#This Row],[DÉBITO]]-Tab_05.Mai[[#This Row],[CRÉDITO]]</f>
        <v>0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SUMIFS(Tab_04.Abr[SALDO
ATUAL],Tab_04.Abr[CONTA],$I276)</f>
        <v>270</v>
      </c>
      <c r="G276" s="4">
        <f t="shared" ref="G276:G281" si="13">$F276-$K276</f>
        <v>0</v>
      </c>
      <c r="I276" s="3" t="s">
        <v>633</v>
      </c>
      <c r="J276" s="3" t="s">
        <v>548</v>
      </c>
      <c r="K276" s="4">
        <v>270</v>
      </c>
      <c r="L276" s="4">
        <v>0</v>
      </c>
      <c r="M276" s="4">
        <v>0</v>
      </c>
      <c r="N276" s="4">
        <v>270</v>
      </c>
      <c r="O276" s="4">
        <f>Tab_05.Mai[[#This Row],[DÉBITO]]-Tab_05.Mai[[#This Row],[CRÉDITO]]</f>
        <v>0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A</v>
      </c>
      <c r="E277" s="2">
        <f>IF($I277="","",COUNTIFS(Tab_00.Trial[CONTA],$I277))</f>
        <v>1</v>
      </c>
      <c r="F277" s="4">
        <f>SUMIFS(Tab_04.Abr[SALDO
ATUAL],Tab_04.Abr[CONTA],$I277)</f>
        <v>270</v>
      </c>
      <c r="G277" s="4">
        <f t="shared" si="13"/>
        <v>0</v>
      </c>
      <c r="I277" s="3" t="s">
        <v>547</v>
      </c>
      <c r="J277" s="3" t="s">
        <v>548</v>
      </c>
      <c r="K277" s="4">
        <v>270</v>
      </c>
      <c r="L277" s="4">
        <v>0</v>
      </c>
      <c r="M277" s="4">
        <v>0</v>
      </c>
      <c r="N277" s="4">
        <v>270</v>
      </c>
      <c r="O277" s="4">
        <f>Tab_05.Mai[[#This Row],[DÉBITO]]-Tab_05.Mai[[#This Row],[CRÉDITO]]</f>
        <v>0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2</v>
      </c>
      <c r="D278" s="2" t="str">
        <f>_xlfn.XLOOKUP($I278,Tab_00.Trial[CONTA],Tab_00.Trial[S/A],"",0,1)</f>
        <v>S</v>
      </c>
      <c r="E278" s="2">
        <f>IF($I278="","",COUNTIFS(Tab_00.Trial[CONTA],$I278))</f>
        <v>1</v>
      </c>
      <c r="F278" s="4">
        <f>SUMIFS(Tab_04.Abr[SALDO
ATUAL],Tab_04.Abr[CONTA],$I278)</f>
        <v>-189</v>
      </c>
      <c r="G278" s="4">
        <f t="shared" si="13"/>
        <v>0</v>
      </c>
      <c r="I278" s="3" t="s">
        <v>634</v>
      </c>
      <c r="J278" s="3" t="s">
        <v>730</v>
      </c>
      <c r="K278" s="4">
        <v>-189</v>
      </c>
      <c r="L278" s="4">
        <v>0</v>
      </c>
      <c r="M278" s="4">
        <v>0</v>
      </c>
      <c r="N278" s="4">
        <v>-189</v>
      </c>
      <c r="O278" s="4">
        <f>Tab_05.Mai[[#This Row],[DÉBITO]]-Tab_05.Mai[[#This Row],[CRÉDITO]]</f>
        <v>0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SUMIFS(Tab_04.Abr[SALDO
ATUAL],Tab_04.Abr[CONTA],$I279)</f>
        <v>-189</v>
      </c>
      <c r="G279" s="4">
        <f t="shared" si="13"/>
        <v>0</v>
      </c>
      <c r="I279" s="3" t="s">
        <v>831</v>
      </c>
      <c r="J279" s="3" t="s">
        <v>832</v>
      </c>
      <c r="K279" s="4">
        <v>-189</v>
      </c>
      <c r="L279" s="4">
        <v>0</v>
      </c>
      <c r="M279" s="4">
        <v>0</v>
      </c>
      <c r="N279" s="4">
        <v>-189</v>
      </c>
      <c r="O279" s="4">
        <f>Tab_05.Mai[[#This Row],[DÉBITO]]-Tab_05.Mai[[#This Row],[CRÉDITO]]</f>
        <v>0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S</v>
      </c>
      <c r="E280" s="2">
        <f>IF($I280="","",COUNTIFS(Tab_00.Trial[CONTA],$I280))</f>
        <v>1</v>
      </c>
      <c r="F280" s="4">
        <f>SUMIFS(Tab_04.Abr[SALDO
ATUAL],Tab_04.Abr[CONTA],$I280)</f>
        <v>-189</v>
      </c>
      <c r="G280" s="4">
        <f t="shared" si="13"/>
        <v>0</v>
      </c>
      <c r="I280" s="3" t="s">
        <v>833</v>
      </c>
      <c r="J280" s="3" t="s">
        <v>832</v>
      </c>
      <c r="K280" s="4">
        <v>-189</v>
      </c>
      <c r="L280" s="4">
        <v>0</v>
      </c>
      <c r="M280" s="4">
        <v>0</v>
      </c>
      <c r="N280" s="4">
        <v>-189</v>
      </c>
      <c r="O280" s="4">
        <f>Tab_05.Mai[[#This Row],[DÉBITO]]-Tab_05.Mai[[#This Row],[CRÉDITO]]</f>
        <v>0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SUMIFS(Tab_04.Abr[SALDO
ATUAL],Tab_04.Abr[CONTA],$I281)</f>
        <v>-189</v>
      </c>
      <c r="G281" s="4">
        <f t="shared" si="13"/>
        <v>0</v>
      </c>
      <c r="I281" s="3" t="s">
        <v>834</v>
      </c>
      <c r="J281" s="3" t="s">
        <v>835</v>
      </c>
      <c r="K281" s="4">
        <v>-189</v>
      </c>
      <c r="L281" s="4">
        <v>0</v>
      </c>
      <c r="M281" s="4">
        <v>0</v>
      </c>
      <c r="N281" s="4">
        <v>-189</v>
      </c>
      <c r="O281" s="4">
        <f>Tab_05.Mai[[#This Row],[DÉBITO]]-Tab_05.Mai[[#This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9D3FB-EB1D-4562-ADDB-2482BEFADF29}">
  <sheetPr codeName="Planilha16"/>
  <dimension ref="B1:R288"/>
  <sheetViews>
    <sheetView showGridLines="0" showRowColHeaders="0" zoomScale="85" zoomScaleNormal="85" workbookViewId="0">
      <pane xSplit="7" ySplit="14" topLeftCell="H15" activePane="bottomRight" state="frozen"/>
      <selection activeCell="J20" sqref="J20"/>
      <selection pane="topRight" activeCell="J20" sqref="J20"/>
      <selection pane="bottomLeft" activeCell="J20" sqref="J20"/>
      <selection pane="bottomRight" activeCell="G17" sqref="G17:G27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7" width="8.88671875" style="1"/>
    <col min="18" max="18" width="12.44140625" style="1" bestFit="1" customWidth="1"/>
    <col min="19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SUMIFS(INDIRECT("Tab_06.Jun["&amp;F$14&amp;"]"),Tab_06.Jun[TP],$B2,Tab_06.Jun[NV],"A")</f>
        <v>0</v>
      </c>
      <c r="G2" s="7">
        <f ca="1">SUMIFS(INDIRECT("Tab_06.Jun["&amp;G$14&amp;"]"),Tab_06.Jun[TP],$B2,Tab_06.Jun[NV],"A")</f>
        <v>0</v>
      </c>
      <c r="H2" s="3"/>
      <c r="I2" s="3"/>
      <c r="J2" s="88" t="s">
        <v>15</v>
      </c>
      <c r="K2" s="7">
        <f ca="1">SUMIFS(INDIRECT("Tab_06.Jun["&amp;K$14&amp;"]"),Tab_06.Jun[TP],$B2,Tab_06.Jun[S/A],"A")</f>
        <v>83957861.060000002</v>
      </c>
      <c r="L2" s="7">
        <f ca="1">SUMIFS(INDIRECT("Tab_06.Jun["&amp;L$14&amp;"]"),Tab_06.Jun[TP],$B2,Tab_06.Jun[S/A],"A")</f>
        <v>1705112.11</v>
      </c>
      <c r="M2" s="7">
        <f ca="1">SUMIFS(INDIRECT("Tab_06.Jun["&amp;M$14&amp;"]"),Tab_06.Jun[TP],$B2,Tab_06.Jun[S/A],"A")</f>
        <v>1161640.1499999999</v>
      </c>
      <c r="N2" s="7">
        <f ca="1">SUMIFS(INDIRECT("Tab_06.Jun["&amp;N$14&amp;"]"),Tab_06.Jun[TP],$B2,Tab_06.Jun[S/A],"A")</f>
        <v>84501333.019999996</v>
      </c>
      <c r="O2" s="7">
        <f ca="1">SUMIFS(INDIRECT("Tab_06.Jun["&amp;O$14&amp;"]"),Tab_06.Jun[TP],$B2,Tab_06.Jun[S/A],"A")</f>
        <v>543471.96</v>
      </c>
    </row>
    <row r="3" spans="2:15" outlineLevel="1" x14ac:dyDescent="0.3">
      <c r="B3" s="2" t="s">
        <v>116</v>
      </c>
      <c r="F3" s="7">
        <f ca="1">SUMIFS(INDIRECT("Tab_06.Jun["&amp;F$14&amp;"]"),Tab_06.Jun[TP],$B3,Tab_06.Jun[NV],"A")</f>
        <v>0</v>
      </c>
      <c r="G3" s="7">
        <f ca="1">SUMIFS(INDIRECT("Tab_06.Jun["&amp;G$14&amp;"]"),Tab_06.Jun[TP],$B3,Tab_06.Jun[NV],"A")</f>
        <v>0</v>
      </c>
      <c r="H3" s="3"/>
      <c r="I3" s="3"/>
      <c r="J3" s="88" t="s">
        <v>110</v>
      </c>
      <c r="K3" s="7">
        <f ca="1">SUMIFS(INDIRECT("Tab_06.Jun["&amp;K$14&amp;"]"),Tab_06.Jun[TP],$B3,Tab_06.Jun[S/A],"A")</f>
        <v>-83213861.75</v>
      </c>
      <c r="L3" s="7">
        <f ca="1">SUMIFS(INDIRECT("Tab_06.Jun["&amp;L$14&amp;"]"),Tab_06.Jun[TP],$B3,Tab_06.Jun[S/A],"A")</f>
        <v>408811.77</v>
      </c>
      <c r="M3" s="7">
        <f ca="1">SUMIFS(INDIRECT("Tab_06.Jun["&amp;M$14&amp;"]"),Tab_06.Jun[TP],$B3,Tab_06.Jun[S/A],"A")</f>
        <v>543187.61</v>
      </c>
      <c r="N3" s="7">
        <f ca="1">SUMIFS(INDIRECT("Tab_06.Jun["&amp;N$14&amp;"]"),Tab_06.Jun[TP],$B3,Tab_06.Jun[S/A],"A")</f>
        <v>-83348237.590000004</v>
      </c>
      <c r="O3" s="7">
        <f ca="1">SUMIFS(INDIRECT("Tab_06.Jun["&amp;O$14&amp;"]"),Tab_06.Jun[TP],$B3,Tab_06.Jun[S/A],"A")</f>
        <v>-134375.84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743999.31</v>
      </c>
      <c r="L4" s="8">
        <f t="shared" ca="1" si="0"/>
        <v>2113923.88</v>
      </c>
      <c r="M4" s="8">
        <f t="shared" ca="1" si="0"/>
        <v>1704827.76</v>
      </c>
      <c r="N4" s="8">
        <f ca="1">SUM(N$2:N$3)</f>
        <v>1153095.43</v>
      </c>
      <c r="O4" s="8">
        <f t="shared" ca="1" si="0"/>
        <v>409096.12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SUMIFS(INDIRECT("Tab_06.Jun["&amp;F$14&amp;"]"),Tab_06.Jun[TP],$B6,Tab_06.Jun[NV],"A")</f>
        <v>0</v>
      </c>
      <c r="G6" s="7">
        <f ca="1">SUMIFS(INDIRECT("Tab_06.Jun["&amp;G$14&amp;"]"),Tab_06.Jun[TP],$B6,Tab_06.Jun[NV],"A")</f>
        <v>0</v>
      </c>
      <c r="H6" s="3"/>
      <c r="I6" s="3"/>
      <c r="J6" s="88" t="s">
        <v>18</v>
      </c>
      <c r="K6" s="7">
        <f ca="1">SUMIFS(INDIRECT("Tab_06.Jun["&amp;K$14&amp;"]"),Tab_06.Jun[TP],$B6,Tab_06.Jun[S/A],"A")</f>
        <v>-7450569.2599999998</v>
      </c>
      <c r="L6" s="7">
        <f ca="1">SUMIFS(INDIRECT("Tab_06.Jun["&amp;L$14&amp;"]"),Tab_06.Jun[TP],$B6,Tab_06.Jun[S/A],"A")</f>
        <v>11</v>
      </c>
      <c r="M6" s="7">
        <f ca="1">SUMIFS(INDIRECT("Tab_06.Jun["&amp;M$14&amp;"]"),Tab_06.Jun[TP],$B6,Tab_06.Jun[S/A],"A")</f>
        <v>1494895.3</v>
      </c>
      <c r="N6" s="7">
        <f ca="1">SUMIFS(INDIRECT("Tab_06.Jun["&amp;N$14&amp;"]"),Tab_06.Jun[TP],$B6,Tab_06.Jun[S/A],"A")</f>
        <v>-8945453.5600000005</v>
      </c>
      <c r="O6" s="7">
        <f ca="1">SUMIFS(INDIRECT("Tab_06.Jun["&amp;O$14&amp;"]"),Tab_06.Jun[TP],$B6,Tab_06.Jun[S/A],"A")</f>
        <v>-1494884.3</v>
      </c>
    </row>
    <row r="7" spans="2:15" outlineLevel="1" x14ac:dyDescent="0.3">
      <c r="B7" s="2" t="s">
        <v>20</v>
      </c>
      <c r="F7" s="7">
        <f ca="1">SUMIFS(INDIRECT("Tab_06.Jun["&amp;F$14&amp;"]"),Tab_06.Jun[TP],$B7,Tab_06.Jun[NV],"A")</f>
        <v>0</v>
      </c>
      <c r="G7" s="7">
        <f ca="1">SUMIFS(INDIRECT("Tab_06.Jun["&amp;G$14&amp;"]"),Tab_06.Jun[TP],$B7,Tab_06.Jun[NV],"A")</f>
        <v>0</v>
      </c>
      <c r="H7" s="3"/>
      <c r="I7" s="3"/>
      <c r="J7" s="88" t="s">
        <v>111</v>
      </c>
      <c r="K7" s="7">
        <f ca="1">SUMIFS(INDIRECT("Tab_06.Jun["&amp;K$14&amp;"]"),Tab_06.Jun[TP],$B7,Tab_06.Jun[S/A],"A")</f>
        <v>6706569.9500000002</v>
      </c>
      <c r="L7" s="7">
        <f ca="1">SUMIFS(INDIRECT("Tab_06.Jun["&amp;L$14&amp;"]"),Tab_06.Jun[TP],$B7,Tab_06.Jun[S/A],"A")</f>
        <v>1114295.33</v>
      </c>
      <c r="M7" s="7">
        <f ca="1">SUMIFS(INDIRECT("Tab_06.Jun["&amp;M$14&amp;"]"),Tab_06.Jun[TP],$B7,Tab_06.Jun[S/A],"A")</f>
        <v>28507.15</v>
      </c>
      <c r="N7" s="7">
        <f ca="1">SUMIFS(INDIRECT("Tab_06.Jun["&amp;N$14&amp;"]"),Tab_06.Jun[TP],$B7,Tab_06.Jun[S/A],"A")</f>
        <v>7792358.1299999999</v>
      </c>
      <c r="O7" s="7">
        <f ca="1">SUMIFS(INDIRECT("Tab_06.Jun["&amp;O$14&amp;"]"),Tab_06.Jun[TP],$B7,Tab_06.Jun[S/A],"A")</f>
        <v>1085788.18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-743999.31</v>
      </c>
      <c r="L8" s="8">
        <f ca="1">SUM(L$6:L$7)</f>
        <v>1114306.33</v>
      </c>
      <c r="M8" s="8">
        <f ca="1">SUM(M$6:M$7)</f>
        <v>1523402.45</v>
      </c>
      <c r="N8" s="8">
        <f ca="1">SUM(N$6:N$7)</f>
        <v>-1153095.43</v>
      </c>
      <c r="O8" s="8">
        <f ca="1">SUM(O$6:O$7)</f>
        <v>-409096.12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3228230.21</v>
      </c>
      <c r="M10" s="11">
        <f t="shared" ca="1" si="1"/>
        <v>3228230.21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SUBTOTAL(9,Tab_06.Jun[SALDO FINAL
ANTERIOR])</f>
        <v>0</v>
      </c>
      <c r="G12" s="7">
        <f>SUBTOTAL(9,Tab_06.Jun[DIFERENÇA])</f>
        <v>0</v>
      </c>
      <c r="H12" s="3"/>
      <c r="I12" s="3"/>
      <c r="J12" s="3"/>
      <c r="K12" s="7">
        <f>SUBTOTAL(9,Tab_06.Jun[SALDO
ANTERIOR])</f>
        <v>0</v>
      </c>
      <c r="L12" s="7">
        <f>SUBTOTAL(9,Tab_06.Jun[DÉBITO])</f>
        <v>16141151.050000001</v>
      </c>
      <c r="M12" s="7">
        <f>SUBTOTAL(9,Tab_06.Jun[CRÉDITO])</f>
        <v>16141151.050000001</v>
      </c>
      <c r="N12" s="7">
        <f>SUBTOTAL(9,Tab_06.Jun[SALDO
ATUAL])</f>
        <v>0</v>
      </c>
      <c r="O12" s="7">
        <f>SUBTOTAL(9,Tab_06.Jun[MOVIMENTO])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SUMIFS(Tab_05.Mai[SALDO
ATUAL],Tab_05.Mai[CONTA],$I15)</f>
        <v>83718633.680000007</v>
      </c>
      <c r="G15" s="4">
        <f>$F15-$K15</f>
        <v>-239227.38</v>
      </c>
      <c r="H15" s="3"/>
      <c r="I15" s="3">
        <v>1</v>
      </c>
      <c r="J15" s="3" t="s">
        <v>637</v>
      </c>
      <c r="K15" s="4">
        <v>83957861.060000002</v>
      </c>
      <c r="L15" s="4">
        <v>1705112.11</v>
      </c>
      <c r="M15" s="4">
        <v>1161640.1499999999</v>
      </c>
      <c r="N15" s="4">
        <v>84501333.019999996</v>
      </c>
      <c r="O15" s="4">
        <f>Tab_06.Jun[[#This Row],[DÉBITO]]-Tab_06.Jun[[#This Row],[CRÉDITO]]</f>
        <v>543471.96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SUMIFS(Tab_05.Mai[SALDO
ATUAL],Tab_05.Mai[CONTA],$I16)</f>
        <v>10569422.82</v>
      </c>
      <c r="G16" s="4">
        <f>$F16-$K16</f>
        <v>-123161.58</v>
      </c>
      <c r="H16" s="3"/>
      <c r="I16" s="3" t="s">
        <v>197</v>
      </c>
      <c r="J16" s="3" t="s">
        <v>247</v>
      </c>
      <c r="K16" s="4">
        <v>10692584.4</v>
      </c>
      <c r="L16" s="4">
        <v>1367949.52</v>
      </c>
      <c r="M16" s="4">
        <v>1157973.3999999999</v>
      </c>
      <c r="N16" s="4">
        <v>10902560.52</v>
      </c>
      <c r="O16" s="4">
        <f>Tab_06.Jun[[#This Row],[DÉBITO]]-Tab_06.Jun[[#This Row],[CRÉDITO]]</f>
        <v>209976.12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SUMIFS(Tab_05.Mai[SALDO
ATUAL],Tab_05.Mai[CONTA],$I17)</f>
        <v>10375003.17</v>
      </c>
      <c r="G17" s="4">
        <f>$F17-$K17</f>
        <v>-104518.96</v>
      </c>
      <c r="H17" s="3"/>
      <c r="I17" s="3" t="s">
        <v>199</v>
      </c>
      <c r="J17" s="3" t="s">
        <v>638</v>
      </c>
      <c r="K17" s="4">
        <v>10479522.130000001</v>
      </c>
      <c r="L17" s="4">
        <v>1363445.51</v>
      </c>
      <c r="M17" s="4">
        <v>1134240.29</v>
      </c>
      <c r="N17" s="4">
        <v>10708727.35</v>
      </c>
      <c r="O17" s="4">
        <f>Tab_06.Jun[[#This Row],[DÉBITO]]-Tab_06.Jun[[#This Row],[CRÉDITO]]</f>
        <v>229205.22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SUMIFS(Tab_05.Mai[SALDO
ATUAL],Tab_05.Mai[CONTA],$I18)</f>
        <v>2541.83</v>
      </c>
      <c r="G18" s="4">
        <f t="shared" ref="G18:G49" si="2">$F18-$K18</f>
        <v>391.27</v>
      </c>
      <c r="I18" s="3" t="s">
        <v>201</v>
      </c>
      <c r="J18" s="3" t="s">
        <v>639</v>
      </c>
      <c r="K18" s="4">
        <v>2150.56</v>
      </c>
      <c r="L18" s="4">
        <v>0</v>
      </c>
      <c r="M18" s="4">
        <v>906.62</v>
      </c>
      <c r="N18" s="4">
        <v>1243.94</v>
      </c>
      <c r="O18" s="4">
        <f>Tab_06.Jun[[#This Row],[DÉBITO]]-Tab_06.Jun[[#This Row],[CRÉDITO]]</f>
        <v>-906.62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SUMIFS(Tab_05.Mai[SALDO
ATUAL],Tab_05.Mai[CONTA],$I19)</f>
        <v>2541.83</v>
      </c>
      <c r="G19" s="4">
        <f t="shared" si="2"/>
        <v>391.27</v>
      </c>
      <c r="I19" s="3" t="s">
        <v>176</v>
      </c>
      <c r="J19" s="3" t="s">
        <v>274</v>
      </c>
      <c r="K19" s="4">
        <v>2150.56</v>
      </c>
      <c r="L19" s="4">
        <v>0</v>
      </c>
      <c r="M19" s="4">
        <v>906.62</v>
      </c>
      <c r="N19" s="4">
        <v>1243.94</v>
      </c>
      <c r="O19" s="4">
        <f>Tab_06.Jun[[#This Row],[DÉBITO]]-Tab_06.Jun[[#This Row],[CRÉDITO]]</f>
        <v>-906.62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SUMIFS(Tab_05.Mai[SALDO
ATUAL],Tab_05.Mai[CONTA],$I20)</f>
        <v>8425.98</v>
      </c>
      <c r="G20" s="4">
        <f t="shared" si="2"/>
        <v>-17284.810000000001</v>
      </c>
      <c r="I20" s="3" t="s">
        <v>202</v>
      </c>
      <c r="J20" s="3" t="s">
        <v>640</v>
      </c>
      <c r="K20" s="4">
        <v>25710.79</v>
      </c>
      <c r="L20" s="4">
        <v>824741.99</v>
      </c>
      <c r="M20" s="4">
        <v>827945.76</v>
      </c>
      <c r="N20" s="4">
        <v>22507.02</v>
      </c>
      <c r="O20" s="4">
        <f>Tab_06.Jun[[#This Row],[DÉBITO]]-Tab_06.Jun[[#This Row],[CRÉDITO]]</f>
        <v>-3203.77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SUMIFS(Tab_05.Mai[SALDO
ATUAL],Tab_05.Mai[CONTA],$I21)</f>
        <v>1</v>
      </c>
      <c r="G21" s="4">
        <f t="shared" si="2"/>
        <v>-0.01</v>
      </c>
      <c r="I21" s="3" t="s">
        <v>277</v>
      </c>
      <c r="J21" s="3" t="s">
        <v>278</v>
      </c>
      <c r="K21" s="4">
        <v>1.01</v>
      </c>
      <c r="L21" s="4">
        <v>816998.19</v>
      </c>
      <c r="M21" s="4">
        <v>816998.19</v>
      </c>
      <c r="N21" s="4">
        <v>1.01</v>
      </c>
      <c r="O21" s="4">
        <f>Tab_06.Jun[[#This Row],[DÉBITO]]-Tab_06.Jun[[#This Row],[CRÉDITO]]</f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SUMIFS(Tab_05.Mai[SALDO
ATUAL],Tab_05.Mai[CONTA],$I22)</f>
        <v>681.2</v>
      </c>
      <c r="G22" s="4">
        <f t="shared" si="2"/>
        <v>-17550.8</v>
      </c>
      <c r="I22" s="3" t="s">
        <v>177</v>
      </c>
      <c r="J22" s="3" t="s">
        <v>279</v>
      </c>
      <c r="K22" s="4">
        <v>18232</v>
      </c>
      <c r="L22" s="4">
        <v>7693.8</v>
      </c>
      <c r="M22" s="4">
        <v>7841.07</v>
      </c>
      <c r="N22" s="4">
        <v>18084.73</v>
      </c>
      <c r="O22" s="4">
        <f>Tab_06.Jun[[#This Row],[DÉBITO]]-Tab_06.Jun[[#This Row],[CRÉDITO]]</f>
        <v>-147.27000000000001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SUMIFS(Tab_05.Mai[SALDO
ATUAL],Tab_05.Mai[CONTA],$I23)</f>
        <v>7743.78</v>
      </c>
      <c r="G23" s="4">
        <f t="shared" si="2"/>
        <v>266</v>
      </c>
      <c r="I23" s="3" t="s">
        <v>280</v>
      </c>
      <c r="J23" s="3" t="s">
        <v>281</v>
      </c>
      <c r="K23" s="4">
        <v>7477.78</v>
      </c>
      <c r="L23" s="4">
        <v>50</v>
      </c>
      <c r="M23" s="4">
        <v>3106.5</v>
      </c>
      <c r="N23" s="4">
        <v>4421.28</v>
      </c>
      <c r="O23" s="4">
        <f>Tab_06.Jun[[#This Row],[DÉBITO]]-Tab_06.Jun[[#This Row],[CRÉDITO]]</f>
        <v>-3056.5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SUMIFS(Tab_05.Mai[SALDO
ATUAL],Tab_05.Mai[CONTA],$I24)</f>
        <v>10364035.359999999</v>
      </c>
      <c r="G24" s="4">
        <f t="shared" si="2"/>
        <v>-87625.42</v>
      </c>
      <c r="I24" s="3" t="s">
        <v>203</v>
      </c>
      <c r="J24" s="3" t="s">
        <v>641</v>
      </c>
      <c r="K24" s="4">
        <v>10451660.779999999</v>
      </c>
      <c r="L24" s="4">
        <v>538703.52</v>
      </c>
      <c r="M24" s="4">
        <v>305387.90999999997</v>
      </c>
      <c r="N24" s="4">
        <v>10684976.390000001</v>
      </c>
      <c r="O24" s="4">
        <f>Tab_06.Jun[[#This Row],[DÉBITO]]-Tab_06.Jun[[#This Row],[CRÉDITO]]</f>
        <v>233315.61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SUMIFS(Tab_05.Mai[SALDO
ATUAL],Tab_05.Mai[CONTA],$I25)</f>
        <v>4747498.4400000004</v>
      </c>
      <c r="G25" s="4">
        <f t="shared" si="2"/>
        <v>-3852.99</v>
      </c>
      <c r="I25" s="3" t="s">
        <v>178</v>
      </c>
      <c r="J25" s="3" t="s">
        <v>284</v>
      </c>
      <c r="K25" s="4">
        <v>4751351.43</v>
      </c>
      <c r="L25" s="4">
        <v>487831.92</v>
      </c>
      <c r="M25" s="4">
        <v>305387.90999999997</v>
      </c>
      <c r="N25" s="4">
        <v>4933795.4400000004</v>
      </c>
      <c r="O25" s="4">
        <f>Tab_06.Jun[[#This Row],[DÉBITO]]-Tab_06.Jun[[#This Row],[CRÉDITO]]</f>
        <v>182444.01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SUMIFS(Tab_05.Mai[SALDO
ATUAL],Tab_05.Mai[CONTA],$I26)</f>
        <v>5616536.9199999999</v>
      </c>
      <c r="G26" s="4">
        <f t="shared" si="2"/>
        <v>-83772.429999999993</v>
      </c>
      <c r="I26" s="3" t="s">
        <v>287</v>
      </c>
      <c r="J26" s="3" t="s">
        <v>288</v>
      </c>
      <c r="K26" s="4">
        <v>5700309.3499999996</v>
      </c>
      <c r="L26" s="4">
        <v>50871.6</v>
      </c>
      <c r="M26" s="4">
        <v>0</v>
      </c>
      <c r="N26" s="4">
        <v>5751180.9500000002</v>
      </c>
      <c r="O26" s="4">
        <f>Tab_06.Jun[[#This Row],[DÉBITO]]-Tab_06.Jun[[#This Row],[CRÉDITO]]</f>
        <v>50871.6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SUMIFS(Tab_05.Mai[SALDO
ATUAL],Tab_05.Mai[CONTA],$I27)</f>
        <v>99274.97</v>
      </c>
      <c r="G27" s="4">
        <f t="shared" si="2"/>
        <v>0</v>
      </c>
      <c r="I27" s="3" t="s">
        <v>204</v>
      </c>
      <c r="J27" s="3" t="s">
        <v>642</v>
      </c>
      <c r="K27" s="4">
        <v>99274.97</v>
      </c>
      <c r="L27" s="4">
        <v>50</v>
      </c>
      <c r="M27" s="4">
        <v>50</v>
      </c>
      <c r="N27" s="4">
        <v>99274.97</v>
      </c>
      <c r="O27" s="4">
        <f>Tab_06.Jun[[#This Row],[DÉBITO]]-Tab_06.Jun[[#This Row],[CRÉDITO]]</f>
        <v>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SUMIFS(Tab_05.Mai[SALDO
ATUAL],Tab_05.Mai[CONTA],$I28)</f>
        <v>99274.97</v>
      </c>
      <c r="G28" s="4">
        <f t="shared" si="2"/>
        <v>0</v>
      </c>
      <c r="I28" s="3" t="s">
        <v>205</v>
      </c>
      <c r="J28" s="3" t="s">
        <v>643</v>
      </c>
      <c r="K28" s="4">
        <v>99274.97</v>
      </c>
      <c r="L28" s="4">
        <v>50</v>
      </c>
      <c r="M28" s="4">
        <v>50</v>
      </c>
      <c r="N28" s="4">
        <v>99274.97</v>
      </c>
      <c r="O28" s="4">
        <f>Tab_06.Jun[[#This Row],[DÉBITO]]-Tab_06.Jun[[#This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SUMIFS(Tab_05.Mai[SALDO
ATUAL],Tab_05.Mai[CONTA],$I29)</f>
        <v>99274.97</v>
      </c>
      <c r="G29" s="4">
        <f t="shared" si="2"/>
        <v>0</v>
      </c>
      <c r="I29" s="3" t="s">
        <v>291</v>
      </c>
      <c r="J29" s="3" t="s">
        <v>292</v>
      </c>
      <c r="K29" s="4">
        <v>99274.97</v>
      </c>
      <c r="L29" s="4">
        <v>50</v>
      </c>
      <c r="M29" s="4">
        <v>50</v>
      </c>
      <c r="N29" s="4">
        <v>99274.97</v>
      </c>
      <c r="O29" s="4">
        <f>Tab_06.Jun[[#This Row],[DÉBITO]]-Tab_06.Jun[[#This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SUMIFS(Tab_05.Mai[SALDO
ATUAL],Tab_05.Mai[CONTA],$I30)</f>
        <v>15224.77</v>
      </c>
      <c r="G30" s="4">
        <f t="shared" si="2"/>
        <v>-18930.36</v>
      </c>
      <c r="I30" s="3" t="s">
        <v>206</v>
      </c>
      <c r="J30" s="3" t="s">
        <v>644</v>
      </c>
      <c r="K30" s="4">
        <v>34155.129999999997</v>
      </c>
      <c r="L30" s="4">
        <v>4454.01</v>
      </c>
      <c r="M30" s="4">
        <v>23395.37</v>
      </c>
      <c r="N30" s="4">
        <v>15213.77</v>
      </c>
      <c r="O30" s="4">
        <f>Tab_06.Jun[[#This Row],[DÉBITO]]-Tab_06.Jun[[#This Row],[CRÉDITO]]</f>
        <v>-18941.36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SUMIFS(Tab_05.Mai[SALDO
ATUAL],Tab_05.Mai[CONTA],$I31)</f>
        <v>0</v>
      </c>
      <c r="G31" s="4">
        <f t="shared" si="2"/>
        <v>-18930.36</v>
      </c>
      <c r="I31" s="3" t="s">
        <v>208</v>
      </c>
      <c r="J31" s="3" t="s">
        <v>139</v>
      </c>
      <c r="K31" s="4">
        <v>18930.36</v>
      </c>
      <c r="L31" s="4">
        <v>4454.01</v>
      </c>
      <c r="M31" s="4">
        <v>23384.37</v>
      </c>
      <c r="N31" s="4">
        <v>0</v>
      </c>
      <c r="O31" s="4">
        <f>Tab_06.Jun[[#This Row],[DÉBITO]]-Tab_06.Jun[[#This Row],[CRÉDITO]]</f>
        <v>-18930.36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SUMIFS(Tab_05.Mai[SALDO
ATUAL],Tab_05.Mai[CONTA],$I32)</f>
        <v>0</v>
      </c>
      <c r="G32" s="4">
        <f t="shared" si="2"/>
        <v>-18930.36</v>
      </c>
      <c r="I32" s="3" t="s">
        <v>294</v>
      </c>
      <c r="J32" s="3" t="s">
        <v>295</v>
      </c>
      <c r="K32" s="4">
        <v>18930.36</v>
      </c>
      <c r="L32" s="4">
        <v>4454.01</v>
      </c>
      <c r="M32" s="4">
        <v>23384.37</v>
      </c>
      <c r="N32" s="4">
        <v>0</v>
      </c>
      <c r="O32" s="4">
        <f>Tab_06.Jun[[#This Row],[DÉBITO]]-Tab_06.Jun[[#This Row],[CRÉDITO]]</f>
        <v>-18930.36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SUMIFS(Tab_05.Mai[SALDO
ATUAL],Tab_05.Mai[CONTA],$I33)</f>
        <v>15224.77</v>
      </c>
      <c r="G33" s="4">
        <f t="shared" si="2"/>
        <v>0</v>
      </c>
      <c r="I33" s="3" t="s">
        <v>551</v>
      </c>
      <c r="J33" s="3" t="s">
        <v>645</v>
      </c>
      <c r="K33" s="4">
        <v>15224.77</v>
      </c>
      <c r="L33" s="4">
        <v>0</v>
      </c>
      <c r="M33" s="4">
        <v>11</v>
      </c>
      <c r="N33" s="4">
        <v>15213.77</v>
      </c>
      <c r="O33" s="4">
        <f>Tab_06.Jun[[#This Row],[DÉBITO]]-Tab_06.Jun[[#This Row],[CRÉDITO]]</f>
        <v>-11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SUMIFS(Tab_05.Mai[SALDO
ATUAL],Tab_05.Mai[CONTA],$I34)</f>
        <v>15224.77</v>
      </c>
      <c r="G34" s="4">
        <f t="shared" si="2"/>
        <v>0</v>
      </c>
      <c r="I34" s="3" t="s">
        <v>837</v>
      </c>
      <c r="J34" s="3" t="s">
        <v>838</v>
      </c>
      <c r="K34" s="4">
        <v>15224.77</v>
      </c>
      <c r="L34" s="4">
        <v>0</v>
      </c>
      <c r="M34" s="4">
        <v>11</v>
      </c>
      <c r="N34" s="4">
        <v>15213.77</v>
      </c>
      <c r="O34" s="4">
        <f>Tab_06.Jun[[#This Row],[DÉBITO]]-Tab_06.Jun[[#This Row],[CRÉDITO]]</f>
        <v>-11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SUMIFS(Tab_05.Mai[SALDO
ATUAL],Tab_05.Mai[CONTA],$I35)</f>
        <v>78781.539999999994</v>
      </c>
      <c r="G35" s="4">
        <f t="shared" si="2"/>
        <v>0</v>
      </c>
      <c r="I35" s="3" t="s">
        <v>846</v>
      </c>
      <c r="J35" s="3" t="s">
        <v>847</v>
      </c>
      <c r="K35" s="4">
        <v>78781.539999999994</v>
      </c>
      <c r="L35" s="4">
        <v>0</v>
      </c>
      <c r="M35" s="4">
        <v>0</v>
      </c>
      <c r="N35" s="4">
        <v>78781.539999999994</v>
      </c>
      <c r="O35" s="4">
        <f>Tab_06.Jun[[#This Row],[DÉBITO]]-Tab_06.Jun[[#This Row],[CRÉDITO]]</f>
        <v>0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SUMIFS(Tab_05.Mai[SALDO
ATUAL],Tab_05.Mai[CONTA],$I36)</f>
        <v>78781.539999999994</v>
      </c>
      <c r="G36" s="4">
        <f t="shared" si="2"/>
        <v>0</v>
      </c>
      <c r="I36" s="3" t="s">
        <v>848</v>
      </c>
      <c r="J36" s="3" t="s">
        <v>849</v>
      </c>
      <c r="K36" s="4">
        <v>78781.539999999994</v>
      </c>
      <c r="L36" s="4">
        <v>0</v>
      </c>
      <c r="M36" s="4">
        <v>0</v>
      </c>
      <c r="N36" s="4">
        <v>78781.539999999994</v>
      </c>
      <c r="O36" s="4">
        <f>Tab_06.Jun[[#This Row],[DÉBITO]]-Tab_06.Jun[[#This Row],[CRÉDITO]]</f>
        <v>0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SUMIFS(Tab_05.Mai[SALDO
ATUAL],Tab_05.Mai[CONTA],$I37)</f>
        <v>78781.539999999994</v>
      </c>
      <c r="G37" s="4">
        <f t="shared" si="2"/>
        <v>0</v>
      </c>
      <c r="I37" s="3" t="s">
        <v>850</v>
      </c>
      <c r="J37" s="3" t="s">
        <v>849</v>
      </c>
      <c r="K37" s="4">
        <v>78781.539999999994</v>
      </c>
      <c r="L37" s="4">
        <v>0</v>
      </c>
      <c r="M37" s="4">
        <v>0</v>
      </c>
      <c r="N37" s="4">
        <v>78781.539999999994</v>
      </c>
      <c r="O37" s="4">
        <f>Tab_06.Jun[[#This Row],[DÉBITO]]-Tab_06.Jun[[#This Row],[CRÉDITO]]</f>
        <v>0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SUMIFS(Tab_05.Mai[SALDO
ATUAL],Tab_05.Mai[CONTA],$I38)</f>
        <v>1138.3699999999999</v>
      </c>
      <c r="G38" s="4">
        <f t="shared" si="2"/>
        <v>287.74</v>
      </c>
      <c r="I38" s="3" t="s">
        <v>209</v>
      </c>
      <c r="J38" s="3" t="s">
        <v>646</v>
      </c>
      <c r="K38" s="4">
        <v>850.63</v>
      </c>
      <c r="L38" s="4">
        <v>0</v>
      </c>
      <c r="M38" s="4">
        <v>287.74</v>
      </c>
      <c r="N38" s="4">
        <v>562.89</v>
      </c>
      <c r="O38" s="4">
        <f>Tab_06.Jun[[#This Row],[DÉBITO]]-Tab_06.Jun[[#This Row],[CRÉDITO]]</f>
        <v>-287.74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S</v>
      </c>
      <c r="E39" s="2">
        <f>IF($I39="","",COUNTIFS(Tab_00.Trial[CONTA],$I39))</f>
        <v>1</v>
      </c>
      <c r="F39" s="4">
        <f>SUMIFS(Tab_05.Mai[SALDO
ATUAL],Tab_05.Mai[CONTA],$I39)</f>
        <v>1138.3699999999999</v>
      </c>
      <c r="G39" s="4">
        <f t="shared" si="2"/>
        <v>287.74</v>
      </c>
      <c r="I39" s="3" t="s">
        <v>210</v>
      </c>
      <c r="J39" s="3" t="s">
        <v>646</v>
      </c>
      <c r="K39" s="4">
        <v>850.63</v>
      </c>
      <c r="L39" s="4">
        <v>0</v>
      </c>
      <c r="M39" s="4">
        <v>287.74</v>
      </c>
      <c r="N39" s="4">
        <v>562.89</v>
      </c>
      <c r="O39" s="4">
        <f>Tab_06.Jun[[#This Row],[DÉBITO]]-Tab_06.Jun[[#This Row],[CRÉDITO]]</f>
        <v>-287.74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A</v>
      </c>
      <c r="E40" s="2">
        <f>IF($I40="","",COUNTIFS(Tab_00.Trial[CONTA],$I40))</f>
        <v>1</v>
      </c>
      <c r="F40" s="4">
        <f>SUMIFS(Tab_05.Mai[SALDO
ATUAL],Tab_05.Mai[CONTA],$I40)</f>
        <v>1138.3699999999999</v>
      </c>
      <c r="G40" s="4">
        <f t="shared" si="2"/>
        <v>287.74</v>
      </c>
      <c r="I40" s="3" t="s">
        <v>298</v>
      </c>
      <c r="J40" s="3" t="s">
        <v>299</v>
      </c>
      <c r="K40" s="4">
        <v>850.63</v>
      </c>
      <c r="L40" s="4">
        <v>0</v>
      </c>
      <c r="M40" s="4">
        <v>287.74</v>
      </c>
      <c r="N40" s="4">
        <v>562.89</v>
      </c>
      <c r="O40" s="4">
        <f>Tab_06.Jun[[#This Row],[DÉBITO]]-Tab_06.Jun[[#This Row],[CRÉDITO]]</f>
        <v>-287.74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2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SUMIFS(Tab_05.Mai[SALDO
ATUAL],Tab_05.Mai[CONTA],$I41)</f>
        <v>73149210.859999999</v>
      </c>
      <c r="G41" s="4">
        <f t="shared" si="2"/>
        <v>-116065.8</v>
      </c>
      <c r="I41" s="3" t="s">
        <v>211</v>
      </c>
      <c r="J41" s="3" t="s">
        <v>76</v>
      </c>
      <c r="K41" s="4">
        <v>73265276.659999996</v>
      </c>
      <c r="L41" s="4">
        <v>337162.59</v>
      </c>
      <c r="M41" s="4">
        <v>3666.75</v>
      </c>
      <c r="N41" s="4">
        <v>73598772.5</v>
      </c>
      <c r="O41" s="4">
        <f>Tab_06.Jun[[#This Row],[DÉBITO]]-Tab_06.Jun[[#This Row],[CRÉDITO]]</f>
        <v>333495.84000000003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SUMIFS(Tab_05.Mai[SALDO
ATUAL],Tab_05.Mai[CONTA],$I42)</f>
        <v>254457.27</v>
      </c>
      <c r="G42" s="4">
        <f t="shared" si="2"/>
        <v>-506.15</v>
      </c>
      <c r="I42" s="3" t="s">
        <v>552</v>
      </c>
      <c r="J42" s="3" t="s">
        <v>647</v>
      </c>
      <c r="K42" s="4">
        <v>254963.42</v>
      </c>
      <c r="L42" s="4">
        <v>322.2</v>
      </c>
      <c r="M42" s="4">
        <v>0</v>
      </c>
      <c r="N42" s="4">
        <v>255285.62</v>
      </c>
      <c r="O42" s="4">
        <f>Tab_06.Jun[[#This Row],[DÉBITO]]-Tab_06.Jun[[#This Row],[CRÉDITO]]</f>
        <v>322.2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SUMIFS(Tab_05.Mai[SALDO
ATUAL],Tab_05.Mai[CONTA],$I43)</f>
        <v>254457.27</v>
      </c>
      <c r="G43" s="4">
        <f t="shared" si="2"/>
        <v>-506.15</v>
      </c>
      <c r="I43" s="3" t="s">
        <v>553</v>
      </c>
      <c r="J43" s="3" t="s">
        <v>301</v>
      </c>
      <c r="K43" s="4">
        <v>254963.42</v>
      </c>
      <c r="L43" s="4">
        <v>322.2</v>
      </c>
      <c r="M43" s="4">
        <v>0</v>
      </c>
      <c r="N43" s="4">
        <v>255285.62</v>
      </c>
      <c r="O43" s="4">
        <f>Tab_06.Jun[[#This Row],[DÉBITO]]-Tab_06.Jun[[#This Row],[CRÉDITO]]</f>
        <v>322.2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SUMIFS(Tab_05.Mai[SALDO
ATUAL],Tab_05.Mai[CONTA],$I44)</f>
        <v>254457.27</v>
      </c>
      <c r="G44" s="4">
        <f t="shared" si="2"/>
        <v>-506.15</v>
      </c>
      <c r="I44" s="3" t="s">
        <v>300</v>
      </c>
      <c r="J44" s="3" t="s">
        <v>301</v>
      </c>
      <c r="K44" s="4">
        <v>254963.42</v>
      </c>
      <c r="L44" s="4">
        <v>322.2</v>
      </c>
      <c r="M44" s="4">
        <v>0</v>
      </c>
      <c r="N44" s="4">
        <v>255285.62</v>
      </c>
      <c r="O44" s="4">
        <f>Tab_06.Jun[[#This Row],[DÉBITO]]-Tab_06.Jun[[#This Row],[CRÉDITO]]</f>
        <v>322.2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SUMIFS(Tab_05.Mai[SALDO
ATUAL],Tab_05.Mai[CONTA],$I45)</f>
        <v>70522520.680000007</v>
      </c>
      <c r="G45" s="4">
        <f t="shared" si="2"/>
        <v>-118480</v>
      </c>
      <c r="I45" s="3" t="s">
        <v>554</v>
      </c>
      <c r="J45" s="3" t="s">
        <v>648</v>
      </c>
      <c r="K45" s="4">
        <v>70641000.680000007</v>
      </c>
      <c r="L45" s="4">
        <v>336840.39</v>
      </c>
      <c r="M45" s="4">
        <v>0</v>
      </c>
      <c r="N45" s="4">
        <v>70977841.069999993</v>
      </c>
      <c r="O45" s="4">
        <f>Tab_06.Jun[[#This Row],[DÉBITO]]-Tab_06.Jun[[#This Row],[CRÉDITO]]</f>
        <v>336840.39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SUMIFS(Tab_05.Mai[SALDO
ATUAL],Tab_05.Mai[CONTA],$I46)</f>
        <v>45344232.229999997</v>
      </c>
      <c r="G46" s="4">
        <f t="shared" si="2"/>
        <v>0</v>
      </c>
      <c r="I46" s="3" t="s">
        <v>555</v>
      </c>
      <c r="J46" s="3" t="s">
        <v>649</v>
      </c>
      <c r="K46" s="4">
        <v>45344232.229999997</v>
      </c>
      <c r="L46" s="4">
        <v>0</v>
      </c>
      <c r="M46" s="4">
        <v>0</v>
      </c>
      <c r="N46" s="4">
        <v>45344232.229999997</v>
      </c>
      <c r="O46" s="4">
        <f>Tab_06.Jun[[#This Row],[DÉBITO]]-Tab_06.Jun[[#This Row],[CRÉDITO]]</f>
        <v>0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A</v>
      </c>
      <c r="E47" s="2">
        <f>IF($I47="","",COUNTIFS(Tab_00.Trial[CONTA],$I47))</f>
        <v>1</v>
      </c>
      <c r="F47" s="4">
        <f>SUMIFS(Tab_05.Mai[SALDO
ATUAL],Tab_05.Mai[CONTA],$I47)</f>
        <v>42477392.43</v>
      </c>
      <c r="G47" s="4">
        <f t="shared" si="2"/>
        <v>0</v>
      </c>
      <c r="I47" s="3" t="s">
        <v>302</v>
      </c>
      <c r="J47" s="3" t="s">
        <v>303</v>
      </c>
      <c r="K47" s="4">
        <v>42477392.43</v>
      </c>
      <c r="L47" s="4">
        <v>0</v>
      </c>
      <c r="M47" s="4">
        <v>0</v>
      </c>
      <c r="N47" s="4">
        <v>42477392.43</v>
      </c>
      <c r="O47" s="4">
        <f>Tab_06.Jun[[#This Row],[DÉBITO]]-Tab_06.Jun[[#This Row],[CRÉDITO]]</f>
        <v>0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SUMIFS(Tab_05.Mai[SALDO
ATUAL],Tab_05.Mai[CONTA],$I48)</f>
        <v>2866839.8</v>
      </c>
      <c r="G48" s="4">
        <f t="shared" si="2"/>
        <v>0</v>
      </c>
      <c r="I48" s="3" t="s">
        <v>304</v>
      </c>
      <c r="J48" s="3" t="s">
        <v>305</v>
      </c>
      <c r="K48" s="4">
        <v>2866839.8</v>
      </c>
      <c r="L48" s="4">
        <v>0</v>
      </c>
      <c r="M48" s="4">
        <v>0</v>
      </c>
      <c r="N48" s="4">
        <v>2866839.8</v>
      </c>
      <c r="O48" s="4">
        <f>Tab_06.Jun[[#This Row],[DÉBITO]]-Tab_06.Jun[[#This Row],[CRÉDITO]]</f>
        <v>0</v>
      </c>
    </row>
    <row r="49" spans="2:18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SUMIFS(Tab_05.Mai[SALDO
ATUAL],Tab_05.Mai[CONTA],$I49)</f>
        <v>4760.84</v>
      </c>
      <c r="G49" s="4">
        <f t="shared" si="2"/>
        <v>0</v>
      </c>
      <c r="I49" s="3" t="s">
        <v>556</v>
      </c>
      <c r="J49" s="3" t="s">
        <v>650</v>
      </c>
      <c r="K49" s="4">
        <v>4760.84</v>
      </c>
      <c r="L49" s="4">
        <v>0</v>
      </c>
      <c r="M49" s="4">
        <v>0</v>
      </c>
      <c r="N49" s="4">
        <v>4760.84</v>
      </c>
      <c r="O49" s="4">
        <f>Tab_06.Jun[[#This Row],[DÉBITO]]-Tab_06.Jun[[#This Row],[CRÉDITO]]</f>
        <v>0</v>
      </c>
    </row>
    <row r="50" spans="2:18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SUMIFS(Tab_05.Mai[SALDO
ATUAL],Tab_05.Mai[CONTA],$I50)</f>
        <v>4760.84</v>
      </c>
      <c r="G50" s="4">
        <f t="shared" ref="G50:G81" si="3">$F50-$K50</f>
        <v>0</v>
      </c>
      <c r="I50" s="3" t="s">
        <v>306</v>
      </c>
      <c r="J50" s="3" t="s">
        <v>307</v>
      </c>
      <c r="K50" s="4">
        <v>4760.84</v>
      </c>
      <c r="L50" s="4">
        <v>0</v>
      </c>
      <c r="M50" s="4">
        <v>0</v>
      </c>
      <c r="N50" s="4">
        <v>4760.84</v>
      </c>
      <c r="O50" s="4">
        <f>Tab_06.Jun[[#This Row],[DÉBITO]]-Tab_06.Jun[[#This Row],[CRÉDITO]]</f>
        <v>0</v>
      </c>
    </row>
    <row r="51" spans="2:18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SUMIFS(Tab_05.Mai[SALDO
ATUAL],Tab_05.Mai[CONTA],$I51)</f>
        <v>25173527.609999999</v>
      </c>
      <c r="G51" s="4">
        <f t="shared" si="3"/>
        <v>-118480</v>
      </c>
      <c r="I51" s="3" t="s">
        <v>557</v>
      </c>
      <c r="J51" s="3" t="s">
        <v>309</v>
      </c>
      <c r="K51" s="4">
        <v>25292007.609999999</v>
      </c>
      <c r="L51" s="4">
        <v>336840.39</v>
      </c>
      <c r="M51" s="4">
        <v>0</v>
      </c>
      <c r="N51" s="4">
        <v>25628848</v>
      </c>
      <c r="O51" s="4">
        <f>Tab_06.Jun[[#This Row],[DÉBITO]]-Tab_06.Jun[[#This Row],[CRÉDITO]]</f>
        <v>336840.39</v>
      </c>
    </row>
    <row r="52" spans="2:18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SUMIFS(Tab_05.Mai[SALDO
ATUAL],Tab_05.Mai[CONTA],$I52)</f>
        <v>25173527.609999999</v>
      </c>
      <c r="G52" s="4">
        <f t="shared" si="3"/>
        <v>-118480</v>
      </c>
      <c r="I52" s="3" t="s">
        <v>308</v>
      </c>
      <c r="J52" s="3" t="s">
        <v>309</v>
      </c>
      <c r="K52" s="4">
        <v>25292007.609999999</v>
      </c>
      <c r="L52" s="4">
        <v>336840.39</v>
      </c>
      <c r="M52" s="4">
        <v>0</v>
      </c>
      <c r="N52" s="4">
        <v>25628848</v>
      </c>
      <c r="O52" s="4">
        <f>Tab_06.Jun[[#This Row],[DÉBITO]]-Tab_06.Jun[[#This Row],[CRÉDITO]]</f>
        <v>336840.39</v>
      </c>
    </row>
    <row r="53" spans="2:18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SUMIFS(Tab_05.Mai[SALDO
ATUAL],Tab_05.Mai[CONTA],$I53)</f>
        <v>2372232.91</v>
      </c>
      <c r="G53" s="4">
        <f t="shared" si="3"/>
        <v>2920.35</v>
      </c>
      <c r="I53" s="3" t="s">
        <v>213</v>
      </c>
      <c r="J53" s="3" t="s">
        <v>35</v>
      </c>
      <c r="K53" s="4">
        <v>2369312.56</v>
      </c>
      <c r="L53" s="4">
        <v>0</v>
      </c>
      <c r="M53" s="4">
        <v>3666.75</v>
      </c>
      <c r="N53" s="4">
        <v>2365645.81</v>
      </c>
      <c r="O53" s="4">
        <f>Tab_06.Jun[[#This Row],[DÉBITO]]-Tab_06.Jun[[#This Row],[CRÉDITO]]</f>
        <v>-3666.75</v>
      </c>
    </row>
    <row r="54" spans="2:18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S</v>
      </c>
      <c r="E54" s="2">
        <f>IF($I54="","",COUNTIFS(Tab_00.Trial[CONTA],$I54))</f>
        <v>1</v>
      </c>
      <c r="F54" s="4">
        <f>SUMIFS(Tab_05.Mai[SALDO
ATUAL],Tab_05.Mai[CONTA],$I54)</f>
        <v>3545621.91</v>
      </c>
      <c r="G54" s="4">
        <f t="shared" si="3"/>
        <v>-746.4</v>
      </c>
      <c r="I54" s="3" t="s">
        <v>214</v>
      </c>
      <c r="J54" s="3" t="s">
        <v>651</v>
      </c>
      <c r="K54" s="4">
        <v>3546368.31</v>
      </c>
      <c r="L54" s="4">
        <v>0</v>
      </c>
      <c r="M54" s="4">
        <v>0</v>
      </c>
      <c r="N54" s="4">
        <v>3546368.31</v>
      </c>
      <c r="O54" s="4">
        <f>Tab_06.Jun[[#This Row],[DÉBITO]]-Tab_06.Jun[[#This Row],[CRÉDITO]]</f>
        <v>0</v>
      </c>
    </row>
    <row r="55" spans="2:18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SUMIFS(Tab_05.Mai[SALDO
ATUAL],Tab_05.Mai[CONTA],$I55)</f>
        <v>1379260.84</v>
      </c>
      <c r="G55" s="4">
        <f t="shared" si="3"/>
        <v>0</v>
      </c>
      <c r="I55" s="3" t="s">
        <v>310</v>
      </c>
      <c r="J55" s="3" t="s">
        <v>311</v>
      </c>
      <c r="K55" s="4">
        <v>1379260.84</v>
      </c>
      <c r="L55" s="4">
        <v>0</v>
      </c>
      <c r="M55" s="4">
        <v>0</v>
      </c>
      <c r="N55" s="4">
        <v>1379260.84</v>
      </c>
      <c r="O55" s="4">
        <f>Tab_06.Jun[[#This Row],[DÉBITO]]-Tab_06.Jun[[#This Row],[CRÉDITO]]</f>
        <v>0</v>
      </c>
    </row>
    <row r="56" spans="2:18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SUMIFS(Tab_05.Mai[SALDO
ATUAL],Tab_05.Mai[CONTA],$I56)</f>
        <v>1290393.8500000001</v>
      </c>
      <c r="G56" s="4">
        <f t="shared" si="3"/>
        <v>-746.4</v>
      </c>
      <c r="I56" s="3" t="s">
        <v>312</v>
      </c>
      <c r="J56" s="3" t="s">
        <v>313</v>
      </c>
      <c r="K56" s="4">
        <v>1291140.25</v>
      </c>
      <c r="L56" s="4">
        <v>0</v>
      </c>
      <c r="M56" s="4">
        <v>0</v>
      </c>
      <c r="N56" s="4">
        <v>1291140.25</v>
      </c>
      <c r="O56" s="4">
        <f>Tab_06.Jun[[#This Row],[DÉBITO]]-Tab_06.Jun[[#This Row],[CRÉDITO]]</f>
        <v>0</v>
      </c>
    </row>
    <row r="57" spans="2:18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SUMIFS(Tab_05.Mai[SALDO
ATUAL],Tab_05.Mai[CONTA],$I57)</f>
        <v>23000</v>
      </c>
      <c r="G57" s="4">
        <f t="shared" si="3"/>
        <v>0</v>
      </c>
      <c r="I57" s="3" t="s">
        <v>181</v>
      </c>
      <c r="J57" s="3" t="s">
        <v>314</v>
      </c>
      <c r="K57" s="4">
        <v>23000</v>
      </c>
      <c r="L57" s="4">
        <v>0</v>
      </c>
      <c r="M57" s="4">
        <v>0</v>
      </c>
      <c r="N57" s="4">
        <v>23000</v>
      </c>
      <c r="O57" s="4">
        <f>Tab_06.Jun[[#This Row],[DÉBITO]]-Tab_06.Jun[[#This Row],[CRÉDITO]]</f>
        <v>0</v>
      </c>
    </row>
    <row r="58" spans="2:18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SUMIFS(Tab_05.Mai[SALDO
ATUAL],Tab_05.Mai[CONTA],$I58)</f>
        <v>12594</v>
      </c>
      <c r="G58" s="4">
        <f t="shared" si="3"/>
        <v>0</v>
      </c>
      <c r="I58" s="3" t="s">
        <v>182</v>
      </c>
      <c r="J58" s="3" t="s">
        <v>315</v>
      </c>
      <c r="K58" s="4">
        <v>12594</v>
      </c>
      <c r="L58" s="4">
        <v>0</v>
      </c>
      <c r="M58" s="4">
        <v>0</v>
      </c>
      <c r="N58" s="4">
        <v>12594</v>
      </c>
      <c r="O58" s="4">
        <f>Tab_06.Jun[[#This Row],[DÉBITO]]-Tab_06.Jun[[#This Row],[CRÉDITO]]</f>
        <v>0</v>
      </c>
      <c r="R58" s="4">
        <f>Tab_06.Jun[[#This Row],[SALDO
ATUAL]]-963595.96</f>
        <v>-951001.96</v>
      </c>
    </row>
    <row r="59" spans="2:18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SUMIFS(Tab_05.Mai[SALDO
ATUAL],Tab_05.Mai[CONTA],$I59)</f>
        <v>224642.85</v>
      </c>
      <c r="G59" s="4">
        <f t="shared" si="3"/>
        <v>0</v>
      </c>
      <c r="I59" s="3" t="s">
        <v>183</v>
      </c>
      <c r="J59" s="3" t="s">
        <v>316</v>
      </c>
      <c r="K59" s="4">
        <v>224642.85</v>
      </c>
      <c r="L59" s="4">
        <v>0</v>
      </c>
      <c r="M59" s="4">
        <v>0</v>
      </c>
      <c r="N59" s="4">
        <v>224642.85</v>
      </c>
      <c r="O59" s="4">
        <f>Tab_06.Jun[[#This Row],[DÉBITO]]-Tab_06.Jun[[#This Row],[CRÉDITO]]</f>
        <v>0</v>
      </c>
    </row>
    <row r="60" spans="2:18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SUMIFS(Tab_05.Mai[SALDO
ATUAL],Tab_05.Mai[CONTA],$I60)</f>
        <v>7349.9</v>
      </c>
      <c r="G60" s="4">
        <f t="shared" si="3"/>
        <v>0</v>
      </c>
      <c r="I60" s="3" t="s">
        <v>317</v>
      </c>
      <c r="J60" s="3" t="s">
        <v>318</v>
      </c>
      <c r="K60" s="4">
        <v>7349.9</v>
      </c>
      <c r="L60" s="4">
        <v>0</v>
      </c>
      <c r="M60" s="4">
        <v>0</v>
      </c>
      <c r="N60" s="4">
        <v>7349.9</v>
      </c>
      <c r="O60" s="4">
        <f>Tab_06.Jun[[#This Row],[DÉBITO]]-Tab_06.Jun[[#This Row],[CRÉDITO]]</f>
        <v>0</v>
      </c>
    </row>
    <row r="61" spans="2:18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SUMIFS(Tab_05.Mai[SALDO
ATUAL],Tab_05.Mai[CONTA],$I61)</f>
        <v>128697.03</v>
      </c>
      <c r="G61" s="4">
        <f t="shared" si="3"/>
        <v>0</v>
      </c>
      <c r="I61" s="3" t="s">
        <v>184</v>
      </c>
      <c r="J61" s="3" t="s">
        <v>319</v>
      </c>
      <c r="K61" s="4">
        <v>128697.03</v>
      </c>
      <c r="L61" s="4">
        <v>0</v>
      </c>
      <c r="M61" s="4">
        <v>0</v>
      </c>
      <c r="N61" s="4">
        <v>128697.03</v>
      </c>
      <c r="O61" s="4">
        <f>Tab_06.Jun[[#This Row],[DÉBITO]]-Tab_06.Jun[[#This Row],[CRÉDITO]]</f>
        <v>0</v>
      </c>
    </row>
    <row r="62" spans="2:18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SUMIFS(Tab_05.Mai[SALDO
ATUAL],Tab_05.Mai[CONTA],$I62)</f>
        <v>15029.74</v>
      </c>
      <c r="G62" s="4">
        <f t="shared" si="3"/>
        <v>0</v>
      </c>
      <c r="I62" s="3" t="s">
        <v>185</v>
      </c>
      <c r="J62" s="3" t="s">
        <v>320</v>
      </c>
      <c r="K62" s="4">
        <v>15029.74</v>
      </c>
      <c r="L62" s="4">
        <v>0</v>
      </c>
      <c r="M62" s="4">
        <v>0</v>
      </c>
      <c r="N62" s="4">
        <v>15029.74</v>
      </c>
      <c r="O62" s="4">
        <f>Tab_06.Jun[[#This Row],[DÉBITO]]-Tab_06.Jun[[#This Row],[CRÉDITO]]</f>
        <v>0</v>
      </c>
    </row>
    <row r="63" spans="2:18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SUMIFS(Tab_05.Mai[SALDO
ATUAL],Tab_05.Mai[CONTA],$I63)</f>
        <v>464653.7</v>
      </c>
      <c r="G63" s="4">
        <f t="shared" si="3"/>
        <v>0</v>
      </c>
      <c r="I63" s="3" t="s">
        <v>321</v>
      </c>
      <c r="J63" s="3" t="s">
        <v>322</v>
      </c>
      <c r="K63" s="4">
        <v>464653.7</v>
      </c>
      <c r="L63" s="4">
        <v>0</v>
      </c>
      <c r="M63" s="4">
        <v>0</v>
      </c>
      <c r="N63" s="4">
        <v>464653.7</v>
      </c>
      <c r="O63" s="4">
        <f>Tab_06.Jun[[#This Row],[DÉBITO]]-Tab_06.Jun[[#This Row],[CRÉDITO]]</f>
        <v>0</v>
      </c>
    </row>
    <row r="64" spans="2:18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S</v>
      </c>
      <c r="E64" s="2">
        <f>IF($I64="","",COUNTIFS(Tab_00.Trial[CONTA],$I64))</f>
        <v>1</v>
      </c>
      <c r="F64" s="4">
        <f>SUMIFS(Tab_05.Mai[SALDO
ATUAL],Tab_05.Mai[CONTA],$I64)</f>
        <v>-1173389</v>
      </c>
      <c r="G64" s="4">
        <f t="shared" si="3"/>
        <v>3666.75</v>
      </c>
      <c r="I64" s="3" t="s">
        <v>215</v>
      </c>
      <c r="J64" s="3" t="s">
        <v>652</v>
      </c>
      <c r="K64" s="4">
        <v>-1177055.75</v>
      </c>
      <c r="L64" s="4">
        <v>0</v>
      </c>
      <c r="M64" s="4">
        <v>3666.75</v>
      </c>
      <c r="N64" s="4">
        <v>-1180722.5</v>
      </c>
      <c r="O64" s="4">
        <f>Tab_06.Jun[[#This Row],[DÉBITO]]-Tab_06.Jun[[#This Row],[CRÉDITO]]</f>
        <v>-3666.75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SUMIFS(Tab_05.Mai[SALDO
ATUAL],Tab_05.Mai[CONTA],$I65)</f>
        <v>-661868.68999999994</v>
      </c>
      <c r="G65" s="4">
        <f t="shared" si="3"/>
        <v>2997.93</v>
      </c>
      <c r="I65" s="3" t="s">
        <v>186</v>
      </c>
      <c r="J65" s="3" t="s">
        <v>313</v>
      </c>
      <c r="K65" s="4">
        <v>-664866.62</v>
      </c>
      <c r="L65" s="4">
        <v>0</v>
      </c>
      <c r="M65" s="4">
        <v>2997.93</v>
      </c>
      <c r="N65" s="4">
        <v>-667864.55000000005</v>
      </c>
      <c r="O65" s="4">
        <f>Tab_06.Jun[[#This Row],[DÉBITO]]-Tab_06.Jun[[#This Row],[CRÉDITO]]</f>
        <v>-2997.93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SUMIFS(Tab_05.Mai[SALDO
ATUAL],Tab_05.Mai[CONTA],$I66)</f>
        <v>-17825.28</v>
      </c>
      <c r="G66" s="4">
        <f t="shared" si="3"/>
        <v>191.67</v>
      </c>
      <c r="I66" s="3" t="s">
        <v>187</v>
      </c>
      <c r="J66" s="3" t="s">
        <v>314</v>
      </c>
      <c r="K66" s="4">
        <v>-18016.95</v>
      </c>
      <c r="L66" s="4">
        <v>0</v>
      </c>
      <c r="M66" s="4">
        <v>191.67</v>
      </c>
      <c r="N66" s="4">
        <v>-18208.62</v>
      </c>
      <c r="O66" s="4">
        <f>Tab_06.Jun[[#This Row],[DÉBITO]]-Tab_06.Jun[[#This Row],[CRÉDITO]]</f>
        <v>-191.67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SUMIFS(Tab_05.Mai[SALDO
ATUAL],Tab_05.Mai[CONTA],$I67)</f>
        <v>-6578.86</v>
      </c>
      <c r="G67" s="4">
        <f t="shared" si="3"/>
        <v>104.95</v>
      </c>
      <c r="I67" s="3" t="s">
        <v>188</v>
      </c>
      <c r="J67" s="3" t="s">
        <v>315</v>
      </c>
      <c r="K67" s="4">
        <v>-6683.81</v>
      </c>
      <c r="L67" s="4">
        <v>0</v>
      </c>
      <c r="M67" s="4">
        <v>104.95</v>
      </c>
      <c r="N67" s="4">
        <v>-6788.76</v>
      </c>
      <c r="O67" s="4">
        <f>Tab_06.Jun[[#This Row],[DÉBITO]]-Tab_06.Jun[[#This Row],[CRÉDITO]]</f>
        <v>-104.95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SUMIFS(Tab_05.Mai[SALDO
ATUAL],Tab_05.Mai[CONTA],$I68)</f>
        <v>-224642.85</v>
      </c>
      <c r="G68" s="4">
        <f t="shared" si="3"/>
        <v>0</v>
      </c>
      <c r="I68" s="3" t="s">
        <v>189</v>
      </c>
      <c r="J68" s="3" t="s">
        <v>316</v>
      </c>
      <c r="K68" s="4">
        <v>-224642.85</v>
      </c>
      <c r="L68" s="4">
        <v>0</v>
      </c>
      <c r="M68" s="4">
        <v>0</v>
      </c>
      <c r="N68" s="4">
        <v>-224642.85</v>
      </c>
      <c r="O68" s="4">
        <f>Tab_06.Jun[[#This Row],[DÉBITO]]-Tab_06.Jun[[#This Row],[CRÉDITO]]</f>
        <v>0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SUMIFS(Tab_05.Mai[SALDO
ATUAL],Tab_05.Mai[CONTA],$I69)</f>
        <v>-4064.84</v>
      </c>
      <c r="G69" s="4">
        <f t="shared" si="3"/>
        <v>122.2</v>
      </c>
      <c r="I69" s="3" t="s">
        <v>190</v>
      </c>
      <c r="J69" s="3" t="s">
        <v>318</v>
      </c>
      <c r="K69" s="4">
        <v>-4187.04</v>
      </c>
      <c r="L69" s="4">
        <v>0</v>
      </c>
      <c r="M69" s="4">
        <v>122.2</v>
      </c>
      <c r="N69" s="4">
        <v>-4309.24</v>
      </c>
      <c r="O69" s="4">
        <f>Tab_06.Jun[[#This Row],[DÉBITO]]-Tab_06.Jun[[#This Row],[CRÉDITO]]</f>
        <v>-122.2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SUMIFS(Tab_05.Mai[SALDO
ATUAL],Tab_05.Mai[CONTA],$I70)</f>
        <v>-128697.03</v>
      </c>
      <c r="G70" s="4">
        <f t="shared" si="3"/>
        <v>0</v>
      </c>
      <c r="I70" s="3" t="s">
        <v>323</v>
      </c>
      <c r="J70" s="3" t="s">
        <v>319</v>
      </c>
      <c r="K70" s="4">
        <v>-128697.03</v>
      </c>
      <c r="L70" s="4">
        <v>0</v>
      </c>
      <c r="M70" s="4">
        <v>0</v>
      </c>
      <c r="N70" s="4">
        <v>-128697.03</v>
      </c>
      <c r="O70" s="4">
        <f>Tab_06.Jun[[#This Row],[DÉBITO]]-Tab_06.Jun[[#This Row],[CRÉDITO]]</f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SUMIFS(Tab_05.Mai[SALDO
ATUAL],Tab_05.Mai[CONTA],$I71)</f>
        <v>-15029.74</v>
      </c>
      <c r="G71" s="4">
        <f t="shared" si="3"/>
        <v>0</v>
      </c>
      <c r="I71" s="3" t="s">
        <v>324</v>
      </c>
      <c r="J71" s="3" t="s">
        <v>320</v>
      </c>
      <c r="K71" s="4">
        <v>-15029.74</v>
      </c>
      <c r="L71" s="4">
        <v>0</v>
      </c>
      <c r="M71" s="4">
        <v>0</v>
      </c>
      <c r="N71" s="4">
        <v>-15029.74</v>
      </c>
      <c r="O71" s="4">
        <f>Tab_06.Jun[[#This Row],[DÉBITO]]-Tab_06.Jun[[#This Row],[CRÉDITO]]</f>
        <v>0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SUMIFS(Tab_05.Mai[SALDO
ATUAL],Tab_05.Mai[CONTA],$I72)</f>
        <v>-114681.71</v>
      </c>
      <c r="G72" s="4">
        <f t="shared" si="3"/>
        <v>250</v>
      </c>
      <c r="I72" s="3" t="s">
        <v>325</v>
      </c>
      <c r="J72" s="3" t="s">
        <v>322</v>
      </c>
      <c r="K72" s="4">
        <v>-114931.71</v>
      </c>
      <c r="L72" s="4">
        <v>0</v>
      </c>
      <c r="M72" s="4">
        <v>250</v>
      </c>
      <c r="N72" s="4">
        <v>-115181.71</v>
      </c>
      <c r="O72" s="4">
        <f>Tab_06.Jun[[#This Row],[DÉBITO]]-Tab_06.Jun[[#This Row],[CRÉDITO]]</f>
        <v>-250</v>
      </c>
    </row>
    <row r="73" spans="2:15" x14ac:dyDescent="0.3">
      <c r="B73" s="2" t="str">
        <f>_xlfn.XLOOKUP($I73,Tab_00.Trial[CONTA],Tab_00.Trial[TP],"",0,1)</f>
        <v>P</v>
      </c>
      <c r="C73" s="2">
        <f>_xlfn.XLOOKUP($I73,Tab_00.Trial[CONTA],Tab_00.Trial[NV],"",0,1)</f>
        <v>1</v>
      </c>
      <c r="D73" s="2" t="str">
        <f>_xlfn.XLOOKUP($I73,Tab_00.Trial[CONTA],Tab_00.Trial[S/A],"",0,1)</f>
        <v>S</v>
      </c>
      <c r="E73" s="2">
        <f>IF($I73="","",COUNTIFS(Tab_00.Trial[CONTA],$I73))</f>
        <v>1</v>
      </c>
      <c r="F73" s="4">
        <f>SUMIFS(Tab_05.Mai[SALDO
ATUAL],Tab_05.Mai[CONTA],$I73)</f>
        <v>-83326198.370000005</v>
      </c>
      <c r="G73" s="4">
        <f t="shared" si="3"/>
        <v>-112336.62</v>
      </c>
      <c r="I73" s="3">
        <v>2</v>
      </c>
      <c r="J73" s="3" t="s">
        <v>653</v>
      </c>
      <c r="K73" s="4">
        <v>-83213861.75</v>
      </c>
      <c r="L73" s="4">
        <v>408811.77</v>
      </c>
      <c r="M73" s="4">
        <v>543187.61</v>
      </c>
      <c r="N73" s="4">
        <v>-83348237.590000004</v>
      </c>
      <c r="O73" s="4">
        <f>Tab_06.Jun[[#This Row],[DÉBITO]]-Tab_06.Jun[[#This Row],[CRÉDITO]]</f>
        <v>-134375.84</v>
      </c>
    </row>
    <row r="74" spans="2:15" x14ac:dyDescent="0.3">
      <c r="B74" s="2" t="str">
        <f>_xlfn.XLOOKUP($I74,Tab_00.Trial[CONTA],Tab_00.Trial[TP],"",0,1)</f>
        <v>P</v>
      </c>
      <c r="C74" s="2">
        <f>_xlfn.XLOOKUP($I74,Tab_00.Trial[CONTA],Tab_00.Trial[NV],"",0,1)</f>
        <v>2</v>
      </c>
      <c r="D74" s="2" t="str">
        <f>_xlfn.XLOOKUP($I74,Tab_00.Trial[CONTA],Tab_00.Trial[S/A],"",0,1)</f>
        <v>S</v>
      </c>
      <c r="E74" s="2">
        <f>IF($I74="","",COUNTIFS(Tab_00.Trial[CONTA],$I74))</f>
        <v>1</v>
      </c>
      <c r="F74" s="4">
        <f>SUMIFS(Tab_05.Mai[SALDO
ATUAL],Tab_05.Mai[CONTA],$I74)</f>
        <v>-1423733.84</v>
      </c>
      <c r="G74" s="4">
        <f t="shared" si="3"/>
        <v>-112336.62</v>
      </c>
      <c r="I74" s="3" t="s">
        <v>216</v>
      </c>
      <c r="J74" s="3" t="s">
        <v>31</v>
      </c>
      <c r="K74" s="4">
        <v>-1311397.22</v>
      </c>
      <c r="L74" s="4">
        <v>408811.77</v>
      </c>
      <c r="M74" s="4">
        <v>543187.61</v>
      </c>
      <c r="N74" s="4">
        <v>-1445773.06</v>
      </c>
      <c r="O74" s="4">
        <f>Tab_06.Jun[[#This Row],[DÉBITO]]-Tab_06.Jun[[#This Row],[CRÉDITO]]</f>
        <v>-134375.84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5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SUMIFS(Tab_05.Mai[SALDO
ATUAL],Tab_05.Mai[CONTA],$I75)</f>
        <v>-339194.97</v>
      </c>
      <c r="G75" s="4">
        <f t="shared" si="3"/>
        <v>23766.23</v>
      </c>
      <c r="I75" s="3" t="s">
        <v>558</v>
      </c>
      <c r="J75" s="3" t="s">
        <v>654</v>
      </c>
      <c r="K75" s="4">
        <v>-362961.2</v>
      </c>
      <c r="L75" s="4">
        <v>152592.89000000001</v>
      </c>
      <c r="M75" s="4">
        <v>139210.09</v>
      </c>
      <c r="N75" s="4">
        <v>-349578.4</v>
      </c>
      <c r="O75" s="4">
        <f>Tab_06.Jun[[#This Row],[DÉBITO]]-Tab_06.Jun[[#This Row],[CRÉDITO]]</f>
        <v>13382.8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5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SUMIFS(Tab_05.Mai[SALDO
ATUAL],Tab_05.Mai[CONTA],$I76)</f>
        <v>0</v>
      </c>
      <c r="G76" s="4">
        <f t="shared" si="3"/>
        <v>0</v>
      </c>
      <c r="I76" s="3" t="s">
        <v>559</v>
      </c>
      <c r="J76" s="3" t="s">
        <v>655</v>
      </c>
      <c r="K76" s="4">
        <v>0</v>
      </c>
      <c r="L76" s="4">
        <v>64094.879999999997</v>
      </c>
      <c r="M76" s="4">
        <v>64094.879999999997</v>
      </c>
      <c r="N76" s="4">
        <v>0</v>
      </c>
      <c r="O76" s="4">
        <f>Tab_06.Jun[[#This Row],[DÉBITO]]-Tab_06.Jun[[#This Row],[CRÉDITO]]</f>
        <v>0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A</v>
      </c>
      <c r="E77" s="2">
        <f>IF($I77="","",COUNTIFS(Tab_00.Trial[CONTA],$I77))</f>
        <v>1</v>
      </c>
      <c r="F77" s="4">
        <f>SUMIFS(Tab_05.Mai[SALDO
ATUAL],Tab_05.Mai[CONTA],$I77)</f>
        <v>0</v>
      </c>
      <c r="G77" s="4">
        <f t="shared" si="3"/>
        <v>0</v>
      </c>
      <c r="I77" s="3" t="s">
        <v>326</v>
      </c>
      <c r="J77" s="3" t="s">
        <v>327</v>
      </c>
      <c r="K77" s="4">
        <v>0</v>
      </c>
      <c r="L77" s="4">
        <v>62905.75</v>
      </c>
      <c r="M77" s="4">
        <v>62905.75</v>
      </c>
      <c r="N77" s="4">
        <v>0</v>
      </c>
      <c r="O77" s="4">
        <f>Tab_06.Jun[[#This Row],[DÉBITO]]-Tab_06.Jun[[#This Row],[CRÉDITO]]</f>
        <v>0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A</v>
      </c>
      <c r="E78" s="2">
        <f>IF($I78="","",COUNTIFS(Tab_00.Trial[CONTA],$I78))</f>
        <v>1</v>
      </c>
      <c r="F78" s="4">
        <f>SUMIFS(Tab_05.Mai[SALDO
ATUAL],Tab_05.Mai[CONTA],$I78)</f>
        <v>0</v>
      </c>
      <c r="G78" s="4">
        <f t="shared" si="3"/>
        <v>0</v>
      </c>
      <c r="I78" s="3" t="s">
        <v>330</v>
      </c>
      <c r="J78" s="3" t="s">
        <v>331</v>
      </c>
      <c r="K78" s="4">
        <v>0</v>
      </c>
      <c r="L78" s="4">
        <v>1189.1300000000001</v>
      </c>
      <c r="M78" s="4">
        <v>1189.1300000000001</v>
      </c>
      <c r="N78" s="4">
        <v>0</v>
      </c>
      <c r="O78" s="4">
        <f>Tab_06.Jun[[#This Row],[DÉBITO]]-Tab_06.Jun[[#This Row],[CRÉDITO]]</f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SUMIFS(Tab_05.Mai[SALDO
ATUAL],Tab_05.Mai[CONTA],$I79)</f>
        <v>-56606.17</v>
      </c>
      <c r="G79" s="4">
        <f t="shared" si="3"/>
        <v>11610.92</v>
      </c>
      <c r="I79" s="3" t="s">
        <v>560</v>
      </c>
      <c r="J79" s="3" t="s">
        <v>656</v>
      </c>
      <c r="K79" s="4">
        <v>-68217.09</v>
      </c>
      <c r="L79" s="4">
        <v>0</v>
      </c>
      <c r="M79" s="4">
        <v>11609.94</v>
      </c>
      <c r="N79" s="4">
        <v>-79827.03</v>
      </c>
      <c r="O79" s="4">
        <f>Tab_06.Jun[[#This Row],[DÉBITO]]-Tab_06.Jun[[#This Row],[CRÉDITO]]</f>
        <v>-11609.94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SUMIFS(Tab_05.Mai[SALDO
ATUAL],Tab_05.Mai[CONTA],$I80)</f>
        <v>-41683.519999999997</v>
      </c>
      <c r="G80" s="4">
        <f t="shared" si="3"/>
        <v>8550.0499999999993</v>
      </c>
      <c r="I80" s="3" t="s">
        <v>332</v>
      </c>
      <c r="J80" s="3" t="s">
        <v>333</v>
      </c>
      <c r="K80" s="4">
        <v>-50233.57</v>
      </c>
      <c r="L80" s="4">
        <v>0</v>
      </c>
      <c r="M80" s="4">
        <v>8550.02</v>
      </c>
      <c r="N80" s="4">
        <v>-58783.59</v>
      </c>
      <c r="O80" s="4">
        <f>Tab_06.Jun[[#This Row],[DÉBITO]]-Tab_06.Jun[[#This Row],[CRÉDITO]]</f>
        <v>-8550.02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SUMIFS(Tab_05.Mai[SALDO
ATUAL],Tab_05.Mai[CONTA],$I81)</f>
        <v>-3334.64</v>
      </c>
      <c r="G81" s="4">
        <f t="shared" si="3"/>
        <v>683.99</v>
      </c>
      <c r="I81" s="3" t="s">
        <v>784</v>
      </c>
      <c r="J81" s="3" t="s">
        <v>785</v>
      </c>
      <c r="K81" s="4">
        <v>-4018.63</v>
      </c>
      <c r="L81" s="4">
        <v>0</v>
      </c>
      <c r="M81" s="4">
        <v>684</v>
      </c>
      <c r="N81" s="4">
        <v>-4702.63</v>
      </c>
      <c r="O81" s="4">
        <f>Tab_06.Jun[[#This Row],[DÉBITO]]-Tab_06.Jun[[#This Row],[CRÉDITO]]</f>
        <v>-684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SUMIFS(Tab_05.Mai[SALDO
ATUAL],Tab_05.Mai[CONTA],$I82)</f>
        <v>-416.83</v>
      </c>
      <c r="G82" s="4">
        <f t="shared" ref="G82:G113" si="4">$F82-$K82</f>
        <v>85.49</v>
      </c>
      <c r="I82" s="3" t="s">
        <v>786</v>
      </c>
      <c r="J82" s="3" t="s">
        <v>787</v>
      </c>
      <c r="K82" s="4">
        <v>-502.32</v>
      </c>
      <c r="L82" s="4">
        <v>0</v>
      </c>
      <c r="M82" s="4">
        <v>85.49</v>
      </c>
      <c r="N82" s="4">
        <v>-587.80999999999995</v>
      </c>
      <c r="O82" s="4">
        <f>Tab_06.Jun[[#This Row],[DÉBITO]]-Tab_06.Jun[[#This Row],[CRÉDITO]]</f>
        <v>-85.49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SUMIFS(Tab_05.Mai[SALDO
ATUAL],Tab_05.Mai[CONTA],$I83)</f>
        <v>-11171.18</v>
      </c>
      <c r="G83" s="4">
        <f t="shared" si="4"/>
        <v>2291.39</v>
      </c>
      <c r="I83" s="3" t="s">
        <v>788</v>
      </c>
      <c r="J83" s="3" t="s">
        <v>789</v>
      </c>
      <c r="K83" s="4">
        <v>-13462.57</v>
      </c>
      <c r="L83" s="4">
        <v>0</v>
      </c>
      <c r="M83" s="4">
        <v>2290.4299999999998</v>
      </c>
      <c r="N83" s="4">
        <v>-15753</v>
      </c>
      <c r="O83" s="4">
        <f>Tab_06.Jun[[#This Row],[DÉBITO]]-Tab_06.Jun[[#This Row],[CRÉDITO]]</f>
        <v>-2290.4299999999998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S</v>
      </c>
      <c r="E84" s="2">
        <f>IF($I84="","",COUNTIFS(Tab_00.Trial[CONTA],$I84))</f>
        <v>1</v>
      </c>
      <c r="F84" s="4">
        <f>SUMIFS(Tab_05.Mai[SALDO
ATUAL],Tab_05.Mai[CONTA],$I84)</f>
        <v>-236606.97</v>
      </c>
      <c r="G84" s="4">
        <f t="shared" si="4"/>
        <v>15481.32</v>
      </c>
      <c r="I84" s="3" t="s">
        <v>561</v>
      </c>
      <c r="J84" s="3" t="s">
        <v>657</v>
      </c>
      <c r="K84" s="4">
        <v>-252088.29</v>
      </c>
      <c r="L84" s="4">
        <v>41313.24</v>
      </c>
      <c r="M84" s="4">
        <v>15481.24</v>
      </c>
      <c r="N84" s="4">
        <v>-226256.29</v>
      </c>
      <c r="O84" s="4">
        <f>Tab_06.Jun[[#This Row],[DÉBITO]]-Tab_06.Jun[[#This Row],[CRÉDITO]]</f>
        <v>25832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SUMIFS(Tab_05.Mai[SALDO
ATUAL],Tab_05.Mai[CONTA],$I85)</f>
        <v>-174044.7</v>
      </c>
      <c r="G85" s="4">
        <f t="shared" si="4"/>
        <v>11400.06</v>
      </c>
      <c r="I85" s="3" t="s">
        <v>334</v>
      </c>
      <c r="J85" s="3" t="s">
        <v>335</v>
      </c>
      <c r="K85" s="4">
        <v>-185444.76</v>
      </c>
      <c r="L85" s="4">
        <v>30422.13</v>
      </c>
      <c r="M85" s="4">
        <v>11400.03</v>
      </c>
      <c r="N85" s="4">
        <v>-166422.66</v>
      </c>
      <c r="O85" s="4">
        <f>Tab_06.Jun[[#This Row],[DÉBITO]]-Tab_06.Jun[[#This Row],[CRÉDITO]]</f>
        <v>19022.099999999999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SUMIFS(Tab_05.Mai[SALDO
ATUAL],Tab_05.Mai[CONTA],$I86)</f>
        <v>-13923.42</v>
      </c>
      <c r="G86" s="4">
        <f t="shared" si="4"/>
        <v>911.99</v>
      </c>
      <c r="I86" s="3" t="s">
        <v>790</v>
      </c>
      <c r="J86" s="3" t="s">
        <v>791</v>
      </c>
      <c r="K86" s="4">
        <v>-14835.41</v>
      </c>
      <c r="L86" s="4">
        <v>2433.75</v>
      </c>
      <c r="M86" s="4">
        <v>912</v>
      </c>
      <c r="N86" s="4">
        <v>-13313.66</v>
      </c>
      <c r="O86" s="4">
        <f>Tab_06.Jun[[#This Row],[DÉBITO]]-Tab_06.Jun[[#This Row],[CRÉDITO]]</f>
        <v>1521.75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SUMIFS(Tab_05.Mai[SALDO
ATUAL],Tab_05.Mai[CONTA],$I87)</f>
        <v>-1994.85</v>
      </c>
      <c r="G87" s="4">
        <f t="shared" si="4"/>
        <v>114</v>
      </c>
      <c r="I87" s="3" t="s">
        <v>792</v>
      </c>
      <c r="J87" s="3" t="s">
        <v>793</v>
      </c>
      <c r="K87" s="4">
        <v>-2108.85</v>
      </c>
      <c r="L87" s="4">
        <v>304.22000000000003</v>
      </c>
      <c r="M87" s="4">
        <v>114.02</v>
      </c>
      <c r="N87" s="4">
        <v>-1918.65</v>
      </c>
      <c r="O87" s="4">
        <f>Tab_06.Jun[[#This Row],[DÉBITO]]-Tab_06.Jun[[#This Row],[CRÉDITO]]</f>
        <v>190.2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SUMIFS(Tab_05.Mai[SALDO
ATUAL],Tab_05.Mai[CONTA],$I88)</f>
        <v>-46644</v>
      </c>
      <c r="G88" s="4">
        <f t="shared" si="4"/>
        <v>3055.27</v>
      </c>
      <c r="I88" s="3" t="s">
        <v>794</v>
      </c>
      <c r="J88" s="3" t="s">
        <v>795</v>
      </c>
      <c r="K88" s="4">
        <v>-49699.27</v>
      </c>
      <c r="L88" s="4">
        <v>8153.14</v>
      </c>
      <c r="M88" s="4">
        <v>3055.19</v>
      </c>
      <c r="N88" s="4">
        <v>-44601.32</v>
      </c>
      <c r="O88" s="4">
        <f>Tab_06.Jun[[#This Row],[DÉBITO]]-Tab_06.Jun[[#This Row],[CRÉDITO]]</f>
        <v>5097.95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S</v>
      </c>
      <c r="E89" s="2">
        <f>IF($I89="","",COUNTIFS(Tab_00.Trial[CONTA],$I89))</f>
        <v>1</v>
      </c>
      <c r="F89" s="4">
        <f>SUMIFS(Tab_05.Mai[SALDO
ATUAL],Tab_05.Mai[CONTA],$I89)</f>
        <v>-32380.61</v>
      </c>
      <c r="G89" s="4">
        <f t="shared" si="4"/>
        <v>202.44</v>
      </c>
      <c r="I89" s="3" t="s">
        <v>562</v>
      </c>
      <c r="J89" s="3" t="s">
        <v>658</v>
      </c>
      <c r="K89" s="4">
        <v>-32583.05</v>
      </c>
      <c r="L89" s="4">
        <v>37112.01</v>
      </c>
      <c r="M89" s="4">
        <v>37731.47</v>
      </c>
      <c r="N89" s="4">
        <v>-33202.51</v>
      </c>
      <c r="O89" s="4">
        <f>Tab_06.Jun[[#This Row],[DÉBITO]]-Tab_06.Jun[[#This Row],[CRÉDITO]]</f>
        <v>-619.46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SUMIFS(Tab_05.Mai[SALDO
ATUAL],Tab_05.Mai[CONTA],$I90)</f>
        <v>-31867.63</v>
      </c>
      <c r="G90" s="4">
        <f t="shared" si="4"/>
        <v>202.44</v>
      </c>
      <c r="I90" s="3" t="s">
        <v>336</v>
      </c>
      <c r="J90" s="3" t="s">
        <v>337</v>
      </c>
      <c r="K90" s="4">
        <v>-32070.07</v>
      </c>
      <c r="L90" s="4">
        <v>36599.03</v>
      </c>
      <c r="M90" s="4">
        <v>37147.39</v>
      </c>
      <c r="N90" s="4">
        <v>-32618.43</v>
      </c>
      <c r="O90" s="4">
        <f>Tab_06.Jun[[#This Row],[DÉBITO]]-Tab_06.Jun[[#This Row],[CRÉDITO]]</f>
        <v>-548.36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SUMIFS(Tab_05.Mai[SALDO
ATUAL],Tab_05.Mai[CONTA],$I91)</f>
        <v>-512.98</v>
      </c>
      <c r="G91" s="4">
        <f t="shared" si="4"/>
        <v>0</v>
      </c>
      <c r="I91" s="3" t="s">
        <v>338</v>
      </c>
      <c r="J91" s="3" t="s">
        <v>339</v>
      </c>
      <c r="K91" s="4">
        <v>-512.98</v>
      </c>
      <c r="L91" s="4">
        <v>512.98</v>
      </c>
      <c r="M91" s="4">
        <v>584.08000000000004</v>
      </c>
      <c r="N91" s="4">
        <v>-584.08000000000004</v>
      </c>
      <c r="O91" s="4">
        <f>Tab_06.Jun[[#This Row],[DÉBITO]]-Tab_06.Jun[[#This Row],[CRÉDITO]]</f>
        <v>-71.099999999999994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S</v>
      </c>
      <c r="E92" s="2">
        <f>IF($I92="","",COUNTIFS(Tab_00.Trial[CONTA],$I92))</f>
        <v>1</v>
      </c>
      <c r="F92" s="4">
        <f>SUMIFS(Tab_05.Mai[SALDO
ATUAL],Tab_05.Mai[CONTA],$I92)</f>
        <v>-13601.22</v>
      </c>
      <c r="G92" s="4">
        <f t="shared" si="4"/>
        <v>-3528.45</v>
      </c>
      <c r="I92" s="3" t="s">
        <v>563</v>
      </c>
      <c r="J92" s="3" t="s">
        <v>659</v>
      </c>
      <c r="K92" s="4">
        <v>-10072.77</v>
      </c>
      <c r="L92" s="4">
        <v>10072.76</v>
      </c>
      <c r="M92" s="4">
        <v>10292.56</v>
      </c>
      <c r="N92" s="4">
        <v>-10292.57</v>
      </c>
      <c r="O92" s="4">
        <f>Tab_06.Jun[[#This Row],[DÉBITO]]-Tab_06.Jun[[#This Row],[CRÉDITO]]</f>
        <v>-219.8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SUMIFS(Tab_05.Mai[SALDO
ATUAL],Tab_05.Mai[CONTA],$I93)</f>
        <v>-12585.64</v>
      </c>
      <c r="G93" s="4">
        <f t="shared" si="4"/>
        <v>-3542.33</v>
      </c>
      <c r="I93" s="3" t="s">
        <v>340</v>
      </c>
      <c r="J93" s="3" t="s">
        <v>341</v>
      </c>
      <c r="K93" s="4">
        <v>-9043.31</v>
      </c>
      <c r="L93" s="4">
        <v>9043.31</v>
      </c>
      <c r="M93" s="4">
        <v>9187.0499999999993</v>
      </c>
      <c r="N93" s="4">
        <v>-9187.0499999999993</v>
      </c>
      <c r="O93" s="4">
        <f>Tab_06.Jun[[#This Row],[DÉBITO]]-Tab_06.Jun[[#This Row],[CRÉDITO]]</f>
        <v>-143.74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SUMIFS(Tab_05.Mai[SALDO
ATUAL],Tab_05.Mai[CONTA],$I94)</f>
        <v>-1015.58</v>
      </c>
      <c r="G94" s="4">
        <f t="shared" si="4"/>
        <v>13.88</v>
      </c>
      <c r="I94" s="3" t="s">
        <v>342</v>
      </c>
      <c r="J94" s="3" t="s">
        <v>343</v>
      </c>
      <c r="K94" s="4">
        <v>-1029.46</v>
      </c>
      <c r="L94" s="4">
        <v>1029.45</v>
      </c>
      <c r="M94" s="4">
        <v>1105.51</v>
      </c>
      <c r="N94" s="4">
        <v>-1105.52</v>
      </c>
      <c r="O94" s="4">
        <f>Tab_06.Jun[[#This Row],[DÉBITO]]-Tab_06.Jun[[#This Row],[CRÉDITO]]</f>
        <v>-76.06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S</v>
      </c>
      <c r="E95" s="2">
        <f>IF($I95="","",COUNTIFS(Tab_00.Trial[CONTA],$I95))</f>
        <v>1</v>
      </c>
      <c r="F95" s="4">
        <f>SUMIFS(Tab_05.Mai[SALDO
ATUAL],Tab_05.Mai[CONTA],$I95)</f>
        <v>-1040827.89</v>
      </c>
      <c r="G95" s="4">
        <f t="shared" si="4"/>
        <v>-140845.38</v>
      </c>
      <c r="I95" s="3" t="s">
        <v>218</v>
      </c>
      <c r="J95" s="3" t="s">
        <v>660</v>
      </c>
      <c r="K95" s="4">
        <v>-899982.51</v>
      </c>
      <c r="L95" s="4">
        <v>227376.48</v>
      </c>
      <c r="M95" s="4">
        <v>382121.32</v>
      </c>
      <c r="N95" s="4">
        <v>-1054727.3500000001</v>
      </c>
      <c r="O95" s="4">
        <f>Tab_06.Jun[[#This Row],[DÉBITO]]-Tab_06.Jun[[#This Row],[CRÉDITO]]</f>
        <v>-154744.84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SUMIFS(Tab_05.Mai[SALDO
ATUAL],Tab_05.Mai[CONTA],$I96)</f>
        <v>-84531.28</v>
      </c>
      <c r="G96" s="4">
        <f t="shared" si="4"/>
        <v>6410.49</v>
      </c>
      <c r="I96" s="3" t="s">
        <v>219</v>
      </c>
      <c r="J96" s="3" t="s">
        <v>56</v>
      </c>
      <c r="K96" s="4">
        <v>-90941.77</v>
      </c>
      <c r="L96" s="4">
        <v>167684.32999999999</v>
      </c>
      <c r="M96" s="4">
        <v>137155.96</v>
      </c>
      <c r="N96" s="4">
        <v>-60413.4</v>
      </c>
      <c r="O96" s="4">
        <f>Tab_06.Jun[[#This Row],[DÉBITO]]-Tab_06.Jun[[#This Row],[CRÉDITO]]</f>
        <v>30528.37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SUMIFS(Tab_05.Mai[SALDO
ATUAL],Tab_05.Mai[CONTA],$I97)</f>
        <v>-84531.28</v>
      </c>
      <c r="G97" s="4">
        <f t="shared" si="4"/>
        <v>6410.49</v>
      </c>
      <c r="I97" s="3" t="s">
        <v>344</v>
      </c>
      <c r="J97" s="3" t="s">
        <v>56</v>
      </c>
      <c r="K97" s="4">
        <v>-90941.77</v>
      </c>
      <c r="L97" s="4">
        <v>167684.32999999999</v>
      </c>
      <c r="M97" s="4">
        <v>137155.96</v>
      </c>
      <c r="N97" s="4">
        <v>-60413.4</v>
      </c>
      <c r="O97" s="4">
        <f>Tab_06.Jun[[#This Row],[DÉBITO]]-Tab_06.Jun[[#This Row],[CRÉDITO]]</f>
        <v>30528.37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SUMIFS(Tab_05.Mai[SALDO
ATUAL],Tab_05.Mai[CONTA],$I98)</f>
        <v>-956296.61</v>
      </c>
      <c r="G98" s="4">
        <f t="shared" si="4"/>
        <v>-147255.87</v>
      </c>
      <c r="I98" s="3" t="s">
        <v>220</v>
      </c>
      <c r="J98" s="3" t="s">
        <v>346</v>
      </c>
      <c r="K98" s="4">
        <v>-809040.74</v>
      </c>
      <c r="L98" s="4">
        <v>59692.15</v>
      </c>
      <c r="M98" s="4">
        <v>244965.36</v>
      </c>
      <c r="N98" s="4">
        <v>-994313.95</v>
      </c>
      <c r="O98" s="4">
        <f>Tab_06.Jun[[#This Row],[DÉBITO]]-Tab_06.Jun[[#This Row],[CRÉDITO]]</f>
        <v>-185273.21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SUMIFS(Tab_05.Mai[SALDO
ATUAL],Tab_05.Mai[CONTA],$I99)</f>
        <v>-956296.61</v>
      </c>
      <c r="G99" s="4">
        <f t="shared" si="4"/>
        <v>-147255.87</v>
      </c>
      <c r="I99" s="3" t="s">
        <v>345</v>
      </c>
      <c r="J99" s="3" t="s">
        <v>346</v>
      </c>
      <c r="K99" s="4">
        <v>-809040.74</v>
      </c>
      <c r="L99" s="4">
        <v>59692.15</v>
      </c>
      <c r="M99" s="4">
        <v>244965.36</v>
      </c>
      <c r="N99" s="4">
        <v>-994313.95</v>
      </c>
      <c r="O99" s="4">
        <f>Tab_06.Jun[[#This Row],[DÉBITO]]-Tab_06.Jun[[#This Row],[CRÉDITO]]</f>
        <v>-185273.21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SUMIFS(Tab_05.Mai[SALDO
ATUAL],Tab_05.Mai[CONTA],$I100)</f>
        <v>-17388.27</v>
      </c>
      <c r="G100" s="4">
        <f t="shared" si="4"/>
        <v>4691.33</v>
      </c>
      <c r="I100" s="3" t="s">
        <v>221</v>
      </c>
      <c r="J100" s="3" t="s">
        <v>661</v>
      </c>
      <c r="K100" s="4">
        <v>-22079.599999999999</v>
      </c>
      <c r="L100" s="4">
        <v>28166.18</v>
      </c>
      <c r="M100" s="4">
        <v>21349.13</v>
      </c>
      <c r="N100" s="4">
        <v>-15262.55</v>
      </c>
      <c r="O100" s="4">
        <f>Tab_06.Jun[[#This Row],[DÉBITO]]-Tab_06.Jun[[#This Row],[CRÉDITO]]</f>
        <v>6817.05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SUMIFS(Tab_05.Mai[SALDO
ATUAL],Tab_05.Mai[CONTA],$I101)</f>
        <v>-17388.27</v>
      </c>
      <c r="G101" s="4">
        <f t="shared" si="4"/>
        <v>4691.33</v>
      </c>
      <c r="I101" s="3" t="s">
        <v>222</v>
      </c>
      <c r="J101" s="3" t="s">
        <v>662</v>
      </c>
      <c r="K101" s="4">
        <v>-22079.599999999999</v>
      </c>
      <c r="L101" s="4">
        <v>28155.18</v>
      </c>
      <c r="M101" s="4">
        <v>21338.13</v>
      </c>
      <c r="N101" s="4">
        <v>-15262.55</v>
      </c>
      <c r="O101" s="4">
        <f>Tab_06.Jun[[#This Row],[DÉBITO]]-Tab_06.Jun[[#This Row],[CRÉDITO]]</f>
        <v>6817.05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SUMIFS(Tab_05.Mai[SALDO
ATUAL],Tab_05.Mai[CONTA],$I102)</f>
        <v>-417.28</v>
      </c>
      <c r="G102" s="4">
        <f t="shared" si="4"/>
        <v>1194.93</v>
      </c>
      <c r="I102" s="3" t="s">
        <v>191</v>
      </c>
      <c r="J102" s="3" t="s">
        <v>347</v>
      </c>
      <c r="K102" s="4">
        <v>-1612.21</v>
      </c>
      <c r="L102" s="4">
        <v>1778.47</v>
      </c>
      <c r="M102" s="4">
        <v>1050.49</v>
      </c>
      <c r="N102" s="4">
        <v>-884.23</v>
      </c>
      <c r="O102" s="4">
        <f>Tab_06.Jun[[#This Row],[DÉBITO]]-Tab_06.Jun[[#This Row],[CRÉDITO]]</f>
        <v>727.98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SUMIFS(Tab_05.Mai[SALDO
ATUAL],Tab_05.Mai[CONTA],$I103)</f>
        <v>-15450.8</v>
      </c>
      <c r="G103" s="4">
        <f t="shared" si="4"/>
        <v>28.2</v>
      </c>
      <c r="I103" s="3" t="s">
        <v>192</v>
      </c>
      <c r="J103" s="3" t="s">
        <v>348</v>
      </c>
      <c r="K103" s="4">
        <v>-15479</v>
      </c>
      <c r="L103" s="4">
        <v>21207.88</v>
      </c>
      <c r="M103" s="4">
        <v>16715</v>
      </c>
      <c r="N103" s="4">
        <v>-10986.12</v>
      </c>
      <c r="O103" s="4">
        <f>Tab_06.Jun[[#This Row],[DÉBITO]]-Tab_06.Jun[[#This Row],[CRÉDITO]]</f>
        <v>4492.88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SUMIFS(Tab_05.Mai[SALDO
ATUAL],Tab_05.Mai[CONTA],$I104)</f>
        <v>-559.29999999999995</v>
      </c>
      <c r="G104" s="4">
        <f t="shared" si="4"/>
        <v>-224.15</v>
      </c>
      <c r="I104" s="3" t="s">
        <v>264</v>
      </c>
      <c r="J104" s="3" t="s">
        <v>349</v>
      </c>
      <c r="K104" s="4">
        <v>-335.15</v>
      </c>
      <c r="L104" s="4">
        <v>335.15</v>
      </c>
      <c r="M104" s="4">
        <v>0</v>
      </c>
      <c r="N104" s="4">
        <v>0</v>
      </c>
      <c r="O104" s="4">
        <f>Tab_06.Jun[[#This Row],[DÉBITO]]-Tab_06.Jun[[#This Row],[CRÉDITO]]</f>
        <v>335.15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SUMIFS(Tab_05.Mai[SALDO
ATUAL],Tab_05.Mai[CONTA],$I105)</f>
        <v>-938.44</v>
      </c>
      <c r="G105" s="4">
        <f t="shared" si="4"/>
        <v>3692.35</v>
      </c>
      <c r="I105" s="3" t="s">
        <v>350</v>
      </c>
      <c r="J105" s="3" t="s">
        <v>351</v>
      </c>
      <c r="K105" s="4">
        <v>-4630.79</v>
      </c>
      <c r="L105" s="4">
        <v>4822.51</v>
      </c>
      <c r="M105" s="4">
        <v>3561.47</v>
      </c>
      <c r="N105" s="4">
        <v>-3369.75</v>
      </c>
      <c r="O105" s="4">
        <f>Tab_06.Jun[[#This Row],[DÉBITO]]-Tab_06.Jun[[#This Row],[CRÉDITO]]</f>
        <v>1261.04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SUMIFS(Tab_05.Mai[SALDO
ATUAL],Tab_05.Mai[CONTA],$I106)</f>
        <v>-22.45</v>
      </c>
      <c r="G106" s="4">
        <f t="shared" si="4"/>
        <v>0</v>
      </c>
      <c r="I106" s="3" t="s">
        <v>352</v>
      </c>
      <c r="J106" s="3" t="s">
        <v>353</v>
      </c>
      <c r="K106" s="4">
        <v>-22.45</v>
      </c>
      <c r="L106" s="4">
        <v>11.17</v>
      </c>
      <c r="M106" s="4">
        <v>11.17</v>
      </c>
      <c r="N106" s="4">
        <v>-22.45</v>
      </c>
      <c r="O106" s="4">
        <f>Tab_06.Jun[[#This Row],[DÉBITO]]-Tab_06.Jun[[#This Row],[CRÉDITO]]</f>
        <v>0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S</v>
      </c>
      <c r="E107" s="2">
        <f>IF($I107="","",COUNTIFS(Tab_00.Trial[CONTA],$I107))</f>
        <v>1</v>
      </c>
      <c r="F107" s="4">
        <f>SUMIFS(Tab_05.Mai[SALDO
ATUAL],Tab_05.Mai[CONTA],$I107)</f>
        <v>0</v>
      </c>
      <c r="G107" s="4">
        <f t="shared" si="4"/>
        <v>0</v>
      </c>
      <c r="I107" s="3" t="s">
        <v>223</v>
      </c>
      <c r="J107" s="3" t="s">
        <v>663</v>
      </c>
      <c r="K107" s="4">
        <v>0</v>
      </c>
      <c r="L107" s="4">
        <v>11</v>
      </c>
      <c r="M107" s="4">
        <v>11</v>
      </c>
      <c r="N107" s="4">
        <v>0</v>
      </c>
      <c r="O107" s="4">
        <f>Tab_06.Jun[[#This Row],[DÉBITO]]-Tab_06.Jun[[#This Row],[CRÉDITO]]</f>
        <v>0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SUMIFS(Tab_05.Mai[SALDO
ATUAL],Tab_05.Mai[CONTA],$I108)</f>
        <v>0</v>
      </c>
      <c r="G108" s="4">
        <f t="shared" si="4"/>
        <v>0</v>
      </c>
      <c r="I108" s="3" t="s">
        <v>354</v>
      </c>
      <c r="J108" s="3" t="s">
        <v>355</v>
      </c>
      <c r="K108" s="4">
        <v>0</v>
      </c>
      <c r="L108" s="4">
        <v>11</v>
      </c>
      <c r="M108" s="4">
        <v>11</v>
      </c>
      <c r="N108" s="4">
        <v>0</v>
      </c>
      <c r="O108" s="4">
        <f>Tab_06.Jun[[#This Row],[DÉBITO]]-Tab_06.Jun[[#This Row],[CRÉDITO]]</f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SUMIFS(Tab_05.Mai[SALDO
ATUAL],Tab_05.Mai[CONTA],$I109)</f>
        <v>-22473.51</v>
      </c>
      <c r="G109" s="4">
        <f t="shared" si="4"/>
        <v>51.2</v>
      </c>
      <c r="I109" s="3" t="s">
        <v>224</v>
      </c>
      <c r="J109" s="3" t="s">
        <v>664</v>
      </c>
      <c r="K109" s="4">
        <v>-22524.71</v>
      </c>
      <c r="L109" s="4">
        <v>676.22</v>
      </c>
      <c r="M109" s="4">
        <v>507.07</v>
      </c>
      <c r="N109" s="4">
        <v>-22355.56</v>
      </c>
      <c r="O109" s="4">
        <f>Tab_06.Jun[[#This Row],[DÉBITO]]-Tab_06.Jun[[#This Row],[CRÉDITO]]</f>
        <v>169.15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SUMIFS(Tab_05.Mai[SALDO
ATUAL],Tab_05.Mai[CONTA],$I110)</f>
        <v>-22473.51</v>
      </c>
      <c r="G110" s="4">
        <f t="shared" si="4"/>
        <v>51.2</v>
      </c>
      <c r="I110" s="3" t="s">
        <v>225</v>
      </c>
      <c r="J110" s="3" t="s">
        <v>665</v>
      </c>
      <c r="K110" s="4">
        <v>-22524.71</v>
      </c>
      <c r="L110" s="4">
        <v>676.22</v>
      </c>
      <c r="M110" s="4">
        <v>507.07</v>
      </c>
      <c r="N110" s="4">
        <v>-22355.56</v>
      </c>
      <c r="O110" s="4">
        <f>Tab_06.Jun[[#This Row],[DÉBITO]]-Tab_06.Jun[[#This Row],[CRÉDITO]]</f>
        <v>169.15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A</v>
      </c>
      <c r="E111" s="2">
        <f>IF($I111="","",COUNTIFS(Tab_00.Trial[CONTA],$I111))</f>
        <v>1</v>
      </c>
      <c r="F111" s="4">
        <f>SUMIFS(Tab_05.Mai[SALDO
ATUAL],Tab_05.Mai[CONTA],$I111)</f>
        <v>-22473.51</v>
      </c>
      <c r="G111" s="4">
        <f t="shared" si="4"/>
        <v>51.2</v>
      </c>
      <c r="I111" s="3" t="s">
        <v>356</v>
      </c>
      <c r="J111" s="3" t="s">
        <v>357</v>
      </c>
      <c r="K111" s="4">
        <v>-22524.71</v>
      </c>
      <c r="L111" s="4">
        <v>676.22</v>
      </c>
      <c r="M111" s="4">
        <v>507.07</v>
      </c>
      <c r="N111" s="4">
        <v>-22355.56</v>
      </c>
      <c r="O111" s="4">
        <f>Tab_06.Jun[[#This Row],[DÉBITO]]-Tab_06.Jun[[#This Row],[CRÉDITO]]</f>
        <v>169.15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SUMIFS(Tab_05.Mai[SALDO
ATUAL],Tab_05.Mai[CONTA],$I112)</f>
        <v>-3849.2</v>
      </c>
      <c r="G112" s="4">
        <f t="shared" si="4"/>
        <v>0</v>
      </c>
      <c r="I112" s="3" t="s">
        <v>564</v>
      </c>
      <c r="J112" s="3" t="s">
        <v>666</v>
      </c>
      <c r="K112" s="4">
        <v>-3849.2</v>
      </c>
      <c r="L112" s="4">
        <v>0</v>
      </c>
      <c r="M112" s="4">
        <v>0</v>
      </c>
      <c r="N112" s="4">
        <v>-3849.2</v>
      </c>
      <c r="O112" s="4">
        <f>Tab_06.Jun[[#This Row],[DÉBITO]]-Tab_06.Jun[[#This Row],[CRÉDITO]]</f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SUMIFS(Tab_05.Mai[SALDO
ATUAL],Tab_05.Mai[CONTA],$I113)</f>
        <v>-3849.2</v>
      </c>
      <c r="G113" s="4">
        <f t="shared" si="4"/>
        <v>0</v>
      </c>
      <c r="I113" s="3" t="s">
        <v>565</v>
      </c>
      <c r="J113" s="3" t="s">
        <v>667</v>
      </c>
      <c r="K113" s="4">
        <v>-3849.2</v>
      </c>
      <c r="L113" s="4">
        <v>0</v>
      </c>
      <c r="M113" s="4">
        <v>0</v>
      </c>
      <c r="N113" s="4">
        <v>-3849.2</v>
      </c>
      <c r="O113" s="4">
        <f>Tab_06.Jun[[#This Row],[DÉBITO]]-Tab_06.Jun[[#This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A</v>
      </c>
      <c r="E114" s="2">
        <f>IF($I114="","",COUNTIFS(Tab_00.Trial[CONTA],$I114))</f>
        <v>1</v>
      </c>
      <c r="F114" s="4">
        <f>SUMIFS(Tab_05.Mai[SALDO
ATUAL],Tab_05.Mai[CONTA],$I114)</f>
        <v>-3849.2</v>
      </c>
      <c r="G114" s="4">
        <f t="shared" ref="G114:G145" si="5">$F114-$K114</f>
        <v>0</v>
      </c>
      <c r="I114" s="3" t="s">
        <v>358</v>
      </c>
      <c r="J114" s="3" t="s">
        <v>359</v>
      </c>
      <c r="K114" s="4">
        <v>-3849.2</v>
      </c>
      <c r="L114" s="4">
        <v>0</v>
      </c>
      <c r="M114" s="4">
        <v>0</v>
      </c>
      <c r="N114" s="4">
        <v>-3849.2</v>
      </c>
      <c r="O114" s="4">
        <f>Tab_06.Jun[[#This Row],[DÉBITO]]-Tab_06.Jun[[#This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2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SUMIFS(Tab_05.Mai[SALDO
ATUAL],Tab_05.Mai[CONTA],$I115)</f>
        <v>-46934.04</v>
      </c>
      <c r="G115" s="4">
        <f t="shared" si="5"/>
        <v>0</v>
      </c>
      <c r="I115" s="3" t="s">
        <v>226</v>
      </c>
      <c r="J115" s="3" t="s">
        <v>76</v>
      </c>
      <c r="K115" s="4">
        <v>-46934.04</v>
      </c>
      <c r="L115" s="4">
        <v>0</v>
      </c>
      <c r="M115" s="4">
        <v>0</v>
      </c>
      <c r="N115" s="4">
        <v>-46934.04</v>
      </c>
      <c r="O115" s="4">
        <f>Tab_06.Jun[[#This Row],[DÉBITO]]-Tab_06.Jun[[#This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SUMIFS(Tab_05.Mai[SALDO
ATUAL],Tab_05.Mai[CONTA],$I116)</f>
        <v>-46934.04</v>
      </c>
      <c r="G116" s="4">
        <f t="shared" si="5"/>
        <v>0</v>
      </c>
      <c r="I116" s="3" t="s">
        <v>566</v>
      </c>
      <c r="J116" s="3" t="s">
        <v>668</v>
      </c>
      <c r="K116" s="4">
        <v>-46934.04</v>
      </c>
      <c r="L116" s="4">
        <v>0</v>
      </c>
      <c r="M116" s="4">
        <v>0</v>
      </c>
      <c r="N116" s="4">
        <v>-46934.04</v>
      </c>
      <c r="O116" s="4">
        <f>Tab_06.Jun[[#This Row],[DÉBITO]]-Tab_06.Jun[[#This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SUMIFS(Tab_05.Mai[SALDO
ATUAL],Tab_05.Mai[CONTA],$I117)</f>
        <v>-46934.04</v>
      </c>
      <c r="G117" s="4">
        <f t="shared" si="5"/>
        <v>0</v>
      </c>
      <c r="I117" s="3" t="s">
        <v>567</v>
      </c>
      <c r="J117" s="3" t="s">
        <v>669</v>
      </c>
      <c r="K117" s="4">
        <v>-46934.04</v>
      </c>
      <c r="L117" s="4">
        <v>0</v>
      </c>
      <c r="M117" s="4">
        <v>0</v>
      </c>
      <c r="N117" s="4">
        <v>-46934.04</v>
      </c>
      <c r="O117" s="4">
        <f>Tab_06.Jun[[#This Row],[DÉBITO]]-Tab_06.Jun[[#This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SUMIFS(Tab_05.Mai[SALDO
ATUAL],Tab_05.Mai[CONTA],$I118)</f>
        <v>-31934.04</v>
      </c>
      <c r="G118" s="4">
        <f t="shared" si="5"/>
        <v>0</v>
      </c>
      <c r="I118" s="3" t="s">
        <v>360</v>
      </c>
      <c r="J118" s="3" t="s">
        <v>361</v>
      </c>
      <c r="K118" s="4">
        <v>-31934.04</v>
      </c>
      <c r="L118" s="4">
        <v>0</v>
      </c>
      <c r="M118" s="4">
        <v>0</v>
      </c>
      <c r="N118" s="4">
        <v>-31934.04</v>
      </c>
      <c r="O118" s="4">
        <f>Tab_06.Jun[[#This Row],[DÉBITO]]-Tab_06.Jun[[#This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SUMIFS(Tab_05.Mai[SALDO
ATUAL],Tab_05.Mai[CONTA],$I119)</f>
        <v>-15000</v>
      </c>
      <c r="G119" s="4">
        <f t="shared" si="5"/>
        <v>0</v>
      </c>
      <c r="I119" s="3" t="s">
        <v>362</v>
      </c>
      <c r="J119" s="3" t="s">
        <v>363</v>
      </c>
      <c r="K119" s="4">
        <v>-15000</v>
      </c>
      <c r="L119" s="4">
        <v>0</v>
      </c>
      <c r="M119" s="4">
        <v>0</v>
      </c>
      <c r="N119" s="4">
        <v>-15000</v>
      </c>
      <c r="O119" s="4">
        <f>Tab_06.Jun[[#This Row],[DÉBITO]]-Tab_06.Jun[[#This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2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SUMIFS(Tab_05.Mai[SALDO
ATUAL],Tab_05.Mai[CONTA],$I120)</f>
        <v>-81855530.489999995</v>
      </c>
      <c r="G120" s="4">
        <f t="shared" si="5"/>
        <v>0</v>
      </c>
      <c r="I120" s="3" t="s">
        <v>228</v>
      </c>
      <c r="J120" s="3" t="s">
        <v>670</v>
      </c>
      <c r="K120" s="4">
        <v>-81855530.489999995</v>
      </c>
      <c r="L120" s="4">
        <v>0</v>
      </c>
      <c r="M120" s="4">
        <v>0</v>
      </c>
      <c r="N120" s="4">
        <v>-81855530.489999995</v>
      </c>
      <c r="O120" s="4">
        <f>Tab_06.Jun[[#This Row],[DÉBITO]]-Tab_06.Jun[[#This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SUMIFS(Tab_05.Mai[SALDO
ATUAL],Tab_05.Mai[CONTA],$I121)</f>
        <v>-81855530.489999995</v>
      </c>
      <c r="G121" s="4">
        <f t="shared" si="5"/>
        <v>0</v>
      </c>
      <c r="I121" s="3" t="s">
        <v>229</v>
      </c>
      <c r="J121" s="3" t="s">
        <v>670</v>
      </c>
      <c r="K121" s="4">
        <v>-81855530.489999995</v>
      </c>
      <c r="L121" s="4">
        <v>0</v>
      </c>
      <c r="M121" s="4">
        <v>0</v>
      </c>
      <c r="N121" s="4">
        <v>-81855530.489999995</v>
      </c>
      <c r="O121" s="4">
        <f>Tab_06.Jun[[#This Row],[DÉBITO]]-Tab_06.Jun[[#This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SUMIFS(Tab_05.Mai[SALDO
ATUAL],Tab_05.Mai[CONTA],$I122)</f>
        <v>-104784619.59999999</v>
      </c>
      <c r="G122" s="4">
        <f t="shared" si="5"/>
        <v>0</v>
      </c>
      <c r="I122" s="3" t="s">
        <v>230</v>
      </c>
      <c r="J122" s="3" t="s">
        <v>364</v>
      </c>
      <c r="K122" s="4">
        <v>-104784619.59999999</v>
      </c>
      <c r="L122" s="4">
        <v>0</v>
      </c>
      <c r="M122" s="4">
        <v>0</v>
      </c>
      <c r="N122" s="4">
        <v>-104784619.59999999</v>
      </c>
      <c r="O122" s="4">
        <f>Tab_06.Jun[[#This Row],[DÉBITO]]-Tab_06.Jun[[#This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SUMIFS(Tab_05.Mai[SALDO
ATUAL],Tab_05.Mai[CONTA],$I123)</f>
        <v>-104784619.59999999</v>
      </c>
      <c r="G123" s="4">
        <f t="shared" si="5"/>
        <v>0</v>
      </c>
      <c r="I123" s="3" t="s">
        <v>193</v>
      </c>
      <c r="J123" s="3" t="s">
        <v>364</v>
      </c>
      <c r="K123" s="4">
        <v>-104784619.59999999</v>
      </c>
      <c r="L123" s="4">
        <v>0</v>
      </c>
      <c r="M123" s="4">
        <v>0</v>
      </c>
      <c r="N123" s="4">
        <v>-104784619.59999999</v>
      </c>
      <c r="O123" s="4">
        <f>Tab_06.Jun[[#This Row],[DÉBITO]]-Tab_06.Jun[[#This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SUMIFS(Tab_05.Mai[SALDO
ATUAL],Tab_05.Mai[CONTA],$I124)</f>
        <v>32587250.850000001</v>
      </c>
      <c r="G124" s="4">
        <f t="shared" si="5"/>
        <v>0</v>
      </c>
      <c r="I124" s="3" t="s">
        <v>568</v>
      </c>
      <c r="J124" s="3" t="s">
        <v>671</v>
      </c>
      <c r="K124" s="4">
        <v>32587250.850000001</v>
      </c>
      <c r="L124" s="4">
        <v>0</v>
      </c>
      <c r="M124" s="4">
        <v>0</v>
      </c>
      <c r="N124" s="4">
        <v>32587250.850000001</v>
      </c>
      <c r="O124" s="4">
        <f>Tab_06.Jun[[#This Row],[DÉBITO]]-Tab_06.Jun[[#This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SUMIFS(Tab_05.Mai[SALDO
ATUAL],Tab_05.Mai[CONTA],$I125)</f>
        <v>-827719.82</v>
      </c>
      <c r="G125" s="4">
        <f t="shared" si="5"/>
        <v>0</v>
      </c>
      <c r="I125" s="3" t="s">
        <v>743</v>
      </c>
      <c r="J125" s="3" t="s">
        <v>744</v>
      </c>
      <c r="K125" s="4">
        <v>-827719.82</v>
      </c>
      <c r="L125" s="4">
        <v>0</v>
      </c>
      <c r="M125" s="4">
        <v>0</v>
      </c>
      <c r="N125" s="4">
        <v>-827719.82</v>
      </c>
      <c r="O125" s="4">
        <f>Tab_06.Jun[[#This Row],[DÉBITO]]-Tab_06.Jun[[#This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SUMIFS(Tab_05.Mai[SALDO
ATUAL],Tab_05.Mai[CONTA],$I126)</f>
        <v>33414970.670000002</v>
      </c>
      <c r="G126" s="4">
        <f t="shared" si="5"/>
        <v>0</v>
      </c>
      <c r="I126" s="3" t="s">
        <v>365</v>
      </c>
      <c r="J126" s="3" t="s">
        <v>366</v>
      </c>
      <c r="K126" s="4">
        <v>33414970.670000002</v>
      </c>
      <c r="L126" s="4">
        <v>0</v>
      </c>
      <c r="M126" s="4">
        <v>0</v>
      </c>
      <c r="N126" s="4">
        <v>33414970.670000002</v>
      </c>
      <c r="O126" s="4">
        <f>Tab_06.Jun[[#This Row],[DÉBITO]]-Tab_06.Jun[[#This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SUMIFS(Tab_05.Mai[SALDO
ATUAL],Tab_05.Mai[CONTA],$I127)</f>
        <v>-9658161.7400000002</v>
      </c>
      <c r="G127" s="4">
        <f t="shared" si="5"/>
        <v>0</v>
      </c>
      <c r="I127" s="3" t="s">
        <v>745</v>
      </c>
      <c r="J127" s="3" t="s">
        <v>746</v>
      </c>
      <c r="K127" s="4">
        <v>-9658161.7400000002</v>
      </c>
      <c r="L127" s="4">
        <v>0</v>
      </c>
      <c r="M127" s="4">
        <v>0</v>
      </c>
      <c r="N127" s="4">
        <v>-9658161.7400000002</v>
      </c>
      <c r="O127" s="4">
        <f>Tab_06.Jun[[#This Row],[DÉBITO]]-Tab_06.Jun[[#This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SUMIFS(Tab_05.Mai[SALDO
ATUAL],Tab_05.Mai[CONTA],$I128)</f>
        <v>-9658161.7400000002</v>
      </c>
      <c r="G128" s="4">
        <f t="shared" si="5"/>
        <v>0</v>
      </c>
      <c r="I128" s="3" t="s">
        <v>747</v>
      </c>
      <c r="J128" s="3" t="s">
        <v>746</v>
      </c>
      <c r="K128" s="4">
        <v>-9658161.7400000002</v>
      </c>
      <c r="L128" s="4">
        <v>0</v>
      </c>
      <c r="M128" s="4">
        <v>0</v>
      </c>
      <c r="N128" s="4">
        <v>-9658161.7400000002</v>
      </c>
      <c r="O128" s="4">
        <f>Tab_06.Jun[[#This Row],[DÉBITO]]-Tab_06.Jun[[#This Row],[CRÉDITO]]</f>
        <v>0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1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SUMIFS(Tab_05.Mai[SALDO
ATUAL],Tab_05.Mai[CONTA],$I129)</f>
        <v>-6256543.8700000001</v>
      </c>
      <c r="G129" s="4">
        <f t="shared" si="5"/>
        <v>1194025.3899999999</v>
      </c>
      <c r="I129" s="3">
        <v>3</v>
      </c>
      <c r="J129" s="3" t="s">
        <v>672</v>
      </c>
      <c r="K129" s="4">
        <v>-7450569.2599999998</v>
      </c>
      <c r="L129" s="4">
        <v>11</v>
      </c>
      <c r="M129" s="4">
        <v>1494895.3</v>
      </c>
      <c r="N129" s="4">
        <v>-8945453.5600000005</v>
      </c>
      <c r="O129" s="4">
        <f>Tab_06.Jun[[#This Row],[DÉBITO]]-Tab_06.Jun[[#This Row],[CRÉDITO]]</f>
        <v>-1494884.3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2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SUMIFS(Tab_05.Mai[SALDO
ATUAL],Tab_05.Mai[CONTA],$I130)</f>
        <v>-3030193.83</v>
      </c>
      <c r="G130" s="4">
        <f t="shared" si="5"/>
        <v>549746.87</v>
      </c>
      <c r="I130" s="3" t="s">
        <v>231</v>
      </c>
      <c r="J130" s="3" t="s">
        <v>673</v>
      </c>
      <c r="K130" s="4">
        <v>-3579940.7</v>
      </c>
      <c r="L130" s="4">
        <v>0</v>
      </c>
      <c r="M130" s="4">
        <v>611115.52000000002</v>
      </c>
      <c r="N130" s="4">
        <v>-4191056.22</v>
      </c>
      <c r="O130" s="4">
        <f>Tab_06.Jun[[#This Row],[DÉBITO]]-Tab_06.Jun[[#This Row],[CRÉDITO]]</f>
        <v>-611115.52000000002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SUMIFS(Tab_05.Mai[SALDO
ATUAL],Tab_05.Mai[CONTA],$I131)</f>
        <v>-1847912.26</v>
      </c>
      <c r="G131" s="4">
        <f t="shared" si="5"/>
        <v>313601.09000000003</v>
      </c>
      <c r="I131" s="3" t="s">
        <v>232</v>
      </c>
      <c r="J131" s="3" t="s">
        <v>674</v>
      </c>
      <c r="K131" s="4">
        <v>-2161513.35</v>
      </c>
      <c r="L131" s="4">
        <v>0</v>
      </c>
      <c r="M131" s="4">
        <v>457031.23</v>
      </c>
      <c r="N131" s="4">
        <v>-2618544.58</v>
      </c>
      <c r="O131" s="4">
        <f>Tab_06.Jun[[#This Row],[DÉBITO]]-Tab_06.Jun[[#This Row],[CRÉDITO]]</f>
        <v>-457031.23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SUMIFS(Tab_05.Mai[SALDO
ATUAL],Tab_05.Mai[CONTA],$I132)</f>
        <v>-652647.16</v>
      </c>
      <c r="G132" s="4">
        <f t="shared" si="5"/>
        <v>129579.24</v>
      </c>
      <c r="I132" s="3" t="s">
        <v>233</v>
      </c>
      <c r="J132" s="3" t="s">
        <v>675</v>
      </c>
      <c r="K132" s="4">
        <v>-782226.4</v>
      </c>
      <c r="L132" s="4">
        <v>0</v>
      </c>
      <c r="M132" s="4">
        <v>133881.88</v>
      </c>
      <c r="N132" s="4">
        <v>-916108.28</v>
      </c>
      <c r="O132" s="4">
        <f>Tab_06.Jun[[#This Row],[DÉBITO]]-Tab_06.Jun[[#This Row],[CRÉDITO]]</f>
        <v>-133881.88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A</v>
      </c>
      <c r="E133" s="2">
        <f>IF($I133="","",COUNTIFS(Tab_00.Trial[CONTA],$I133))</f>
        <v>1</v>
      </c>
      <c r="F133" s="4">
        <f>SUMIFS(Tab_05.Mai[SALDO
ATUAL],Tab_05.Mai[CONTA],$I133)</f>
        <v>-652647.16</v>
      </c>
      <c r="G133" s="4">
        <f t="shared" si="5"/>
        <v>129579.24</v>
      </c>
      <c r="I133" s="3" t="s">
        <v>194</v>
      </c>
      <c r="J133" s="3" t="s">
        <v>367</v>
      </c>
      <c r="K133" s="4">
        <v>-782226.4</v>
      </c>
      <c r="L133" s="4">
        <v>0</v>
      </c>
      <c r="M133" s="4">
        <v>133881.88</v>
      </c>
      <c r="N133" s="4">
        <v>-916108.28</v>
      </c>
      <c r="O133" s="4">
        <f>Tab_06.Jun[[#This Row],[DÉBITO]]-Tab_06.Jun[[#This Row],[CRÉDITO]]</f>
        <v>-133881.88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SUMIFS(Tab_05.Mai[SALDO
ATUAL],Tab_05.Mai[CONTA],$I134)</f>
        <v>-1195265.1000000001</v>
      </c>
      <c r="G134" s="4">
        <f t="shared" si="5"/>
        <v>184021.85</v>
      </c>
      <c r="I134" s="3" t="s">
        <v>735</v>
      </c>
      <c r="J134" s="3" t="s">
        <v>736</v>
      </c>
      <c r="K134" s="4">
        <v>-1379286.95</v>
      </c>
      <c r="L134" s="4">
        <v>0</v>
      </c>
      <c r="M134" s="4">
        <v>323149.34999999998</v>
      </c>
      <c r="N134" s="4">
        <v>-1702436.3</v>
      </c>
      <c r="O134" s="4">
        <f>Tab_06.Jun[[#This Row],[DÉBITO]]-Tab_06.Jun[[#This Row],[CRÉDITO]]</f>
        <v>-323149.34999999998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SUMIFS(Tab_05.Mai[SALDO
ATUAL],Tab_05.Mai[CONTA],$I135)</f>
        <v>-1195265.1000000001</v>
      </c>
      <c r="G135" s="4">
        <f t="shared" si="5"/>
        <v>184021.85</v>
      </c>
      <c r="I135" s="3" t="s">
        <v>737</v>
      </c>
      <c r="J135" s="3" t="s">
        <v>820</v>
      </c>
      <c r="K135" s="4">
        <v>-1379286.95</v>
      </c>
      <c r="L135" s="4">
        <v>0</v>
      </c>
      <c r="M135" s="4">
        <v>323149.34999999998</v>
      </c>
      <c r="N135" s="4">
        <v>-1702436.3</v>
      </c>
      <c r="O135" s="4">
        <f>Tab_06.Jun[[#This Row],[DÉBITO]]-Tab_06.Jun[[#This Row],[CRÉDITO]]</f>
        <v>-323149.34999999998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SUMIFS(Tab_05.Mai[SALDO
ATUAL],Tab_05.Mai[CONTA],$I136)</f>
        <v>-1182281.57</v>
      </c>
      <c r="G136" s="4">
        <f t="shared" si="5"/>
        <v>236145.78</v>
      </c>
      <c r="I136" s="3" t="s">
        <v>569</v>
      </c>
      <c r="J136" s="3" t="s">
        <v>676</v>
      </c>
      <c r="K136" s="4">
        <v>-1418427.35</v>
      </c>
      <c r="L136" s="4">
        <v>0</v>
      </c>
      <c r="M136" s="4">
        <v>154084.29</v>
      </c>
      <c r="N136" s="4">
        <v>-1572511.64</v>
      </c>
      <c r="O136" s="4">
        <f>Tab_06.Jun[[#This Row],[DÉBITO]]-Tab_06.Jun[[#This Row],[CRÉDITO]]</f>
        <v>-154084.29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SUMIFS(Tab_05.Mai[SALDO
ATUAL],Tab_05.Mai[CONTA],$I137)</f>
        <v>-767451.17</v>
      </c>
      <c r="G137" s="4">
        <f t="shared" si="5"/>
        <v>153179.70000000001</v>
      </c>
      <c r="I137" s="3" t="s">
        <v>570</v>
      </c>
      <c r="J137" s="3" t="s">
        <v>677</v>
      </c>
      <c r="K137" s="4">
        <v>-920630.87</v>
      </c>
      <c r="L137" s="4">
        <v>0</v>
      </c>
      <c r="M137" s="4">
        <v>71118.210000000006</v>
      </c>
      <c r="N137" s="4">
        <v>-991749.08</v>
      </c>
      <c r="O137" s="4">
        <f>Tab_06.Jun[[#This Row],[DÉBITO]]-Tab_06.Jun[[#This Row],[CRÉDITO]]</f>
        <v>-71118.210000000006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SUMIFS(Tab_05.Mai[SALDO
ATUAL],Tab_05.Mai[CONTA],$I138)</f>
        <v>-401174.76</v>
      </c>
      <c r="G138" s="4">
        <f t="shared" si="5"/>
        <v>51971.14</v>
      </c>
      <c r="I138" s="3" t="s">
        <v>368</v>
      </c>
      <c r="J138" s="3" t="s">
        <v>369</v>
      </c>
      <c r="K138" s="4">
        <v>-453145.9</v>
      </c>
      <c r="L138" s="4">
        <v>0</v>
      </c>
      <c r="M138" s="4">
        <v>35652.550000000003</v>
      </c>
      <c r="N138" s="4">
        <v>-488798.45</v>
      </c>
      <c r="O138" s="4">
        <f>Tab_06.Jun[[#This Row],[DÉBITO]]-Tab_06.Jun[[#This Row],[CRÉDITO]]</f>
        <v>-35652.550000000003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SUMIFS(Tab_05.Mai[SALDO
ATUAL],Tab_05.Mai[CONTA],$I139)</f>
        <v>-271081.68</v>
      </c>
      <c r="G139" s="4">
        <f t="shared" si="5"/>
        <v>100331.36</v>
      </c>
      <c r="I139" s="3" t="s">
        <v>370</v>
      </c>
      <c r="J139" s="3" t="s">
        <v>371</v>
      </c>
      <c r="K139" s="4">
        <v>-371413.04</v>
      </c>
      <c r="L139" s="4">
        <v>0</v>
      </c>
      <c r="M139" s="4">
        <v>35465.660000000003</v>
      </c>
      <c r="N139" s="4">
        <v>-406878.7</v>
      </c>
      <c r="O139" s="4">
        <f>Tab_06.Jun[[#This Row],[DÉBITO]]-Tab_06.Jun[[#This Row],[CRÉDITO]]</f>
        <v>-35465.660000000003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SUMIFS(Tab_05.Mai[SALDO
ATUAL],Tab_05.Mai[CONTA],$I140)</f>
        <v>-5670.16</v>
      </c>
      <c r="G140" s="4">
        <f t="shared" si="5"/>
        <v>877.2</v>
      </c>
      <c r="I140" s="3" t="s">
        <v>372</v>
      </c>
      <c r="J140" s="3" t="s">
        <v>373</v>
      </c>
      <c r="K140" s="4">
        <v>-6547.36</v>
      </c>
      <c r="L140" s="4">
        <v>0</v>
      </c>
      <c r="M140" s="4">
        <v>0</v>
      </c>
      <c r="N140" s="4">
        <v>-6547.36</v>
      </c>
      <c r="O140" s="4">
        <f>Tab_06.Jun[[#This Row],[DÉBITO]]-Tab_06.Jun[[#This Row],[CRÉDITO]]</f>
        <v>0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SUMIFS(Tab_05.Mai[SALDO
ATUAL],Tab_05.Mai[CONTA],$I141)</f>
        <v>-89524.57</v>
      </c>
      <c r="G141" s="4">
        <f t="shared" si="5"/>
        <v>0</v>
      </c>
      <c r="I141" s="3" t="s">
        <v>851</v>
      </c>
      <c r="J141" s="3" t="s">
        <v>852</v>
      </c>
      <c r="K141" s="4">
        <v>-89524.57</v>
      </c>
      <c r="L141" s="4">
        <v>0</v>
      </c>
      <c r="M141" s="4">
        <v>0</v>
      </c>
      <c r="N141" s="4">
        <v>-89524.57</v>
      </c>
      <c r="O141" s="4">
        <f>Tab_06.Jun[[#This Row],[DÉBITO]]-Tab_06.Jun[[#This Row],[CRÉDITO]]</f>
        <v>0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SUMIFS(Tab_05.Mai[SALDO
ATUAL],Tab_05.Mai[CONTA],$I142)</f>
        <v>-414830.4</v>
      </c>
      <c r="G142" s="4">
        <f t="shared" si="5"/>
        <v>82966.080000000002</v>
      </c>
      <c r="I142" s="3" t="s">
        <v>571</v>
      </c>
      <c r="J142" s="3" t="s">
        <v>377</v>
      </c>
      <c r="K142" s="4">
        <v>-497796.48</v>
      </c>
      <c r="L142" s="4">
        <v>0</v>
      </c>
      <c r="M142" s="4">
        <v>82966.080000000002</v>
      </c>
      <c r="N142" s="4">
        <v>-580762.56000000006</v>
      </c>
      <c r="O142" s="4">
        <f>Tab_06.Jun[[#This Row],[DÉBITO]]-Tab_06.Jun[[#This Row],[CRÉDITO]]</f>
        <v>-82966.080000000002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SUMIFS(Tab_05.Mai[SALDO
ATUAL],Tab_05.Mai[CONTA],$I143)</f>
        <v>-414830.4</v>
      </c>
      <c r="G143" s="4">
        <f t="shared" si="5"/>
        <v>82966.080000000002</v>
      </c>
      <c r="I143" s="3" t="s">
        <v>376</v>
      </c>
      <c r="J143" s="3" t="s">
        <v>377</v>
      </c>
      <c r="K143" s="4">
        <v>-497796.48</v>
      </c>
      <c r="L143" s="4">
        <v>0</v>
      </c>
      <c r="M143" s="4">
        <v>82966.080000000002</v>
      </c>
      <c r="N143" s="4">
        <v>-580762.56000000006</v>
      </c>
      <c r="O143" s="4">
        <f>Tab_06.Jun[[#This Row],[DÉBITO]]-Tab_06.Jun[[#This Row],[CRÉDITO]]</f>
        <v>-82966.080000000002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2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SUMIFS(Tab_05.Mai[SALDO
ATUAL],Tab_05.Mai[CONTA],$I144)</f>
        <v>-2191057.08</v>
      </c>
      <c r="G144" s="4">
        <f t="shared" si="5"/>
        <v>440421.58</v>
      </c>
      <c r="I144" s="3" t="s">
        <v>574</v>
      </c>
      <c r="J144" s="3" t="s">
        <v>680</v>
      </c>
      <c r="K144" s="4">
        <v>-2631478.66</v>
      </c>
      <c r="L144" s="4">
        <v>11</v>
      </c>
      <c r="M144" s="4">
        <v>446985.84</v>
      </c>
      <c r="N144" s="4">
        <v>-3078453.5</v>
      </c>
      <c r="O144" s="4">
        <f>Tab_06.Jun[[#This Row],[DÉBITO]]-Tab_06.Jun[[#This Row],[CRÉDITO]]</f>
        <v>-446974.84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SUMIFS(Tab_05.Mai[SALDO
ATUAL],Tab_05.Mai[CONTA],$I145)</f>
        <v>0</v>
      </c>
      <c r="G145" s="4">
        <f t="shared" si="5"/>
        <v>0</v>
      </c>
      <c r="I145" s="3" t="s">
        <v>575</v>
      </c>
      <c r="J145" s="3" t="s">
        <v>681</v>
      </c>
      <c r="K145" s="4">
        <v>0</v>
      </c>
      <c r="L145" s="4">
        <v>0</v>
      </c>
      <c r="M145" s="4">
        <v>50</v>
      </c>
      <c r="N145" s="4">
        <v>-50</v>
      </c>
      <c r="O145" s="4">
        <f>Tab_06.Jun[[#This Row],[DÉBITO]]-Tab_06.Jun[[#This Row],[CRÉDITO]]</f>
        <v>-50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SUMIFS(Tab_05.Mai[SALDO
ATUAL],Tab_05.Mai[CONTA],$I146)</f>
        <v>0</v>
      </c>
      <c r="G146" s="4">
        <f t="shared" ref="G146:G177" si="6">$F146-$K146</f>
        <v>0</v>
      </c>
      <c r="I146" s="3" t="s">
        <v>576</v>
      </c>
      <c r="J146" s="3" t="s">
        <v>821</v>
      </c>
      <c r="K146" s="4">
        <v>0</v>
      </c>
      <c r="L146" s="4">
        <v>0</v>
      </c>
      <c r="M146" s="4">
        <v>50</v>
      </c>
      <c r="N146" s="4">
        <v>-50</v>
      </c>
      <c r="O146" s="4">
        <f>Tab_06.Jun[[#This Row],[DÉBITO]]-Tab_06.Jun[[#This Row],[CRÉDITO]]</f>
        <v>-50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A</v>
      </c>
      <c r="E147" s="2">
        <f>IF($I147="","",COUNTIFS(Tab_00.Trial[CONTA],$I147))</f>
        <v>1</v>
      </c>
      <c r="F147" s="4">
        <f>SUMIFS(Tab_05.Mai[SALDO
ATUAL],Tab_05.Mai[CONTA],$I147)</f>
        <v>0</v>
      </c>
      <c r="G147" s="4">
        <f t="shared" si="6"/>
        <v>0</v>
      </c>
      <c r="I147" s="3" t="s">
        <v>382</v>
      </c>
      <c r="J147" s="3" t="s">
        <v>292</v>
      </c>
      <c r="K147" s="4">
        <v>0</v>
      </c>
      <c r="L147" s="4">
        <v>0</v>
      </c>
      <c r="M147" s="4">
        <v>50</v>
      </c>
      <c r="N147" s="4">
        <v>-50</v>
      </c>
      <c r="O147" s="4">
        <f>Tab_06.Jun[[#This Row],[DÉBITO]]-Tab_06.Jun[[#This Row],[CRÉDITO]]</f>
        <v>-50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SUMIFS(Tab_05.Mai[SALDO
ATUAL],Tab_05.Mai[CONTA],$I148)</f>
        <v>0</v>
      </c>
      <c r="G148" s="4">
        <f t="shared" si="6"/>
        <v>0</v>
      </c>
      <c r="I148" s="3" t="s">
        <v>577</v>
      </c>
      <c r="J148" s="3" t="s">
        <v>683</v>
      </c>
      <c r="K148" s="4">
        <v>0</v>
      </c>
      <c r="L148" s="4">
        <v>11</v>
      </c>
      <c r="M148" s="4">
        <v>0</v>
      </c>
      <c r="N148" s="4">
        <v>11</v>
      </c>
      <c r="O148" s="4">
        <f>Tab_06.Jun[[#This Row],[DÉBITO]]-Tab_06.Jun[[#This Row],[CRÉDITO]]</f>
        <v>11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SUMIFS(Tab_05.Mai[SALDO
ATUAL],Tab_05.Mai[CONTA],$I149)</f>
        <v>0</v>
      </c>
      <c r="G149" s="4">
        <f t="shared" si="6"/>
        <v>0</v>
      </c>
      <c r="I149" s="3" t="s">
        <v>853</v>
      </c>
      <c r="J149" s="3" t="s">
        <v>854</v>
      </c>
      <c r="K149" s="4">
        <v>0</v>
      </c>
      <c r="L149" s="4">
        <v>11</v>
      </c>
      <c r="M149" s="4">
        <v>0</v>
      </c>
      <c r="N149" s="4">
        <v>11</v>
      </c>
      <c r="O149" s="4">
        <f>Tab_06.Jun[[#This Row],[DÉBITO]]-Tab_06.Jun[[#This Row],[CRÉDITO]]</f>
        <v>11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SUMIFS(Tab_05.Mai[SALDO
ATUAL],Tab_05.Mai[CONTA],$I150)</f>
        <v>0</v>
      </c>
      <c r="G150" s="4">
        <f t="shared" si="6"/>
        <v>0</v>
      </c>
      <c r="I150" s="3" t="s">
        <v>855</v>
      </c>
      <c r="J150" s="3" t="s">
        <v>856</v>
      </c>
      <c r="K150" s="4">
        <v>0</v>
      </c>
      <c r="L150" s="4">
        <v>11</v>
      </c>
      <c r="M150" s="4">
        <v>0</v>
      </c>
      <c r="N150" s="4">
        <v>11</v>
      </c>
      <c r="O150" s="4">
        <f>Tab_06.Jun[[#This Row],[DÉBITO]]-Tab_06.Jun[[#This Row],[CRÉDITO]]</f>
        <v>11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SUMIFS(Tab_05.Mai[SALDO
ATUAL],Tab_05.Mai[CONTA],$I151)</f>
        <v>-2191057.08</v>
      </c>
      <c r="G151" s="4">
        <f t="shared" si="6"/>
        <v>440421.58</v>
      </c>
      <c r="I151" s="3" t="s">
        <v>580</v>
      </c>
      <c r="J151" s="3" t="s">
        <v>822</v>
      </c>
      <c r="K151" s="4">
        <v>-2631478.66</v>
      </c>
      <c r="L151" s="4">
        <v>0</v>
      </c>
      <c r="M151" s="4">
        <v>446935.84</v>
      </c>
      <c r="N151" s="4">
        <v>-3078414.5</v>
      </c>
      <c r="O151" s="4">
        <f>Tab_06.Jun[[#This Row],[DÉBITO]]-Tab_06.Jun[[#This Row],[CRÉDITO]]</f>
        <v>-446935.84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SUMIFS(Tab_05.Mai[SALDO
ATUAL],Tab_05.Mai[CONTA],$I152)</f>
        <v>-2191057.08</v>
      </c>
      <c r="G152" s="4">
        <f t="shared" si="6"/>
        <v>440421.58</v>
      </c>
      <c r="I152" s="3" t="s">
        <v>581</v>
      </c>
      <c r="J152" s="3" t="s">
        <v>687</v>
      </c>
      <c r="K152" s="4">
        <v>-2631478.66</v>
      </c>
      <c r="L152" s="4">
        <v>0</v>
      </c>
      <c r="M152" s="4">
        <v>446935.84</v>
      </c>
      <c r="N152" s="4">
        <v>-3078414.5</v>
      </c>
      <c r="O152" s="4">
        <f>Tab_06.Jun[[#This Row],[DÉBITO]]-Tab_06.Jun[[#This Row],[CRÉDITO]]</f>
        <v>-446935.84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SUMIFS(Tab_05.Mai[SALDO
ATUAL],Tab_05.Mai[CONTA],$I153)</f>
        <v>-2145256.1</v>
      </c>
      <c r="G153" s="4">
        <f t="shared" si="6"/>
        <v>440421.58</v>
      </c>
      <c r="I153" s="3" t="s">
        <v>387</v>
      </c>
      <c r="J153" s="3" t="s">
        <v>388</v>
      </c>
      <c r="K153" s="4">
        <v>-2585677.6800000002</v>
      </c>
      <c r="L153" s="4">
        <v>0</v>
      </c>
      <c r="M153" s="4">
        <v>440421.58</v>
      </c>
      <c r="N153" s="4">
        <v>-3026099.26</v>
      </c>
      <c r="O153" s="4">
        <f>Tab_06.Jun[[#This Row],[DÉBITO]]-Tab_06.Jun[[#This Row],[CRÉDITO]]</f>
        <v>-440421.58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A</v>
      </c>
      <c r="E154" s="2">
        <f>IF($I154="","",COUNTIFS(Tab_00.Trial[CONTA],$I154))</f>
        <v>1</v>
      </c>
      <c r="F154" s="4">
        <f>SUMIFS(Tab_05.Mai[SALDO
ATUAL],Tab_05.Mai[CONTA],$I154)</f>
        <v>-45800.98</v>
      </c>
      <c r="G154" s="4">
        <f t="shared" si="6"/>
        <v>0</v>
      </c>
      <c r="I154" s="3" t="s">
        <v>389</v>
      </c>
      <c r="J154" s="3" t="s">
        <v>390</v>
      </c>
      <c r="K154" s="4">
        <v>-45800.98</v>
      </c>
      <c r="L154" s="4">
        <v>0</v>
      </c>
      <c r="M154" s="4">
        <v>6514.26</v>
      </c>
      <c r="N154" s="4">
        <v>-52315.24</v>
      </c>
      <c r="O154" s="4">
        <f>Tab_06.Jun[[#This Row],[DÉBITO]]-Tab_06.Jun[[#This Row],[CRÉDITO]]</f>
        <v>-6514.26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2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SUMIFS(Tab_05.Mai[SALDO
ATUAL],Tab_05.Mai[CONTA],$I155)</f>
        <v>-1029792.96</v>
      </c>
      <c r="G155" s="4">
        <f t="shared" si="6"/>
        <v>203156.94</v>
      </c>
      <c r="I155" s="3" t="s">
        <v>582</v>
      </c>
      <c r="J155" s="3" t="s">
        <v>688</v>
      </c>
      <c r="K155" s="4">
        <v>-1232949.8999999999</v>
      </c>
      <c r="L155" s="4">
        <v>0</v>
      </c>
      <c r="M155" s="4">
        <v>435543.94</v>
      </c>
      <c r="N155" s="4">
        <v>-1668493.84</v>
      </c>
      <c r="O155" s="4">
        <f>Tab_06.Jun[[#This Row],[DÉBITO]]-Tab_06.Jun[[#This Row],[CRÉDITO]]</f>
        <v>-435543.94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SUMIFS(Tab_05.Mai[SALDO
ATUAL],Tab_05.Mai[CONTA],$I156)</f>
        <v>-73.42</v>
      </c>
      <c r="G156" s="4">
        <f t="shared" si="6"/>
        <v>0.01</v>
      </c>
      <c r="I156" s="3" t="s">
        <v>583</v>
      </c>
      <c r="J156" s="3" t="s">
        <v>689</v>
      </c>
      <c r="K156" s="4">
        <v>-73.430000000000007</v>
      </c>
      <c r="L156" s="4">
        <v>0</v>
      </c>
      <c r="M156" s="4">
        <v>0.03</v>
      </c>
      <c r="N156" s="4">
        <v>-73.459999999999994</v>
      </c>
      <c r="O156" s="4">
        <f>Tab_06.Jun[[#This Row],[DÉBITO]]-Tab_06.Jun[[#This Row],[CRÉDITO]]</f>
        <v>-0.03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SUMIFS(Tab_05.Mai[SALDO
ATUAL],Tab_05.Mai[CONTA],$I157)</f>
        <v>-73.42</v>
      </c>
      <c r="G157" s="4">
        <f t="shared" si="6"/>
        <v>0.01</v>
      </c>
      <c r="I157" s="3" t="s">
        <v>584</v>
      </c>
      <c r="J157" s="3" t="s">
        <v>689</v>
      </c>
      <c r="K157" s="4">
        <v>-73.430000000000007</v>
      </c>
      <c r="L157" s="4">
        <v>0</v>
      </c>
      <c r="M157" s="4">
        <v>0.03</v>
      </c>
      <c r="N157" s="4">
        <v>-73.459999999999994</v>
      </c>
      <c r="O157" s="4">
        <f>Tab_06.Jun[[#This Row],[DÉBITO]]-Tab_06.Jun[[#This Row],[CRÉDITO]]</f>
        <v>-0.03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A</v>
      </c>
      <c r="E158" s="2">
        <f>IF($I158="","",COUNTIFS(Tab_00.Trial[CONTA],$I158))</f>
        <v>1</v>
      </c>
      <c r="F158" s="4">
        <f>SUMIFS(Tab_05.Mai[SALDO
ATUAL],Tab_05.Mai[CONTA],$I158)</f>
        <v>-73.42</v>
      </c>
      <c r="G158" s="4">
        <f t="shared" si="6"/>
        <v>0.01</v>
      </c>
      <c r="I158" s="3" t="s">
        <v>391</v>
      </c>
      <c r="J158" s="3" t="s">
        <v>392</v>
      </c>
      <c r="K158" s="4">
        <v>-73.430000000000007</v>
      </c>
      <c r="L158" s="4">
        <v>0</v>
      </c>
      <c r="M158" s="4">
        <v>0.03</v>
      </c>
      <c r="N158" s="4">
        <v>-73.459999999999994</v>
      </c>
      <c r="O158" s="4">
        <f>Tab_06.Jun[[#This Row],[DÉBITO]]-Tab_06.Jun[[#This Row],[CRÉDITO]]</f>
        <v>-0.03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SUMIFS(Tab_05.Mai[SALDO
ATUAL],Tab_05.Mai[CONTA],$I159)</f>
        <v>-1029719.54</v>
      </c>
      <c r="G159" s="4">
        <f t="shared" si="6"/>
        <v>203156.93</v>
      </c>
      <c r="I159" s="3" t="s">
        <v>585</v>
      </c>
      <c r="J159" s="3" t="s">
        <v>690</v>
      </c>
      <c r="K159" s="4">
        <v>-1232876.47</v>
      </c>
      <c r="L159" s="4">
        <v>0</v>
      </c>
      <c r="M159" s="4">
        <v>435543.91</v>
      </c>
      <c r="N159" s="4">
        <v>-1668420.38</v>
      </c>
      <c r="O159" s="4">
        <f>Tab_06.Jun[[#This Row],[DÉBITO]]-Tab_06.Jun[[#This Row],[CRÉDITO]]</f>
        <v>-435543.91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SUMIFS(Tab_05.Mai[SALDO
ATUAL],Tab_05.Mai[CONTA],$I160)</f>
        <v>-1029719.54</v>
      </c>
      <c r="G160" s="4">
        <f t="shared" si="6"/>
        <v>203156.93</v>
      </c>
      <c r="I160" s="3" t="s">
        <v>586</v>
      </c>
      <c r="J160" s="3" t="s">
        <v>394</v>
      </c>
      <c r="K160" s="4">
        <v>-1232876.47</v>
      </c>
      <c r="L160" s="4">
        <v>0</v>
      </c>
      <c r="M160" s="4">
        <v>435543.91</v>
      </c>
      <c r="N160" s="4">
        <v>-1668420.38</v>
      </c>
      <c r="O160" s="4">
        <f>Tab_06.Jun[[#This Row],[DÉBITO]]-Tab_06.Jun[[#This Row],[CRÉDITO]]</f>
        <v>-435543.91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SUMIFS(Tab_05.Mai[SALDO
ATUAL],Tab_05.Mai[CONTA],$I161)</f>
        <v>-1029719.54</v>
      </c>
      <c r="G161" s="4">
        <f t="shared" si="6"/>
        <v>203156.93</v>
      </c>
      <c r="I161" s="3" t="s">
        <v>393</v>
      </c>
      <c r="J161" s="3" t="s">
        <v>394</v>
      </c>
      <c r="K161" s="4">
        <v>-1232876.47</v>
      </c>
      <c r="L161" s="4">
        <v>0</v>
      </c>
      <c r="M161" s="4">
        <v>435543.91</v>
      </c>
      <c r="N161" s="4">
        <v>-1668420.38</v>
      </c>
      <c r="O161" s="4">
        <f>Tab_06.Jun[[#This Row],[DÉBITO]]-Tab_06.Jun[[#This Row],[CRÉDITO]]</f>
        <v>-435543.91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2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SUMIFS(Tab_05.Mai[SALDO
ATUAL],Tab_05.Mai[CONTA],$I162)</f>
        <v>-5500</v>
      </c>
      <c r="G162" s="4">
        <f t="shared" si="6"/>
        <v>700</v>
      </c>
      <c r="I162" s="3" t="s">
        <v>587</v>
      </c>
      <c r="J162" s="3" t="s">
        <v>691</v>
      </c>
      <c r="K162" s="4">
        <v>-6200</v>
      </c>
      <c r="L162" s="4">
        <v>0</v>
      </c>
      <c r="M162" s="4">
        <v>1250</v>
      </c>
      <c r="N162" s="4">
        <v>-7450</v>
      </c>
      <c r="O162" s="4">
        <f>Tab_06.Jun[[#This Row],[DÉBITO]]-Tab_06.Jun[[#This Row],[CRÉDITO]]</f>
        <v>-1250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SUMIFS(Tab_05.Mai[SALDO
ATUAL],Tab_05.Mai[CONTA],$I163)</f>
        <v>-5500</v>
      </c>
      <c r="G163" s="4">
        <f t="shared" si="6"/>
        <v>700</v>
      </c>
      <c r="I163" s="3" t="s">
        <v>588</v>
      </c>
      <c r="J163" s="3" t="s">
        <v>692</v>
      </c>
      <c r="K163" s="4">
        <v>-6200</v>
      </c>
      <c r="L163" s="4">
        <v>0</v>
      </c>
      <c r="M163" s="4">
        <v>1250</v>
      </c>
      <c r="N163" s="4">
        <v>-7450</v>
      </c>
      <c r="O163" s="4">
        <f>Tab_06.Jun[[#This Row],[DÉBITO]]-Tab_06.Jun[[#This Row],[CRÉDITO]]</f>
        <v>-1250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SUMIFS(Tab_05.Mai[SALDO
ATUAL],Tab_05.Mai[CONTA],$I164)</f>
        <v>-5500</v>
      </c>
      <c r="G164" s="4">
        <f t="shared" si="6"/>
        <v>700</v>
      </c>
      <c r="I164" s="3" t="s">
        <v>589</v>
      </c>
      <c r="J164" s="3" t="s">
        <v>692</v>
      </c>
      <c r="K164" s="4">
        <v>-6200</v>
      </c>
      <c r="L164" s="4">
        <v>0</v>
      </c>
      <c r="M164" s="4">
        <v>1250</v>
      </c>
      <c r="N164" s="4">
        <v>-7450</v>
      </c>
      <c r="O164" s="4">
        <f>Tab_06.Jun[[#This Row],[DÉBITO]]-Tab_06.Jun[[#This Row],[CRÉDITO]]</f>
        <v>-1250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5</v>
      </c>
      <c r="D165" s="2" t="str">
        <f>_xlfn.XLOOKUP($I165,Tab_00.Trial[CONTA],Tab_00.Trial[S/A],"",0,1)</f>
        <v>A</v>
      </c>
      <c r="E165" s="2">
        <f>IF($I165="","",COUNTIFS(Tab_00.Trial[CONTA],$I165))</f>
        <v>1</v>
      </c>
      <c r="F165" s="4">
        <f>SUMIFS(Tab_05.Mai[SALDO
ATUAL],Tab_05.Mai[CONTA],$I165)</f>
        <v>-5500</v>
      </c>
      <c r="G165" s="4">
        <f t="shared" si="6"/>
        <v>700</v>
      </c>
      <c r="I165" s="3" t="s">
        <v>395</v>
      </c>
      <c r="J165" s="3" t="s">
        <v>396</v>
      </c>
      <c r="K165" s="4">
        <v>-6200</v>
      </c>
      <c r="L165" s="4">
        <v>0</v>
      </c>
      <c r="M165" s="4">
        <v>1250</v>
      </c>
      <c r="N165" s="4">
        <v>-7450</v>
      </c>
      <c r="O165" s="4">
        <f>Tab_06.Jun[[#This Row],[DÉBITO]]-Tab_06.Jun[[#This Row],[CRÉDITO]]</f>
        <v>-1250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1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SUMIFS(Tab_05.Mai[SALDO
ATUAL],Tab_05.Mai[CONTA],$I166)</f>
        <v>4392703.8899999997</v>
      </c>
      <c r="G166" s="4">
        <f t="shared" si="6"/>
        <v>-534007.51</v>
      </c>
      <c r="I166" s="3">
        <v>4</v>
      </c>
      <c r="J166" s="3" t="s">
        <v>693</v>
      </c>
      <c r="K166" s="4">
        <v>4926711.4000000004</v>
      </c>
      <c r="L166" s="4">
        <v>842911.56</v>
      </c>
      <c r="M166" s="4">
        <v>14978.01</v>
      </c>
      <c r="N166" s="4">
        <v>5754644.9500000002</v>
      </c>
      <c r="O166" s="4">
        <f>Tab_06.Jun[[#This Row],[DÉBITO]]-Tab_06.Jun[[#This Row],[CRÉDITO]]</f>
        <v>827933.55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2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SUMIFS(Tab_05.Mai[SALDO
ATUAL],Tab_05.Mai[CONTA],$I167)</f>
        <v>4392703.8899999997</v>
      </c>
      <c r="G167" s="4">
        <f t="shared" si="6"/>
        <v>-534007.51</v>
      </c>
      <c r="I167" s="3" t="s">
        <v>234</v>
      </c>
      <c r="J167" s="3" t="s">
        <v>823</v>
      </c>
      <c r="K167" s="4">
        <v>4926711.4000000004</v>
      </c>
      <c r="L167" s="4">
        <v>842911.56</v>
      </c>
      <c r="M167" s="4">
        <v>14978.01</v>
      </c>
      <c r="N167" s="4">
        <v>5754644.9500000002</v>
      </c>
      <c r="O167" s="4">
        <f>Tab_06.Jun[[#This Row],[DÉBITO]]-Tab_06.Jun[[#This Row],[CRÉDITO]]</f>
        <v>827933.55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SUMIFS(Tab_05.Mai[SALDO
ATUAL],Tab_05.Mai[CONTA],$I168)</f>
        <v>778560.52</v>
      </c>
      <c r="G168" s="4">
        <f t="shared" si="6"/>
        <v>-160714.26999999999</v>
      </c>
      <c r="I168" s="3" t="s">
        <v>235</v>
      </c>
      <c r="J168" s="3" t="s">
        <v>824</v>
      </c>
      <c r="K168" s="4">
        <v>939274.79</v>
      </c>
      <c r="L168" s="4">
        <v>140914.97</v>
      </c>
      <c r="M168" s="4">
        <v>14978.01</v>
      </c>
      <c r="N168" s="4">
        <v>1065211.75</v>
      </c>
      <c r="O168" s="4">
        <f>Tab_06.Jun[[#This Row],[DÉBITO]]-Tab_06.Jun[[#This Row],[CRÉDITO]]</f>
        <v>125936.96000000001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SUMIFS(Tab_05.Mai[SALDO
ATUAL],Tab_05.Mai[CONTA],$I169)</f>
        <v>352529.93</v>
      </c>
      <c r="G169" s="4">
        <f t="shared" si="6"/>
        <v>-69921.070000000007</v>
      </c>
      <c r="I169" s="3" t="s">
        <v>236</v>
      </c>
      <c r="J169" s="3" t="s">
        <v>696</v>
      </c>
      <c r="K169" s="4">
        <v>422451</v>
      </c>
      <c r="L169" s="4">
        <v>65941.08</v>
      </c>
      <c r="M169" s="4">
        <v>11147.59</v>
      </c>
      <c r="N169" s="4">
        <v>477244.49</v>
      </c>
      <c r="O169" s="4">
        <f>Tab_06.Jun[[#This Row],[DÉBITO]]-Tab_06.Jun[[#This Row],[CRÉDITO]]</f>
        <v>54793.49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SUMIFS(Tab_05.Mai[SALDO
ATUAL],Tab_05.Mai[CONTA],$I170)</f>
        <v>235725.68</v>
      </c>
      <c r="G170" s="4">
        <f t="shared" si="6"/>
        <v>-54166.77</v>
      </c>
      <c r="I170" s="3" t="s">
        <v>195</v>
      </c>
      <c r="J170" s="3" t="s">
        <v>427</v>
      </c>
      <c r="K170" s="4">
        <v>289892.45</v>
      </c>
      <c r="L170" s="4">
        <v>48223.8</v>
      </c>
      <c r="M170" s="4">
        <v>11147.59</v>
      </c>
      <c r="N170" s="4">
        <v>326968.65999999997</v>
      </c>
      <c r="O170" s="4">
        <f>Tab_06.Jun[[#This Row],[DÉBITO]]-Tab_06.Jun[[#This Row],[CRÉDITO]]</f>
        <v>37076.21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SUMIFS(Tab_05.Mai[SALDO
ATUAL],Tab_05.Mai[CONTA],$I171)</f>
        <v>40250.800000000003</v>
      </c>
      <c r="G171" s="4">
        <f t="shared" si="6"/>
        <v>-6494.98</v>
      </c>
      <c r="I171" s="3" t="s">
        <v>430</v>
      </c>
      <c r="J171" s="3" t="s">
        <v>431</v>
      </c>
      <c r="K171" s="4">
        <v>46745.78</v>
      </c>
      <c r="L171" s="4">
        <v>6726.67</v>
      </c>
      <c r="M171" s="4">
        <v>0</v>
      </c>
      <c r="N171" s="4">
        <v>53472.45</v>
      </c>
      <c r="O171" s="4">
        <f>Tab_06.Jun[[#This Row],[DÉBITO]]-Tab_06.Jun[[#This Row],[CRÉDITO]]</f>
        <v>6726.67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SUMIFS(Tab_05.Mai[SALDO
ATUAL],Tab_05.Mai[CONTA],$I172)</f>
        <v>25225.13</v>
      </c>
      <c r="G172" s="4">
        <f t="shared" si="6"/>
        <v>-5045.03</v>
      </c>
      <c r="I172" s="3" t="s">
        <v>432</v>
      </c>
      <c r="J172" s="3" t="s">
        <v>433</v>
      </c>
      <c r="K172" s="4">
        <v>30270.16</v>
      </c>
      <c r="L172" s="4">
        <v>6330.11</v>
      </c>
      <c r="M172" s="4">
        <v>0</v>
      </c>
      <c r="N172" s="4">
        <v>36600.269999999997</v>
      </c>
      <c r="O172" s="4">
        <f>Tab_06.Jun[[#This Row],[DÉBITO]]-Tab_06.Jun[[#This Row],[CRÉDITO]]</f>
        <v>6330.11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SUMIFS(Tab_05.Mai[SALDO
ATUAL],Tab_05.Mai[CONTA],$I173)</f>
        <v>40055.42</v>
      </c>
      <c r="G173" s="4">
        <f t="shared" si="6"/>
        <v>-1802.79</v>
      </c>
      <c r="I173" s="3" t="s">
        <v>796</v>
      </c>
      <c r="J173" s="3" t="s">
        <v>797</v>
      </c>
      <c r="K173" s="4">
        <v>41858.21</v>
      </c>
      <c r="L173" s="4">
        <v>1802.73</v>
      </c>
      <c r="M173" s="4">
        <v>0</v>
      </c>
      <c r="N173" s="4">
        <v>43660.94</v>
      </c>
      <c r="O173" s="4">
        <f>Tab_06.Jun[[#This Row],[DÉBITO]]-Tab_06.Jun[[#This Row],[CRÉDITO]]</f>
        <v>1802.73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SUMIFS(Tab_05.Mai[SALDO
ATUAL],Tab_05.Mai[CONTA],$I174)</f>
        <v>1979.14</v>
      </c>
      <c r="G174" s="4">
        <f t="shared" si="6"/>
        <v>-538.13</v>
      </c>
      <c r="I174" s="3" t="s">
        <v>798</v>
      </c>
      <c r="J174" s="3" t="s">
        <v>799</v>
      </c>
      <c r="K174" s="4">
        <v>2517.27</v>
      </c>
      <c r="L174" s="4">
        <v>538.13</v>
      </c>
      <c r="M174" s="4">
        <v>0</v>
      </c>
      <c r="N174" s="4">
        <v>3055.4</v>
      </c>
      <c r="O174" s="4">
        <f>Tab_06.Jun[[#This Row],[DÉBITO]]-Tab_06.Jun[[#This Row],[CRÉDITO]]</f>
        <v>538.13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SUMIFS(Tab_05.Mai[SALDO
ATUAL],Tab_05.Mai[CONTA],$I175)</f>
        <v>263.23</v>
      </c>
      <c r="G175" s="4">
        <f t="shared" si="6"/>
        <v>-67.260000000000005</v>
      </c>
      <c r="I175" s="3" t="s">
        <v>800</v>
      </c>
      <c r="J175" s="3" t="s">
        <v>801</v>
      </c>
      <c r="K175" s="4">
        <v>330.49</v>
      </c>
      <c r="L175" s="4">
        <v>67.28</v>
      </c>
      <c r="M175" s="4">
        <v>0</v>
      </c>
      <c r="N175" s="4">
        <v>397.77</v>
      </c>
      <c r="O175" s="4">
        <f>Tab_06.Jun[[#This Row],[DÉBITO]]-Tab_06.Jun[[#This Row],[CRÉDITO]]</f>
        <v>67.28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SUMIFS(Tab_05.Mai[SALDO
ATUAL],Tab_05.Mai[CONTA],$I176)</f>
        <v>6760.31</v>
      </c>
      <c r="G176" s="4">
        <f t="shared" si="6"/>
        <v>-1352.05</v>
      </c>
      <c r="I176" s="3" t="s">
        <v>802</v>
      </c>
      <c r="J176" s="3" t="s">
        <v>803</v>
      </c>
      <c r="K176" s="4">
        <v>8112.36</v>
      </c>
      <c r="L176" s="4">
        <v>1695.5</v>
      </c>
      <c r="M176" s="4">
        <v>0</v>
      </c>
      <c r="N176" s="4">
        <v>9807.86</v>
      </c>
      <c r="O176" s="4">
        <f>Tab_06.Jun[[#This Row],[DÉBITO]]-Tab_06.Jun[[#This Row],[CRÉDITO]]</f>
        <v>1695.5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SUMIFS(Tab_05.Mai[SALDO
ATUAL],Tab_05.Mai[CONTA],$I177)</f>
        <v>2017.98</v>
      </c>
      <c r="G177" s="4">
        <f t="shared" si="6"/>
        <v>-403.61</v>
      </c>
      <c r="I177" s="3" t="s">
        <v>804</v>
      </c>
      <c r="J177" s="3" t="s">
        <v>805</v>
      </c>
      <c r="K177" s="4">
        <v>2421.59</v>
      </c>
      <c r="L177" s="4">
        <v>506.41</v>
      </c>
      <c r="M177" s="4">
        <v>0</v>
      </c>
      <c r="N177" s="4">
        <v>2928</v>
      </c>
      <c r="O177" s="4">
        <f>Tab_06.Jun[[#This Row],[DÉBITO]]-Tab_06.Jun[[#This Row],[CRÉDITO]]</f>
        <v>506.41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SUMIFS(Tab_05.Mai[SALDO
ATUAL],Tab_05.Mai[CONTA],$I178)</f>
        <v>252.24</v>
      </c>
      <c r="G178" s="4">
        <f t="shared" ref="G178:G198" si="7">$F178-$K178</f>
        <v>-50.45</v>
      </c>
      <c r="I178" s="3" t="s">
        <v>806</v>
      </c>
      <c r="J178" s="3" t="s">
        <v>807</v>
      </c>
      <c r="K178" s="4">
        <v>302.69</v>
      </c>
      <c r="L178" s="4">
        <v>50.45</v>
      </c>
      <c r="M178" s="4">
        <v>0</v>
      </c>
      <c r="N178" s="4">
        <v>353.14</v>
      </c>
      <c r="O178" s="4">
        <f>Tab_06.Jun[[#This Row],[DÉBITO]]-Tab_06.Jun[[#This Row],[CRÉDITO]]</f>
        <v>50.45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S</v>
      </c>
      <c r="E179" s="2">
        <f>IF($I179="","",COUNTIFS(Tab_00.Trial[CONTA],$I179))</f>
        <v>1</v>
      </c>
      <c r="F179" s="4">
        <f>SUMIFS(Tab_05.Mai[SALDO
ATUAL],Tab_05.Mai[CONTA],$I179)</f>
        <v>125701.8</v>
      </c>
      <c r="G179" s="4">
        <f t="shared" si="7"/>
        <v>-29914.99</v>
      </c>
      <c r="I179" s="3" t="s">
        <v>590</v>
      </c>
      <c r="J179" s="3" t="s">
        <v>697</v>
      </c>
      <c r="K179" s="4">
        <v>155616.79</v>
      </c>
      <c r="L179" s="4">
        <v>26643.32</v>
      </c>
      <c r="M179" s="4">
        <v>3365.72</v>
      </c>
      <c r="N179" s="4">
        <v>178894.39</v>
      </c>
      <c r="O179" s="4">
        <f>Tab_06.Jun[[#This Row],[DÉBITO]]-Tab_06.Jun[[#This Row],[CRÉDITO]]</f>
        <v>23277.599999999999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SUMIFS(Tab_05.Mai[SALDO
ATUAL],Tab_05.Mai[CONTA],$I180)</f>
        <v>121415.07</v>
      </c>
      <c r="G180" s="4">
        <f t="shared" si="7"/>
        <v>-29434.39</v>
      </c>
      <c r="I180" s="3" t="s">
        <v>434</v>
      </c>
      <c r="J180" s="3" t="s">
        <v>435</v>
      </c>
      <c r="K180" s="4">
        <v>150849.46</v>
      </c>
      <c r="L180" s="4">
        <v>25050.02</v>
      </c>
      <c r="M180" s="4">
        <v>1487.14</v>
      </c>
      <c r="N180" s="4">
        <v>174412.34</v>
      </c>
      <c r="O180" s="4">
        <f>Tab_06.Jun[[#This Row],[DÉBITO]]-Tab_06.Jun[[#This Row],[CRÉDITO]]</f>
        <v>23562.880000000001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SUMIFS(Tab_05.Mai[SALDO
ATUAL],Tab_05.Mai[CONTA],$I181)</f>
        <v>4286.7299999999996</v>
      </c>
      <c r="G181" s="4">
        <f t="shared" si="7"/>
        <v>-480.6</v>
      </c>
      <c r="I181" s="3" t="s">
        <v>750</v>
      </c>
      <c r="J181" s="3" t="s">
        <v>751</v>
      </c>
      <c r="K181" s="4">
        <v>4767.33</v>
      </c>
      <c r="L181" s="4">
        <v>1593.3</v>
      </c>
      <c r="M181" s="4">
        <v>1878.58</v>
      </c>
      <c r="N181" s="4">
        <v>4482.05</v>
      </c>
      <c r="O181" s="4">
        <f>Tab_06.Jun[[#This Row],[DÉBITO]]-Tab_06.Jun[[#This Row],[CRÉDITO]]</f>
        <v>-285.27999999999997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SUMIFS(Tab_05.Mai[SALDO
ATUAL],Tab_05.Mai[CONTA],$I182)</f>
        <v>111910.85</v>
      </c>
      <c r="G182" s="4">
        <f t="shared" si="7"/>
        <v>-18699.61</v>
      </c>
      <c r="I182" s="3" t="s">
        <v>591</v>
      </c>
      <c r="J182" s="3" t="s">
        <v>698</v>
      </c>
      <c r="K182" s="4">
        <v>130610.46</v>
      </c>
      <c r="L182" s="4">
        <v>13616.33</v>
      </c>
      <c r="M182" s="4">
        <v>464.7</v>
      </c>
      <c r="N182" s="4">
        <v>143762.09</v>
      </c>
      <c r="O182" s="4">
        <f>Tab_06.Jun[[#This Row],[DÉBITO]]-Tab_06.Jun[[#This Row],[CRÉDITO]]</f>
        <v>13151.63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SUMIFS(Tab_05.Mai[SALDO
ATUAL],Tab_05.Mai[CONTA],$I183)</f>
        <v>89987.74</v>
      </c>
      <c r="G183" s="4">
        <f t="shared" si="7"/>
        <v>-15003.75</v>
      </c>
      <c r="I183" s="3" t="s">
        <v>436</v>
      </c>
      <c r="J183" s="3" t="s">
        <v>437</v>
      </c>
      <c r="K183" s="4">
        <v>104991.49</v>
      </c>
      <c r="L183" s="4">
        <v>9936.44</v>
      </c>
      <c r="M183" s="4">
        <v>0</v>
      </c>
      <c r="N183" s="4">
        <v>114927.93</v>
      </c>
      <c r="O183" s="4">
        <f>Tab_06.Jun[[#This Row],[DÉBITO]]-Tab_06.Jun[[#This Row],[CRÉDITO]]</f>
        <v>9936.44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SUMIFS(Tab_05.Mai[SALDO
ATUAL],Tab_05.Mai[CONTA],$I184)</f>
        <v>18856.099999999999</v>
      </c>
      <c r="G184" s="4">
        <f t="shared" si="7"/>
        <v>-3154.19</v>
      </c>
      <c r="I184" s="3" t="s">
        <v>438</v>
      </c>
      <c r="J184" s="3" t="s">
        <v>196</v>
      </c>
      <c r="K184" s="4">
        <v>22010.29</v>
      </c>
      <c r="L184" s="4">
        <v>3309.12</v>
      </c>
      <c r="M184" s="4">
        <v>464.7</v>
      </c>
      <c r="N184" s="4">
        <v>24854.71</v>
      </c>
      <c r="O184" s="4">
        <f>Tab_06.Jun[[#This Row],[DÉBITO]]-Tab_06.Jun[[#This Row],[CRÉDITO]]</f>
        <v>2844.42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SUMIFS(Tab_05.Mai[SALDO
ATUAL],Tab_05.Mai[CONTA],$I185)</f>
        <v>3067.01</v>
      </c>
      <c r="G185" s="4">
        <f t="shared" si="7"/>
        <v>-541.66999999999996</v>
      </c>
      <c r="I185" s="3" t="s">
        <v>439</v>
      </c>
      <c r="J185" s="3" t="s">
        <v>440</v>
      </c>
      <c r="K185" s="4">
        <v>3608.68</v>
      </c>
      <c r="L185" s="4">
        <v>370.77</v>
      </c>
      <c r="M185" s="4">
        <v>0</v>
      </c>
      <c r="N185" s="4">
        <v>3979.45</v>
      </c>
      <c r="O185" s="4">
        <f>Tab_06.Jun[[#This Row],[DÉBITO]]-Tab_06.Jun[[#This Row],[CRÉDITO]]</f>
        <v>370.77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S</v>
      </c>
      <c r="E186" s="2">
        <f>IF($I186="","",COUNTIFS(Tab_00.Trial[CONTA],$I186))</f>
        <v>1</v>
      </c>
      <c r="F186" s="4">
        <f>SUMIFS(Tab_05.Mai[SALDO
ATUAL],Tab_05.Mai[CONTA],$I186)</f>
        <v>6378.77</v>
      </c>
      <c r="G186" s="4">
        <f t="shared" si="7"/>
        <v>-1653.13</v>
      </c>
      <c r="I186" s="3" t="s">
        <v>592</v>
      </c>
      <c r="J186" s="3" t="s">
        <v>699</v>
      </c>
      <c r="K186" s="4">
        <v>8031.9</v>
      </c>
      <c r="L186" s="4">
        <v>1711.6</v>
      </c>
      <c r="M186" s="4">
        <v>0</v>
      </c>
      <c r="N186" s="4">
        <v>9743.5</v>
      </c>
      <c r="O186" s="4">
        <f>Tab_06.Jun[[#This Row],[DÉBITO]]-Tab_06.Jun[[#This Row],[CRÉDITO]]</f>
        <v>1711.6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SUMIFS(Tab_05.Mai[SALDO
ATUAL],Tab_05.Mai[CONTA],$I187)</f>
        <v>6378.77</v>
      </c>
      <c r="G187" s="4">
        <f t="shared" si="7"/>
        <v>-1653.13</v>
      </c>
      <c r="I187" s="3" t="s">
        <v>397</v>
      </c>
      <c r="J187" s="3" t="s">
        <v>398</v>
      </c>
      <c r="K187" s="4">
        <v>8031.9</v>
      </c>
      <c r="L187" s="4">
        <v>1711.6</v>
      </c>
      <c r="M187" s="4">
        <v>0</v>
      </c>
      <c r="N187" s="4">
        <v>9743.5</v>
      </c>
      <c r="O187" s="4">
        <f>Tab_06.Jun[[#This Row],[DÉBITO]]-Tab_06.Jun[[#This Row],[CRÉDITO]]</f>
        <v>1711.6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SUMIFS(Tab_05.Mai[SALDO
ATUAL],Tab_05.Mai[CONTA],$I188)</f>
        <v>175168.85</v>
      </c>
      <c r="G188" s="4">
        <f t="shared" si="7"/>
        <v>-38554.160000000003</v>
      </c>
      <c r="I188" s="3" t="s">
        <v>593</v>
      </c>
      <c r="J188" s="3" t="s">
        <v>711</v>
      </c>
      <c r="K188" s="4">
        <v>213723.01</v>
      </c>
      <c r="L188" s="4">
        <v>31975.96</v>
      </c>
      <c r="M188" s="4">
        <v>0</v>
      </c>
      <c r="N188" s="4">
        <v>245698.97</v>
      </c>
      <c r="O188" s="4">
        <f>Tab_06.Jun[[#This Row],[DÉBITO]]-Tab_06.Jun[[#This Row],[CRÉDITO]]</f>
        <v>31975.96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SUMIFS(Tab_05.Mai[SALDO
ATUAL],Tab_05.Mai[CONTA],$I189)</f>
        <v>20679.8</v>
      </c>
      <c r="G189" s="4">
        <f t="shared" si="7"/>
        <v>-4135.96</v>
      </c>
      <c r="I189" s="3" t="s">
        <v>403</v>
      </c>
      <c r="J189" s="3" t="s">
        <v>404</v>
      </c>
      <c r="K189" s="4">
        <v>24815.759999999998</v>
      </c>
      <c r="L189" s="4">
        <v>4135.96</v>
      </c>
      <c r="M189" s="4">
        <v>0</v>
      </c>
      <c r="N189" s="4">
        <v>28951.72</v>
      </c>
      <c r="O189" s="4">
        <f>Tab_06.Jun[[#This Row],[DÉBITO]]-Tab_06.Jun[[#This Row],[CRÉDITO]]</f>
        <v>4135.96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SUMIFS(Tab_05.Mai[SALDO
ATUAL],Tab_05.Mai[CONTA],$I190)</f>
        <v>139137</v>
      </c>
      <c r="G190" s="4">
        <f t="shared" si="7"/>
        <v>-29405</v>
      </c>
      <c r="I190" s="3" t="s">
        <v>405</v>
      </c>
      <c r="J190" s="3" t="s">
        <v>406</v>
      </c>
      <c r="K190" s="4">
        <v>168542</v>
      </c>
      <c r="L190" s="4">
        <v>27840</v>
      </c>
      <c r="M190" s="4">
        <v>0</v>
      </c>
      <c r="N190" s="4">
        <v>196382</v>
      </c>
      <c r="O190" s="4">
        <f>Tab_06.Jun[[#This Row],[DÉBITO]]-Tab_06.Jun[[#This Row],[CRÉDITO]]</f>
        <v>27840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SUMIFS(Tab_05.Mai[SALDO
ATUAL],Tab_05.Mai[CONTA],$I191)</f>
        <v>15352.05</v>
      </c>
      <c r="G191" s="4">
        <f t="shared" si="7"/>
        <v>-5013.2</v>
      </c>
      <c r="I191" s="3" t="s">
        <v>407</v>
      </c>
      <c r="J191" s="3" t="s">
        <v>408</v>
      </c>
      <c r="K191" s="4">
        <v>20365.25</v>
      </c>
      <c r="L191" s="4">
        <v>0</v>
      </c>
      <c r="M191" s="4">
        <v>0</v>
      </c>
      <c r="N191" s="4">
        <v>20365.25</v>
      </c>
      <c r="O191" s="4">
        <f>Tab_06.Jun[[#This Row],[DÉBITO]]-Tab_06.Jun[[#This Row],[CRÉDITO]]</f>
        <v>0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SUMIFS(Tab_05.Mai[SALDO
ATUAL],Tab_05.Mai[CONTA],$I192)</f>
        <v>3894.7</v>
      </c>
      <c r="G192" s="4">
        <f t="shared" si="7"/>
        <v>-1244.05</v>
      </c>
      <c r="I192" s="3" t="s">
        <v>594</v>
      </c>
      <c r="J192" s="3" t="s">
        <v>825</v>
      </c>
      <c r="K192" s="4">
        <v>5138.75</v>
      </c>
      <c r="L192" s="4">
        <v>599.41999999999996</v>
      </c>
      <c r="M192" s="4">
        <v>0</v>
      </c>
      <c r="N192" s="4">
        <v>5738.17</v>
      </c>
      <c r="O192" s="4">
        <f>Tab_06.Jun[[#This Row],[DÉBITO]]-Tab_06.Jun[[#This Row],[CRÉDITO]]</f>
        <v>599.41999999999996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SUMIFS(Tab_05.Mai[SALDO
ATUAL],Tab_05.Mai[CONTA],$I193)</f>
        <v>300</v>
      </c>
      <c r="G193" s="4">
        <f t="shared" si="7"/>
        <v>0</v>
      </c>
      <c r="I193" s="3" t="s">
        <v>411</v>
      </c>
      <c r="J193" s="3" t="s">
        <v>412</v>
      </c>
      <c r="K193" s="4">
        <v>300</v>
      </c>
      <c r="L193" s="4">
        <v>0</v>
      </c>
      <c r="M193" s="4">
        <v>0</v>
      </c>
      <c r="N193" s="4">
        <v>300</v>
      </c>
      <c r="O193" s="4">
        <f>Tab_06.Jun[[#This Row],[DÉBITO]]-Tab_06.Jun[[#This Row],[CRÉDITO]]</f>
        <v>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SUMIFS(Tab_05.Mai[SALDO
ATUAL],Tab_05.Mai[CONTA],$I194)</f>
        <v>3594.7</v>
      </c>
      <c r="G194" s="4">
        <f t="shared" si="7"/>
        <v>-1244.05</v>
      </c>
      <c r="I194" s="3" t="s">
        <v>413</v>
      </c>
      <c r="J194" s="3" t="s">
        <v>414</v>
      </c>
      <c r="K194" s="4">
        <v>4838.75</v>
      </c>
      <c r="L194" s="4">
        <v>599.41999999999996</v>
      </c>
      <c r="M194" s="4">
        <v>0</v>
      </c>
      <c r="N194" s="4">
        <v>5438.17</v>
      </c>
      <c r="O194" s="4">
        <f>Tab_06.Jun[[#This Row],[DÉBITO]]-Tab_06.Jun[[#This Row],[CRÉDITO]]</f>
        <v>599.41999999999996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SUMIFS(Tab_05.Mai[SALDO
ATUAL],Tab_05.Mai[CONTA],$I195)</f>
        <v>2975.62</v>
      </c>
      <c r="G195" s="4">
        <f t="shared" si="7"/>
        <v>-727.26</v>
      </c>
      <c r="I195" s="3" t="s">
        <v>595</v>
      </c>
      <c r="J195" s="3" t="s">
        <v>420</v>
      </c>
      <c r="K195" s="4">
        <v>3702.88</v>
      </c>
      <c r="L195" s="4">
        <v>427.26</v>
      </c>
      <c r="M195" s="4">
        <v>0</v>
      </c>
      <c r="N195" s="4">
        <v>4130.1400000000003</v>
      </c>
      <c r="O195" s="4">
        <f>Tab_06.Jun[[#This Row],[DÉBITO]]-Tab_06.Jun[[#This Row],[CRÉDITO]]</f>
        <v>427.26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SUMIFS(Tab_05.Mai[SALDO
ATUAL],Tab_05.Mai[CONTA],$I196)</f>
        <v>2975.62</v>
      </c>
      <c r="G196" s="4">
        <f t="shared" si="7"/>
        <v>-727.26</v>
      </c>
      <c r="I196" s="3" t="s">
        <v>419</v>
      </c>
      <c r="J196" s="3" t="s">
        <v>420</v>
      </c>
      <c r="K196" s="4">
        <v>3702.88</v>
      </c>
      <c r="L196" s="4">
        <v>427.26</v>
      </c>
      <c r="M196" s="4">
        <v>0</v>
      </c>
      <c r="N196" s="4">
        <v>4130.1400000000003</v>
      </c>
      <c r="O196" s="4">
        <f>Tab_06.Jun[[#This Row],[DÉBITO]]-Tab_06.Jun[[#This Row],[CRÉDITO]]</f>
        <v>427.26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SUMIFS(Tab_05.Mai[SALDO
ATUAL],Tab_05.Mai[CONTA],$I197)</f>
        <v>3614143.37</v>
      </c>
      <c r="G197" s="4">
        <f t="shared" si="7"/>
        <v>-373293.24</v>
      </c>
      <c r="I197" s="3" t="s">
        <v>237</v>
      </c>
      <c r="J197" s="3" t="s">
        <v>702</v>
      </c>
      <c r="K197" s="4">
        <v>3987436.61</v>
      </c>
      <c r="L197" s="4">
        <v>701996.59</v>
      </c>
      <c r="M197" s="4">
        <v>0</v>
      </c>
      <c r="N197" s="4">
        <v>4689433.2</v>
      </c>
      <c r="O197" s="4">
        <f>Tab_06.Jun[[#This Row],[DÉBITO]]-Tab_06.Jun[[#This Row],[CRÉDITO]]</f>
        <v>701996.59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SUMIFS(Tab_05.Mai[SALDO
ATUAL],Tab_05.Mai[CONTA],$I198)</f>
        <v>3614143.37</v>
      </c>
      <c r="G198" s="4">
        <f t="shared" si="7"/>
        <v>-373293.24</v>
      </c>
      <c r="I198" s="3" t="s">
        <v>238</v>
      </c>
      <c r="J198" s="3" t="s">
        <v>826</v>
      </c>
      <c r="K198" s="4">
        <v>3987436.61</v>
      </c>
      <c r="L198" s="4">
        <v>701996.59</v>
      </c>
      <c r="M198" s="4">
        <v>0</v>
      </c>
      <c r="N198" s="4">
        <v>4689433.2</v>
      </c>
      <c r="O198" s="4">
        <f>Tab_06.Jun[[#This Row],[DÉBITO]]-Tab_06.Jun[[#This Row],[CRÉDITO]]</f>
        <v>701996.59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SUMIFS(Tab_05.Mai[SALDO
ATUAL],Tab_05.Mai[CONTA],$I199)</f>
        <v>1195265.1000000001</v>
      </c>
      <c r="G199" s="4">
        <f>$F199-$K199</f>
        <v>-184021.85</v>
      </c>
      <c r="I199" s="3" t="s">
        <v>421</v>
      </c>
      <c r="J199" s="3" t="s">
        <v>422</v>
      </c>
      <c r="K199" s="4">
        <v>1379286.95</v>
      </c>
      <c r="L199" s="4">
        <v>323149.34999999998</v>
      </c>
      <c r="M199" s="4">
        <v>0</v>
      </c>
      <c r="N199" s="4">
        <v>1702436.3</v>
      </c>
      <c r="O199" s="4">
        <f>Tab_06.Jun[[#This Row],[DÉBITO]]-Tab_06.Jun[[#This Row],[CRÉDITO]]</f>
        <v>323149.34999999998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SUMIFS(Tab_05.Mai[SALDO
ATUAL],Tab_05.Mai[CONTA],$I200)</f>
        <v>652647.16</v>
      </c>
      <c r="G200" s="4">
        <f t="shared" ref="G200:G231" si="8">$F200-$K200</f>
        <v>-129579.24</v>
      </c>
      <c r="I200" s="3" t="s">
        <v>738</v>
      </c>
      <c r="J200" s="3" t="s">
        <v>367</v>
      </c>
      <c r="K200" s="4">
        <v>782226.4</v>
      </c>
      <c r="L200" s="4">
        <v>133881.88</v>
      </c>
      <c r="M200" s="4">
        <v>0</v>
      </c>
      <c r="N200" s="4">
        <v>916108.28</v>
      </c>
      <c r="O200" s="4">
        <f>Tab_06.Jun[[#This Row],[DÉBITO]]-Tab_06.Jun[[#This Row],[CRÉDITO]]</f>
        <v>133881.88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SUMIFS(Tab_05.Mai[SALDO
ATUAL],Tab_05.Mai[CONTA],$I201)</f>
        <v>1766231.11</v>
      </c>
      <c r="G201" s="4">
        <f t="shared" si="8"/>
        <v>-59692.15</v>
      </c>
      <c r="I201" s="3" t="s">
        <v>423</v>
      </c>
      <c r="J201" s="3" t="s">
        <v>424</v>
      </c>
      <c r="K201" s="4">
        <v>1825923.26</v>
      </c>
      <c r="L201" s="4">
        <v>244965.36</v>
      </c>
      <c r="M201" s="4">
        <v>0</v>
      </c>
      <c r="N201" s="4">
        <v>2070888.62</v>
      </c>
      <c r="O201" s="4">
        <f>Tab_06.Jun[[#This Row],[DÉBITO]]-Tab_06.Jun[[#This Row],[CRÉDITO]]</f>
        <v>244965.36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1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SUMIFS(Tab_05.Mai[SALDO
ATUAL],Tab_05.Mai[CONTA],$I202)</f>
        <v>1471404.67</v>
      </c>
      <c r="G202" s="4">
        <f t="shared" si="8"/>
        <v>-308453.88</v>
      </c>
      <c r="I202" s="3">
        <v>5</v>
      </c>
      <c r="J202" s="3" t="s">
        <v>705</v>
      </c>
      <c r="K202" s="4">
        <v>1779858.55</v>
      </c>
      <c r="L202" s="4">
        <v>271383.77</v>
      </c>
      <c r="M202" s="4">
        <v>13529.14</v>
      </c>
      <c r="N202" s="4">
        <v>2037713.18</v>
      </c>
      <c r="O202" s="4">
        <f>Tab_06.Jun[[#This Row],[DÉBITO]]-Tab_06.Jun[[#This Row],[CRÉDITO]]</f>
        <v>257854.63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2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SUMIFS(Tab_05.Mai[SALDO
ATUAL],Tab_05.Mai[CONTA],$I203)</f>
        <v>1471323.67</v>
      </c>
      <c r="G203" s="4">
        <f t="shared" si="8"/>
        <v>-308318.88</v>
      </c>
      <c r="I203" s="3" t="s">
        <v>599</v>
      </c>
      <c r="J203" s="3" t="s">
        <v>827</v>
      </c>
      <c r="K203" s="4">
        <v>1779642.55</v>
      </c>
      <c r="L203" s="4">
        <v>271383.77</v>
      </c>
      <c r="M203" s="4">
        <v>13529.14</v>
      </c>
      <c r="N203" s="4">
        <v>2037497.18</v>
      </c>
      <c r="O203" s="4">
        <f>Tab_06.Jun[[#This Row],[DÉBITO]]-Tab_06.Jun[[#This Row],[CRÉDITO]]</f>
        <v>257854.63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S</v>
      </c>
      <c r="E204" s="2">
        <f>IF($I204="","",COUNTIFS(Tab_00.Trial[CONTA],$I204))</f>
        <v>1</v>
      </c>
      <c r="F204" s="4">
        <f>SUMIFS(Tab_05.Mai[SALDO
ATUAL],Tab_05.Mai[CONTA],$I204)</f>
        <v>663991.79</v>
      </c>
      <c r="G204" s="4">
        <f t="shared" si="8"/>
        <v>-72121.100000000006</v>
      </c>
      <c r="I204" s="3" t="s">
        <v>600</v>
      </c>
      <c r="J204" s="3" t="s">
        <v>706</v>
      </c>
      <c r="K204" s="4">
        <v>736112.89</v>
      </c>
      <c r="L204" s="4">
        <v>81558.22</v>
      </c>
      <c r="M204" s="4">
        <v>13529.14</v>
      </c>
      <c r="N204" s="4">
        <v>804141.97</v>
      </c>
      <c r="O204" s="4">
        <f>Tab_06.Jun[[#This Row],[DÉBITO]]-Tab_06.Jun[[#This Row],[CRÉDITO]]</f>
        <v>68029.08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SUMIFS(Tab_05.Mai[SALDO
ATUAL],Tab_05.Mai[CONTA],$I205)</f>
        <v>395452.86</v>
      </c>
      <c r="G205" s="4">
        <f t="shared" si="8"/>
        <v>-56514.58</v>
      </c>
      <c r="I205" s="3" t="s">
        <v>601</v>
      </c>
      <c r="J205" s="3" t="s">
        <v>707</v>
      </c>
      <c r="K205" s="4">
        <v>451967.44</v>
      </c>
      <c r="L205" s="4">
        <v>63858.85</v>
      </c>
      <c r="M205" s="4">
        <v>11432.48</v>
      </c>
      <c r="N205" s="4">
        <v>504393.81</v>
      </c>
      <c r="O205" s="4">
        <f>Tab_06.Jun[[#This Row],[DÉBITO]]-Tab_06.Jun[[#This Row],[CRÉDITO]]</f>
        <v>52426.37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SUMIFS(Tab_05.Mai[SALDO
ATUAL],Tab_05.Mai[CONTA],$I206)</f>
        <v>225199.92</v>
      </c>
      <c r="G206" s="4">
        <f t="shared" si="8"/>
        <v>-45176.639999999999</v>
      </c>
      <c r="I206" s="3" t="s">
        <v>441</v>
      </c>
      <c r="J206" s="3" t="s">
        <v>427</v>
      </c>
      <c r="K206" s="4">
        <v>270376.56</v>
      </c>
      <c r="L206" s="4">
        <v>54484.95</v>
      </c>
      <c r="M206" s="4">
        <v>11432.48</v>
      </c>
      <c r="N206" s="4">
        <v>313429.03000000003</v>
      </c>
      <c r="O206" s="4">
        <f>Tab_06.Jun[[#This Row],[DÉBITO]]-Tab_06.Jun[[#This Row],[CRÉDITO]]</f>
        <v>43052.47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SUMIFS(Tab_05.Mai[SALDO
ATUAL],Tab_05.Mai[CONTA],$I207)</f>
        <v>33586.93</v>
      </c>
      <c r="G207" s="4">
        <f t="shared" si="8"/>
        <v>-4905.08</v>
      </c>
      <c r="I207" s="3" t="s">
        <v>443</v>
      </c>
      <c r="J207" s="3" t="s">
        <v>431</v>
      </c>
      <c r="K207" s="4">
        <v>38492.01</v>
      </c>
      <c r="L207" s="4">
        <v>4673.3599999999997</v>
      </c>
      <c r="M207" s="4">
        <v>0</v>
      </c>
      <c r="N207" s="4">
        <v>43165.37</v>
      </c>
      <c r="O207" s="4">
        <f>Tab_06.Jun[[#This Row],[DÉBITO]]-Tab_06.Jun[[#This Row],[CRÉDITO]]</f>
        <v>4673.3599999999997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SUMIFS(Tab_05.Mai[SALDO
ATUAL],Tab_05.Mai[CONTA],$I208)</f>
        <v>28397.25</v>
      </c>
      <c r="G208" s="4">
        <f t="shared" si="8"/>
        <v>-3505.02</v>
      </c>
      <c r="I208" s="3" t="s">
        <v>444</v>
      </c>
      <c r="J208" s="3" t="s">
        <v>433</v>
      </c>
      <c r="K208" s="4">
        <v>31902.27</v>
      </c>
      <c r="L208" s="4">
        <v>2219.91</v>
      </c>
      <c r="M208" s="4">
        <v>0</v>
      </c>
      <c r="N208" s="4">
        <v>34122.18</v>
      </c>
      <c r="O208" s="4">
        <f>Tab_06.Jun[[#This Row],[DÉBITO]]-Tab_06.Jun[[#This Row],[CRÉDITO]]</f>
        <v>2219.91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SUMIFS(Tab_05.Mai[SALDO
ATUAL],Tab_05.Mai[CONTA],$I209)</f>
        <v>85959.77</v>
      </c>
      <c r="G209" s="4">
        <f t="shared" si="8"/>
        <v>0</v>
      </c>
      <c r="I209" s="3" t="s">
        <v>777</v>
      </c>
      <c r="J209" s="3" t="s">
        <v>749</v>
      </c>
      <c r="K209" s="4">
        <v>85959.77</v>
      </c>
      <c r="L209" s="4">
        <v>0</v>
      </c>
      <c r="M209" s="4">
        <v>0</v>
      </c>
      <c r="N209" s="4">
        <v>85959.77</v>
      </c>
      <c r="O209" s="4">
        <f>Tab_06.Jun[[#This Row],[DÉBITO]]-Tab_06.Jun[[#This Row],[CRÉDITO]]</f>
        <v>0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SUMIFS(Tab_05.Mai[SALDO
ATUAL],Tab_05.Mai[CONTA],$I210)</f>
        <v>476.67</v>
      </c>
      <c r="G210" s="4">
        <f t="shared" si="8"/>
        <v>0</v>
      </c>
      <c r="I210" s="3" t="s">
        <v>447</v>
      </c>
      <c r="J210" s="3" t="s">
        <v>448</v>
      </c>
      <c r="K210" s="4">
        <v>476.67</v>
      </c>
      <c r="L210" s="4">
        <v>0</v>
      </c>
      <c r="M210" s="4">
        <v>0</v>
      </c>
      <c r="N210" s="4">
        <v>476.67</v>
      </c>
      <c r="O210" s="4">
        <f>Tab_06.Jun[[#This Row],[DÉBITO]]-Tab_06.Jun[[#This Row],[CRÉDITO]]</f>
        <v>0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SUMIFS(Tab_05.Mai[SALDO
ATUAL],Tab_05.Mai[CONTA],$I211)</f>
        <v>3272.33</v>
      </c>
      <c r="G211" s="4">
        <f t="shared" si="8"/>
        <v>-1252.48</v>
      </c>
      <c r="I211" s="3" t="s">
        <v>808</v>
      </c>
      <c r="J211" s="3" t="s">
        <v>797</v>
      </c>
      <c r="K211" s="4">
        <v>4524.8100000000004</v>
      </c>
      <c r="L211" s="4">
        <v>1252.46</v>
      </c>
      <c r="M211" s="4">
        <v>0</v>
      </c>
      <c r="N211" s="4">
        <v>5777.27</v>
      </c>
      <c r="O211" s="4">
        <f>Tab_06.Jun[[#This Row],[DÉBITO]]-Tab_06.Jun[[#This Row],[CRÉDITO]]</f>
        <v>1252.46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SUMIFS(Tab_05.Mai[SALDO
ATUAL],Tab_05.Mai[CONTA],$I212)</f>
        <v>10399.799999999999</v>
      </c>
      <c r="G212" s="4">
        <f t="shared" si="8"/>
        <v>-373.86</v>
      </c>
      <c r="I212" s="3" t="s">
        <v>809</v>
      </c>
      <c r="J212" s="3" t="s">
        <v>799</v>
      </c>
      <c r="K212" s="4">
        <v>10773.66</v>
      </c>
      <c r="L212" s="4">
        <v>373.87</v>
      </c>
      <c r="M212" s="4">
        <v>0</v>
      </c>
      <c r="N212" s="4">
        <v>11147.53</v>
      </c>
      <c r="O212" s="4">
        <f>Tab_06.Jun[[#This Row],[DÉBITO]]-Tab_06.Jun[[#This Row],[CRÉDITO]]</f>
        <v>373.87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SUMIFS(Tab_05.Mai[SALDO
ATUAL],Tab_05.Mai[CONTA],$I213)</f>
        <v>131.03</v>
      </c>
      <c r="G213" s="4">
        <f t="shared" si="8"/>
        <v>-46.74</v>
      </c>
      <c r="I213" s="3" t="s">
        <v>810</v>
      </c>
      <c r="J213" s="3" t="s">
        <v>801</v>
      </c>
      <c r="K213" s="4">
        <v>177.77</v>
      </c>
      <c r="L213" s="4">
        <v>46.74</v>
      </c>
      <c r="M213" s="4">
        <v>0</v>
      </c>
      <c r="N213" s="4">
        <v>224.51</v>
      </c>
      <c r="O213" s="4">
        <f>Tab_06.Jun[[#This Row],[DÉBITO]]-Tab_06.Jun[[#This Row],[CRÉDITO]]</f>
        <v>46.74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SUMIFS(Tab_05.Mai[SALDO
ATUAL],Tab_05.Mai[CONTA],$I214)</f>
        <v>6010.67</v>
      </c>
      <c r="G214" s="4">
        <f t="shared" si="8"/>
        <v>-939.34</v>
      </c>
      <c r="I214" s="3" t="s">
        <v>811</v>
      </c>
      <c r="J214" s="3" t="s">
        <v>803</v>
      </c>
      <c r="K214" s="4">
        <v>6950.01</v>
      </c>
      <c r="L214" s="4">
        <v>594.92999999999995</v>
      </c>
      <c r="M214" s="4">
        <v>0</v>
      </c>
      <c r="N214" s="4">
        <v>7544.94</v>
      </c>
      <c r="O214" s="4">
        <f>Tab_06.Jun[[#This Row],[DÉBITO]]-Tab_06.Jun[[#This Row],[CRÉDITO]]</f>
        <v>594.92999999999995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SUMIFS(Tab_05.Mai[SALDO
ATUAL],Tab_05.Mai[CONTA],$I215)</f>
        <v>1794.21</v>
      </c>
      <c r="G215" s="4">
        <f t="shared" si="8"/>
        <v>-280.38</v>
      </c>
      <c r="I215" s="3" t="s">
        <v>812</v>
      </c>
      <c r="J215" s="3" t="s">
        <v>805</v>
      </c>
      <c r="K215" s="4">
        <v>2074.59</v>
      </c>
      <c r="L215" s="4">
        <v>177.59</v>
      </c>
      <c r="M215" s="4">
        <v>0</v>
      </c>
      <c r="N215" s="4">
        <v>2252.1799999999998</v>
      </c>
      <c r="O215" s="4">
        <f>Tab_06.Jun[[#This Row],[DÉBITO]]-Tab_06.Jun[[#This Row],[CRÉDITO]]</f>
        <v>177.59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SUMIFS(Tab_05.Mai[SALDO
ATUAL],Tab_05.Mai[CONTA],$I216)</f>
        <v>224.28</v>
      </c>
      <c r="G216" s="4">
        <f t="shared" si="8"/>
        <v>-35.04</v>
      </c>
      <c r="I216" s="3" t="s">
        <v>813</v>
      </c>
      <c r="J216" s="3" t="s">
        <v>807</v>
      </c>
      <c r="K216" s="4">
        <v>259.32</v>
      </c>
      <c r="L216" s="4">
        <v>35.04</v>
      </c>
      <c r="M216" s="4">
        <v>0</v>
      </c>
      <c r="N216" s="4">
        <v>294.36</v>
      </c>
      <c r="O216" s="4">
        <f>Tab_06.Jun[[#This Row],[DÉBITO]]-Tab_06.Jun[[#This Row],[CRÉDITO]]</f>
        <v>35.04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S</v>
      </c>
      <c r="E217" s="2">
        <f>IF($I217="","",COUNTIFS(Tab_00.Trial[CONTA],$I217))</f>
        <v>1</v>
      </c>
      <c r="F217" s="4">
        <f>SUMIFS(Tab_05.Mai[SALDO
ATUAL],Tab_05.Mai[CONTA],$I217)</f>
        <v>1014</v>
      </c>
      <c r="G217" s="4">
        <f t="shared" si="8"/>
        <v>0</v>
      </c>
      <c r="I217" s="3" t="s">
        <v>602</v>
      </c>
      <c r="J217" s="3" t="s">
        <v>708</v>
      </c>
      <c r="K217" s="4">
        <v>1014</v>
      </c>
      <c r="L217" s="4">
        <v>2096.66</v>
      </c>
      <c r="M217" s="4">
        <v>2096.66</v>
      </c>
      <c r="N217" s="4">
        <v>1014</v>
      </c>
      <c r="O217" s="4">
        <f>Tab_06.Jun[[#This Row],[DÉBITO]]-Tab_06.Jun[[#This Row],[CRÉDITO]]</f>
        <v>0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SUMIFS(Tab_05.Mai[SALDO
ATUAL],Tab_05.Mai[CONTA],$I218)</f>
        <v>0</v>
      </c>
      <c r="G218" s="4">
        <f t="shared" si="8"/>
        <v>0</v>
      </c>
      <c r="I218" s="3" t="s">
        <v>774</v>
      </c>
      <c r="J218" s="3" t="s">
        <v>435</v>
      </c>
      <c r="K218" s="4">
        <v>0</v>
      </c>
      <c r="L218" s="4">
        <v>734.28</v>
      </c>
      <c r="M218" s="4">
        <v>734.28</v>
      </c>
      <c r="N218" s="4">
        <v>0</v>
      </c>
      <c r="O218" s="4">
        <f>Tab_06.Jun[[#This Row],[DÉBITO]]-Tab_06.Jun[[#This Row],[CRÉDITO]]</f>
        <v>0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SUMIFS(Tab_05.Mai[SALDO
ATUAL],Tab_05.Mai[CONTA],$I219)</f>
        <v>0</v>
      </c>
      <c r="G219" s="4">
        <f t="shared" si="8"/>
        <v>0</v>
      </c>
      <c r="I219" s="3" t="s">
        <v>775</v>
      </c>
      <c r="J219" s="3" t="s">
        <v>751</v>
      </c>
      <c r="K219" s="4">
        <v>0</v>
      </c>
      <c r="L219" s="4">
        <v>1362.38</v>
      </c>
      <c r="M219" s="4">
        <v>1362.38</v>
      </c>
      <c r="N219" s="4">
        <v>0</v>
      </c>
      <c r="O219" s="4">
        <f>Tab_06.Jun[[#This Row],[DÉBITO]]-Tab_06.Jun[[#This Row],[CRÉDITO]]</f>
        <v>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SUMIFS(Tab_05.Mai[SALDO
ATUAL],Tab_05.Mai[CONTA],$I220)</f>
        <v>1014</v>
      </c>
      <c r="G220" s="4">
        <f t="shared" si="8"/>
        <v>0</v>
      </c>
      <c r="I220" s="3" t="s">
        <v>455</v>
      </c>
      <c r="J220" s="3" t="s">
        <v>456</v>
      </c>
      <c r="K220" s="4">
        <v>1014</v>
      </c>
      <c r="L220" s="4">
        <v>0</v>
      </c>
      <c r="M220" s="4">
        <v>0</v>
      </c>
      <c r="N220" s="4">
        <v>1014</v>
      </c>
      <c r="O220" s="4">
        <f>Tab_06.Jun[[#This Row],[DÉBITO]]-Tab_06.Jun[[#This Row],[CRÉDITO]]</f>
        <v>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S</v>
      </c>
      <c r="E221" s="2">
        <f>IF($I221="","",COUNTIFS(Tab_00.Trial[CONTA],$I221))</f>
        <v>1</v>
      </c>
      <c r="F221" s="4">
        <f>SUMIFS(Tab_05.Mai[SALDO
ATUAL],Tab_05.Mai[CONTA],$I221)</f>
        <v>266444.93</v>
      </c>
      <c r="G221" s="4">
        <f t="shared" si="8"/>
        <v>-15331.52</v>
      </c>
      <c r="I221" s="3" t="s">
        <v>603</v>
      </c>
      <c r="J221" s="3" t="s">
        <v>709</v>
      </c>
      <c r="K221" s="4">
        <v>281776.45</v>
      </c>
      <c r="L221" s="4">
        <v>15412.71</v>
      </c>
      <c r="M221" s="4">
        <v>0</v>
      </c>
      <c r="N221" s="4">
        <v>297189.15999999997</v>
      </c>
      <c r="O221" s="4">
        <f>Tab_06.Jun[[#This Row],[DÉBITO]]-Tab_06.Jun[[#This Row],[CRÉDITO]]</f>
        <v>15412.71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SUMIFS(Tab_05.Mai[SALDO
ATUAL],Tab_05.Mai[CONTA],$I222)</f>
        <v>60013.91</v>
      </c>
      <c r="G222" s="4">
        <f t="shared" si="8"/>
        <v>-13072.58</v>
      </c>
      <c r="I222" s="3" t="s">
        <v>451</v>
      </c>
      <c r="J222" s="3" t="s">
        <v>437</v>
      </c>
      <c r="K222" s="4">
        <v>73086.490000000005</v>
      </c>
      <c r="L222" s="4">
        <v>11538.01</v>
      </c>
      <c r="M222" s="4">
        <v>0</v>
      </c>
      <c r="N222" s="4">
        <v>84624.5</v>
      </c>
      <c r="O222" s="4">
        <f>Tab_06.Jun[[#This Row],[DÉBITO]]-Tab_06.Jun[[#This Row],[CRÉDITO]]</f>
        <v>11538.01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SUMIFS(Tab_05.Mai[SALDO
ATUAL],Tab_05.Mai[CONTA],$I223)</f>
        <v>204191.69</v>
      </c>
      <c r="G223" s="4">
        <f t="shared" si="8"/>
        <v>-1771.15</v>
      </c>
      <c r="I223" s="3" t="s">
        <v>452</v>
      </c>
      <c r="J223" s="3" t="s">
        <v>196</v>
      </c>
      <c r="K223" s="4">
        <v>205962.84</v>
      </c>
      <c r="L223" s="4">
        <v>3444.18</v>
      </c>
      <c r="M223" s="4">
        <v>0</v>
      </c>
      <c r="N223" s="4">
        <v>209407.02</v>
      </c>
      <c r="O223" s="4">
        <f>Tab_06.Jun[[#This Row],[DÉBITO]]-Tab_06.Jun[[#This Row],[CRÉDITO]]</f>
        <v>3444.18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SUMIFS(Tab_05.Mai[SALDO
ATUAL],Tab_05.Mai[CONTA],$I224)</f>
        <v>2239.33</v>
      </c>
      <c r="G224" s="4">
        <f t="shared" si="8"/>
        <v>-487.79</v>
      </c>
      <c r="I224" s="3" t="s">
        <v>453</v>
      </c>
      <c r="J224" s="3" t="s">
        <v>454</v>
      </c>
      <c r="K224" s="4">
        <v>2727.12</v>
      </c>
      <c r="L224" s="4">
        <v>430.52</v>
      </c>
      <c r="M224" s="4">
        <v>0</v>
      </c>
      <c r="N224" s="4">
        <v>3157.64</v>
      </c>
      <c r="O224" s="4">
        <f>Tab_06.Jun[[#This Row],[DÉBITO]]-Tab_06.Jun[[#This Row],[CRÉDITO]]</f>
        <v>430.52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S</v>
      </c>
      <c r="E225" s="2">
        <f>IF($I225="","",COUNTIFS(Tab_00.Trial[CONTA],$I225))</f>
        <v>1</v>
      </c>
      <c r="F225" s="4">
        <f>SUMIFS(Tab_05.Mai[SALDO
ATUAL],Tab_05.Mai[CONTA],$I225)</f>
        <v>1080</v>
      </c>
      <c r="G225" s="4">
        <f t="shared" si="8"/>
        <v>-275</v>
      </c>
      <c r="I225" s="3" t="s">
        <v>604</v>
      </c>
      <c r="J225" s="3" t="s">
        <v>710</v>
      </c>
      <c r="K225" s="4">
        <v>1355</v>
      </c>
      <c r="L225" s="4">
        <v>190</v>
      </c>
      <c r="M225" s="4">
        <v>0</v>
      </c>
      <c r="N225" s="4">
        <v>1545</v>
      </c>
      <c r="O225" s="4">
        <f>Tab_06.Jun[[#This Row],[DÉBITO]]-Tab_06.Jun[[#This Row],[CRÉDITO]]</f>
        <v>190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SUMIFS(Tab_05.Mai[SALDO
ATUAL],Tab_05.Mai[CONTA],$I226)</f>
        <v>1080</v>
      </c>
      <c r="G226" s="4">
        <f t="shared" si="8"/>
        <v>-275</v>
      </c>
      <c r="I226" s="3" t="s">
        <v>457</v>
      </c>
      <c r="J226" s="3" t="s">
        <v>458</v>
      </c>
      <c r="K226" s="4">
        <v>1355</v>
      </c>
      <c r="L226" s="4">
        <v>190</v>
      </c>
      <c r="M226" s="4">
        <v>0</v>
      </c>
      <c r="N226" s="4">
        <v>1545</v>
      </c>
      <c r="O226" s="4">
        <f>Tab_06.Jun[[#This Row],[DÉBITO]]-Tab_06.Jun[[#This Row],[CRÉDITO]]</f>
        <v>190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S</v>
      </c>
      <c r="E227" s="2">
        <f>IF($I227="","",COUNTIFS(Tab_00.Trial[CONTA],$I227))</f>
        <v>1</v>
      </c>
      <c r="F227" s="4">
        <f>SUMIFS(Tab_05.Mai[SALDO
ATUAL],Tab_05.Mai[CONTA],$I227)</f>
        <v>651135.29</v>
      </c>
      <c r="G227" s="4">
        <f t="shared" si="8"/>
        <v>-212238.61</v>
      </c>
      <c r="I227" s="3" t="s">
        <v>605</v>
      </c>
      <c r="J227" s="3" t="s">
        <v>711</v>
      </c>
      <c r="K227" s="4">
        <v>863373.9</v>
      </c>
      <c r="L227" s="4">
        <v>167870.49</v>
      </c>
      <c r="M227" s="4">
        <v>0</v>
      </c>
      <c r="N227" s="4">
        <v>1031244.39</v>
      </c>
      <c r="O227" s="4">
        <f>Tab_06.Jun[[#This Row],[DÉBITO]]-Tab_06.Jun[[#This Row],[CRÉDITO]]</f>
        <v>167870.49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SUMIFS(Tab_05.Mai[SALDO
ATUAL],Tab_05.Mai[CONTA],$I228)</f>
        <v>236304.89</v>
      </c>
      <c r="G228" s="4">
        <f t="shared" si="8"/>
        <v>-129272.53</v>
      </c>
      <c r="I228" s="3" t="s">
        <v>606</v>
      </c>
      <c r="J228" s="3" t="s">
        <v>712</v>
      </c>
      <c r="K228" s="4">
        <v>365577.42</v>
      </c>
      <c r="L228" s="4">
        <v>84904.41</v>
      </c>
      <c r="M228" s="4">
        <v>0</v>
      </c>
      <c r="N228" s="4">
        <v>450481.83</v>
      </c>
      <c r="O228" s="4">
        <f>Tab_06.Jun[[#This Row],[DÉBITO]]-Tab_06.Jun[[#This Row],[CRÉDITO]]</f>
        <v>84904.41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SUMIFS(Tab_05.Mai[SALDO
ATUAL],Tab_05.Mai[CONTA],$I229)</f>
        <v>38217.199999999997</v>
      </c>
      <c r="G229" s="4">
        <f t="shared" si="8"/>
        <v>-7634.62</v>
      </c>
      <c r="I229" s="3" t="s">
        <v>459</v>
      </c>
      <c r="J229" s="3" t="s">
        <v>460</v>
      </c>
      <c r="K229" s="4">
        <v>45851.82</v>
      </c>
      <c r="L229" s="4">
        <v>7634.62</v>
      </c>
      <c r="M229" s="4">
        <v>0</v>
      </c>
      <c r="N229" s="4">
        <v>53486.44</v>
      </c>
      <c r="O229" s="4">
        <f>Tab_06.Jun[[#This Row],[DÉBITO]]-Tab_06.Jun[[#This Row],[CRÉDITO]]</f>
        <v>7634.62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SUMIFS(Tab_05.Mai[SALDO
ATUAL],Tab_05.Mai[CONTA],$I230)</f>
        <v>79526.759999999995</v>
      </c>
      <c r="G230" s="4">
        <f t="shared" si="8"/>
        <v>-14050</v>
      </c>
      <c r="I230" s="3" t="s">
        <v>461</v>
      </c>
      <c r="J230" s="3" t="s">
        <v>462</v>
      </c>
      <c r="K230" s="4">
        <v>93576.76</v>
      </c>
      <c r="L230" s="4">
        <v>11469.72</v>
      </c>
      <c r="M230" s="4">
        <v>0</v>
      </c>
      <c r="N230" s="4">
        <v>105046.48</v>
      </c>
      <c r="O230" s="4">
        <f>Tab_06.Jun[[#This Row],[DÉBITO]]-Tab_06.Jun[[#This Row],[CRÉDITO]]</f>
        <v>11469.72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SUMIFS(Tab_05.Mai[SALDO
ATUAL],Tab_05.Mai[CONTA],$I231)</f>
        <v>14333.34</v>
      </c>
      <c r="G231" s="4">
        <f t="shared" si="8"/>
        <v>-7166.67</v>
      </c>
      <c r="I231" s="3" t="s">
        <v>463</v>
      </c>
      <c r="J231" s="3" t="s">
        <v>464</v>
      </c>
      <c r="K231" s="4">
        <v>21500.01</v>
      </c>
      <c r="L231" s="4">
        <v>0</v>
      </c>
      <c r="M231" s="4">
        <v>0</v>
      </c>
      <c r="N231" s="4">
        <v>21500.01</v>
      </c>
      <c r="O231" s="4">
        <f>Tab_06.Jun[[#This Row],[DÉBITO]]-Tab_06.Jun[[#This Row],[CRÉDITO]]</f>
        <v>0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SUMIFS(Tab_05.Mai[SALDO
ATUAL],Tab_05.Mai[CONTA],$I232)</f>
        <v>24293.64</v>
      </c>
      <c r="G232" s="4">
        <f t="shared" ref="G232:G240" si="9">$F232-$K232</f>
        <v>-84434.45</v>
      </c>
      <c r="I232" s="3" t="s">
        <v>465</v>
      </c>
      <c r="J232" s="3" t="s">
        <v>466</v>
      </c>
      <c r="K232" s="4">
        <v>108728.09</v>
      </c>
      <c r="L232" s="4">
        <v>49166.95</v>
      </c>
      <c r="M232" s="4">
        <v>0</v>
      </c>
      <c r="N232" s="4">
        <v>157895.04000000001</v>
      </c>
      <c r="O232" s="4">
        <f>Tab_06.Jun[[#This Row],[DÉBITO]]-Tab_06.Jun[[#This Row],[CRÉDITO]]</f>
        <v>49166.95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SUMIFS(Tab_05.Mai[SALDO
ATUAL],Tab_05.Mai[CONTA],$I233)</f>
        <v>22500</v>
      </c>
      <c r="G233" s="4">
        <f t="shared" si="9"/>
        <v>-4500</v>
      </c>
      <c r="I233" s="3" t="s">
        <v>473</v>
      </c>
      <c r="J233" s="3" t="s">
        <v>474</v>
      </c>
      <c r="K233" s="4">
        <v>27000</v>
      </c>
      <c r="L233" s="4">
        <v>4500</v>
      </c>
      <c r="M233" s="4">
        <v>0</v>
      </c>
      <c r="N233" s="4">
        <v>31500</v>
      </c>
      <c r="O233" s="4">
        <f>Tab_06.Jun[[#This Row],[DÉBITO]]-Tab_06.Jun[[#This Row],[CRÉDITO]]</f>
        <v>4500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SUMIFS(Tab_05.Mai[SALDO
ATUAL],Tab_05.Mai[CONTA],$I234)</f>
        <v>1117.8</v>
      </c>
      <c r="G234" s="4">
        <f t="shared" si="9"/>
        <v>-223.56</v>
      </c>
      <c r="I234" s="3" t="s">
        <v>467</v>
      </c>
      <c r="J234" s="3" t="s">
        <v>468</v>
      </c>
      <c r="K234" s="4">
        <v>1341.36</v>
      </c>
      <c r="L234" s="4">
        <v>223.56</v>
      </c>
      <c r="M234" s="4">
        <v>0</v>
      </c>
      <c r="N234" s="4">
        <v>1564.92</v>
      </c>
      <c r="O234" s="4">
        <f>Tab_06.Jun[[#This Row],[DÉBITO]]-Tab_06.Jun[[#This Row],[CRÉDITO]]</f>
        <v>223.56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SUMIFS(Tab_05.Mai[SALDO
ATUAL],Tab_05.Mai[CONTA],$I235)</f>
        <v>32999.1</v>
      </c>
      <c r="G235" s="4">
        <f t="shared" si="9"/>
        <v>-6599.82</v>
      </c>
      <c r="I235" s="3" t="s">
        <v>469</v>
      </c>
      <c r="J235" s="3" t="s">
        <v>470</v>
      </c>
      <c r="K235" s="4">
        <v>39598.92</v>
      </c>
      <c r="L235" s="4">
        <v>6599.82</v>
      </c>
      <c r="M235" s="4">
        <v>0</v>
      </c>
      <c r="N235" s="4">
        <v>46198.74</v>
      </c>
      <c r="O235" s="4">
        <f>Tab_06.Jun[[#This Row],[DÉBITO]]-Tab_06.Jun[[#This Row],[CRÉDITO]]</f>
        <v>6599.82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SUMIFS(Tab_05.Mai[SALDO
ATUAL],Tab_05.Mai[CONTA],$I236)</f>
        <v>23317.05</v>
      </c>
      <c r="G236" s="4">
        <f t="shared" si="9"/>
        <v>-4663.41</v>
      </c>
      <c r="I236" s="3" t="s">
        <v>471</v>
      </c>
      <c r="J236" s="3" t="s">
        <v>472</v>
      </c>
      <c r="K236" s="4">
        <v>27980.46</v>
      </c>
      <c r="L236" s="4">
        <v>5309.74</v>
      </c>
      <c r="M236" s="4">
        <v>0</v>
      </c>
      <c r="N236" s="4">
        <v>33290.199999999997</v>
      </c>
      <c r="O236" s="4">
        <f>Tab_06.Jun[[#This Row],[DÉBITO]]-Tab_06.Jun[[#This Row],[CRÉDITO]]</f>
        <v>5309.74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SUMIFS(Tab_05.Mai[SALDO
ATUAL],Tab_05.Mai[CONTA],$I237)</f>
        <v>414830.4</v>
      </c>
      <c r="G237" s="4">
        <f t="shared" si="9"/>
        <v>-82966.080000000002</v>
      </c>
      <c r="I237" s="3" t="s">
        <v>608</v>
      </c>
      <c r="J237" s="3" t="s">
        <v>713</v>
      </c>
      <c r="K237" s="4">
        <v>497796.48</v>
      </c>
      <c r="L237" s="4">
        <v>82966.080000000002</v>
      </c>
      <c r="M237" s="4">
        <v>0</v>
      </c>
      <c r="N237" s="4">
        <v>580762.56000000006</v>
      </c>
      <c r="O237" s="4">
        <f>Tab_06.Jun[[#This Row],[DÉBITO]]-Tab_06.Jun[[#This Row],[CRÉDITO]]</f>
        <v>82966.080000000002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SUMIFS(Tab_05.Mai[SALDO
ATUAL],Tab_05.Mai[CONTA],$I238)</f>
        <v>89900.4</v>
      </c>
      <c r="G238" s="4">
        <f t="shared" si="9"/>
        <v>-17980.080000000002</v>
      </c>
      <c r="I238" s="3" t="s">
        <v>741</v>
      </c>
      <c r="J238" s="3" t="s">
        <v>742</v>
      </c>
      <c r="K238" s="4">
        <v>107880.48</v>
      </c>
      <c r="L238" s="4">
        <v>17980.080000000002</v>
      </c>
      <c r="M238" s="4">
        <v>0</v>
      </c>
      <c r="N238" s="4">
        <v>125860.56</v>
      </c>
      <c r="O238" s="4">
        <f>Tab_06.Jun[[#This Row],[DÉBITO]]-Tab_06.Jun[[#This Row],[CRÉDITO]]</f>
        <v>17980.080000000002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SUMIFS(Tab_05.Mai[SALDO
ATUAL],Tab_05.Mai[CONTA],$I239)</f>
        <v>37500</v>
      </c>
      <c r="G239" s="4">
        <f t="shared" si="9"/>
        <v>-7500</v>
      </c>
      <c r="I239" s="3" t="s">
        <v>839</v>
      </c>
      <c r="J239" s="3" t="s">
        <v>840</v>
      </c>
      <c r="K239" s="4">
        <v>45000</v>
      </c>
      <c r="L239" s="4">
        <v>7500</v>
      </c>
      <c r="M239" s="4">
        <v>0</v>
      </c>
      <c r="N239" s="4">
        <v>52500</v>
      </c>
      <c r="O239" s="4">
        <f>Tab_06.Jun[[#This Row],[DÉBITO]]-Tab_06.Jun[[#This Row],[CRÉDITO]]</f>
        <v>7500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SUMIFS(Tab_05.Mai[SALDO
ATUAL],Tab_05.Mai[CONTA],$I240)</f>
        <v>287430</v>
      </c>
      <c r="G240" s="4">
        <f t="shared" si="9"/>
        <v>-57486</v>
      </c>
      <c r="I240" s="3" t="s">
        <v>480</v>
      </c>
      <c r="J240" s="3" t="s">
        <v>481</v>
      </c>
      <c r="K240" s="4">
        <v>344916</v>
      </c>
      <c r="L240" s="4">
        <v>57486</v>
      </c>
      <c r="M240" s="4">
        <v>0</v>
      </c>
      <c r="N240" s="4">
        <v>402402</v>
      </c>
      <c r="O240" s="4">
        <f>Tab_06.Jun[[#This Row],[DÉBITO]]-Tab_06.Jun[[#This Row],[CRÉDITO]]</f>
        <v>57486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SUMIFS(Tab_05.Mai[SALDO
ATUAL],Tab_05.Mai[CONTA],$I241)</f>
        <v>11927.28</v>
      </c>
      <c r="G241" s="4">
        <f>$F241-$K241</f>
        <v>-1565.11</v>
      </c>
      <c r="I241" s="3" t="s">
        <v>609</v>
      </c>
      <c r="J241" s="3" t="s">
        <v>714</v>
      </c>
      <c r="K241" s="4">
        <v>13492.39</v>
      </c>
      <c r="L241" s="4">
        <v>1813.26</v>
      </c>
      <c r="M241" s="4">
        <v>0</v>
      </c>
      <c r="N241" s="4">
        <v>15305.65</v>
      </c>
      <c r="O241" s="4">
        <f>Tab_06.Jun[[#This Row],[DÉBITO]]-Tab_06.Jun[[#This Row],[CRÉDITO]]</f>
        <v>1813.26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S</v>
      </c>
      <c r="E242" s="2">
        <f>IF($I242="","",COUNTIFS(Tab_00.Trial[CONTA],$I242))</f>
        <v>1</v>
      </c>
      <c r="F242" s="4">
        <f>SUMIFS(Tab_05.Mai[SALDO
ATUAL],Tab_05.Mai[CONTA],$I242)</f>
        <v>11927.28</v>
      </c>
      <c r="G242" s="4">
        <f t="shared" ref="G242:G269" si="10">$F242-$K242</f>
        <v>-1565.11</v>
      </c>
      <c r="I242" s="3" t="s">
        <v>610</v>
      </c>
      <c r="J242" s="3" t="s">
        <v>714</v>
      </c>
      <c r="K242" s="4">
        <v>13492.39</v>
      </c>
      <c r="L242" s="4">
        <v>1813.26</v>
      </c>
      <c r="M242" s="4">
        <v>0</v>
      </c>
      <c r="N242" s="4">
        <v>15305.65</v>
      </c>
      <c r="O242" s="4">
        <f>Tab_06.Jun[[#This Row],[DÉBITO]]-Tab_06.Jun[[#This Row],[CRÉDITO]]</f>
        <v>1813.26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SUMIFS(Tab_05.Mai[SALDO
ATUAL],Tab_05.Mai[CONTA],$I243)</f>
        <v>3438.24</v>
      </c>
      <c r="G243" s="4">
        <f t="shared" si="10"/>
        <v>-700.75</v>
      </c>
      <c r="I243" s="3" t="s">
        <v>482</v>
      </c>
      <c r="J243" s="3" t="s">
        <v>483</v>
      </c>
      <c r="K243" s="4">
        <v>4138.99</v>
      </c>
      <c r="L243" s="4">
        <v>866.32</v>
      </c>
      <c r="M243" s="4">
        <v>0</v>
      </c>
      <c r="N243" s="4">
        <v>5005.3100000000004</v>
      </c>
      <c r="O243" s="4">
        <f>Tab_06.Jun[[#This Row],[DÉBITO]]-Tab_06.Jun[[#This Row],[CRÉDITO]]</f>
        <v>866.32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SUMIFS(Tab_05.Mai[SALDO
ATUAL],Tab_05.Mai[CONTA],$I244)</f>
        <v>5000</v>
      </c>
      <c r="G244" s="4">
        <f t="shared" si="10"/>
        <v>0</v>
      </c>
      <c r="I244" s="3" t="s">
        <v>752</v>
      </c>
      <c r="J244" s="3" t="s">
        <v>753</v>
      </c>
      <c r="K244" s="4">
        <v>5000</v>
      </c>
      <c r="L244" s="4">
        <v>0</v>
      </c>
      <c r="M244" s="4">
        <v>0</v>
      </c>
      <c r="N244" s="4">
        <v>5000</v>
      </c>
      <c r="O244" s="4">
        <f>Tab_06.Jun[[#This Row],[DÉBITO]]-Tab_06.Jun[[#This Row],[CRÉDITO]]</f>
        <v>0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SUMIFS(Tab_05.Mai[SALDO
ATUAL],Tab_05.Mai[CONTA],$I245)</f>
        <v>3489.04</v>
      </c>
      <c r="G245" s="4">
        <f t="shared" si="10"/>
        <v>-864.36</v>
      </c>
      <c r="I245" s="3" t="s">
        <v>484</v>
      </c>
      <c r="J245" s="3" t="s">
        <v>485</v>
      </c>
      <c r="K245" s="4">
        <v>4353.3999999999996</v>
      </c>
      <c r="L245" s="4">
        <v>946.94</v>
      </c>
      <c r="M245" s="4">
        <v>0</v>
      </c>
      <c r="N245" s="4">
        <v>5300.34</v>
      </c>
      <c r="O245" s="4">
        <f>Tab_06.Jun[[#This Row],[DÉBITO]]-Tab_06.Jun[[#This Row],[CRÉDITO]]</f>
        <v>946.94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S</v>
      </c>
      <c r="E246" s="2">
        <f>IF($I246="","",COUNTIFS(Tab_00.Trial[CONTA],$I246))</f>
        <v>1</v>
      </c>
      <c r="F246" s="4">
        <f>SUMIFS(Tab_05.Mai[SALDO
ATUAL],Tab_05.Mai[CONTA],$I246)</f>
        <v>48784.93</v>
      </c>
      <c r="G246" s="4">
        <f t="shared" si="10"/>
        <v>-9288.0300000000007</v>
      </c>
      <c r="I246" s="3" t="s">
        <v>612</v>
      </c>
      <c r="J246" s="3" t="s">
        <v>716</v>
      </c>
      <c r="K246" s="4">
        <v>58072.959999999999</v>
      </c>
      <c r="L246" s="4">
        <v>7586.35</v>
      </c>
      <c r="M246" s="4">
        <v>0</v>
      </c>
      <c r="N246" s="4">
        <v>65659.31</v>
      </c>
      <c r="O246" s="4">
        <f>Tab_06.Jun[[#This Row],[DÉBITO]]-Tab_06.Jun[[#This Row],[CRÉDITO]]</f>
        <v>7586.35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S</v>
      </c>
      <c r="E247" s="2">
        <f>IF($I247="","",COUNTIFS(Tab_00.Trial[CONTA],$I247))</f>
        <v>1</v>
      </c>
      <c r="F247" s="4">
        <f>SUMIFS(Tab_05.Mai[SALDO
ATUAL],Tab_05.Mai[CONTA],$I247)</f>
        <v>32558.9</v>
      </c>
      <c r="G247" s="4">
        <f t="shared" si="10"/>
        <v>-4843.74</v>
      </c>
      <c r="I247" s="3" t="s">
        <v>613</v>
      </c>
      <c r="J247" s="3" t="s">
        <v>717</v>
      </c>
      <c r="K247" s="4">
        <v>37402.639999999999</v>
      </c>
      <c r="L247" s="4">
        <v>5018.91</v>
      </c>
      <c r="M247" s="4">
        <v>0</v>
      </c>
      <c r="N247" s="4">
        <v>42421.55</v>
      </c>
      <c r="O247" s="4">
        <f>Tab_06.Jun[[#This Row],[DÉBITO]]-Tab_06.Jun[[#This Row],[CRÉDITO]]</f>
        <v>5018.91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SUMIFS(Tab_05.Mai[SALDO
ATUAL],Tab_05.Mai[CONTA],$I248)</f>
        <v>16473.64</v>
      </c>
      <c r="G248" s="4">
        <f t="shared" si="10"/>
        <v>-2166.44</v>
      </c>
      <c r="I248" s="3" t="s">
        <v>491</v>
      </c>
      <c r="J248" s="3" t="s">
        <v>492</v>
      </c>
      <c r="K248" s="4">
        <v>18640.080000000002</v>
      </c>
      <c r="L248" s="4">
        <v>1918.54</v>
      </c>
      <c r="M248" s="4">
        <v>0</v>
      </c>
      <c r="N248" s="4">
        <v>20558.62</v>
      </c>
      <c r="O248" s="4">
        <f>Tab_06.Jun[[#This Row],[DÉBITO]]-Tab_06.Jun[[#This Row],[CRÉDITO]]</f>
        <v>1918.54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SUMIFS(Tab_05.Mai[SALDO
ATUAL],Tab_05.Mai[CONTA],$I249)</f>
        <v>8988.7900000000009</v>
      </c>
      <c r="G249" s="4">
        <f t="shared" si="10"/>
        <v>-1374.07</v>
      </c>
      <c r="I249" s="3" t="s">
        <v>493</v>
      </c>
      <c r="J249" s="3" t="s">
        <v>494</v>
      </c>
      <c r="K249" s="4">
        <v>10362.86</v>
      </c>
      <c r="L249" s="4">
        <v>1523.82</v>
      </c>
      <c r="M249" s="4">
        <v>0</v>
      </c>
      <c r="N249" s="4">
        <v>11886.68</v>
      </c>
      <c r="O249" s="4">
        <f>Tab_06.Jun[[#This Row],[DÉBITO]]-Tab_06.Jun[[#This Row],[CRÉDITO]]</f>
        <v>1523.82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SUMIFS(Tab_05.Mai[SALDO
ATUAL],Tab_05.Mai[CONTA],$I250)</f>
        <v>7096.47</v>
      </c>
      <c r="G250" s="4">
        <f t="shared" si="10"/>
        <v>-1303.23</v>
      </c>
      <c r="I250" s="3" t="s">
        <v>495</v>
      </c>
      <c r="J250" s="3" t="s">
        <v>496</v>
      </c>
      <c r="K250" s="4">
        <v>8399.7000000000007</v>
      </c>
      <c r="L250" s="4">
        <v>1576.55</v>
      </c>
      <c r="M250" s="4">
        <v>0</v>
      </c>
      <c r="N250" s="4">
        <v>9976.25</v>
      </c>
      <c r="O250" s="4">
        <f>Tab_06.Jun[[#This Row],[DÉBITO]]-Tab_06.Jun[[#This Row],[CRÉDITO]]</f>
        <v>1576.55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SUMIFS(Tab_05.Mai[SALDO
ATUAL],Tab_05.Mai[CONTA],$I251)</f>
        <v>16226.03</v>
      </c>
      <c r="G251" s="4">
        <f t="shared" si="10"/>
        <v>-4444.29</v>
      </c>
      <c r="I251" s="3" t="s">
        <v>614</v>
      </c>
      <c r="J251" s="3" t="s">
        <v>718</v>
      </c>
      <c r="K251" s="4">
        <v>20670.32</v>
      </c>
      <c r="L251" s="4">
        <v>2567.44</v>
      </c>
      <c r="M251" s="4">
        <v>0</v>
      </c>
      <c r="N251" s="4">
        <v>23237.759999999998</v>
      </c>
      <c r="O251" s="4">
        <f>Tab_06.Jun[[#This Row],[DÉBITO]]-Tab_06.Jun[[#This Row],[CRÉDITO]]</f>
        <v>2567.44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SUMIFS(Tab_05.Mai[SALDO
ATUAL],Tab_05.Mai[CONTA],$I252)</f>
        <v>95</v>
      </c>
      <c r="G252" s="4">
        <f t="shared" si="10"/>
        <v>0</v>
      </c>
      <c r="I252" s="3" t="s">
        <v>497</v>
      </c>
      <c r="J252" s="3" t="s">
        <v>498</v>
      </c>
      <c r="K252" s="4">
        <v>95</v>
      </c>
      <c r="L252" s="4">
        <v>0</v>
      </c>
      <c r="M252" s="4">
        <v>0</v>
      </c>
      <c r="N252" s="4">
        <v>95</v>
      </c>
      <c r="O252" s="4">
        <f>Tab_06.Jun[[#This Row],[DÉBITO]]-Tab_06.Jun[[#This Row],[CRÉDITO]]</f>
        <v>0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SUMIFS(Tab_05.Mai[SALDO
ATUAL],Tab_05.Mai[CONTA],$I253)</f>
        <v>5689.34</v>
      </c>
      <c r="G253" s="4">
        <f t="shared" si="10"/>
        <v>-3937.4</v>
      </c>
      <c r="I253" s="3" t="s">
        <v>499</v>
      </c>
      <c r="J253" s="3" t="s">
        <v>500</v>
      </c>
      <c r="K253" s="4">
        <v>9626.74</v>
      </c>
      <c r="L253" s="4">
        <v>167.4</v>
      </c>
      <c r="M253" s="4">
        <v>0</v>
      </c>
      <c r="N253" s="4">
        <v>9794.14</v>
      </c>
      <c r="O253" s="4">
        <f>Tab_06.Jun[[#This Row],[DÉBITO]]-Tab_06.Jun[[#This Row],[CRÉDITO]]</f>
        <v>167.4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SUMIFS(Tab_05.Mai[SALDO
ATUAL],Tab_05.Mai[CONTA],$I254)</f>
        <v>7477.45</v>
      </c>
      <c r="G254" s="4">
        <f t="shared" si="10"/>
        <v>-162.99</v>
      </c>
      <c r="I254" s="3" t="s">
        <v>501</v>
      </c>
      <c r="J254" s="3" t="s">
        <v>502</v>
      </c>
      <c r="K254" s="4">
        <v>7640.44</v>
      </c>
      <c r="L254" s="4">
        <v>2024.25</v>
      </c>
      <c r="M254" s="4">
        <v>0</v>
      </c>
      <c r="N254" s="4">
        <v>9664.69</v>
      </c>
      <c r="O254" s="4">
        <f>Tab_06.Jun[[#This Row],[DÉBITO]]-Tab_06.Jun[[#This Row],[CRÉDITO]]</f>
        <v>2024.25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SUMIFS(Tab_05.Mai[SALDO
ATUAL],Tab_05.Mai[CONTA],$I255)</f>
        <v>2964.24</v>
      </c>
      <c r="G255" s="4">
        <f t="shared" si="10"/>
        <v>-343.9</v>
      </c>
      <c r="I255" s="3" t="s">
        <v>503</v>
      </c>
      <c r="J255" s="3" t="s">
        <v>504</v>
      </c>
      <c r="K255" s="4">
        <v>3308.14</v>
      </c>
      <c r="L255" s="4">
        <v>375.79</v>
      </c>
      <c r="M255" s="4">
        <v>0</v>
      </c>
      <c r="N255" s="4">
        <v>3683.93</v>
      </c>
      <c r="O255" s="4">
        <f>Tab_06.Jun[[#This Row],[DÉBITO]]-Tab_06.Jun[[#This Row],[CRÉDITO]]</f>
        <v>375.79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SUMIFS(Tab_05.Mai[SALDO
ATUAL],Tab_05.Mai[CONTA],$I256)</f>
        <v>33754.120000000003</v>
      </c>
      <c r="G256" s="4">
        <f t="shared" si="10"/>
        <v>-4642.22</v>
      </c>
      <c r="I256" s="3" t="s">
        <v>615</v>
      </c>
      <c r="J256" s="3" t="s">
        <v>719</v>
      </c>
      <c r="K256" s="4">
        <v>38396.339999999997</v>
      </c>
      <c r="L256" s="4">
        <v>4362.9799999999996</v>
      </c>
      <c r="M256" s="4">
        <v>0</v>
      </c>
      <c r="N256" s="4">
        <v>42759.32</v>
      </c>
      <c r="O256" s="4">
        <f>Tab_06.Jun[[#This Row],[DÉBITO]]-Tab_06.Jun[[#This Row],[CRÉDITO]]</f>
        <v>4362.9799999999996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SUMIFS(Tab_05.Mai[SALDO
ATUAL],Tab_05.Mai[CONTA],$I257)</f>
        <v>1438.7</v>
      </c>
      <c r="G257" s="4">
        <f t="shared" si="10"/>
        <v>-287.74</v>
      </c>
      <c r="I257" s="3" t="s">
        <v>617</v>
      </c>
      <c r="J257" s="3" t="s">
        <v>721</v>
      </c>
      <c r="K257" s="4">
        <v>1726.44</v>
      </c>
      <c r="L257" s="4">
        <v>287.74</v>
      </c>
      <c r="M257" s="4">
        <v>0</v>
      </c>
      <c r="N257" s="4">
        <v>2014.18</v>
      </c>
      <c r="O257" s="4">
        <f>Tab_06.Jun[[#This Row],[DÉBITO]]-Tab_06.Jun[[#This Row],[CRÉDITO]]</f>
        <v>287.74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SUMIFS(Tab_05.Mai[SALDO
ATUAL],Tab_05.Mai[CONTA],$I258)</f>
        <v>1438.7</v>
      </c>
      <c r="G258" s="4">
        <f t="shared" si="10"/>
        <v>-287.74</v>
      </c>
      <c r="I258" s="3" t="s">
        <v>739</v>
      </c>
      <c r="J258" s="3" t="s">
        <v>740</v>
      </c>
      <c r="K258" s="4">
        <v>1726.44</v>
      </c>
      <c r="L258" s="4">
        <v>287.74</v>
      </c>
      <c r="M258" s="4">
        <v>0</v>
      </c>
      <c r="N258" s="4">
        <v>2014.18</v>
      </c>
      <c r="O258" s="4">
        <f>Tab_06.Jun[[#This Row],[DÉBITO]]-Tab_06.Jun[[#This Row],[CRÉDITO]]</f>
        <v>287.74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SUMIFS(Tab_05.Mai[SALDO
ATUAL],Tab_05.Mai[CONTA],$I259)</f>
        <v>12812.29</v>
      </c>
      <c r="G259" s="4">
        <f t="shared" si="10"/>
        <v>-2651.27</v>
      </c>
      <c r="I259" s="3" t="s">
        <v>618</v>
      </c>
      <c r="J259" s="3" t="s">
        <v>722</v>
      </c>
      <c r="K259" s="4">
        <v>15463.56</v>
      </c>
      <c r="L259" s="4">
        <v>2592.38</v>
      </c>
      <c r="M259" s="4">
        <v>0</v>
      </c>
      <c r="N259" s="4">
        <v>18055.939999999999</v>
      </c>
      <c r="O259" s="4">
        <f>Tab_06.Jun[[#This Row],[DÉBITO]]-Tab_06.Jun[[#This Row],[CRÉDITO]]</f>
        <v>2592.38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SUMIFS(Tab_05.Mai[SALDO
ATUAL],Tab_05.Mai[CONTA],$I260)</f>
        <v>12812.29</v>
      </c>
      <c r="G260" s="4">
        <f t="shared" si="10"/>
        <v>-2651.27</v>
      </c>
      <c r="I260" s="3" t="s">
        <v>511</v>
      </c>
      <c r="J260" s="3" t="s">
        <v>512</v>
      </c>
      <c r="K260" s="4">
        <v>15463.56</v>
      </c>
      <c r="L260" s="4">
        <v>2592.38</v>
      </c>
      <c r="M260" s="4">
        <v>0</v>
      </c>
      <c r="N260" s="4">
        <v>18055.939999999999</v>
      </c>
      <c r="O260" s="4">
        <f>Tab_06.Jun[[#This Row],[DÉBITO]]-Tab_06.Jun[[#This Row],[CRÉDITO]]</f>
        <v>2592.38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SUMIFS(Tab_05.Mai[SALDO
ATUAL],Tab_05.Mai[CONTA],$I261)</f>
        <v>19503.13</v>
      </c>
      <c r="G261" s="4">
        <f t="shared" si="10"/>
        <v>-1703.21</v>
      </c>
      <c r="I261" s="3" t="s">
        <v>619</v>
      </c>
      <c r="J261" s="3" t="s">
        <v>420</v>
      </c>
      <c r="K261" s="4">
        <v>21206.34</v>
      </c>
      <c r="L261" s="4">
        <v>1482.86</v>
      </c>
      <c r="M261" s="4">
        <v>0</v>
      </c>
      <c r="N261" s="4">
        <v>22689.200000000001</v>
      </c>
      <c r="O261" s="4">
        <f>Tab_06.Jun[[#This Row],[DÉBITO]]-Tab_06.Jun[[#This Row],[CRÉDITO]]</f>
        <v>1482.86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SUMIFS(Tab_05.Mai[SALDO
ATUAL],Tab_05.Mai[CONTA],$I262)</f>
        <v>19503.13</v>
      </c>
      <c r="G262" s="4">
        <f t="shared" si="10"/>
        <v>-1703.21</v>
      </c>
      <c r="I262" s="3" t="s">
        <v>515</v>
      </c>
      <c r="J262" s="3" t="s">
        <v>420</v>
      </c>
      <c r="K262" s="4">
        <v>21206.34</v>
      </c>
      <c r="L262" s="4">
        <v>1482.86</v>
      </c>
      <c r="M262" s="4">
        <v>0</v>
      </c>
      <c r="N262" s="4">
        <v>22689.200000000001</v>
      </c>
      <c r="O262" s="4">
        <f>Tab_06.Jun[[#This Row],[DÉBITO]]-Tab_06.Jun[[#This Row],[CRÉDITO]]</f>
        <v>1482.86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SUMIFS(Tab_05.Mai[SALDO
ATUAL],Tab_05.Mai[CONTA],$I263)</f>
        <v>8588.81</v>
      </c>
      <c r="G263" s="4">
        <f t="shared" si="10"/>
        <v>-1291.92</v>
      </c>
      <c r="I263" s="3" t="s">
        <v>621</v>
      </c>
      <c r="J263" s="3" t="s">
        <v>723</v>
      </c>
      <c r="K263" s="4">
        <v>9880.73</v>
      </c>
      <c r="L263" s="4">
        <v>1860.58</v>
      </c>
      <c r="M263" s="4">
        <v>0</v>
      </c>
      <c r="N263" s="4">
        <v>11741.31</v>
      </c>
      <c r="O263" s="4">
        <f>Tab_06.Jun[[#This Row],[DÉBITO]]-Tab_06.Jun[[#This Row],[CRÉDITO]]</f>
        <v>1860.58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SUMIFS(Tab_05.Mai[SALDO
ATUAL],Tab_05.Mai[CONTA],$I264)</f>
        <v>8588.81</v>
      </c>
      <c r="G264" s="4">
        <f t="shared" si="10"/>
        <v>-1291.92</v>
      </c>
      <c r="I264" s="3" t="s">
        <v>622</v>
      </c>
      <c r="J264" s="3" t="s">
        <v>723</v>
      </c>
      <c r="K264" s="4">
        <v>9880.73</v>
      </c>
      <c r="L264" s="4">
        <v>1860.58</v>
      </c>
      <c r="M264" s="4">
        <v>0</v>
      </c>
      <c r="N264" s="4">
        <v>11741.31</v>
      </c>
      <c r="O264" s="4">
        <f>Tab_06.Jun[[#This Row],[DÉBITO]]-Tab_06.Jun[[#This Row],[CRÉDITO]]</f>
        <v>1860.58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SUMIFS(Tab_05.Mai[SALDO
ATUAL],Tab_05.Mai[CONTA],$I265)</f>
        <v>8588.81</v>
      </c>
      <c r="G265" s="4">
        <f t="shared" si="10"/>
        <v>-1291.92</v>
      </c>
      <c r="I265" s="3" t="s">
        <v>518</v>
      </c>
      <c r="J265" s="3" t="s">
        <v>519</v>
      </c>
      <c r="K265" s="4">
        <v>9880.73</v>
      </c>
      <c r="L265" s="4">
        <v>1860.58</v>
      </c>
      <c r="M265" s="4">
        <v>0</v>
      </c>
      <c r="N265" s="4">
        <v>11741.31</v>
      </c>
      <c r="O265" s="4">
        <f>Tab_06.Jun[[#This Row],[DÉBITO]]-Tab_06.Jun[[#This Row],[CRÉDITO]]</f>
        <v>1860.58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SUMIFS(Tab_05.Mai[SALDO
ATUAL],Tab_05.Mai[CONTA],$I266)</f>
        <v>21614.99</v>
      </c>
      <c r="G266" s="4">
        <f t="shared" si="10"/>
        <v>-3666.75</v>
      </c>
      <c r="I266" s="3" t="s">
        <v>623</v>
      </c>
      <c r="J266" s="3" t="s">
        <v>724</v>
      </c>
      <c r="K266" s="4">
        <v>25281.74</v>
      </c>
      <c r="L266" s="4">
        <v>3666.75</v>
      </c>
      <c r="M266" s="4">
        <v>0</v>
      </c>
      <c r="N266" s="4">
        <v>28948.49</v>
      </c>
      <c r="O266" s="4">
        <f>Tab_06.Jun[[#This Row],[DÉBITO]]-Tab_06.Jun[[#This Row],[CRÉDITO]]</f>
        <v>3666.75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SUMIFS(Tab_05.Mai[SALDO
ATUAL],Tab_05.Mai[CONTA],$I267)</f>
        <v>21614.99</v>
      </c>
      <c r="G267" s="4">
        <f t="shared" si="10"/>
        <v>-3666.75</v>
      </c>
      <c r="I267" s="3" t="s">
        <v>624</v>
      </c>
      <c r="J267" s="3" t="s">
        <v>724</v>
      </c>
      <c r="K267" s="4">
        <v>25281.74</v>
      </c>
      <c r="L267" s="4">
        <v>3666.75</v>
      </c>
      <c r="M267" s="4">
        <v>0</v>
      </c>
      <c r="N267" s="4">
        <v>28948.49</v>
      </c>
      <c r="O267" s="4">
        <f>Tab_06.Jun[[#This Row],[DÉBITO]]-Tab_06.Jun[[#This Row],[CRÉDITO]]</f>
        <v>3666.75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SUMIFS(Tab_05.Mai[SALDO
ATUAL],Tab_05.Mai[CONTA],$I268)</f>
        <v>21614.99</v>
      </c>
      <c r="G268" s="4">
        <f t="shared" si="10"/>
        <v>-3666.75</v>
      </c>
      <c r="I268" s="3" t="s">
        <v>520</v>
      </c>
      <c r="J268" s="3" t="s">
        <v>521</v>
      </c>
      <c r="K268" s="4">
        <v>25281.74</v>
      </c>
      <c r="L268" s="4">
        <v>3666.75</v>
      </c>
      <c r="M268" s="4">
        <v>0</v>
      </c>
      <c r="N268" s="4">
        <v>28948.49</v>
      </c>
      <c r="O268" s="4">
        <f>Tab_06.Jun[[#This Row],[DÉBITO]]-Tab_06.Jun[[#This Row],[CRÉDITO]]</f>
        <v>3666.75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SUMIFS(Tab_05.Mai[SALDO
ATUAL],Tab_05.Mai[CONTA],$I269)</f>
        <v>31526.46</v>
      </c>
      <c r="G269" s="4">
        <f t="shared" si="10"/>
        <v>-3505.14</v>
      </c>
      <c r="I269" s="3" t="s">
        <v>625</v>
      </c>
      <c r="J269" s="3" t="s">
        <v>542</v>
      </c>
      <c r="K269" s="4">
        <v>35031.599999999999</v>
      </c>
      <c r="L269" s="4">
        <v>2665.14</v>
      </c>
      <c r="M269" s="4">
        <v>0</v>
      </c>
      <c r="N269" s="4">
        <v>37696.74</v>
      </c>
      <c r="O269" s="4">
        <f>Tab_06.Jun[[#This Row],[DÉBITO]]-Tab_06.Jun[[#This Row],[CRÉDITO]]</f>
        <v>2665.14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SUMIFS(Tab_05.Mai[SALDO
ATUAL],Tab_05.Mai[CONTA],$I270)</f>
        <v>15983.85</v>
      </c>
      <c r="G270" s="4">
        <f t="shared" ref="G270:G274" si="11">$F270-$K270</f>
        <v>-13.14</v>
      </c>
      <c r="I270" s="3" t="s">
        <v>626</v>
      </c>
      <c r="J270" s="3" t="s">
        <v>725</v>
      </c>
      <c r="K270" s="4">
        <v>15996.99</v>
      </c>
      <c r="L270" s="4">
        <v>99.82</v>
      </c>
      <c r="M270" s="4">
        <v>0</v>
      </c>
      <c r="N270" s="4">
        <v>16096.81</v>
      </c>
      <c r="O270" s="4">
        <f>Tab_06.Jun[[#This Row],[DÉBITO]]-Tab_06.Jun[[#This Row],[CRÉDITO]]</f>
        <v>99.82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SUMIFS(Tab_05.Mai[SALDO
ATUAL],Tab_05.Mai[CONTA],$I271)</f>
        <v>15527.74</v>
      </c>
      <c r="G271" s="4">
        <f t="shared" si="11"/>
        <v>0</v>
      </c>
      <c r="I271" s="3" t="s">
        <v>522</v>
      </c>
      <c r="J271" s="3" t="s">
        <v>523</v>
      </c>
      <c r="K271" s="4">
        <v>15527.74</v>
      </c>
      <c r="L271" s="4">
        <v>0</v>
      </c>
      <c r="M271" s="4">
        <v>0</v>
      </c>
      <c r="N271" s="4">
        <v>15527.74</v>
      </c>
      <c r="O271" s="4">
        <f>Tab_06.Jun[[#This Row],[DÉBITO]]-Tab_06.Jun[[#This Row],[CRÉDITO]]</f>
        <v>0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SUMIFS(Tab_05.Mai[SALDO
ATUAL],Tab_05.Mai[CONTA],$I272)</f>
        <v>456.11</v>
      </c>
      <c r="G272" s="4">
        <f t="shared" si="11"/>
        <v>-13.14</v>
      </c>
      <c r="I272" s="3" t="s">
        <v>524</v>
      </c>
      <c r="J272" s="3" t="s">
        <v>525</v>
      </c>
      <c r="K272" s="4">
        <v>469.25</v>
      </c>
      <c r="L272" s="4">
        <v>99.82</v>
      </c>
      <c r="M272" s="4">
        <v>0</v>
      </c>
      <c r="N272" s="4">
        <v>569.07000000000005</v>
      </c>
      <c r="O272" s="4">
        <f>Tab_06.Jun[[#This Row],[DÉBITO]]-Tab_06.Jun[[#This Row],[CRÉDITO]]</f>
        <v>99.82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SUMIFS(Tab_05.Mai[SALDO
ATUAL],Tab_05.Mai[CONTA],$I273)</f>
        <v>15542.61</v>
      </c>
      <c r="G273" s="4">
        <f t="shared" si="11"/>
        <v>-3492</v>
      </c>
      <c r="I273" s="3" t="s">
        <v>627</v>
      </c>
      <c r="J273" s="3" t="s">
        <v>542</v>
      </c>
      <c r="K273" s="4">
        <v>19034.61</v>
      </c>
      <c r="L273" s="4">
        <v>2565.3200000000002</v>
      </c>
      <c r="M273" s="4">
        <v>0</v>
      </c>
      <c r="N273" s="4">
        <v>21599.93</v>
      </c>
      <c r="O273" s="4">
        <f>Tab_06.Jun[[#This Row],[DÉBITO]]-Tab_06.Jun[[#This Row],[CRÉDITO]]</f>
        <v>2565.3200000000002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SUMIFS(Tab_05.Mai[SALDO
ATUAL],Tab_05.Mai[CONTA],$I274)</f>
        <v>494.45</v>
      </c>
      <c r="G274" s="4">
        <f t="shared" si="11"/>
        <v>-133.66999999999999</v>
      </c>
      <c r="I274" s="3" t="s">
        <v>528</v>
      </c>
      <c r="J274" s="3" t="s">
        <v>416</v>
      </c>
      <c r="K274" s="4">
        <v>628.12</v>
      </c>
      <c r="L274" s="4">
        <v>121.89</v>
      </c>
      <c r="M274" s="4">
        <v>0</v>
      </c>
      <c r="N274" s="4">
        <v>750.01</v>
      </c>
      <c r="O274" s="4">
        <f>Tab_06.Jun[[#This Row],[DÉBITO]]-Tab_06.Jun[[#This Row],[CRÉDITO]]</f>
        <v>121.89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SUMIFS(Tab_05.Mai[SALDO
ATUAL],Tab_05.Mai[CONTA],$I275)</f>
        <v>0</v>
      </c>
      <c r="G275" s="4">
        <f t="shared" ref="G275:G280" si="12">$F275-$K275</f>
        <v>-258</v>
      </c>
      <c r="I275" s="3" t="s">
        <v>529</v>
      </c>
      <c r="J275" s="3" t="s">
        <v>530</v>
      </c>
      <c r="K275" s="4">
        <v>258</v>
      </c>
      <c r="L275" s="4">
        <v>0</v>
      </c>
      <c r="M275" s="4">
        <v>0</v>
      </c>
      <c r="N275" s="4">
        <v>258</v>
      </c>
      <c r="O275" s="4">
        <f>Tab_06.Jun[[#This Row],[DÉBITO]]-Tab_06.Jun[[#This Row],[CRÉDITO]]</f>
        <v>0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A</v>
      </c>
      <c r="E276" s="2">
        <f>IF($I276="","",COUNTIFS(Tab_00.Trial[CONTA],$I276))</f>
        <v>1</v>
      </c>
      <c r="F276" s="4">
        <f>SUMIFS(Tab_05.Mai[SALDO
ATUAL],Tab_05.Mai[CONTA],$I276)</f>
        <v>424.04</v>
      </c>
      <c r="G276" s="4">
        <f t="shared" si="12"/>
        <v>-50.54</v>
      </c>
      <c r="I276" s="3" t="s">
        <v>531</v>
      </c>
      <c r="J276" s="3" t="s">
        <v>532</v>
      </c>
      <c r="K276" s="4">
        <v>474.58</v>
      </c>
      <c r="L276" s="4">
        <v>616.04999999999995</v>
      </c>
      <c r="M276" s="4">
        <v>0</v>
      </c>
      <c r="N276" s="4">
        <v>1090.6300000000001</v>
      </c>
      <c r="O276" s="4">
        <f>Tab_06.Jun[[#This Row],[DÉBITO]]-Tab_06.Jun[[#This Row],[CRÉDITO]]</f>
        <v>616.04999999999995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A</v>
      </c>
      <c r="E277" s="2">
        <f>IF($I277="","",COUNTIFS(Tab_00.Trial[CONTA],$I277))</f>
        <v>1</v>
      </c>
      <c r="F277" s="4">
        <f>SUMIFS(Tab_05.Mai[SALDO
ATUAL],Tab_05.Mai[CONTA],$I277)</f>
        <v>1750</v>
      </c>
      <c r="G277" s="4">
        <f t="shared" si="12"/>
        <v>0</v>
      </c>
      <c r="I277" s="3" t="s">
        <v>533</v>
      </c>
      <c r="J277" s="3" t="s">
        <v>534</v>
      </c>
      <c r="K277" s="4">
        <v>1750</v>
      </c>
      <c r="L277" s="4">
        <v>350</v>
      </c>
      <c r="M277" s="4">
        <v>0</v>
      </c>
      <c r="N277" s="4">
        <v>2100</v>
      </c>
      <c r="O277" s="4">
        <f>Tab_06.Jun[[#This Row],[DÉBITO]]-Tab_06.Jun[[#This Row],[CRÉDITO]]</f>
        <v>350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SUMIFS(Tab_05.Mai[SALDO
ATUAL],Tab_05.Mai[CONTA],$I278)</f>
        <v>4744.78</v>
      </c>
      <c r="G278" s="4">
        <f t="shared" si="12"/>
        <v>-0.01</v>
      </c>
      <c r="I278" s="3" t="s">
        <v>537</v>
      </c>
      <c r="J278" s="3" t="s">
        <v>538</v>
      </c>
      <c r="K278" s="4">
        <v>4744.79</v>
      </c>
      <c r="L278" s="4">
        <v>5.0999999999999996</v>
      </c>
      <c r="M278" s="4">
        <v>0</v>
      </c>
      <c r="N278" s="4">
        <v>4749.8900000000003</v>
      </c>
      <c r="O278" s="4">
        <f>Tab_06.Jun[[#This Row],[DÉBITO]]-Tab_06.Jun[[#This Row],[CRÉDITO]]</f>
        <v>5.0999999999999996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SUMIFS(Tab_05.Mai[SALDO
ATUAL],Tab_05.Mai[CONTA],$I279)</f>
        <v>7128.57</v>
      </c>
      <c r="G279" s="4">
        <f t="shared" si="12"/>
        <v>-2621.68</v>
      </c>
      <c r="I279" s="3" t="s">
        <v>539</v>
      </c>
      <c r="J279" s="3" t="s">
        <v>540</v>
      </c>
      <c r="K279" s="4">
        <v>9750.25</v>
      </c>
      <c r="L279" s="4">
        <v>1214.8800000000001</v>
      </c>
      <c r="M279" s="4">
        <v>0</v>
      </c>
      <c r="N279" s="4">
        <v>10965.13</v>
      </c>
      <c r="O279" s="4">
        <f>Tab_06.Jun[[#This Row],[DÉBITO]]-Tab_06.Jun[[#This Row],[CRÉDITO]]</f>
        <v>1214.8800000000001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SUMIFS(Tab_05.Mai[SALDO
ATUAL],Tab_05.Mai[CONTA],$I280)</f>
        <v>1000.77</v>
      </c>
      <c r="G280" s="4">
        <f t="shared" si="12"/>
        <v>-428.1</v>
      </c>
      <c r="I280" s="3" t="s">
        <v>541</v>
      </c>
      <c r="J280" s="3" t="s">
        <v>542</v>
      </c>
      <c r="K280" s="4">
        <v>1428.87</v>
      </c>
      <c r="L280" s="4">
        <v>257.39999999999998</v>
      </c>
      <c r="M280" s="4">
        <v>0</v>
      </c>
      <c r="N280" s="4">
        <v>1686.27</v>
      </c>
      <c r="O280" s="4">
        <f>Tab_06.Jun[[#This Row],[DÉBITO]]-Tab_06.Jun[[#This Row],[CRÉDITO]]</f>
        <v>257.39999999999998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2</v>
      </c>
      <c r="D281" s="2" t="str">
        <f>_xlfn.XLOOKUP($I281,Tab_00.Trial[CONTA],Tab_00.Trial[S/A],"",0,1)</f>
        <v>S</v>
      </c>
      <c r="E281" s="2">
        <f>IF($I281="","",COUNTIFS(Tab_00.Trial[CONTA],$I281))</f>
        <v>1</v>
      </c>
      <c r="F281" s="4">
        <f>SUMIFS(Tab_05.Mai[SALDO
ATUAL],Tab_05.Mai[CONTA],$I281)</f>
        <v>270</v>
      </c>
      <c r="G281" s="4">
        <f t="shared" ref="G281:G288" si="13">$F281-$K281</f>
        <v>-135</v>
      </c>
      <c r="I281" s="3" t="s">
        <v>630</v>
      </c>
      <c r="J281" s="3" t="s">
        <v>728</v>
      </c>
      <c r="K281" s="4">
        <v>405</v>
      </c>
      <c r="L281" s="4">
        <v>0</v>
      </c>
      <c r="M281" s="4">
        <v>0</v>
      </c>
      <c r="N281" s="4">
        <v>405</v>
      </c>
      <c r="O281" s="4">
        <f>Tab_06.Jun[[#This Row],[DÉBITO]]-Tab_06.Jun[[#This Row],[CRÉDITO]]</f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S</v>
      </c>
      <c r="E282" s="2">
        <f>IF($I282="","",COUNTIFS(Tab_00.Trial[CONTA],$I282))</f>
        <v>1</v>
      </c>
      <c r="F282" s="4">
        <f>SUMIFS(Tab_05.Mai[SALDO
ATUAL],Tab_05.Mai[CONTA],$I282)</f>
        <v>270</v>
      </c>
      <c r="G282" s="4">
        <f t="shared" si="13"/>
        <v>-135</v>
      </c>
      <c r="I282" s="3" t="s">
        <v>631</v>
      </c>
      <c r="J282" s="3" t="s">
        <v>728</v>
      </c>
      <c r="K282" s="4">
        <v>405</v>
      </c>
      <c r="L282" s="4">
        <v>0</v>
      </c>
      <c r="M282" s="4">
        <v>0</v>
      </c>
      <c r="N282" s="4">
        <v>405</v>
      </c>
      <c r="O282" s="4">
        <f>Tab_06.Jun[[#This Row],[DÉBITO]]-Tab_06.Jun[[#This Row],[CRÉDITO]]</f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S</v>
      </c>
      <c r="E283" s="2">
        <f>IF($I283="","",COUNTIFS(Tab_00.Trial[CONTA],$I283))</f>
        <v>1</v>
      </c>
      <c r="F283" s="4">
        <f>SUMIFS(Tab_05.Mai[SALDO
ATUAL],Tab_05.Mai[CONTA],$I283)</f>
        <v>270</v>
      </c>
      <c r="G283" s="4">
        <f t="shared" si="13"/>
        <v>-135</v>
      </c>
      <c r="I283" s="3" t="s">
        <v>633</v>
      </c>
      <c r="J283" s="3" t="s">
        <v>548</v>
      </c>
      <c r="K283" s="4">
        <v>405</v>
      </c>
      <c r="L283" s="4">
        <v>0</v>
      </c>
      <c r="M283" s="4">
        <v>0</v>
      </c>
      <c r="N283" s="4">
        <v>405</v>
      </c>
      <c r="O283" s="4">
        <f>Tab_06.Jun[[#This Row],[DÉBITO]]-Tab_06.Jun[[#This Row],[CRÉDITO]]</f>
        <v>0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SUMIFS(Tab_05.Mai[SALDO
ATUAL],Tab_05.Mai[CONTA],$I284)</f>
        <v>270</v>
      </c>
      <c r="G284" s="4">
        <f t="shared" si="13"/>
        <v>-135</v>
      </c>
      <c r="I284" s="3" t="s">
        <v>547</v>
      </c>
      <c r="J284" s="3" t="s">
        <v>548</v>
      </c>
      <c r="K284" s="4">
        <v>405</v>
      </c>
      <c r="L284" s="4">
        <v>0</v>
      </c>
      <c r="M284" s="4">
        <v>0</v>
      </c>
      <c r="N284" s="4">
        <v>405</v>
      </c>
      <c r="O284" s="4">
        <f>Tab_06.Jun[[#This Row],[DÉBITO]]-Tab_06.Jun[[#This Row],[CRÉDITO]]</f>
        <v>0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2</v>
      </c>
      <c r="D285" s="2" t="str">
        <f>_xlfn.XLOOKUP($I285,Tab_00.Trial[CONTA],Tab_00.Trial[S/A],"",0,1)</f>
        <v>S</v>
      </c>
      <c r="E285" s="2">
        <f>IF($I285="","",COUNTIFS(Tab_00.Trial[CONTA],$I285))</f>
        <v>1</v>
      </c>
      <c r="F285" s="4">
        <f>SUMIFS(Tab_05.Mai[SALDO
ATUAL],Tab_05.Mai[CONTA],$I285)</f>
        <v>-189</v>
      </c>
      <c r="G285" s="4">
        <f t="shared" si="13"/>
        <v>0</v>
      </c>
      <c r="I285" s="3" t="s">
        <v>634</v>
      </c>
      <c r="J285" s="3" t="s">
        <v>730</v>
      </c>
      <c r="K285" s="4">
        <v>-189</v>
      </c>
      <c r="L285" s="4">
        <v>0</v>
      </c>
      <c r="M285" s="4">
        <v>0</v>
      </c>
      <c r="N285" s="4">
        <v>-189</v>
      </c>
      <c r="O285" s="4">
        <f>Tab_06.Jun[[#This Row],[DÉBITO]]-Tab_06.Jun[[#This Row],[CRÉDITO]]</f>
        <v>0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S</v>
      </c>
      <c r="E286" s="2">
        <f>IF($I286="","",COUNTIFS(Tab_00.Trial[CONTA],$I286))</f>
        <v>1</v>
      </c>
      <c r="F286" s="4">
        <f>SUMIFS(Tab_05.Mai[SALDO
ATUAL],Tab_05.Mai[CONTA],$I286)</f>
        <v>-189</v>
      </c>
      <c r="G286" s="4">
        <f t="shared" si="13"/>
        <v>0</v>
      </c>
      <c r="I286" s="3" t="s">
        <v>831</v>
      </c>
      <c r="J286" s="3" t="s">
        <v>832</v>
      </c>
      <c r="K286" s="4">
        <v>-189</v>
      </c>
      <c r="L286" s="4">
        <v>0</v>
      </c>
      <c r="M286" s="4">
        <v>0</v>
      </c>
      <c r="N286" s="4">
        <v>-189</v>
      </c>
      <c r="O286" s="4">
        <f>Tab_06.Jun[[#This Row],[DÉBITO]]-Tab_06.Jun[[#This Row],[CRÉDITO]]</f>
        <v>0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S</v>
      </c>
      <c r="E287" s="2">
        <f>IF($I287="","",COUNTIFS(Tab_00.Trial[CONTA],$I287))</f>
        <v>1</v>
      </c>
      <c r="F287" s="4">
        <f>SUMIFS(Tab_05.Mai[SALDO
ATUAL],Tab_05.Mai[CONTA],$I287)</f>
        <v>-189</v>
      </c>
      <c r="G287" s="4">
        <f t="shared" si="13"/>
        <v>0</v>
      </c>
      <c r="I287" s="3" t="s">
        <v>833</v>
      </c>
      <c r="J287" s="3" t="s">
        <v>832</v>
      </c>
      <c r="K287" s="4">
        <v>-189</v>
      </c>
      <c r="L287" s="4">
        <v>0</v>
      </c>
      <c r="M287" s="4">
        <v>0</v>
      </c>
      <c r="N287" s="4">
        <v>-189</v>
      </c>
      <c r="O287" s="4">
        <f>Tab_06.Jun[[#This Row],[DÉBITO]]-Tab_06.Jun[[#This Row],[CRÉDITO]]</f>
        <v>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A</v>
      </c>
      <c r="E288" s="2">
        <f>IF($I288="","",COUNTIFS(Tab_00.Trial[CONTA],$I288))</f>
        <v>1</v>
      </c>
      <c r="F288" s="4">
        <f>SUMIFS(Tab_05.Mai[SALDO
ATUAL],Tab_05.Mai[CONTA],$I288)</f>
        <v>-189</v>
      </c>
      <c r="G288" s="4">
        <f t="shared" si="13"/>
        <v>0</v>
      </c>
      <c r="I288" s="3" t="s">
        <v>834</v>
      </c>
      <c r="J288" s="3" t="s">
        <v>835</v>
      </c>
      <c r="K288" s="4">
        <v>-189</v>
      </c>
      <c r="L288" s="4">
        <v>0</v>
      </c>
      <c r="M288" s="4">
        <v>0</v>
      </c>
      <c r="N288" s="4">
        <v>-189</v>
      </c>
      <c r="O288" s="4">
        <f>Tab_06.Jun[[#This Row],[DÉBITO]]-Tab_06.Jun[[#This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EC3E7-28C1-4FDD-B167-A585D8F7C713}">
  <sheetPr codeName="Planilha17"/>
  <dimension ref="B1:O288"/>
  <sheetViews>
    <sheetView showGridLines="0" showRowColHeaders="0" zoomScale="80" zoomScaleNormal="80" workbookViewId="0">
      <pane xSplit="7" ySplit="14" topLeftCell="H15" activePane="bottomRight" state="frozen"/>
      <selection activeCell="J19" sqref="J19"/>
      <selection pane="topRight" activeCell="J19" sqref="J19"/>
      <selection pane="bottomLeft" activeCell="J19" sqref="J19"/>
      <selection pane="bottomRight" activeCell="L300" sqref="L300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SUMIFS(INDIRECT("Tab_07.Jul["&amp;F$14&amp;"]"),Tab_07.Jul[TP],$B2,Tab_07.Jul[NV],"A")</f>
        <v>0</v>
      </c>
      <c r="G2" s="7">
        <f ca="1">SUMIFS(INDIRECT("Tab_07.Jul["&amp;G$14&amp;"]"),Tab_07.Jul[TP],$B2,Tab_07.Jul[NV],"A")</f>
        <v>0</v>
      </c>
      <c r="H2" s="3"/>
      <c r="I2" s="3"/>
      <c r="J2" s="88" t="s">
        <v>15</v>
      </c>
      <c r="K2" s="7">
        <f ca="1">SUMIFS(INDIRECT("Tab_07.Jul["&amp;K$14&amp;"]"),Tab_07.Jul[TP],$B2,Tab_07.Jul[S/A],"A")</f>
        <v>83957861.060000002</v>
      </c>
      <c r="L2" s="7">
        <f ca="1">SUMIFS(INDIRECT("Tab_07.Jul["&amp;L$14&amp;"]"),Tab_07.Jul[TP],$B2,Tab_07.Jul[S/A],"A")</f>
        <v>1705112.11</v>
      </c>
      <c r="M2" s="7">
        <f ca="1">SUMIFS(INDIRECT("Tab_07.Jul["&amp;M$14&amp;"]"),Tab_07.Jul[TP],$B2,Tab_07.Jul[S/A],"A")</f>
        <v>1161640.1499999999</v>
      </c>
      <c r="N2" s="7">
        <f ca="1">SUMIFS(INDIRECT("Tab_07.Jul["&amp;N$14&amp;"]"),Tab_07.Jul[TP],$B2,Tab_07.Jul[S/A],"A")</f>
        <v>84501333.019999996</v>
      </c>
      <c r="O2" s="7">
        <f ca="1">SUMIFS(INDIRECT("Tab_07.Jul["&amp;O$14&amp;"]"),Tab_07.Jul[TP],$B2,Tab_07.Jul[S/A],"A")</f>
        <v>543471.96</v>
      </c>
    </row>
    <row r="3" spans="2:15" outlineLevel="1" x14ac:dyDescent="0.3">
      <c r="B3" s="2" t="s">
        <v>116</v>
      </c>
      <c r="F3" s="7">
        <f ca="1">SUMIFS(INDIRECT("Tab_07.Jul["&amp;F$14&amp;"]"),Tab_07.Jul[TP],$B3,Tab_07.Jul[NV],"A")</f>
        <v>0</v>
      </c>
      <c r="G3" s="7">
        <f ca="1">SUMIFS(INDIRECT("Tab_07.Jul["&amp;G$14&amp;"]"),Tab_07.Jul[TP],$B3,Tab_07.Jul[NV],"A")</f>
        <v>0</v>
      </c>
      <c r="H3" s="3"/>
      <c r="I3" s="3"/>
      <c r="J3" s="88" t="s">
        <v>110</v>
      </c>
      <c r="K3" s="7">
        <f ca="1">SUMIFS(INDIRECT("Tab_07.Jul["&amp;K$14&amp;"]"),Tab_07.Jul[TP],$B3,Tab_07.Jul[S/A],"A")</f>
        <v>-83213861.75</v>
      </c>
      <c r="L3" s="7">
        <f ca="1">SUMIFS(INDIRECT("Tab_07.Jul["&amp;L$14&amp;"]"),Tab_07.Jul[TP],$B3,Tab_07.Jul[S/A],"A")</f>
        <v>408811.77</v>
      </c>
      <c r="M3" s="7">
        <f ca="1">SUMIFS(INDIRECT("Tab_07.Jul["&amp;M$14&amp;"]"),Tab_07.Jul[TP],$B3,Tab_07.Jul[S/A],"A")</f>
        <v>543187.61</v>
      </c>
      <c r="N3" s="7">
        <f ca="1">SUMIFS(INDIRECT("Tab_07.Jul["&amp;N$14&amp;"]"),Tab_07.Jul[TP],$B3,Tab_07.Jul[S/A],"A")</f>
        <v>-83348237.590000004</v>
      </c>
      <c r="O3" s="7">
        <f ca="1">SUMIFS(INDIRECT("Tab_07.Jul["&amp;O$14&amp;"]"),Tab_07.Jul[TP],$B3,Tab_07.Jul[S/A],"A")</f>
        <v>-134375.84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743999.31</v>
      </c>
      <c r="L4" s="8">
        <f t="shared" ca="1" si="0"/>
        <v>2113923.88</v>
      </c>
      <c r="M4" s="8">
        <f t="shared" ca="1" si="0"/>
        <v>1704827.76</v>
      </c>
      <c r="N4" s="8">
        <f ca="1">SUM(N$2:N$3)</f>
        <v>1153095.43</v>
      </c>
      <c r="O4" s="8">
        <f t="shared" ca="1" si="0"/>
        <v>409096.12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SUMIFS(INDIRECT("Tab_07.Jul["&amp;F$14&amp;"]"),Tab_07.Jul[TP],$B6,Tab_07.Jul[NV],"A")</f>
        <v>0</v>
      </c>
      <c r="G6" s="7">
        <f ca="1">SUMIFS(INDIRECT("Tab_07.Jul["&amp;G$14&amp;"]"),Tab_07.Jul[TP],$B6,Tab_07.Jul[NV],"A")</f>
        <v>0</v>
      </c>
      <c r="H6" s="3"/>
      <c r="I6" s="3"/>
      <c r="J6" s="88" t="s">
        <v>18</v>
      </c>
      <c r="K6" s="7">
        <f ca="1">SUMIFS(INDIRECT("Tab_07.Jul["&amp;K$14&amp;"]"),Tab_07.Jul[TP],$B6,Tab_07.Jul[S/A],"A")</f>
        <v>-7450569.2599999998</v>
      </c>
      <c r="L6" s="7">
        <f ca="1">SUMIFS(INDIRECT("Tab_07.Jul["&amp;L$14&amp;"]"),Tab_07.Jul[TP],$B6,Tab_07.Jul[S/A],"A")</f>
        <v>11</v>
      </c>
      <c r="M6" s="7">
        <f ca="1">SUMIFS(INDIRECT("Tab_07.Jul["&amp;M$14&amp;"]"),Tab_07.Jul[TP],$B6,Tab_07.Jul[S/A],"A")</f>
        <v>1494895.3</v>
      </c>
      <c r="N6" s="7">
        <f ca="1">SUMIFS(INDIRECT("Tab_07.Jul["&amp;N$14&amp;"]"),Tab_07.Jul[TP],$B6,Tab_07.Jul[S/A],"A")</f>
        <v>-8945453.5600000005</v>
      </c>
      <c r="O6" s="7">
        <f ca="1">SUMIFS(INDIRECT("Tab_07.Jul["&amp;O$14&amp;"]"),Tab_07.Jul[TP],$B6,Tab_07.Jul[S/A],"A")</f>
        <v>-1494884.3</v>
      </c>
    </row>
    <row r="7" spans="2:15" outlineLevel="1" x14ac:dyDescent="0.3">
      <c r="B7" s="2" t="s">
        <v>20</v>
      </c>
      <c r="F7" s="7">
        <f ca="1">SUMIFS(INDIRECT("Tab_07.Jul["&amp;F$14&amp;"]"),Tab_07.Jul[TP],$B7,Tab_07.Jul[NV],"A")</f>
        <v>0</v>
      </c>
      <c r="G7" s="7">
        <f ca="1">SUMIFS(INDIRECT("Tab_07.Jul["&amp;G$14&amp;"]"),Tab_07.Jul[TP],$B7,Tab_07.Jul[NV],"A")</f>
        <v>0</v>
      </c>
      <c r="H7" s="3"/>
      <c r="I7" s="3"/>
      <c r="J7" s="88" t="s">
        <v>111</v>
      </c>
      <c r="K7" s="7">
        <f ca="1">SUMIFS(INDIRECT("Tab_07.Jul["&amp;K$14&amp;"]"),Tab_07.Jul[TP],$B7,Tab_07.Jul[S/A],"A")</f>
        <v>6706569.9500000002</v>
      </c>
      <c r="L7" s="7">
        <f ca="1">SUMIFS(INDIRECT("Tab_07.Jul["&amp;L$14&amp;"]"),Tab_07.Jul[TP],$B7,Tab_07.Jul[S/A],"A")</f>
        <v>1114295.33</v>
      </c>
      <c r="M7" s="7">
        <f ca="1">SUMIFS(INDIRECT("Tab_07.Jul["&amp;M$14&amp;"]"),Tab_07.Jul[TP],$B7,Tab_07.Jul[S/A],"A")</f>
        <v>28507.15</v>
      </c>
      <c r="N7" s="7">
        <f ca="1">SUMIFS(INDIRECT("Tab_07.Jul["&amp;N$14&amp;"]"),Tab_07.Jul[TP],$B7,Tab_07.Jul[S/A],"A")</f>
        <v>7792358.1299999999</v>
      </c>
      <c r="O7" s="7">
        <f ca="1">SUMIFS(INDIRECT("Tab_07.Jul["&amp;O$14&amp;"]"),Tab_07.Jul[TP],$B7,Tab_07.Jul[S/A],"A")</f>
        <v>1085788.18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-743999.31</v>
      </c>
      <c r="L8" s="8">
        <f ca="1">SUM(L$6:L$7)</f>
        <v>1114306.33</v>
      </c>
      <c r="M8" s="8">
        <f ca="1">SUM(M$6:M$7)</f>
        <v>1523402.45</v>
      </c>
      <c r="N8" s="8">
        <f ca="1">SUM(N$6:N$7)</f>
        <v>-1153095.43</v>
      </c>
      <c r="O8" s="8">
        <f ca="1">SUM(O$6:O$7)</f>
        <v>-409096.12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3228230.21</v>
      </c>
      <c r="M10" s="11">
        <f t="shared" ca="1" si="1"/>
        <v>3228230.21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SUBTOTAL(9,Tab_07.Jul[SALDO FINAL
ANTERIOR])</f>
        <v>0</v>
      </c>
      <c r="G12" s="7">
        <f>SUBTOTAL(9,Tab_07.Jul[DIFERENÇA])</f>
        <v>0</v>
      </c>
      <c r="H12" s="3"/>
      <c r="I12" s="3"/>
      <c r="J12" s="3"/>
      <c r="K12" s="7">
        <f>SUBTOTAL(9,Tab_07.Jul[SALDO
ANTERIOR])</f>
        <v>0</v>
      </c>
      <c r="L12" s="7">
        <f>SUBTOTAL(9,Tab_07.Jul[DÉBITO])</f>
        <v>16141151.050000001</v>
      </c>
      <c r="M12" s="7">
        <f>SUBTOTAL(9,Tab_07.Jul[CRÉDITO])</f>
        <v>16141151.050000001</v>
      </c>
      <c r="N12" s="7">
        <f>SUBTOTAL(9,Tab_07.Jul[SALDO
ATUAL])</f>
        <v>0</v>
      </c>
      <c r="O12" s="7">
        <f>SUBTOTAL(9,Tab_07.Jul[MOVIMENTO])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SUMIFS(Tab_06.Jun[SALDO
ATUAL],Tab_06.Jun[CONTA],$I15)</f>
        <v>84501333.019999996</v>
      </c>
      <c r="G15" s="4">
        <f>$F15-$K15</f>
        <v>543471.96</v>
      </c>
      <c r="H15" s="3"/>
      <c r="I15" s="3">
        <v>1</v>
      </c>
      <c r="J15" s="3" t="s">
        <v>637</v>
      </c>
      <c r="K15" s="4">
        <v>83957861.060000002</v>
      </c>
      <c r="L15" s="4">
        <v>1705112.11</v>
      </c>
      <c r="M15" s="4">
        <v>1161640.1499999999</v>
      </c>
      <c r="N15" s="4">
        <v>84501333.019999996</v>
      </c>
      <c r="O15" s="4">
        <f>Tab_07.Jul[[#This Row],[DÉBITO]]-Tab_07.Jul[[#This Row],[CRÉDITO]]</f>
        <v>543471.96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SUMIFS(Tab_06.Jun[SALDO
ATUAL],Tab_06.Jun[CONTA],$I16)</f>
        <v>10902560.52</v>
      </c>
      <c r="G16" s="4">
        <f>$F16-$K16</f>
        <v>209976.12</v>
      </c>
      <c r="H16" s="3"/>
      <c r="I16" s="3" t="s">
        <v>197</v>
      </c>
      <c r="J16" s="3" t="s">
        <v>247</v>
      </c>
      <c r="K16" s="4">
        <v>10692584.4</v>
      </c>
      <c r="L16" s="4">
        <v>1367949.52</v>
      </c>
      <c r="M16" s="4">
        <v>1157973.3999999999</v>
      </c>
      <c r="N16" s="4">
        <v>10902560.52</v>
      </c>
      <c r="O16" s="4">
        <f>Tab_07.Jul[[#This Row],[DÉBITO]]-Tab_07.Jul[[#This Row],[CRÉDITO]]</f>
        <v>209976.12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SUMIFS(Tab_06.Jun[SALDO
ATUAL],Tab_06.Jun[CONTA],$I17)</f>
        <v>10708727.35</v>
      </c>
      <c r="G17" s="4">
        <f>$F17-$K17</f>
        <v>229205.22</v>
      </c>
      <c r="H17" s="3"/>
      <c r="I17" s="3" t="s">
        <v>199</v>
      </c>
      <c r="J17" s="3" t="s">
        <v>638</v>
      </c>
      <c r="K17" s="4">
        <v>10479522.130000001</v>
      </c>
      <c r="L17" s="4">
        <v>1363445.51</v>
      </c>
      <c r="M17" s="4">
        <v>1134240.29</v>
      </c>
      <c r="N17" s="4">
        <v>10708727.35</v>
      </c>
      <c r="O17" s="4">
        <f>Tab_07.Jul[[#This Row],[DÉBITO]]-Tab_07.Jul[[#This Row],[CRÉDITO]]</f>
        <v>229205.22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SUMIFS(Tab_06.Jun[SALDO
ATUAL],Tab_06.Jun[CONTA],$I18)</f>
        <v>1243.94</v>
      </c>
      <c r="G18" s="4">
        <f t="shared" ref="G18:G49" si="2">$F18-$K18</f>
        <v>-906.62</v>
      </c>
      <c r="I18" s="3" t="s">
        <v>201</v>
      </c>
      <c r="J18" s="3" t="s">
        <v>639</v>
      </c>
      <c r="K18" s="4">
        <v>2150.56</v>
      </c>
      <c r="L18" s="4">
        <v>0</v>
      </c>
      <c r="M18" s="4">
        <v>906.62</v>
      </c>
      <c r="N18" s="4">
        <v>1243.94</v>
      </c>
      <c r="O18" s="4">
        <f>Tab_07.Jul[[#This Row],[DÉBITO]]-Tab_07.Jul[[#This Row],[CRÉDITO]]</f>
        <v>-906.62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SUMIFS(Tab_06.Jun[SALDO
ATUAL],Tab_06.Jun[CONTA],$I19)</f>
        <v>1243.94</v>
      </c>
      <c r="G19" s="4">
        <f t="shared" si="2"/>
        <v>-906.62</v>
      </c>
      <c r="I19" s="3" t="s">
        <v>176</v>
      </c>
      <c r="J19" s="3" t="s">
        <v>274</v>
      </c>
      <c r="K19" s="4">
        <v>2150.56</v>
      </c>
      <c r="L19" s="4">
        <v>0</v>
      </c>
      <c r="M19" s="4">
        <v>906.62</v>
      </c>
      <c r="N19" s="4">
        <v>1243.94</v>
      </c>
      <c r="O19" s="4">
        <f>Tab_07.Jul[[#This Row],[DÉBITO]]-Tab_07.Jul[[#This Row],[CRÉDITO]]</f>
        <v>-906.62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SUMIFS(Tab_06.Jun[SALDO
ATUAL],Tab_06.Jun[CONTA],$I20)</f>
        <v>22507.02</v>
      </c>
      <c r="G20" s="4">
        <f t="shared" si="2"/>
        <v>-3203.77</v>
      </c>
      <c r="I20" s="3" t="s">
        <v>202</v>
      </c>
      <c r="J20" s="3" t="s">
        <v>640</v>
      </c>
      <c r="K20" s="4">
        <v>25710.79</v>
      </c>
      <c r="L20" s="4">
        <v>824741.99</v>
      </c>
      <c r="M20" s="4">
        <v>827945.76</v>
      </c>
      <c r="N20" s="4">
        <v>22507.02</v>
      </c>
      <c r="O20" s="4">
        <f>Tab_07.Jul[[#This Row],[DÉBITO]]-Tab_07.Jul[[#This Row],[CRÉDITO]]</f>
        <v>-3203.77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SUMIFS(Tab_06.Jun[SALDO
ATUAL],Tab_06.Jun[CONTA],$I21)</f>
        <v>1.01</v>
      </c>
      <c r="G21" s="4">
        <f t="shared" si="2"/>
        <v>0</v>
      </c>
      <c r="I21" s="3" t="s">
        <v>277</v>
      </c>
      <c r="J21" s="3" t="s">
        <v>278</v>
      </c>
      <c r="K21" s="4">
        <v>1.01</v>
      </c>
      <c r="L21" s="4">
        <v>816998.19</v>
      </c>
      <c r="M21" s="4">
        <v>816998.19</v>
      </c>
      <c r="N21" s="4">
        <v>1.01</v>
      </c>
      <c r="O21" s="4">
        <f>Tab_07.Jul[[#This Row],[DÉBITO]]-Tab_07.Jul[[#This Row],[CRÉDITO]]</f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SUMIFS(Tab_06.Jun[SALDO
ATUAL],Tab_06.Jun[CONTA],$I22)</f>
        <v>18084.73</v>
      </c>
      <c r="G22" s="4">
        <f t="shared" si="2"/>
        <v>-147.27000000000001</v>
      </c>
      <c r="I22" s="3" t="s">
        <v>177</v>
      </c>
      <c r="J22" s="3" t="s">
        <v>279</v>
      </c>
      <c r="K22" s="4">
        <v>18232</v>
      </c>
      <c r="L22" s="4">
        <v>7693.8</v>
      </c>
      <c r="M22" s="4">
        <v>7841.07</v>
      </c>
      <c r="N22" s="4">
        <v>18084.73</v>
      </c>
      <c r="O22" s="4">
        <f>Tab_07.Jul[[#This Row],[DÉBITO]]-Tab_07.Jul[[#This Row],[CRÉDITO]]</f>
        <v>-147.27000000000001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SUMIFS(Tab_06.Jun[SALDO
ATUAL],Tab_06.Jun[CONTA],$I23)</f>
        <v>4421.28</v>
      </c>
      <c r="G23" s="4">
        <f t="shared" si="2"/>
        <v>-3056.5</v>
      </c>
      <c r="I23" s="3" t="s">
        <v>280</v>
      </c>
      <c r="J23" s="3" t="s">
        <v>281</v>
      </c>
      <c r="K23" s="4">
        <v>7477.78</v>
      </c>
      <c r="L23" s="4">
        <v>50</v>
      </c>
      <c r="M23" s="4">
        <v>3106.5</v>
      </c>
      <c r="N23" s="4">
        <v>4421.28</v>
      </c>
      <c r="O23" s="4">
        <f>Tab_07.Jul[[#This Row],[DÉBITO]]-Tab_07.Jul[[#This Row],[CRÉDITO]]</f>
        <v>-3056.5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SUMIFS(Tab_06.Jun[SALDO
ATUAL],Tab_06.Jun[CONTA],$I24)</f>
        <v>10684976.390000001</v>
      </c>
      <c r="G24" s="4">
        <f t="shared" si="2"/>
        <v>233315.61</v>
      </c>
      <c r="I24" s="3" t="s">
        <v>203</v>
      </c>
      <c r="J24" s="3" t="s">
        <v>641</v>
      </c>
      <c r="K24" s="4">
        <v>10451660.779999999</v>
      </c>
      <c r="L24" s="4">
        <v>538703.52</v>
      </c>
      <c r="M24" s="4">
        <v>305387.90999999997</v>
      </c>
      <c r="N24" s="4">
        <v>10684976.390000001</v>
      </c>
      <c r="O24" s="4">
        <f>Tab_07.Jul[[#This Row],[DÉBITO]]-Tab_07.Jul[[#This Row],[CRÉDITO]]</f>
        <v>233315.61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SUMIFS(Tab_06.Jun[SALDO
ATUAL],Tab_06.Jun[CONTA],$I25)</f>
        <v>4933795.4400000004</v>
      </c>
      <c r="G25" s="4">
        <f t="shared" si="2"/>
        <v>182444.01</v>
      </c>
      <c r="I25" s="3" t="s">
        <v>178</v>
      </c>
      <c r="J25" s="3" t="s">
        <v>284</v>
      </c>
      <c r="K25" s="4">
        <v>4751351.43</v>
      </c>
      <c r="L25" s="4">
        <v>487831.92</v>
      </c>
      <c r="M25" s="4">
        <v>305387.90999999997</v>
      </c>
      <c r="N25" s="4">
        <v>4933795.4400000004</v>
      </c>
      <c r="O25" s="4">
        <f>Tab_07.Jul[[#This Row],[DÉBITO]]-Tab_07.Jul[[#This Row],[CRÉDITO]]</f>
        <v>182444.01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SUMIFS(Tab_06.Jun[SALDO
ATUAL],Tab_06.Jun[CONTA],$I26)</f>
        <v>5751180.9500000002</v>
      </c>
      <c r="G26" s="4">
        <f t="shared" si="2"/>
        <v>50871.6</v>
      </c>
      <c r="I26" s="3" t="s">
        <v>287</v>
      </c>
      <c r="J26" s="3" t="s">
        <v>288</v>
      </c>
      <c r="K26" s="4">
        <v>5700309.3499999996</v>
      </c>
      <c r="L26" s="4">
        <v>50871.6</v>
      </c>
      <c r="M26" s="4">
        <v>0</v>
      </c>
      <c r="N26" s="4">
        <v>5751180.9500000002</v>
      </c>
      <c r="O26" s="4">
        <f>Tab_07.Jul[[#This Row],[DÉBITO]]-Tab_07.Jul[[#This Row],[CRÉDITO]]</f>
        <v>50871.6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SUMIFS(Tab_06.Jun[SALDO
ATUAL],Tab_06.Jun[CONTA],$I27)</f>
        <v>99274.97</v>
      </c>
      <c r="G27" s="4">
        <f t="shared" si="2"/>
        <v>0</v>
      </c>
      <c r="I27" s="3" t="s">
        <v>204</v>
      </c>
      <c r="J27" s="3" t="s">
        <v>642</v>
      </c>
      <c r="K27" s="4">
        <v>99274.97</v>
      </c>
      <c r="L27" s="4">
        <v>50</v>
      </c>
      <c r="M27" s="4">
        <v>50</v>
      </c>
      <c r="N27" s="4">
        <v>99274.97</v>
      </c>
      <c r="O27" s="4">
        <f>Tab_07.Jul[[#This Row],[DÉBITO]]-Tab_07.Jul[[#This Row],[CRÉDITO]]</f>
        <v>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SUMIFS(Tab_06.Jun[SALDO
ATUAL],Tab_06.Jun[CONTA],$I28)</f>
        <v>99274.97</v>
      </c>
      <c r="G28" s="4">
        <f t="shared" si="2"/>
        <v>0</v>
      </c>
      <c r="I28" s="3" t="s">
        <v>205</v>
      </c>
      <c r="J28" s="3" t="s">
        <v>643</v>
      </c>
      <c r="K28" s="4">
        <v>99274.97</v>
      </c>
      <c r="L28" s="4">
        <v>50</v>
      </c>
      <c r="M28" s="4">
        <v>50</v>
      </c>
      <c r="N28" s="4">
        <v>99274.97</v>
      </c>
      <c r="O28" s="4">
        <f>Tab_07.Jul[[#This Row],[DÉBITO]]-Tab_07.Jul[[#This Row],[CRÉDITO]]</f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SUMIFS(Tab_06.Jun[SALDO
ATUAL],Tab_06.Jun[CONTA],$I29)</f>
        <v>99274.97</v>
      </c>
      <c r="G29" s="4">
        <f t="shared" si="2"/>
        <v>0</v>
      </c>
      <c r="I29" s="3" t="s">
        <v>291</v>
      </c>
      <c r="J29" s="3" t="s">
        <v>292</v>
      </c>
      <c r="K29" s="4">
        <v>99274.97</v>
      </c>
      <c r="L29" s="4">
        <v>50</v>
      </c>
      <c r="M29" s="4">
        <v>50</v>
      </c>
      <c r="N29" s="4">
        <v>99274.97</v>
      </c>
      <c r="O29" s="4">
        <f>Tab_07.Jul[[#This Row],[DÉBITO]]-Tab_07.Jul[[#This Row],[CRÉDITO]]</f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SUMIFS(Tab_06.Jun[SALDO
ATUAL],Tab_06.Jun[CONTA],$I30)</f>
        <v>15213.77</v>
      </c>
      <c r="G30" s="4">
        <f t="shared" si="2"/>
        <v>-18941.36</v>
      </c>
      <c r="I30" s="3" t="s">
        <v>206</v>
      </c>
      <c r="J30" s="3" t="s">
        <v>644</v>
      </c>
      <c r="K30" s="4">
        <v>34155.129999999997</v>
      </c>
      <c r="L30" s="4">
        <v>4454.01</v>
      </c>
      <c r="M30" s="4">
        <v>23395.37</v>
      </c>
      <c r="N30" s="4">
        <v>15213.77</v>
      </c>
      <c r="O30" s="4">
        <f>Tab_07.Jul[[#This Row],[DÉBITO]]-Tab_07.Jul[[#This Row],[CRÉDITO]]</f>
        <v>-18941.36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SUMIFS(Tab_06.Jun[SALDO
ATUAL],Tab_06.Jun[CONTA],$I31)</f>
        <v>0</v>
      </c>
      <c r="G31" s="4">
        <f t="shared" si="2"/>
        <v>-18930.36</v>
      </c>
      <c r="I31" s="3" t="s">
        <v>208</v>
      </c>
      <c r="J31" s="3" t="s">
        <v>139</v>
      </c>
      <c r="K31" s="4">
        <v>18930.36</v>
      </c>
      <c r="L31" s="4">
        <v>4454.01</v>
      </c>
      <c r="M31" s="4">
        <v>23384.37</v>
      </c>
      <c r="N31" s="4">
        <v>0</v>
      </c>
      <c r="O31" s="4">
        <f>Tab_07.Jul[[#This Row],[DÉBITO]]-Tab_07.Jul[[#This Row],[CRÉDITO]]</f>
        <v>-18930.36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SUMIFS(Tab_06.Jun[SALDO
ATUAL],Tab_06.Jun[CONTA],$I32)</f>
        <v>0</v>
      </c>
      <c r="G32" s="4">
        <f t="shared" si="2"/>
        <v>-18930.36</v>
      </c>
      <c r="I32" s="3" t="s">
        <v>294</v>
      </c>
      <c r="J32" s="3" t="s">
        <v>295</v>
      </c>
      <c r="K32" s="4">
        <v>18930.36</v>
      </c>
      <c r="L32" s="4">
        <v>4454.01</v>
      </c>
      <c r="M32" s="4">
        <v>23384.37</v>
      </c>
      <c r="N32" s="4">
        <v>0</v>
      </c>
      <c r="O32" s="4">
        <f>Tab_07.Jul[[#This Row],[DÉBITO]]-Tab_07.Jul[[#This Row],[CRÉDITO]]</f>
        <v>-18930.36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SUMIFS(Tab_06.Jun[SALDO
ATUAL],Tab_06.Jun[CONTA],$I33)</f>
        <v>15213.77</v>
      </c>
      <c r="G33" s="4">
        <f t="shared" si="2"/>
        <v>-11</v>
      </c>
      <c r="I33" s="3" t="s">
        <v>551</v>
      </c>
      <c r="J33" s="3" t="s">
        <v>645</v>
      </c>
      <c r="K33" s="4">
        <v>15224.77</v>
      </c>
      <c r="L33" s="4">
        <v>0</v>
      </c>
      <c r="M33" s="4">
        <v>11</v>
      </c>
      <c r="N33" s="4">
        <v>15213.77</v>
      </c>
      <c r="O33" s="4">
        <f>Tab_07.Jul[[#This Row],[DÉBITO]]-Tab_07.Jul[[#This Row],[CRÉDITO]]</f>
        <v>-11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SUMIFS(Tab_06.Jun[SALDO
ATUAL],Tab_06.Jun[CONTA],$I34)</f>
        <v>15213.77</v>
      </c>
      <c r="G34" s="4">
        <f t="shared" si="2"/>
        <v>-11</v>
      </c>
      <c r="I34" s="3" t="s">
        <v>837</v>
      </c>
      <c r="J34" s="3" t="s">
        <v>838</v>
      </c>
      <c r="K34" s="4">
        <v>15224.77</v>
      </c>
      <c r="L34" s="4">
        <v>0</v>
      </c>
      <c r="M34" s="4">
        <v>11</v>
      </c>
      <c r="N34" s="4">
        <v>15213.77</v>
      </c>
      <c r="O34" s="4">
        <f>Tab_07.Jul[[#This Row],[DÉBITO]]-Tab_07.Jul[[#This Row],[CRÉDITO]]</f>
        <v>-11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SUMIFS(Tab_06.Jun[SALDO
ATUAL],Tab_06.Jun[CONTA],$I35)</f>
        <v>78781.539999999994</v>
      </c>
      <c r="G35" s="4">
        <f t="shared" si="2"/>
        <v>0</v>
      </c>
      <c r="I35" s="3" t="s">
        <v>846</v>
      </c>
      <c r="J35" s="3" t="s">
        <v>847</v>
      </c>
      <c r="K35" s="4">
        <v>78781.539999999994</v>
      </c>
      <c r="L35" s="4">
        <v>0</v>
      </c>
      <c r="M35" s="4">
        <v>0</v>
      </c>
      <c r="N35" s="4">
        <v>78781.539999999994</v>
      </c>
      <c r="O35" s="4">
        <f>Tab_07.Jul[[#This Row],[DÉBITO]]-Tab_07.Jul[[#This Row],[CRÉDITO]]</f>
        <v>0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SUMIFS(Tab_06.Jun[SALDO
ATUAL],Tab_06.Jun[CONTA],$I36)</f>
        <v>78781.539999999994</v>
      </c>
      <c r="G36" s="4">
        <f t="shared" si="2"/>
        <v>0</v>
      </c>
      <c r="I36" s="3" t="s">
        <v>848</v>
      </c>
      <c r="J36" s="3" t="s">
        <v>849</v>
      </c>
      <c r="K36" s="4">
        <v>78781.539999999994</v>
      </c>
      <c r="L36" s="4">
        <v>0</v>
      </c>
      <c r="M36" s="4">
        <v>0</v>
      </c>
      <c r="N36" s="4">
        <v>78781.539999999994</v>
      </c>
      <c r="O36" s="4">
        <f>Tab_07.Jul[[#This Row],[DÉBITO]]-Tab_07.Jul[[#This Row],[CRÉDITO]]</f>
        <v>0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SUMIFS(Tab_06.Jun[SALDO
ATUAL],Tab_06.Jun[CONTA],$I37)</f>
        <v>78781.539999999994</v>
      </c>
      <c r="G37" s="4">
        <f t="shared" si="2"/>
        <v>0</v>
      </c>
      <c r="I37" s="3" t="s">
        <v>850</v>
      </c>
      <c r="J37" s="3" t="s">
        <v>849</v>
      </c>
      <c r="K37" s="4">
        <v>78781.539999999994</v>
      </c>
      <c r="L37" s="4">
        <v>0</v>
      </c>
      <c r="M37" s="4">
        <v>0</v>
      </c>
      <c r="N37" s="4">
        <v>78781.539999999994</v>
      </c>
      <c r="O37" s="4">
        <f>Tab_07.Jul[[#This Row],[DÉBITO]]-Tab_07.Jul[[#This Row],[CRÉDITO]]</f>
        <v>0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SUMIFS(Tab_06.Jun[SALDO
ATUAL],Tab_06.Jun[CONTA],$I38)</f>
        <v>562.89</v>
      </c>
      <c r="G38" s="4">
        <f t="shared" si="2"/>
        <v>-287.74</v>
      </c>
      <c r="I38" s="3" t="s">
        <v>209</v>
      </c>
      <c r="J38" s="3" t="s">
        <v>646</v>
      </c>
      <c r="K38" s="4">
        <v>850.63</v>
      </c>
      <c r="L38" s="4">
        <v>0</v>
      </c>
      <c r="M38" s="4">
        <v>287.74</v>
      </c>
      <c r="N38" s="4">
        <v>562.89</v>
      </c>
      <c r="O38" s="4">
        <f>Tab_07.Jul[[#This Row],[DÉBITO]]-Tab_07.Jul[[#This Row],[CRÉDITO]]</f>
        <v>-287.74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S</v>
      </c>
      <c r="E39" s="2">
        <f>IF($I39="","",COUNTIFS(Tab_00.Trial[CONTA],$I39))</f>
        <v>1</v>
      </c>
      <c r="F39" s="4">
        <f>SUMIFS(Tab_06.Jun[SALDO
ATUAL],Tab_06.Jun[CONTA],$I39)</f>
        <v>562.89</v>
      </c>
      <c r="G39" s="4">
        <f t="shared" si="2"/>
        <v>-287.74</v>
      </c>
      <c r="I39" s="3" t="s">
        <v>210</v>
      </c>
      <c r="J39" s="3" t="s">
        <v>646</v>
      </c>
      <c r="K39" s="4">
        <v>850.63</v>
      </c>
      <c r="L39" s="4">
        <v>0</v>
      </c>
      <c r="M39" s="4">
        <v>287.74</v>
      </c>
      <c r="N39" s="4">
        <v>562.89</v>
      </c>
      <c r="O39" s="4">
        <f>Tab_07.Jul[[#This Row],[DÉBITO]]-Tab_07.Jul[[#This Row],[CRÉDITO]]</f>
        <v>-287.74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A</v>
      </c>
      <c r="E40" s="2">
        <f>IF($I40="","",COUNTIFS(Tab_00.Trial[CONTA],$I40))</f>
        <v>1</v>
      </c>
      <c r="F40" s="4">
        <f>SUMIFS(Tab_06.Jun[SALDO
ATUAL],Tab_06.Jun[CONTA],$I40)</f>
        <v>562.89</v>
      </c>
      <c r="G40" s="4">
        <f t="shared" si="2"/>
        <v>-287.74</v>
      </c>
      <c r="I40" s="3" t="s">
        <v>298</v>
      </c>
      <c r="J40" s="3" t="s">
        <v>299</v>
      </c>
      <c r="K40" s="4">
        <v>850.63</v>
      </c>
      <c r="L40" s="4">
        <v>0</v>
      </c>
      <c r="M40" s="4">
        <v>287.74</v>
      </c>
      <c r="N40" s="4">
        <v>562.89</v>
      </c>
      <c r="O40" s="4">
        <f>Tab_07.Jul[[#This Row],[DÉBITO]]-Tab_07.Jul[[#This Row],[CRÉDITO]]</f>
        <v>-287.74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2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SUMIFS(Tab_06.Jun[SALDO
ATUAL],Tab_06.Jun[CONTA],$I41)</f>
        <v>73598772.5</v>
      </c>
      <c r="G41" s="4">
        <f t="shared" si="2"/>
        <v>333495.84000000003</v>
      </c>
      <c r="I41" s="3" t="s">
        <v>211</v>
      </c>
      <c r="J41" s="3" t="s">
        <v>76</v>
      </c>
      <c r="K41" s="4">
        <v>73265276.659999996</v>
      </c>
      <c r="L41" s="4">
        <v>337162.59</v>
      </c>
      <c r="M41" s="4">
        <v>3666.75</v>
      </c>
      <c r="N41" s="4">
        <v>73598772.5</v>
      </c>
      <c r="O41" s="4">
        <f>Tab_07.Jul[[#This Row],[DÉBITO]]-Tab_07.Jul[[#This Row],[CRÉDITO]]</f>
        <v>333495.84000000003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SUMIFS(Tab_06.Jun[SALDO
ATUAL],Tab_06.Jun[CONTA],$I42)</f>
        <v>255285.62</v>
      </c>
      <c r="G42" s="4">
        <f t="shared" si="2"/>
        <v>322.2</v>
      </c>
      <c r="I42" s="3" t="s">
        <v>552</v>
      </c>
      <c r="J42" s="3" t="s">
        <v>647</v>
      </c>
      <c r="K42" s="4">
        <v>254963.42</v>
      </c>
      <c r="L42" s="4">
        <v>322.2</v>
      </c>
      <c r="M42" s="4">
        <v>0</v>
      </c>
      <c r="N42" s="4">
        <v>255285.62</v>
      </c>
      <c r="O42" s="4">
        <f>Tab_07.Jul[[#This Row],[DÉBITO]]-Tab_07.Jul[[#This Row],[CRÉDITO]]</f>
        <v>322.2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SUMIFS(Tab_06.Jun[SALDO
ATUAL],Tab_06.Jun[CONTA],$I43)</f>
        <v>255285.62</v>
      </c>
      <c r="G43" s="4">
        <f t="shared" si="2"/>
        <v>322.2</v>
      </c>
      <c r="I43" s="3" t="s">
        <v>553</v>
      </c>
      <c r="J43" s="3" t="s">
        <v>301</v>
      </c>
      <c r="K43" s="4">
        <v>254963.42</v>
      </c>
      <c r="L43" s="4">
        <v>322.2</v>
      </c>
      <c r="M43" s="4">
        <v>0</v>
      </c>
      <c r="N43" s="4">
        <v>255285.62</v>
      </c>
      <c r="O43" s="4">
        <f>Tab_07.Jul[[#This Row],[DÉBITO]]-Tab_07.Jul[[#This Row],[CRÉDITO]]</f>
        <v>322.2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SUMIFS(Tab_06.Jun[SALDO
ATUAL],Tab_06.Jun[CONTA],$I44)</f>
        <v>255285.62</v>
      </c>
      <c r="G44" s="4">
        <f t="shared" si="2"/>
        <v>322.2</v>
      </c>
      <c r="I44" s="3" t="s">
        <v>300</v>
      </c>
      <c r="J44" s="3" t="s">
        <v>301</v>
      </c>
      <c r="K44" s="4">
        <v>254963.42</v>
      </c>
      <c r="L44" s="4">
        <v>322.2</v>
      </c>
      <c r="M44" s="4">
        <v>0</v>
      </c>
      <c r="N44" s="4">
        <v>255285.62</v>
      </c>
      <c r="O44" s="4">
        <f>Tab_07.Jul[[#This Row],[DÉBITO]]-Tab_07.Jul[[#This Row],[CRÉDITO]]</f>
        <v>322.2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SUMIFS(Tab_06.Jun[SALDO
ATUAL],Tab_06.Jun[CONTA],$I45)</f>
        <v>70977841.069999993</v>
      </c>
      <c r="G45" s="4">
        <f t="shared" si="2"/>
        <v>336840.39</v>
      </c>
      <c r="I45" s="3" t="s">
        <v>554</v>
      </c>
      <c r="J45" s="3" t="s">
        <v>648</v>
      </c>
      <c r="K45" s="4">
        <v>70641000.680000007</v>
      </c>
      <c r="L45" s="4">
        <v>336840.39</v>
      </c>
      <c r="M45" s="4">
        <v>0</v>
      </c>
      <c r="N45" s="4">
        <v>70977841.069999993</v>
      </c>
      <c r="O45" s="4">
        <f>Tab_07.Jul[[#This Row],[DÉBITO]]-Tab_07.Jul[[#This Row],[CRÉDITO]]</f>
        <v>336840.39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SUMIFS(Tab_06.Jun[SALDO
ATUAL],Tab_06.Jun[CONTA],$I46)</f>
        <v>45344232.229999997</v>
      </c>
      <c r="G46" s="4">
        <f t="shared" si="2"/>
        <v>0</v>
      </c>
      <c r="I46" s="3" t="s">
        <v>555</v>
      </c>
      <c r="J46" s="3" t="s">
        <v>649</v>
      </c>
      <c r="K46" s="4">
        <v>45344232.229999997</v>
      </c>
      <c r="L46" s="4">
        <v>0</v>
      </c>
      <c r="M46" s="4">
        <v>0</v>
      </c>
      <c r="N46" s="4">
        <v>45344232.229999997</v>
      </c>
      <c r="O46" s="4">
        <f>Tab_07.Jul[[#This Row],[DÉBITO]]-Tab_07.Jul[[#This Row],[CRÉDITO]]</f>
        <v>0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A</v>
      </c>
      <c r="E47" s="2">
        <f>IF($I47="","",COUNTIFS(Tab_00.Trial[CONTA],$I47))</f>
        <v>1</v>
      </c>
      <c r="F47" s="4">
        <f>SUMIFS(Tab_06.Jun[SALDO
ATUAL],Tab_06.Jun[CONTA],$I47)</f>
        <v>42477392.43</v>
      </c>
      <c r="G47" s="4">
        <f t="shared" si="2"/>
        <v>0</v>
      </c>
      <c r="I47" s="3" t="s">
        <v>302</v>
      </c>
      <c r="J47" s="3" t="s">
        <v>303</v>
      </c>
      <c r="K47" s="4">
        <v>42477392.43</v>
      </c>
      <c r="L47" s="4">
        <v>0</v>
      </c>
      <c r="M47" s="4">
        <v>0</v>
      </c>
      <c r="N47" s="4">
        <v>42477392.43</v>
      </c>
      <c r="O47" s="4">
        <f>Tab_07.Jul[[#This Row],[DÉBITO]]-Tab_07.Jul[[#This Row],[CRÉDITO]]</f>
        <v>0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SUMIFS(Tab_06.Jun[SALDO
ATUAL],Tab_06.Jun[CONTA],$I48)</f>
        <v>2866839.8</v>
      </c>
      <c r="G48" s="4">
        <f t="shared" si="2"/>
        <v>0</v>
      </c>
      <c r="I48" s="3" t="s">
        <v>304</v>
      </c>
      <c r="J48" s="3" t="s">
        <v>305</v>
      </c>
      <c r="K48" s="4">
        <v>2866839.8</v>
      </c>
      <c r="L48" s="4">
        <v>0</v>
      </c>
      <c r="M48" s="4">
        <v>0</v>
      </c>
      <c r="N48" s="4">
        <v>2866839.8</v>
      </c>
      <c r="O48" s="4">
        <f>Tab_07.Jul[[#This Row],[DÉBITO]]-Tab_07.Jul[[#This Row],[CRÉDITO]]</f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SUMIFS(Tab_06.Jun[SALDO
ATUAL],Tab_06.Jun[CONTA],$I49)</f>
        <v>4760.84</v>
      </c>
      <c r="G49" s="4">
        <f t="shared" si="2"/>
        <v>0</v>
      </c>
      <c r="I49" s="3" t="s">
        <v>556</v>
      </c>
      <c r="J49" s="3" t="s">
        <v>650</v>
      </c>
      <c r="K49" s="4">
        <v>4760.84</v>
      </c>
      <c r="L49" s="4">
        <v>0</v>
      </c>
      <c r="M49" s="4">
        <v>0</v>
      </c>
      <c r="N49" s="4">
        <v>4760.84</v>
      </c>
      <c r="O49" s="4">
        <f>Tab_07.Jul[[#This Row],[DÉBITO]]-Tab_07.Jul[[#This Row],[CRÉDITO]]</f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SUMIFS(Tab_06.Jun[SALDO
ATUAL],Tab_06.Jun[CONTA],$I50)</f>
        <v>4760.84</v>
      </c>
      <c r="G50" s="4">
        <f t="shared" ref="G50:G81" si="3">$F50-$K50</f>
        <v>0</v>
      </c>
      <c r="I50" s="3" t="s">
        <v>306</v>
      </c>
      <c r="J50" s="3" t="s">
        <v>307</v>
      </c>
      <c r="K50" s="4">
        <v>4760.84</v>
      </c>
      <c r="L50" s="4">
        <v>0</v>
      </c>
      <c r="M50" s="4">
        <v>0</v>
      </c>
      <c r="N50" s="4">
        <v>4760.84</v>
      </c>
      <c r="O50" s="4">
        <f>Tab_07.Jul[[#This Row],[DÉBITO]]-Tab_07.Jul[[#This Row],[CRÉDITO]]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SUMIFS(Tab_06.Jun[SALDO
ATUAL],Tab_06.Jun[CONTA],$I51)</f>
        <v>25628848</v>
      </c>
      <c r="G51" s="4">
        <f t="shared" si="3"/>
        <v>336840.39</v>
      </c>
      <c r="I51" s="3" t="s">
        <v>557</v>
      </c>
      <c r="J51" s="3" t="s">
        <v>309</v>
      </c>
      <c r="K51" s="4">
        <v>25292007.609999999</v>
      </c>
      <c r="L51" s="4">
        <v>336840.39</v>
      </c>
      <c r="M51" s="4">
        <v>0</v>
      </c>
      <c r="N51" s="4">
        <v>25628848</v>
      </c>
      <c r="O51" s="4">
        <f>Tab_07.Jul[[#This Row],[DÉBITO]]-Tab_07.Jul[[#This Row],[CRÉDITO]]</f>
        <v>336840.39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SUMIFS(Tab_06.Jun[SALDO
ATUAL],Tab_06.Jun[CONTA],$I52)</f>
        <v>25628848</v>
      </c>
      <c r="G52" s="4">
        <f t="shared" si="3"/>
        <v>336840.39</v>
      </c>
      <c r="I52" s="3" t="s">
        <v>308</v>
      </c>
      <c r="J52" s="3" t="s">
        <v>309</v>
      </c>
      <c r="K52" s="4">
        <v>25292007.609999999</v>
      </c>
      <c r="L52" s="4">
        <v>336840.39</v>
      </c>
      <c r="M52" s="4">
        <v>0</v>
      </c>
      <c r="N52" s="4">
        <v>25628848</v>
      </c>
      <c r="O52" s="4">
        <f>Tab_07.Jul[[#This Row],[DÉBITO]]-Tab_07.Jul[[#This Row],[CRÉDITO]]</f>
        <v>336840.39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SUMIFS(Tab_06.Jun[SALDO
ATUAL],Tab_06.Jun[CONTA],$I53)</f>
        <v>2365645.81</v>
      </c>
      <c r="G53" s="4">
        <f t="shared" si="3"/>
        <v>-3666.75</v>
      </c>
      <c r="I53" s="3" t="s">
        <v>213</v>
      </c>
      <c r="J53" s="3" t="s">
        <v>35</v>
      </c>
      <c r="K53" s="4">
        <v>2369312.56</v>
      </c>
      <c r="L53" s="4">
        <v>0</v>
      </c>
      <c r="M53" s="4">
        <v>3666.75</v>
      </c>
      <c r="N53" s="4">
        <v>2365645.81</v>
      </c>
      <c r="O53" s="4">
        <f>Tab_07.Jul[[#This Row],[DÉBITO]]-Tab_07.Jul[[#This Row],[CRÉDITO]]</f>
        <v>-3666.75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S</v>
      </c>
      <c r="E54" s="2">
        <f>IF($I54="","",COUNTIFS(Tab_00.Trial[CONTA],$I54))</f>
        <v>1</v>
      </c>
      <c r="F54" s="4">
        <f>SUMIFS(Tab_06.Jun[SALDO
ATUAL],Tab_06.Jun[CONTA],$I54)</f>
        <v>3546368.31</v>
      </c>
      <c r="G54" s="4">
        <f t="shared" si="3"/>
        <v>0</v>
      </c>
      <c r="I54" s="3" t="s">
        <v>214</v>
      </c>
      <c r="J54" s="3" t="s">
        <v>651</v>
      </c>
      <c r="K54" s="4">
        <v>3546368.31</v>
      </c>
      <c r="L54" s="4">
        <v>0</v>
      </c>
      <c r="M54" s="4">
        <v>0</v>
      </c>
      <c r="N54" s="4">
        <v>3546368.31</v>
      </c>
      <c r="O54" s="4">
        <f>Tab_07.Jul[[#This Row],[DÉBITO]]-Tab_07.Jul[[#This Row],[CRÉDITO]]</f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SUMIFS(Tab_06.Jun[SALDO
ATUAL],Tab_06.Jun[CONTA],$I55)</f>
        <v>1379260.84</v>
      </c>
      <c r="G55" s="4">
        <f t="shared" si="3"/>
        <v>0</v>
      </c>
      <c r="I55" s="3" t="s">
        <v>310</v>
      </c>
      <c r="J55" s="3" t="s">
        <v>311</v>
      </c>
      <c r="K55" s="4">
        <v>1379260.84</v>
      </c>
      <c r="L55" s="4">
        <v>0</v>
      </c>
      <c r="M55" s="4">
        <v>0</v>
      </c>
      <c r="N55" s="4">
        <v>1379260.84</v>
      </c>
      <c r="O55" s="4">
        <f>Tab_07.Jul[[#This Row],[DÉBITO]]-Tab_07.Jul[[#This Row],[CRÉDITO]]</f>
        <v>0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SUMIFS(Tab_06.Jun[SALDO
ATUAL],Tab_06.Jun[CONTA],$I56)</f>
        <v>1291140.25</v>
      </c>
      <c r="G56" s="4">
        <f t="shared" si="3"/>
        <v>0</v>
      </c>
      <c r="I56" s="3" t="s">
        <v>312</v>
      </c>
      <c r="J56" s="3" t="s">
        <v>313</v>
      </c>
      <c r="K56" s="4">
        <v>1291140.25</v>
      </c>
      <c r="L56" s="4">
        <v>0</v>
      </c>
      <c r="M56" s="4">
        <v>0</v>
      </c>
      <c r="N56" s="4">
        <v>1291140.25</v>
      </c>
      <c r="O56" s="4">
        <f>Tab_07.Jul[[#This Row],[DÉBITO]]-Tab_07.Jul[[#This Row],[CRÉDITO]]</f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SUMIFS(Tab_06.Jun[SALDO
ATUAL],Tab_06.Jun[CONTA],$I57)</f>
        <v>23000</v>
      </c>
      <c r="G57" s="4">
        <f t="shared" si="3"/>
        <v>0</v>
      </c>
      <c r="I57" s="3" t="s">
        <v>181</v>
      </c>
      <c r="J57" s="3" t="s">
        <v>314</v>
      </c>
      <c r="K57" s="4">
        <v>23000</v>
      </c>
      <c r="L57" s="4">
        <v>0</v>
      </c>
      <c r="M57" s="4">
        <v>0</v>
      </c>
      <c r="N57" s="4">
        <v>23000</v>
      </c>
      <c r="O57" s="4">
        <f>Tab_07.Jul[[#This Row],[DÉBITO]]-Tab_07.Jul[[#This Row],[CRÉDITO]]</f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SUMIFS(Tab_06.Jun[SALDO
ATUAL],Tab_06.Jun[CONTA],$I58)</f>
        <v>12594</v>
      </c>
      <c r="G58" s="4">
        <f t="shared" si="3"/>
        <v>0</v>
      </c>
      <c r="I58" s="3" t="s">
        <v>182</v>
      </c>
      <c r="J58" s="3" t="s">
        <v>315</v>
      </c>
      <c r="K58" s="4">
        <v>12594</v>
      </c>
      <c r="L58" s="4">
        <v>0</v>
      </c>
      <c r="M58" s="4">
        <v>0</v>
      </c>
      <c r="N58" s="4">
        <v>12594</v>
      </c>
      <c r="O58" s="4">
        <f>Tab_07.Jul[[#This Row],[DÉBITO]]-Tab_07.Jul[[#This Row],[CRÉDITO]]</f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SUMIFS(Tab_06.Jun[SALDO
ATUAL],Tab_06.Jun[CONTA],$I59)</f>
        <v>224642.85</v>
      </c>
      <c r="G59" s="4">
        <f t="shared" si="3"/>
        <v>0</v>
      </c>
      <c r="I59" s="3" t="s">
        <v>183</v>
      </c>
      <c r="J59" s="3" t="s">
        <v>316</v>
      </c>
      <c r="K59" s="4">
        <v>224642.85</v>
      </c>
      <c r="L59" s="4">
        <v>0</v>
      </c>
      <c r="M59" s="4">
        <v>0</v>
      </c>
      <c r="N59" s="4">
        <v>224642.85</v>
      </c>
      <c r="O59" s="4">
        <f>Tab_07.Jul[[#This Row],[DÉBITO]]-Tab_07.Jul[[#This Row],[CRÉDITO]]</f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SUMIFS(Tab_06.Jun[SALDO
ATUAL],Tab_06.Jun[CONTA],$I60)</f>
        <v>7349.9</v>
      </c>
      <c r="G60" s="4">
        <f t="shared" si="3"/>
        <v>0</v>
      </c>
      <c r="I60" s="3" t="s">
        <v>317</v>
      </c>
      <c r="J60" s="3" t="s">
        <v>318</v>
      </c>
      <c r="K60" s="4">
        <v>7349.9</v>
      </c>
      <c r="L60" s="4">
        <v>0</v>
      </c>
      <c r="M60" s="4">
        <v>0</v>
      </c>
      <c r="N60" s="4">
        <v>7349.9</v>
      </c>
      <c r="O60" s="4">
        <f>Tab_07.Jul[[#This Row],[DÉBITO]]-Tab_07.Jul[[#This Row],[CRÉDITO]]</f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SUMIFS(Tab_06.Jun[SALDO
ATUAL],Tab_06.Jun[CONTA],$I61)</f>
        <v>128697.03</v>
      </c>
      <c r="G61" s="4">
        <f t="shared" si="3"/>
        <v>0</v>
      </c>
      <c r="I61" s="3" t="s">
        <v>184</v>
      </c>
      <c r="J61" s="3" t="s">
        <v>319</v>
      </c>
      <c r="K61" s="4">
        <v>128697.03</v>
      </c>
      <c r="L61" s="4">
        <v>0</v>
      </c>
      <c r="M61" s="4">
        <v>0</v>
      </c>
      <c r="N61" s="4">
        <v>128697.03</v>
      </c>
      <c r="O61" s="4">
        <f>Tab_07.Jul[[#This Row],[DÉBITO]]-Tab_07.Jul[[#This Row],[CRÉDITO]]</f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SUMIFS(Tab_06.Jun[SALDO
ATUAL],Tab_06.Jun[CONTA],$I62)</f>
        <v>15029.74</v>
      </c>
      <c r="G62" s="4">
        <f t="shared" si="3"/>
        <v>0</v>
      </c>
      <c r="I62" s="3" t="s">
        <v>185</v>
      </c>
      <c r="J62" s="3" t="s">
        <v>320</v>
      </c>
      <c r="K62" s="4">
        <v>15029.74</v>
      </c>
      <c r="L62" s="4">
        <v>0</v>
      </c>
      <c r="M62" s="4">
        <v>0</v>
      </c>
      <c r="N62" s="4">
        <v>15029.74</v>
      </c>
      <c r="O62" s="4">
        <f>Tab_07.Jul[[#This Row],[DÉBITO]]-Tab_07.Jul[[#This Row],[CRÉDITO]]</f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SUMIFS(Tab_06.Jun[SALDO
ATUAL],Tab_06.Jun[CONTA],$I63)</f>
        <v>464653.7</v>
      </c>
      <c r="G63" s="4">
        <f t="shared" si="3"/>
        <v>0</v>
      </c>
      <c r="I63" s="3" t="s">
        <v>321</v>
      </c>
      <c r="J63" s="3" t="s">
        <v>322</v>
      </c>
      <c r="K63" s="4">
        <v>464653.7</v>
      </c>
      <c r="L63" s="4">
        <v>0</v>
      </c>
      <c r="M63" s="4">
        <v>0</v>
      </c>
      <c r="N63" s="4">
        <v>464653.7</v>
      </c>
      <c r="O63" s="4">
        <f>Tab_07.Jul[[#This Row],[DÉBITO]]-Tab_07.Jul[[#This Row],[CRÉDITO]]</f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S</v>
      </c>
      <c r="E64" s="2">
        <f>IF($I64="","",COUNTIFS(Tab_00.Trial[CONTA],$I64))</f>
        <v>1</v>
      </c>
      <c r="F64" s="4">
        <f>SUMIFS(Tab_06.Jun[SALDO
ATUAL],Tab_06.Jun[CONTA],$I64)</f>
        <v>-1180722.5</v>
      </c>
      <c r="G64" s="4">
        <f t="shared" si="3"/>
        <v>-3666.75</v>
      </c>
      <c r="I64" s="3" t="s">
        <v>215</v>
      </c>
      <c r="J64" s="3" t="s">
        <v>652</v>
      </c>
      <c r="K64" s="4">
        <v>-1177055.75</v>
      </c>
      <c r="L64" s="4">
        <v>0</v>
      </c>
      <c r="M64" s="4">
        <v>3666.75</v>
      </c>
      <c r="N64" s="4">
        <v>-1180722.5</v>
      </c>
      <c r="O64" s="4">
        <f>Tab_07.Jul[[#This Row],[DÉBITO]]-Tab_07.Jul[[#This Row],[CRÉDITO]]</f>
        <v>-3666.75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SUMIFS(Tab_06.Jun[SALDO
ATUAL],Tab_06.Jun[CONTA],$I65)</f>
        <v>-667864.55000000005</v>
      </c>
      <c r="G65" s="4">
        <f t="shared" si="3"/>
        <v>-2997.93</v>
      </c>
      <c r="I65" s="3" t="s">
        <v>186</v>
      </c>
      <c r="J65" s="3" t="s">
        <v>313</v>
      </c>
      <c r="K65" s="4">
        <v>-664866.62</v>
      </c>
      <c r="L65" s="4">
        <v>0</v>
      </c>
      <c r="M65" s="4">
        <v>2997.93</v>
      </c>
      <c r="N65" s="4">
        <v>-667864.55000000005</v>
      </c>
      <c r="O65" s="4">
        <f>Tab_07.Jul[[#This Row],[DÉBITO]]-Tab_07.Jul[[#This Row],[CRÉDITO]]</f>
        <v>-2997.93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SUMIFS(Tab_06.Jun[SALDO
ATUAL],Tab_06.Jun[CONTA],$I66)</f>
        <v>-18208.62</v>
      </c>
      <c r="G66" s="4">
        <f t="shared" si="3"/>
        <v>-191.67</v>
      </c>
      <c r="I66" s="3" t="s">
        <v>187</v>
      </c>
      <c r="J66" s="3" t="s">
        <v>314</v>
      </c>
      <c r="K66" s="4">
        <v>-18016.95</v>
      </c>
      <c r="L66" s="4">
        <v>0</v>
      </c>
      <c r="M66" s="4">
        <v>191.67</v>
      </c>
      <c r="N66" s="4">
        <v>-18208.62</v>
      </c>
      <c r="O66" s="4">
        <f>Tab_07.Jul[[#This Row],[DÉBITO]]-Tab_07.Jul[[#This Row],[CRÉDITO]]</f>
        <v>-191.67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SUMIFS(Tab_06.Jun[SALDO
ATUAL],Tab_06.Jun[CONTA],$I67)</f>
        <v>-6788.76</v>
      </c>
      <c r="G67" s="4">
        <f t="shared" si="3"/>
        <v>-104.95</v>
      </c>
      <c r="I67" s="3" t="s">
        <v>188</v>
      </c>
      <c r="J67" s="3" t="s">
        <v>315</v>
      </c>
      <c r="K67" s="4">
        <v>-6683.81</v>
      </c>
      <c r="L67" s="4">
        <v>0</v>
      </c>
      <c r="M67" s="4">
        <v>104.95</v>
      </c>
      <c r="N67" s="4">
        <v>-6788.76</v>
      </c>
      <c r="O67" s="4">
        <f>Tab_07.Jul[[#This Row],[DÉBITO]]-Tab_07.Jul[[#This Row],[CRÉDITO]]</f>
        <v>-104.95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SUMIFS(Tab_06.Jun[SALDO
ATUAL],Tab_06.Jun[CONTA],$I68)</f>
        <v>-224642.85</v>
      </c>
      <c r="G68" s="4">
        <f t="shared" si="3"/>
        <v>0</v>
      </c>
      <c r="I68" s="3" t="s">
        <v>189</v>
      </c>
      <c r="J68" s="3" t="s">
        <v>316</v>
      </c>
      <c r="K68" s="4">
        <v>-224642.85</v>
      </c>
      <c r="L68" s="4">
        <v>0</v>
      </c>
      <c r="M68" s="4">
        <v>0</v>
      </c>
      <c r="N68" s="4">
        <v>-224642.85</v>
      </c>
      <c r="O68" s="4">
        <f>Tab_07.Jul[[#This Row],[DÉBITO]]-Tab_07.Jul[[#This Row],[CRÉDITO]]</f>
        <v>0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SUMIFS(Tab_06.Jun[SALDO
ATUAL],Tab_06.Jun[CONTA],$I69)</f>
        <v>-4309.24</v>
      </c>
      <c r="G69" s="4">
        <f t="shared" si="3"/>
        <v>-122.2</v>
      </c>
      <c r="I69" s="3" t="s">
        <v>190</v>
      </c>
      <c r="J69" s="3" t="s">
        <v>318</v>
      </c>
      <c r="K69" s="4">
        <v>-4187.04</v>
      </c>
      <c r="L69" s="4">
        <v>0</v>
      </c>
      <c r="M69" s="4">
        <v>122.2</v>
      </c>
      <c r="N69" s="4">
        <v>-4309.24</v>
      </c>
      <c r="O69" s="4">
        <f>Tab_07.Jul[[#This Row],[DÉBITO]]-Tab_07.Jul[[#This Row],[CRÉDITO]]</f>
        <v>-122.2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SUMIFS(Tab_06.Jun[SALDO
ATUAL],Tab_06.Jun[CONTA],$I70)</f>
        <v>-128697.03</v>
      </c>
      <c r="G70" s="4">
        <f t="shared" si="3"/>
        <v>0</v>
      </c>
      <c r="I70" s="3" t="s">
        <v>323</v>
      </c>
      <c r="J70" s="3" t="s">
        <v>319</v>
      </c>
      <c r="K70" s="4">
        <v>-128697.03</v>
      </c>
      <c r="L70" s="4">
        <v>0</v>
      </c>
      <c r="M70" s="4">
        <v>0</v>
      </c>
      <c r="N70" s="4">
        <v>-128697.03</v>
      </c>
      <c r="O70" s="4">
        <f>Tab_07.Jul[[#This Row],[DÉBITO]]-Tab_07.Jul[[#This Row],[CRÉDITO]]</f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SUMIFS(Tab_06.Jun[SALDO
ATUAL],Tab_06.Jun[CONTA],$I71)</f>
        <v>-15029.74</v>
      </c>
      <c r="G71" s="4">
        <f t="shared" si="3"/>
        <v>0</v>
      </c>
      <c r="I71" s="3" t="s">
        <v>324</v>
      </c>
      <c r="J71" s="3" t="s">
        <v>320</v>
      </c>
      <c r="K71" s="4">
        <v>-15029.74</v>
      </c>
      <c r="L71" s="4">
        <v>0</v>
      </c>
      <c r="M71" s="4">
        <v>0</v>
      </c>
      <c r="N71" s="4">
        <v>-15029.74</v>
      </c>
      <c r="O71" s="4">
        <f>Tab_07.Jul[[#This Row],[DÉBITO]]-Tab_07.Jul[[#This Row],[CRÉDITO]]</f>
        <v>0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SUMIFS(Tab_06.Jun[SALDO
ATUAL],Tab_06.Jun[CONTA],$I72)</f>
        <v>-115181.71</v>
      </c>
      <c r="G72" s="4">
        <f t="shared" si="3"/>
        <v>-250</v>
      </c>
      <c r="I72" s="3" t="s">
        <v>325</v>
      </c>
      <c r="J72" s="3" t="s">
        <v>322</v>
      </c>
      <c r="K72" s="4">
        <v>-114931.71</v>
      </c>
      <c r="L72" s="4">
        <v>0</v>
      </c>
      <c r="M72" s="4">
        <v>250</v>
      </c>
      <c r="N72" s="4">
        <v>-115181.71</v>
      </c>
      <c r="O72" s="4">
        <f>Tab_07.Jul[[#This Row],[DÉBITO]]-Tab_07.Jul[[#This Row],[CRÉDITO]]</f>
        <v>-250</v>
      </c>
    </row>
    <row r="73" spans="2:15" x14ac:dyDescent="0.3">
      <c r="B73" s="2" t="str">
        <f>_xlfn.XLOOKUP($I73,Tab_00.Trial[CONTA],Tab_00.Trial[TP],"",0,1)</f>
        <v>P</v>
      </c>
      <c r="C73" s="2">
        <f>_xlfn.XLOOKUP($I73,Tab_00.Trial[CONTA],Tab_00.Trial[NV],"",0,1)</f>
        <v>1</v>
      </c>
      <c r="D73" s="2" t="str">
        <f>_xlfn.XLOOKUP($I73,Tab_00.Trial[CONTA],Tab_00.Trial[S/A],"",0,1)</f>
        <v>S</v>
      </c>
      <c r="E73" s="2">
        <f>IF($I73="","",COUNTIFS(Tab_00.Trial[CONTA],$I73))</f>
        <v>1</v>
      </c>
      <c r="F73" s="4">
        <f>SUMIFS(Tab_06.Jun[SALDO
ATUAL],Tab_06.Jun[CONTA],$I73)</f>
        <v>-83348237.590000004</v>
      </c>
      <c r="G73" s="4">
        <f t="shared" si="3"/>
        <v>-134375.84</v>
      </c>
      <c r="I73" s="3">
        <v>2</v>
      </c>
      <c r="J73" s="3" t="s">
        <v>653</v>
      </c>
      <c r="K73" s="4">
        <v>-83213861.75</v>
      </c>
      <c r="L73" s="4">
        <v>408811.77</v>
      </c>
      <c r="M73" s="4">
        <v>543187.61</v>
      </c>
      <c r="N73" s="4">
        <v>-83348237.590000004</v>
      </c>
      <c r="O73" s="4">
        <f>Tab_07.Jul[[#This Row],[DÉBITO]]-Tab_07.Jul[[#This Row],[CRÉDITO]]</f>
        <v>-134375.84</v>
      </c>
    </row>
    <row r="74" spans="2:15" x14ac:dyDescent="0.3">
      <c r="B74" s="2" t="str">
        <f>_xlfn.XLOOKUP($I74,Tab_00.Trial[CONTA],Tab_00.Trial[TP],"",0,1)</f>
        <v>P</v>
      </c>
      <c r="C74" s="2">
        <f>_xlfn.XLOOKUP($I74,Tab_00.Trial[CONTA],Tab_00.Trial[NV],"",0,1)</f>
        <v>2</v>
      </c>
      <c r="D74" s="2" t="str">
        <f>_xlfn.XLOOKUP($I74,Tab_00.Trial[CONTA],Tab_00.Trial[S/A],"",0,1)</f>
        <v>S</v>
      </c>
      <c r="E74" s="2">
        <f>IF($I74="","",COUNTIFS(Tab_00.Trial[CONTA],$I74))</f>
        <v>1</v>
      </c>
      <c r="F74" s="4">
        <f>SUMIFS(Tab_06.Jun[SALDO
ATUAL],Tab_06.Jun[CONTA],$I74)</f>
        <v>-1445773.06</v>
      </c>
      <c r="G74" s="4">
        <f t="shared" si="3"/>
        <v>-134375.84</v>
      </c>
      <c r="I74" s="3" t="s">
        <v>216</v>
      </c>
      <c r="J74" s="3" t="s">
        <v>31</v>
      </c>
      <c r="K74" s="4">
        <v>-1311397.22</v>
      </c>
      <c r="L74" s="4">
        <v>408811.77</v>
      </c>
      <c r="M74" s="4">
        <v>543187.61</v>
      </c>
      <c r="N74" s="4">
        <v>-1445773.06</v>
      </c>
      <c r="O74" s="4">
        <f>Tab_07.Jul[[#This Row],[DÉBITO]]-Tab_07.Jul[[#This Row],[CRÉDITO]]</f>
        <v>-134375.84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5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SUMIFS(Tab_06.Jun[SALDO
ATUAL],Tab_06.Jun[CONTA],$I75)</f>
        <v>-349578.4</v>
      </c>
      <c r="G75" s="4">
        <f t="shared" si="3"/>
        <v>13382.8</v>
      </c>
      <c r="I75" s="3" t="s">
        <v>558</v>
      </c>
      <c r="J75" s="3" t="s">
        <v>654</v>
      </c>
      <c r="K75" s="4">
        <v>-362961.2</v>
      </c>
      <c r="L75" s="4">
        <v>152592.89000000001</v>
      </c>
      <c r="M75" s="4">
        <v>139210.09</v>
      </c>
      <c r="N75" s="4">
        <v>-349578.4</v>
      </c>
      <c r="O75" s="4">
        <f>Tab_07.Jul[[#This Row],[DÉBITO]]-Tab_07.Jul[[#This Row],[CRÉDITO]]</f>
        <v>13382.8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5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SUMIFS(Tab_06.Jun[SALDO
ATUAL],Tab_06.Jun[CONTA],$I76)</f>
        <v>0</v>
      </c>
      <c r="G76" s="4">
        <f t="shared" si="3"/>
        <v>0</v>
      </c>
      <c r="I76" s="3" t="s">
        <v>559</v>
      </c>
      <c r="J76" s="3" t="s">
        <v>655</v>
      </c>
      <c r="K76" s="4">
        <v>0</v>
      </c>
      <c r="L76" s="4">
        <v>64094.879999999997</v>
      </c>
      <c r="M76" s="4">
        <v>64094.879999999997</v>
      </c>
      <c r="N76" s="4">
        <v>0</v>
      </c>
      <c r="O76" s="4">
        <f>Tab_07.Jul[[#This Row],[DÉBITO]]-Tab_07.Jul[[#This Row],[CRÉDITO]]</f>
        <v>0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A</v>
      </c>
      <c r="E77" s="2">
        <f>IF($I77="","",COUNTIFS(Tab_00.Trial[CONTA],$I77))</f>
        <v>1</v>
      </c>
      <c r="F77" s="4">
        <f>SUMIFS(Tab_06.Jun[SALDO
ATUAL],Tab_06.Jun[CONTA],$I77)</f>
        <v>0</v>
      </c>
      <c r="G77" s="4">
        <f t="shared" si="3"/>
        <v>0</v>
      </c>
      <c r="I77" s="3" t="s">
        <v>326</v>
      </c>
      <c r="J77" s="3" t="s">
        <v>327</v>
      </c>
      <c r="K77" s="4">
        <v>0</v>
      </c>
      <c r="L77" s="4">
        <v>62905.75</v>
      </c>
      <c r="M77" s="4">
        <v>62905.75</v>
      </c>
      <c r="N77" s="4">
        <v>0</v>
      </c>
      <c r="O77" s="4">
        <f>Tab_07.Jul[[#This Row],[DÉBITO]]-Tab_07.Jul[[#This Row],[CRÉDITO]]</f>
        <v>0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A</v>
      </c>
      <c r="E78" s="2">
        <f>IF($I78="","",COUNTIFS(Tab_00.Trial[CONTA],$I78))</f>
        <v>1</v>
      </c>
      <c r="F78" s="4">
        <f>SUMIFS(Tab_06.Jun[SALDO
ATUAL],Tab_06.Jun[CONTA],$I78)</f>
        <v>0</v>
      </c>
      <c r="G78" s="4">
        <f t="shared" si="3"/>
        <v>0</v>
      </c>
      <c r="I78" s="3" t="s">
        <v>330</v>
      </c>
      <c r="J78" s="3" t="s">
        <v>331</v>
      </c>
      <c r="K78" s="4">
        <v>0</v>
      </c>
      <c r="L78" s="4">
        <v>1189.1300000000001</v>
      </c>
      <c r="M78" s="4">
        <v>1189.1300000000001</v>
      </c>
      <c r="N78" s="4">
        <v>0</v>
      </c>
      <c r="O78" s="4">
        <f>Tab_07.Jul[[#This Row],[DÉBITO]]-Tab_07.Jul[[#This Row],[CRÉDITO]]</f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SUMIFS(Tab_06.Jun[SALDO
ATUAL],Tab_06.Jun[CONTA],$I79)</f>
        <v>-79827.03</v>
      </c>
      <c r="G79" s="4">
        <f t="shared" si="3"/>
        <v>-11609.94</v>
      </c>
      <c r="I79" s="3" t="s">
        <v>560</v>
      </c>
      <c r="J79" s="3" t="s">
        <v>656</v>
      </c>
      <c r="K79" s="4">
        <v>-68217.09</v>
      </c>
      <c r="L79" s="4">
        <v>0</v>
      </c>
      <c r="M79" s="4">
        <v>11609.94</v>
      </c>
      <c r="N79" s="4">
        <v>-79827.03</v>
      </c>
      <c r="O79" s="4">
        <f>Tab_07.Jul[[#This Row],[DÉBITO]]-Tab_07.Jul[[#This Row],[CRÉDITO]]</f>
        <v>-11609.94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SUMIFS(Tab_06.Jun[SALDO
ATUAL],Tab_06.Jun[CONTA],$I80)</f>
        <v>-58783.59</v>
      </c>
      <c r="G80" s="4">
        <f t="shared" si="3"/>
        <v>-8550.02</v>
      </c>
      <c r="I80" s="3" t="s">
        <v>332</v>
      </c>
      <c r="J80" s="3" t="s">
        <v>333</v>
      </c>
      <c r="K80" s="4">
        <v>-50233.57</v>
      </c>
      <c r="L80" s="4">
        <v>0</v>
      </c>
      <c r="M80" s="4">
        <v>8550.02</v>
      </c>
      <c r="N80" s="4">
        <v>-58783.59</v>
      </c>
      <c r="O80" s="4">
        <f>Tab_07.Jul[[#This Row],[DÉBITO]]-Tab_07.Jul[[#This Row],[CRÉDITO]]</f>
        <v>-8550.02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SUMIFS(Tab_06.Jun[SALDO
ATUAL],Tab_06.Jun[CONTA],$I81)</f>
        <v>-4702.63</v>
      </c>
      <c r="G81" s="4">
        <f t="shared" si="3"/>
        <v>-684</v>
      </c>
      <c r="I81" s="3" t="s">
        <v>784</v>
      </c>
      <c r="J81" s="3" t="s">
        <v>785</v>
      </c>
      <c r="K81" s="4">
        <v>-4018.63</v>
      </c>
      <c r="L81" s="4">
        <v>0</v>
      </c>
      <c r="M81" s="4">
        <v>684</v>
      </c>
      <c r="N81" s="4">
        <v>-4702.63</v>
      </c>
      <c r="O81" s="4">
        <f>Tab_07.Jul[[#This Row],[DÉBITO]]-Tab_07.Jul[[#This Row],[CRÉDITO]]</f>
        <v>-684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SUMIFS(Tab_06.Jun[SALDO
ATUAL],Tab_06.Jun[CONTA],$I82)</f>
        <v>-587.80999999999995</v>
      </c>
      <c r="G82" s="4">
        <f t="shared" ref="G82:G113" si="4">$F82-$K82</f>
        <v>-85.49</v>
      </c>
      <c r="I82" s="3" t="s">
        <v>786</v>
      </c>
      <c r="J82" s="3" t="s">
        <v>787</v>
      </c>
      <c r="K82" s="4">
        <v>-502.32</v>
      </c>
      <c r="L82" s="4">
        <v>0</v>
      </c>
      <c r="M82" s="4">
        <v>85.49</v>
      </c>
      <c r="N82" s="4">
        <v>-587.80999999999995</v>
      </c>
      <c r="O82" s="4">
        <f>Tab_07.Jul[[#This Row],[DÉBITO]]-Tab_07.Jul[[#This Row],[CRÉDITO]]</f>
        <v>-85.49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SUMIFS(Tab_06.Jun[SALDO
ATUAL],Tab_06.Jun[CONTA],$I83)</f>
        <v>-15753</v>
      </c>
      <c r="G83" s="4">
        <f t="shared" si="4"/>
        <v>-2290.4299999999998</v>
      </c>
      <c r="I83" s="3" t="s">
        <v>788</v>
      </c>
      <c r="J83" s="3" t="s">
        <v>789</v>
      </c>
      <c r="K83" s="4">
        <v>-13462.57</v>
      </c>
      <c r="L83" s="4">
        <v>0</v>
      </c>
      <c r="M83" s="4">
        <v>2290.4299999999998</v>
      </c>
      <c r="N83" s="4">
        <v>-15753</v>
      </c>
      <c r="O83" s="4">
        <f>Tab_07.Jul[[#This Row],[DÉBITO]]-Tab_07.Jul[[#This Row],[CRÉDITO]]</f>
        <v>-2290.4299999999998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S</v>
      </c>
      <c r="E84" s="2">
        <f>IF($I84="","",COUNTIFS(Tab_00.Trial[CONTA],$I84))</f>
        <v>1</v>
      </c>
      <c r="F84" s="4">
        <f>SUMIFS(Tab_06.Jun[SALDO
ATUAL],Tab_06.Jun[CONTA],$I84)</f>
        <v>-226256.29</v>
      </c>
      <c r="G84" s="4">
        <f t="shared" si="4"/>
        <v>25832</v>
      </c>
      <c r="I84" s="3" t="s">
        <v>561</v>
      </c>
      <c r="J84" s="3" t="s">
        <v>657</v>
      </c>
      <c r="K84" s="4">
        <v>-252088.29</v>
      </c>
      <c r="L84" s="4">
        <v>41313.24</v>
      </c>
      <c r="M84" s="4">
        <v>15481.24</v>
      </c>
      <c r="N84" s="4">
        <v>-226256.29</v>
      </c>
      <c r="O84" s="4">
        <f>Tab_07.Jul[[#This Row],[DÉBITO]]-Tab_07.Jul[[#This Row],[CRÉDITO]]</f>
        <v>25832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SUMIFS(Tab_06.Jun[SALDO
ATUAL],Tab_06.Jun[CONTA],$I85)</f>
        <v>-166422.66</v>
      </c>
      <c r="G85" s="4">
        <f t="shared" si="4"/>
        <v>19022.099999999999</v>
      </c>
      <c r="I85" s="3" t="s">
        <v>334</v>
      </c>
      <c r="J85" s="3" t="s">
        <v>335</v>
      </c>
      <c r="K85" s="4">
        <v>-185444.76</v>
      </c>
      <c r="L85" s="4">
        <v>30422.13</v>
      </c>
      <c r="M85" s="4">
        <v>11400.03</v>
      </c>
      <c r="N85" s="4">
        <v>-166422.66</v>
      </c>
      <c r="O85" s="4">
        <f>Tab_07.Jul[[#This Row],[DÉBITO]]-Tab_07.Jul[[#This Row],[CRÉDITO]]</f>
        <v>19022.099999999999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SUMIFS(Tab_06.Jun[SALDO
ATUAL],Tab_06.Jun[CONTA],$I86)</f>
        <v>-13313.66</v>
      </c>
      <c r="G86" s="4">
        <f t="shared" si="4"/>
        <v>1521.75</v>
      </c>
      <c r="I86" s="3" t="s">
        <v>790</v>
      </c>
      <c r="J86" s="3" t="s">
        <v>791</v>
      </c>
      <c r="K86" s="4">
        <v>-14835.41</v>
      </c>
      <c r="L86" s="4">
        <v>2433.75</v>
      </c>
      <c r="M86" s="4">
        <v>912</v>
      </c>
      <c r="N86" s="4">
        <v>-13313.66</v>
      </c>
      <c r="O86" s="4">
        <f>Tab_07.Jul[[#This Row],[DÉBITO]]-Tab_07.Jul[[#This Row],[CRÉDITO]]</f>
        <v>1521.75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SUMIFS(Tab_06.Jun[SALDO
ATUAL],Tab_06.Jun[CONTA],$I87)</f>
        <v>-1918.65</v>
      </c>
      <c r="G87" s="4">
        <f t="shared" si="4"/>
        <v>190.2</v>
      </c>
      <c r="I87" s="3" t="s">
        <v>792</v>
      </c>
      <c r="J87" s="3" t="s">
        <v>793</v>
      </c>
      <c r="K87" s="4">
        <v>-2108.85</v>
      </c>
      <c r="L87" s="4">
        <v>304.22000000000003</v>
      </c>
      <c r="M87" s="4">
        <v>114.02</v>
      </c>
      <c r="N87" s="4">
        <v>-1918.65</v>
      </c>
      <c r="O87" s="4">
        <f>Tab_07.Jul[[#This Row],[DÉBITO]]-Tab_07.Jul[[#This Row],[CRÉDITO]]</f>
        <v>190.2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SUMIFS(Tab_06.Jun[SALDO
ATUAL],Tab_06.Jun[CONTA],$I88)</f>
        <v>-44601.32</v>
      </c>
      <c r="G88" s="4">
        <f t="shared" si="4"/>
        <v>5097.95</v>
      </c>
      <c r="I88" s="3" t="s">
        <v>794</v>
      </c>
      <c r="J88" s="3" t="s">
        <v>795</v>
      </c>
      <c r="K88" s="4">
        <v>-49699.27</v>
      </c>
      <c r="L88" s="4">
        <v>8153.14</v>
      </c>
      <c r="M88" s="4">
        <v>3055.19</v>
      </c>
      <c r="N88" s="4">
        <v>-44601.32</v>
      </c>
      <c r="O88" s="4">
        <f>Tab_07.Jul[[#This Row],[DÉBITO]]-Tab_07.Jul[[#This Row],[CRÉDITO]]</f>
        <v>5097.95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S</v>
      </c>
      <c r="E89" s="2">
        <f>IF($I89="","",COUNTIFS(Tab_00.Trial[CONTA],$I89))</f>
        <v>1</v>
      </c>
      <c r="F89" s="4">
        <f>SUMIFS(Tab_06.Jun[SALDO
ATUAL],Tab_06.Jun[CONTA],$I89)</f>
        <v>-33202.51</v>
      </c>
      <c r="G89" s="4">
        <f t="shared" si="4"/>
        <v>-619.46</v>
      </c>
      <c r="I89" s="3" t="s">
        <v>562</v>
      </c>
      <c r="J89" s="3" t="s">
        <v>658</v>
      </c>
      <c r="K89" s="4">
        <v>-32583.05</v>
      </c>
      <c r="L89" s="4">
        <v>37112.01</v>
      </c>
      <c r="M89" s="4">
        <v>37731.47</v>
      </c>
      <c r="N89" s="4">
        <v>-33202.51</v>
      </c>
      <c r="O89" s="4">
        <f>Tab_07.Jul[[#This Row],[DÉBITO]]-Tab_07.Jul[[#This Row],[CRÉDITO]]</f>
        <v>-619.46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SUMIFS(Tab_06.Jun[SALDO
ATUAL],Tab_06.Jun[CONTA],$I90)</f>
        <v>-32618.43</v>
      </c>
      <c r="G90" s="4">
        <f t="shared" si="4"/>
        <v>-548.36</v>
      </c>
      <c r="I90" s="3" t="s">
        <v>336</v>
      </c>
      <c r="J90" s="3" t="s">
        <v>337</v>
      </c>
      <c r="K90" s="4">
        <v>-32070.07</v>
      </c>
      <c r="L90" s="4">
        <v>36599.03</v>
      </c>
      <c r="M90" s="4">
        <v>37147.39</v>
      </c>
      <c r="N90" s="4">
        <v>-32618.43</v>
      </c>
      <c r="O90" s="4">
        <f>Tab_07.Jul[[#This Row],[DÉBITO]]-Tab_07.Jul[[#This Row],[CRÉDITO]]</f>
        <v>-548.36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SUMIFS(Tab_06.Jun[SALDO
ATUAL],Tab_06.Jun[CONTA],$I91)</f>
        <v>-584.08000000000004</v>
      </c>
      <c r="G91" s="4">
        <f t="shared" si="4"/>
        <v>-71.099999999999994</v>
      </c>
      <c r="I91" s="3" t="s">
        <v>338</v>
      </c>
      <c r="J91" s="3" t="s">
        <v>339</v>
      </c>
      <c r="K91" s="4">
        <v>-512.98</v>
      </c>
      <c r="L91" s="4">
        <v>512.98</v>
      </c>
      <c r="M91" s="4">
        <v>584.08000000000004</v>
      </c>
      <c r="N91" s="4">
        <v>-584.08000000000004</v>
      </c>
      <c r="O91" s="4">
        <f>Tab_07.Jul[[#This Row],[DÉBITO]]-Tab_07.Jul[[#This Row],[CRÉDITO]]</f>
        <v>-71.099999999999994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S</v>
      </c>
      <c r="E92" s="2">
        <f>IF($I92="","",COUNTIFS(Tab_00.Trial[CONTA],$I92))</f>
        <v>1</v>
      </c>
      <c r="F92" s="4">
        <f>SUMIFS(Tab_06.Jun[SALDO
ATUAL],Tab_06.Jun[CONTA],$I92)</f>
        <v>-10292.57</v>
      </c>
      <c r="G92" s="4">
        <f t="shared" si="4"/>
        <v>-219.8</v>
      </c>
      <c r="I92" s="3" t="s">
        <v>563</v>
      </c>
      <c r="J92" s="3" t="s">
        <v>659</v>
      </c>
      <c r="K92" s="4">
        <v>-10072.77</v>
      </c>
      <c r="L92" s="4">
        <v>10072.76</v>
      </c>
      <c r="M92" s="4">
        <v>10292.56</v>
      </c>
      <c r="N92" s="4">
        <v>-10292.57</v>
      </c>
      <c r="O92" s="4">
        <f>Tab_07.Jul[[#This Row],[DÉBITO]]-Tab_07.Jul[[#This Row],[CRÉDITO]]</f>
        <v>-219.8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SUMIFS(Tab_06.Jun[SALDO
ATUAL],Tab_06.Jun[CONTA],$I93)</f>
        <v>-9187.0499999999993</v>
      </c>
      <c r="G93" s="4">
        <f t="shared" si="4"/>
        <v>-143.74</v>
      </c>
      <c r="I93" s="3" t="s">
        <v>340</v>
      </c>
      <c r="J93" s="3" t="s">
        <v>341</v>
      </c>
      <c r="K93" s="4">
        <v>-9043.31</v>
      </c>
      <c r="L93" s="4">
        <v>9043.31</v>
      </c>
      <c r="M93" s="4">
        <v>9187.0499999999993</v>
      </c>
      <c r="N93" s="4">
        <v>-9187.0499999999993</v>
      </c>
      <c r="O93" s="4">
        <f>Tab_07.Jul[[#This Row],[DÉBITO]]-Tab_07.Jul[[#This Row],[CRÉDITO]]</f>
        <v>-143.74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SUMIFS(Tab_06.Jun[SALDO
ATUAL],Tab_06.Jun[CONTA],$I94)</f>
        <v>-1105.52</v>
      </c>
      <c r="G94" s="4">
        <f t="shared" si="4"/>
        <v>-76.06</v>
      </c>
      <c r="I94" s="3" t="s">
        <v>342</v>
      </c>
      <c r="J94" s="3" t="s">
        <v>343</v>
      </c>
      <c r="K94" s="4">
        <v>-1029.46</v>
      </c>
      <c r="L94" s="4">
        <v>1029.45</v>
      </c>
      <c r="M94" s="4">
        <v>1105.51</v>
      </c>
      <c r="N94" s="4">
        <v>-1105.52</v>
      </c>
      <c r="O94" s="4">
        <f>Tab_07.Jul[[#This Row],[DÉBITO]]-Tab_07.Jul[[#This Row],[CRÉDITO]]</f>
        <v>-76.06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S</v>
      </c>
      <c r="E95" s="2">
        <f>IF($I95="","",COUNTIFS(Tab_00.Trial[CONTA],$I95))</f>
        <v>1</v>
      </c>
      <c r="F95" s="4">
        <f>SUMIFS(Tab_06.Jun[SALDO
ATUAL],Tab_06.Jun[CONTA],$I95)</f>
        <v>-1054727.3500000001</v>
      </c>
      <c r="G95" s="4">
        <f t="shared" si="4"/>
        <v>-154744.84</v>
      </c>
      <c r="I95" s="3" t="s">
        <v>218</v>
      </c>
      <c r="J95" s="3" t="s">
        <v>660</v>
      </c>
      <c r="K95" s="4">
        <v>-899982.51</v>
      </c>
      <c r="L95" s="4">
        <v>227376.48</v>
      </c>
      <c r="M95" s="4">
        <v>382121.32</v>
      </c>
      <c r="N95" s="4">
        <v>-1054727.3500000001</v>
      </c>
      <c r="O95" s="4">
        <f>Tab_07.Jul[[#This Row],[DÉBITO]]-Tab_07.Jul[[#This Row],[CRÉDITO]]</f>
        <v>-154744.84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SUMIFS(Tab_06.Jun[SALDO
ATUAL],Tab_06.Jun[CONTA],$I96)</f>
        <v>-60413.4</v>
      </c>
      <c r="G96" s="4">
        <f t="shared" si="4"/>
        <v>30528.37</v>
      </c>
      <c r="I96" s="3" t="s">
        <v>219</v>
      </c>
      <c r="J96" s="3" t="s">
        <v>56</v>
      </c>
      <c r="K96" s="4">
        <v>-90941.77</v>
      </c>
      <c r="L96" s="4">
        <v>167684.32999999999</v>
      </c>
      <c r="M96" s="4">
        <v>137155.96</v>
      </c>
      <c r="N96" s="4">
        <v>-60413.4</v>
      </c>
      <c r="O96" s="4">
        <f>Tab_07.Jul[[#This Row],[DÉBITO]]-Tab_07.Jul[[#This Row],[CRÉDITO]]</f>
        <v>30528.37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SUMIFS(Tab_06.Jun[SALDO
ATUAL],Tab_06.Jun[CONTA],$I97)</f>
        <v>-60413.4</v>
      </c>
      <c r="G97" s="4">
        <f t="shared" si="4"/>
        <v>30528.37</v>
      </c>
      <c r="I97" s="3" t="s">
        <v>344</v>
      </c>
      <c r="J97" s="3" t="s">
        <v>56</v>
      </c>
      <c r="K97" s="4">
        <v>-90941.77</v>
      </c>
      <c r="L97" s="4">
        <v>167684.32999999999</v>
      </c>
      <c r="M97" s="4">
        <v>137155.96</v>
      </c>
      <c r="N97" s="4">
        <v>-60413.4</v>
      </c>
      <c r="O97" s="4">
        <f>Tab_07.Jul[[#This Row],[DÉBITO]]-Tab_07.Jul[[#This Row],[CRÉDITO]]</f>
        <v>30528.37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SUMIFS(Tab_06.Jun[SALDO
ATUAL],Tab_06.Jun[CONTA],$I98)</f>
        <v>-994313.95</v>
      </c>
      <c r="G98" s="4">
        <f t="shared" si="4"/>
        <v>-185273.21</v>
      </c>
      <c r="I98" s="3" t="s">
        <v>220</v>
      </c>
      <c r="J98" s="3" t="s">
        <v>346</v>
      </c>
      <c r="K98" s="4">
        <v>-809040.74</v>
      </c>
      <c r="L98" s="4">
        <v>59692.15</v>
      </c>
      <c r="M98" s="4">
        <v>244965.36</v>
      </c>
      <c r="N98" s="4">
        <v>-994313.95</v>
      </c>
      <c r="O98" s="4">
        <f>Tab_07.Jul[[#This Row],[DÉBITO]]-Tab_07.Jul[[#This Row],[CRÉDITO]]</f>
        <v>-185273.21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SUMIFS(Tab_06.Jun[SALDO
ATUAL],Tab_06.Jun[CONTA],$I99)</f>
        <v>-994313.95</v>
      </c>
      <c r="G99" s="4">
        <f t="shared" si="4"/>
        <v>-185273.21</v>
      </c>
      <c r="I99" s="3" t="s">
        <v>345</v>
      </c>
      <c r="J99" s="3" t="s">
        <v>346</v>
      </c>
      <c r="K99" s="4">
        <v>-809040.74</v>
      </c>
      <c r="L99" s="4">
        <v>59692.15</v>
      </c>
      <c r="M99" s="4">
        <v>244965.36</v>
      </c>
      <c r="N99" s="4">
        <v>-994313.95</v>
      </c>
      <c r="O99" s="4">
        <f>Tab_07.Jul[[#This Row],[DÉBITO]]-Tab_07.Jul[[#This Row],[CRÉDITO]]</f>
        <v>-185273.21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SUMIFS(Tab_06.Jun[SALDO
ATUAL],Tab_06.Jun[CONTA],$I100)</f>
        <v>-15262.55</v>
      </c>
      <c r="G100" s="4">
        <f t="shared" si="4"/>
        <v>6817.05</v>
      </c>
      <c r="I100" s="3" t="s">
        <v>221</v>
      </c>
      <c r="J100" s="3" t="s">
        <v>661</v>
      </c>
      <c r="K100" s="4">
        <v>-22079.599999999999</v>
      </c>
      <c r="L100" s="4">
        <v>28166.18</v>
      </c>
      <c r="M100" s="4">
        <v>21349.13</v>
      </c>
      <c r="N100" s="4">
        <v>-15262.55</v>
      </c>
      <c r="O100" s="4">
        <f>Tab_07.Jul[[#This Row],[DÉBITO]]-Tab_07.Jul[[#This Row],[CRÉDITO]]</f>
        <v>6817.05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SUMIFS(Tab_06.Jun[SALDO
ATUAL],Tab_06.Jun[CONTA],$I101)</f>
        <v>-15262.55</v>
      </c>
      <c r="G101" s="4">
        <f t="shared" si="4"/>
        <v>6817.05</v>
      </c>
      <c r="I101" s="3" t="s">
        <v>222</v>
      </c>
      <c r="J101" s="3" t="s">
        <v>662</v>
      </c>
      <c r="K101" s="4">
        <v>-22079.599999999999</v>
      </c>
      <c r="L101" s="4">
        <v>28155.18</v>
      </c>
      <c r="M101" s="4">
        <v>21338.13</v>
      </c>
      <c r="N101" s="4">
        <v>-15262.55</v>
      </c>
      <c r="O101" s="4">
        <f>Tab_07.Jul[[#This Row],[DÉBITO]]-Tab_07.Jul[[#This Row],[CRÉDITO]]</f>
        <v>6817.05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SUMIFS(Tab_06.Jun[SALDO
ATUAL],Tab_06.Jun[CONTA],$I102)</f>
        <v>-884.23</v>
      </c>
      <c r="G102" s="4">
        <f t="shared" si="4"/>
        <v>727.98</v>
      </c>
      <c r="I102" s="3" t="s">
        <v>191</v>
      </c>
      <c r="J102" s="3" t="s">
        <v>347</v>
      </c>
      <c r="K102" s="4">
        <v>-1612.21</v>
      </c>
      <c r="L102" s="4">
        <v>1778.47</v>
      </c>
      <c r="M102" s="4">
        <v>1050.49</v>
      </c>
      <c r="N102" s="4">
        <v>-884.23</v>
      </c>
      <c r="O102" s="4">
        <f>Tab_07.Jul[[#This Row],[DÉBITO]]-Tab_07.Jul[[#This Row],[CRÉDITO]]</f>
        <v>727.98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SUMIFS(Tab_06.Jun[SALDO
ATUAL],Tab_06.Jun[CONTA],$I103)</f>
        <v>-10986.12</v>
      </c>
      <c r="G103" s="4">
        <f t="shared" si="4"/>
        <v>4492.88</v>
      </c>
      <c r="I103" s="3" t="s">
        <v>192</v>
      </c>
      <c r="J103" s="3" t="s">
        <v>348</v>
      </c>
      <c r="K103" s="4">
        <v>-15479</v>
      </c>
      <c r="L103" s="4">
        <v>21207.88</v>
      </c>
      <c r="M103" s="4">
        <v>16715</v>
      </c>
      <c r="N103" s="4">
        <v>-10986.12</v>
      </c>
      <c r="O103" s="4">
        <f>Tab_07.Jul[[#This Row],[DÉBITO]]-Tab_07.Jul[[#This Row],[CRÉDITO]]</f>
        <v>4492.88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SUMIFS(Tab_06.Jun[SALDO
ATUAL],Tab_06.Jun[CONTA],$I104)</f>
        <v>0</v>
      </c>
      <c r="G104" s="4">
        <f t="shared" si="4"/>
        <v>335.15</v>
      </c>
      <c r="I104" s="3" t="s">
        <v>264</v>
      </c>
      <c r="J104" s="3" t="s">
        <v>349</v>
      </c>
      <c r="K104" s="4">
        <v>-335.15</v>
      </c>
      <c r="L104" s="4">
        <v>335.15</v>
      </c>
      <c r="M104" s="4">
        <v>0</v>
      </c>
      <c r="N104" s="4">
        <v>0</v>
      </c>
      <c r="O104" s="4">
        <f>Tab_07.Jul[[#This Row],[DÉBITO]]-Tab_07.Jul[[#This Row],[CRÉDITO]]</f>
        <v>335.15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SUMIFS(Tab_06.Jun[SALDO
ATUAL],Tab_06.Jun[CONTA],$I105)</f>
        <v>-3369.75</v>
      </c>
      <c r="G105" s="4">
        <f t="shared" si="4"/>
        <v>1261.04</v>
      </c>
      <c r="I105" s="3" t="s">
        <v>350</v>
      </c>
      <c r="J105" s="3" t="s">
        <v>351</v>
      </c>
      <c r="K105" s="4">
        <v>-4630.79</v>
      </c>
      <c r="L105" s="4">
        <v>4822.51</v>
      </c>
      <c r="M105" s="4">
        <v>3561.47</v>
      </c>
      <c r="N105" s="4">
        <v>-3369.75</v>
      </c>
      <c r="O105" s="4">
        <f>Tab_07.Jul[[#This Row],[DÉBITO]]-Tab_07.Jul[[#This Row],[CRÉDITO]]</f>
        <v>1261.04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SUMIFS(Tab_06.Jun[SALDO
ATUAL],Tab_06.Jun[CONTA],$I106)</f>
        <v>-22.45</v>
      </c>
      <c r="G106" s="4">
        <f t="shared" si="4"/>
        <v>0</v>
      </c>
      <c r="I106" s="3" t="s">
        <v>352</v>
      </c>
      <c r="J106" s="3" t="s">
        <v>353</v>
      </c>
      <c r="K106" s="4">
        <v>-22.45</v>
      </c>
      <c r="L106" s="4">
        <v>11.17</v>
      </c>
      <c r="M106" s="4">
        <v>11.17</v>
      </c>
      <c r="N106" s="4">
        <v>-22.45</v>
      </c>
      <c r="O106" s="4">
        <f>Tab_07.Jul[[#This Row],[DÉBITO]]-Tab_07.Jul[[#This Row],[CRÉDITO]]</f>
        <v>0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S</v>
      </c>
      <c r="E107" s="2">
        <f>IF($I107="","",COUNTIFS(Tab_00.Trial[CONTA],$I107))</f>
        <v>1</v>
      </c>
      <c r="F107" s="4">
        <f>SUMIFS(Tab_06.Jun[SALDO
ATUAL],Tab_06.Jun[CONTA],$I107)</f>
        <v>0</v>
      </c>
      <c r="G107" s="4">
        <f t="shared" si="4"/>
        <v>0</v>
      </c>
      <c r="I107" s="3" t="s">
        <v>223</v>
      </c>
      <c r="J107" s="3" t="s">
        <v>663</v>
      </c>
      <c r="K107" s="4">
        <v>0</v>
      </c>
      <c r="L107" s="4">
        <v>11</v>
      </c>
      <c r="M107" s="4">
        <v>11</v>
      </c>
      <c r="N107" s="4">
        <v>0</v>
      </c>
      <c r="O107" s="4">
        <f>Tab_07.Jul[[#This Row],[DÉBITO]]-Tab_07.Jul[[#This Row],[CRÉDITO]]</f>
        <v>0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SUMIFS(Tab_06.Jun[SALDO
ATUAL],Tab_06.Jun[CONTA],$I108)</f>
        <v>0</v>
      </c>
      <c r="G108" s="4">
        <f t="shared" si="4"/>
        <v>0</v>
      </c>
      <c r="I108" s="3" t="s">
        <v>354</v>
      </c>
      <c r="J108" s="3" t="s">
        <v>355</v>
      </c>
      <c r="K108" s="4">
        <v>0</v>
      </c>
      <c r="L108" s="4">
        <v>11</v>
      </c>
      <c r="M108" s="4">
        <v>11</v>
      </c>
      <c r="N108" s="4">
        <v>0</v>
      </c>
      <c r="O108" s="4">
        <f>Tab_07.Jul[[#This Row],[DÉBITO]]-Tab_07.Jul[[#This Row],[CRÉDITO]]</f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SUMIFS(Tab_06.Jun[SALDO
ATUAL],Tab_06.Jun[CONTA],$I109)</f>
        <v>-22355.56</v>
      </c>
      <c r="G109" s="4">
        <f t="shared" si="4"/>
        <v>169.15</v>
      </c>
      <c r="I109" s="3" t="s">
        <v>224</v>
      </c>
      <c r="J109" s="3" t="s">
        <v>664</v>
      </c>
      <c r="K109" s="4">
        <v>-22524.71</v>
      </c>
      <c r="L109" s="4">
        <v>676.22</v>
      </c>
      <c r="M109" s="4">
        <v>507.07</v>
      </c>
      <c r="N109" s="4">
        <v>-22355.56</v>
      </c>
      <c r="O109" s="4">
        <f>Tab_07.Jul[[#This Row],[DÉBITO]]-Tab_07.Jul[[#This Row],[CRÉDITO]]</f>
        <v>169.15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SUMIFS(Tab_06.Jun[SALDO
ATUAL],Tab_06.Jun[CONTA],$I110)</f>
        <v>-22355.56</v>
      </c>
      <c r="G110" s="4">
        <f t="shared" si="4"/>
        <v>169.15</v>
      </c>
      <c r="I110" s="3" t="s">
        <v>225</v>
      </c>
      <c r="J110" s="3" t="s">
        <v>665</v>
      </c>
      <c r="K110" s="4">
        <v>-22524.71</v>
      </c>
      <c r="L110" s="4">
        <v>676.22</v>
      </c>
      <c r="M110" s="4">
        <v>507.07</v>
      </c>
      <c r="N110" s="4">
        <v>-22355.56</v>
      </c>
      <c r="O110" s="4">
        <f>Tab_07.Jul[[#This Row],[DÉBITO]]-Tab_07.Jul[[#This Row],[CRÉDITO]]</f>
        <v>169.15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A</v>
      </c>
      <c r="E111" s="2">
        <f>IF($I111="","",COUNTIFS(Tab_00.Trial[CONTA],$I111))</f>
        <v>1</v>
      </c>
      <c r="F111" s="4">
        <f>SUMIFS(Tab_06.Jun[SALDO
ATUAL],Tab_06.Jun[CONTA],$I111)</f>
        <v>-22355.56</v>
      </c>
      <c r="G111" s="4">
        <f t="shared" si="4"/>
        <v>169.15</v>
      </c>
      <c r="I111" s="3" t="s">
        <v>356</v>
      </c>
      <c r="J111" s="3" t="s">
        <v>357</v>
      </c>
      <c r="K111" s="4">
        <v>-22524.71</v>
      </c>
      <c r="L111" s="4">
        <v>676.22</v>
      </c>
      <c r="M111" s="4">
        <v>507.07</v>
      </c>
      <c r="N111" s="4">
        <v>-22355.56</v>
      </c>
      <c r="O111" s="4">
        <f>Tab_07.Jul[[#This Row],[DÉBITO]]-Tab_07.Jul[[#This Row],[CRÉDITO]]</f>
        <v>169.15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SUMIFS(Tab_06.Jun[SALDO
ATUAL],Tab_06.Jun[CONTA],$I112)</f>
        <v>-3849.2</v>
      </c>
      <c r="G112" s="4">
        <f t="shared" si="4"/>
        <v>0</v>
      </c>
      <c r="I112" s="3" t="s">
        <v>564</v>
      </c>
      <c r="J112" s="3" t="s">
        <v>666</v>
      </c>
      <c r="K112" s="4">
        <v>-3849.2</v>
      </c>
      <c r="L112" s="4">
        <v>0</v>
      </c>
      <c r="M112" s="4">
        <v>0</v>
      </c>
      <c r="N112" s="4">
        <v>-3849.2</v>
      </c>
      <c r="O112" s="4">
        <f>Tab_07.Jul[[#This Row],[DÉBITO]]-Tab_07.Jul[[#This Row],[CRÉDITO]]</f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SUMIFS(Tab_06.Jun[SALDO
ATUAL],Tab_06.Jun[CONTA],$I113)</f>
        <v>-3849.2</v>
      </c>
      <c r="G113" s="4">
        <f t="shared" si="4"/>
        <v>0</v>
      </c>
      <c r="I113" s="3" t="s">
        <v>565</v>
      </c>
      <c r="J113" s="3" t="s">
        <v>667</v>
      </c>
      <c r="K113" s="4">
        <v>-3849.2</v>
      </c>
      <c r="L113" s="4">
        <v>0</v>
      </c>
      <c r="M113" s="4">
        <v>0</v>
      </c>
      <c r="N113" s="4">
        <v>-3849.2</v>
      </c>
      <c r="O113" s="4">
        <f>Tab_07.Jul[[#This Row],[DÉBITO]]-Tab_07.Jul[[#This Row],[CRÉDITO]]</f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A</v>
      </c>
      <c r="E114" s="2">
        <f>IF($I114="","",COUNTIFS(Tab_00.Trial[CONTA],$I114))</f>
        <v>1</v>
      </c>
      <c r="F114" s="4">
        <f>SUMIFS(Tab_06.Jun[SALDO
ATUAL],Tab_06.Jun[CONTA],$I114)</f>
        <v>-3849.2</v>
      </c>
      <c r="G114" s="4">
        <f t="shared" ref="G114:G145" si="5">$F114-$K114</f>
        <v>0</v>
      </c>
      <c r="I114" s="3" t="s">
        <v>358</v>
      </c>
      <c r="J114" s="3" t="s">
        <v>359</v>
      </c>
      <c r="K114" s="4">
        <v>-3849.2</v>
      </c>
      <c r="L114" s="4">
        <v>0</v>
      </c>
      <c r="M114" s="4">
        <v>0</v>
      </c>
      <c r="N114" s="4">
        <v>-3849.2</v>
      </c>
      <c r="O114" s="4">
        <f>Tab_07.Jul[[#This Row],[DÉBITO]]-Tab_07.Jul[[#This Row],[CRÉDITO]]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2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SUMIFS(Tab_06.Jun[SALDO
ATUAL],Tab_06.Jun[CONTA],$I115)</f>
        <v>-46934.04</v>
      </c>
      <c r="G115" s="4">
        <f t="shared" si="5"/>
        <v>0</v>
      </c>
      <c r="I115" s="3" t="s">
        <v>226</v>
      </c>
      <c r="J115" s="3" t="s">
        <v>76</v>
      </c>
      <c r="K115" s="4">
        <v>-46934.04</v>
      </c>
      <c r="L115" s="4">
        <v>0</v>
      </c>
      <c r="M115" s="4">
        <v>0</v>
      </c>
      <c r="N115" s="4">
        <v>-46934.04</v>
      </c>
      <c r="O115" s="4">
        <f>Tab_07.Jul[[#This Row],[DÉBITO]]-Tab_07.Jul[[#This Row],[CRÉDITO]]</f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SUMIFS(Tab_06.Jun[SALDO
ATUAL],Tab_06.Jun[CONTA],$I116)</f>
        <v>-46934.04</v>
      </c>
      <c r="G116" s="4">
        <f t="shared" si="5"/>
        <v>0</v>
      </c>
      <c r="I116" s="3" t="s">
        <v>566</v>
      </c>
      <c r="J116" s="3" t="s">
        <v>668</v>
      </c>
      <c r="K116" s="4">
        <v>-46934.04</v>
      </c>
      <c r="L116" s="4">
        <v>0</v>
      </c>
      <c r="M116" s="4">
        <v>0</v>
      </c>
      <c r="N116" s="4">
        <v>-46934.04</v>
      </c>
      <c r="O116" s="4">
        <f>Tab_07.Jul[[#This Row],[DÉBITO]]-Tab_07.Jul[[#This Row],[CRÉDITO]]</f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SUMIFS(Tab_06.Jun[SALDO
ATUAL],Tab_06.Jun[CONTA],$I117)</f>
        <v>-46934.04</v>
      </c>
      <c r="G117" s="4">
        <f t="shared" si="5"/>
        <v>0</v>
      </c>
      <c r="I117" s="3" t="s">
        <v>567</v>
      </c>
      <c r="J117" s="3" t="s">
        <v>669</v>
      </c>
      <c r="K117" s="4">
        <v>-46934.04</v>
      </c>
      <c r="L117" s="4">
        <v>0</v>
      </c>
      <c r="M117" s="4">
        <v>0</v>
      </c>
      <c r="N117" s="4">
        <v>-46934.04</v>
      </c>
      <c r="O117" s="4">
        <f>Tab_07.Jul[[#This Row],[DÉBITO]]-Tab_07.Jul[[#This Row],[CRÉDITO]]</f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SUMIFS(Tab_06.Jun[SALDO
ATUAL],Tab_06.Jun[CONTA],$I118)</f>
        <v>-31934.04</v>
      </c>
      <c r="G118" s="4">
        <f t="shared" si="5"/>
        <v>0</v>
      </c>
      <c r="I118" s="3" t="s">
        <v>360</v>
      </c>
      <c r="J118" s="3" t="s">
        <v>361</v>
      </c>
      <c r="K118" s="4">
        <v>-31934.04</v>
      </c>
      <c r="L118" s="4">
        <v>0</v>
      </c>
      <c r="M118" s="4">
        <v>0</v>
      </c>
      <c r="N118" s="4">
        <v>-31934.04</v>
      </c>
      <c r="O118" s="4">
        <f>Tab_07.Jul[[#This Row],[DÉBITO]]-Tab_07.Jul[[#This Row],[CRÉDITO]]</f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SUMIFS(Tab_06.Jun[SALDO
ATUAL],Tab_06.Jun[CONTA],$I119)</f>
        <v>-15000</v>
      </c>
      <c r="G119" s="4">
        <f t="shared" si="5"/>
        <v>0</v>
      </c>
      <c r="I119" s="3" t="s">
        <v>362</v>
      </c>
      <c r="J119" s="3" t="s">
        <v>363</v>
      </c>
      <c r="K119" s="4">
        <v>-15000</v>
      </c>
      <c r="L119" s="4">
        <v>0</v>
      </c>
      <c r="M119" s="4">
        <v>0</v>
      </c>
      <c r="N119" s="4">
        <v>-15000</v>
      </c>
      <c r="O119" s="4">
        <f>Tab_07.Jul[[#This Row],[DÉBITO]]-Tab_07.Jul[[#This Row],[CRÉDITO]]</f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2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SUMIFS(Tab_06.Jun[SALDO
ATUAL],Tab_06.Jun[CONTA],$I120)</f>
        <v>-81855530.489999995</v>
      </c>
      <c r="G120" s="4">
        <f t="shared" si="5"/>
        <v>0</v>
      </c>
      <c r="I120" s="3" t="s">
        <v>228</v>
      </c>
      <c r="J120" s="3" t="s">
        <v>670</v>
      </c>
      <c r="K120" s="4">
        <v>-81855530.489999995</v>
      </c>
      <c r="L120" s="4">
        <v>0</v>
      </c>
      <c r="M120" s="4">
        <v>0</v>
      </c>
      <c r="N120" s="4">
        <v>-81855530.489999995</v>
      </c>
      <c r="O120" s="4">
        <f>Tab_07.Jul[[#This Row],[DÉBITO]]-Tab_07.Jul[[#This Row],[CRÉDITO]]</f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SUMIFS(Tab_06.Jun[SALDO
ATUAL],Tab_06.Jun[CONTA],$I121)</f>
        <v>-81855530.489999995</v>
      </c>
      <c r="G121" s="4">
        <f t="shared" si="5"/>
        <v>0</v>
      </c>
      <c r="I121" s="3" t="s">
        <v>229</v>
      </c>
      <c r="J121" s="3" t="s">
        <v>670</v>
      </c>
      <c r="K121" s="4">
        <v>-81855530.489999995</v>
      </c>
      <c r="L121" s="4">
        <v>0</v>
      </c>
      <c r="M121" s="4">
        <v>0</v>
      </c>
      <c r="N121" s="4">
        <v>-81855530.489999995</v>
      </c>
      <c r="O121" s="4">
        <f>Tab_07.Jul[[#This Row],[DÉBITO]]-Tab_07.Jul[[#This Row],[CRÉDITO]]</f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SUMIFS(Tab_06.Jun[SALDO
ATUAL],Tab_06.Jun[CONTA],$I122)</f>
        <v>-104784619.59999999</v>
      </c>
      <c r="G122" s="4">
        <f t="shared" si="5"/>
        <v>0</v>
      </c>
      <c r="I122" s="3" t="s">
        <v>230</v>
      </c>
      <c r="J122" s="3" t="s">
        <v>364</v>
      </c>
      <c r="K122" s="4">
        <v>-104784619.59999999</v>
      </c>
      <c r="L122" s="4">
        <v>0</v>
      </c>
      <c r="M122" s="4">
        <v>0</v>
      </c>
      <c r="N122" s="4">
        <v>-104784619.59999999</v>
      </c>
      <c r="O122" s="4">
        <f>Tab_07.Jul[[#This Row],[DÉBITO]]-Tab_07.Jul[[#This Row],[CRÉDITO]]</f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SUMIFS(Tab_06.Jun[SALDO
ATUAL],Tab_06.Jun[CONTA],$I123)</f>
        <v>-104784619.59999999</v>
      </c>
      <c r="G123" s="4">
        <f t="shared" si="5"/>
        <v>0</v>
      </c>
      <c r="I123" s="3" t="s">
        <v>193</v>
      </c>
      <c r="J123" s="3" t="s">
        <v>364</v>
      </c>
      <c r="K123" s="4">
        <v>-104784619.59999999</v>
      </c>
      <c r="L123" s="4">
        <v>0</v>
      </c>
      <c r="M123" s="4">
        <v>0</v>
      </c>
      <c r="N123" s="4">
        <v>-104784619.59999999</v>
      </c>
      <c r="O123" s="4">
        <f>Tab_07.Jul[[#This Row],[DÉBITO]]-Tab_07.Jul[[#This Row],[CRÉDITO]]</f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SUMIFS(Tab_06.Jun[SALDO
ATUAL],Tab_06.Jun[CONTA],$I124)</f>
        <v>32587250.850000001</v>
      </c>
      <c r="G124" s="4">
        <f t="shared" si="5"/>
        <v>0</v>
      </c>
      <c r="I124" s="3" t="s">
        <v>568</v>
      </c>
      <c r="J124" s="3" t="s">
        <v>671</v>
      </c>
      <c r="K124" s="4">
        <v>32587250.850000001</v>
      </c>
      <c r="L124" s="4">
        <v>0</v>
      </c>
      <c r="M124" s="4">
        <v>0</v>
      </c>
      <c r="N124" s="4">
        <v>32587250.850000001</v>
      </c>
      <c r="O124" s="4">
        <f>Tab_07.Jul[[#This Row],[DÉBITO]]-Tab_07.Jul[[#This Row],[CRÉDITO]]</f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SUMIFS(Tab_06.Jun[SALDO
ATUAL],Tab_06.Jun[CONTA],$I125)</f>
        <v>-827719.82</v>
      </c>
      <c r="G125" s="4">
        <f t="shared" si="5"/>
        <v>0</v>
      </c>
      <c r="I125" s="3" t="s">
        <v>743</v>
      </c>
      <c r="J125" s="3" t="s">
        <v>744</v>
      </c>
      <c r="K125" s="4">
        <v>-827719.82</v>
      </c>
      <c r="L125" s="4">
        <v>0</v>
      </c>
      <c r="M125" s="4">
        <v>0</v>
      </c>
      <c r="N125" s="4">
        <v>-827719.82</v>
      </c>
      <c r="O125" s="4">
        <f>Tab_07.Jul[[#This Row],[DÉBITO]]-Tab_07.Jul[[#This Row],[CRÉDITO]]</f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SUMIFS(Tab_06.Jun[SALDO
ATUAL],Tab_06.Jun[CONTA],$I126)</f>
        <v>33414970.670000002</v>
      </c>
      <c r="G126" s="4">
        <f t="shared" si="5"/>
        <v>0</v>
      </c>
      <c r="I126" s="3" t="s">
        <v>365</v>
      </c>
      <c r="J126" s="3" t="s">
        <v>366</v>
      </c>
      <c r="K126" s="4">
        <v>33414970.670000002</v>
      </c>
      <c r="L126" s="4">
        <v>0</v>
      </c>
      <c r="M126" s="4">
        <v>0</v>
      </c>
      <c r="N126" s="4">
        <v>33414970.670000002</v>
      </c>
      <c r="O126" s="4">
        <f>Tab_07.Jul[[#This Row],[DÉBITO]]-Tab_07.Jul[[#This Row],[CRÉDITO]]</f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SUMIFS(Tab_06.Jun[SALDO
ATUAL],Tab_06.Jun[CONTA],$I127)</f>
        <v>-9658161.7400000002</v>
      </c>
      <c r="G127" s="4">
        <f t="shared" si="5"/>
        <v>0</v>
      </c>
      <c r="I127" s="3" t="s">
        <v>745</v>
      </c>
      <c r="J127" s="3" t="s">
        <v>746</v>
      </c>
      <c r="K127" s="4">
        <v>-9658161.7400000002</v>
      </c>
      <c r="L127" s="4">
        <v>0</v>
      </c>
      <c r="M127" s="4">
        <v>0</v>
      </c>
      <c r="N127" s="4">
        <v>-9658161.7400000002</v>
      </c>
      <c r="O127" s="4">
        <f>Tab_07.Jul[[#This Row],[DÉBITO]]-Tab_07.Jul[[#This Row],[CRÉDITO]]</f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SUMIFS(Tab_06.Jun[SALDO
ATUAL],Tab_06.Jun[CONTA],$I128)</f>
        <v>-9658161.7400000002</v>
      </c>
      <c r="G128" s="4">
        <f t="shared" si="5"/>
        <v>0</v>
      </c>
      <c r="I128" s="3" t="s">
        <v>747</v>
      </c>
      <c r="J128" s="3" t="s">
        <v>746</v>
      </c>
      <c r="K128" s="4">
        <v>-9658161.7400000002</v>
      </c>
      <c r="L128" s="4">
        <v>0</v>
      </c>
      <c r="M128" s="4">
        <v>0</v>
      </c>
      <c r="N128" s="4">
        <v>-9658161.7400000002</v>
      </c>
      <c r="O128" s="4">
        <f>Tab_07.Jul[[#This Row],[DÉBITO]]-Tab_07.Jul[[#This Row],[CRÉDITO]]</f>
        <v>0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1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SUMIFS(Tab_06.Jun[SALDO
ATUAL],Tab_06.Jun[CONTA],$I129)</f>
        <v>-8945453.5600000005</v>
      </c>
      <c r="G129" s="4">
        <f t="shared" si="5"/>
        <v>-1494884.3</v>
      </c>
      <c r="I129" s="3">
        <v>3</v>
      </c>
      <c r="J129" s="3" t="s">
        <v>672</v>
      </c>
      <c r="K129" s="4">
        <v>-7450569.2599999998</v>
      </c>
      <c r="L129" s="4">
        <v>11</v>
      </c>
      <c r="M129" s="4">
        <v>1494895.3</v>
      </c>
      <c r="N129" s="4">
        <v>-8945453.5600000005</v>
      </c>
      <c r="O129" s="4">
        <f>Tab_07.Jul[[#This Row],[DÉBITO]]-Tab_07.Jul[[#This Row],[CRÉDITO]]</f>
        <v>-1494884.3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2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SUMIFS(Tab_06.Jun[SALDO
ATUAL],Tab_06.Jun[CONTA],$I130)</f>
        <v>-4191056.22</v>
      </c>
      <c r="G130" s="4">
        <f t="shared" si="5"/>
        <v>-611115.52000000002</v>
      </c>
      <c r="I130" s="3" t="s">
        <v>231</v>
      </c>
      <c r="J130" s="3" t="s">
        <v>673</v>
      </c>
      <c r="K130" s="4">
        <v>-3579940.7</v>
      </c>
      <c r="L130" s="4">
        <v>0</v>
      </c>
      <c r="M130" s="4">
        <v>611115.52000000002</v>
      </c>
      <c r="N130" s="4">
        <v>-4191056.22</v>
      </c>
      <c r="O130" s="4">
        <f>Tab_07.Jul[[#This Row],[DÉBITO]]-Tab_07.Jul[[#This Row],[CRÉDITO]]</f>
        <v>-611115.52000000002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SUMIFS(Tab_06.Jun[SALDO
ATUAL],Tab_06.Jun[CONTA],$I131)</f>
        <v>-2618544.58</v>
      </c>
      <c r="G131" s="4">
        <f t="shared" si="5"/>
        <v>-457031.23</v>
      </c>
      <c r="I131" s="3" t="s">
        <v>232</v>
      </c>
      <c r="J131" s="3" t="s">
        <v>674</v>
      </c>
      <c r="K131" s="4">
        <v>-2161513.35</v>
      </c>
      <c r="L131" s="4">
        <v>0</v>
      </c>
      <c r="M131" s="4">
        <v>457031.23</v>
      </c>
      <c r="N131" s="4">
        <v>-2618544.58</v>
      </c>
      <c r="O131" s="4">
        <f>Tab_07.Jul[[#This Row],[DÉBITO]]-Tab_07.Jul[[#This Row],[CRÉDITO]]</f>
        <v>-457031.23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SUMIFS(Tab_06.Jun[SALDO
ATUAL],Tab_06.Jun[CONTA],$I132)</f>
        <v>-916108.28</v>
      </c>
      <c r="G132" s="4">
        <f t="shared" si="5"/>
        <v>-133881.88</v>
      </c>
      <c r="I132" s="3" t="s">
        <v>233</v>
      </c>
      <c r="J132" s="3" t="s">
        <v>675</v>
      </c>
      <c r="K132" s="4">
        <v>-782226.4</v>
      </c>
      <c r="L132" s="4">
        <v>0</v>
      </c>
      <c r="M132" s="4">
        <v>133881.88</v>
      </c>
      <c r="N132" s="4">
        <v>-916108.28</v>
      </c>
      <c r="O132" s="4">
        <f>Tab_07.Jul[[#This Row],[DÉBITO]]-Tab_07.Jul[[#This Row],[CRÉDITO]]</f>
        <v>-133881.88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A</v>
      </c>
      <c r="E133" s="2">
        <f>IF($I133="","",COUNTIFS(Tab_00.Trial[CONTA],$I133))</f>
        <v>1</v>
      </c>
      <c r="F133" s="4">
        <f>SUMIFS(Tab_06.Jun[SALDO
ATUAL],Tab_06.Jun[CONTA],$I133)</f>
        <v>-916108.28</v>
      </c>
      <c r="G133" s="4">
        <f t="shared" si="5"/>
        <v>-133881.88</v>
      </c>
      <c r="I133" s="3" t="s">
        <v>194</v>
      </c>
      <c r="J133" s="3" t="s">
        <v>367</v>
      </c>
      <c r="K133" s="4">
        <v>-782226.4</v>
      </c>
      <c r="L133" s="4">
        <v>0</v>
      </c>
      <c r="M133" s="4">
        <v>133881.88</v>
      </c>
      <c r="N133" s="4">
        <v>-916108.28</v>
      </c>
      <c r="O133" s="4">
        <f>Tab_07.Jul[[#This Row],[DÉBITO]]-Tab_07.Jul[[#This Row],[CRÉDITO]]</f>
        <v>-133881.88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SUMIFS(Tab_06.Jun[SALDO
ATUAL],Tab_06.Jun[CONTA],$I134)</f>
        <v>-1702436.3</v>
      </c>
      <c r="G134" s="4">
        <f t="shared" si="5"/>
        <v>-323149.34999999998</v>
      </c>
      <c r="I134" s="3" t="s">
        <v>735</v>
      </c>
      <c r="J134" s="3" t="s">
        <v>736</v>
      </c>
      <c r="K134" s="4">
        <v>-1379286.95</v>
      </c>
      <c r="L134" s="4">
        <v>0</v>
      </c>
      <c r="M134" s="4">
        <v>323149.34999999998</v>
      </c>
      <c r="N134" s="4">
        <v>-1702436.3</v>
      </c>
      <c r="O134" s="4">
        <f>Tab_07.Jul[[#This Row],[DÉBITO]]-Tab_07.Jul[[#This Row],[CRÉDITO]]</f>
        <v>-323149.34999999998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SUMIFS(Tab_06.Jun[SALDO
ATUAL],Tab_06.Jun[CONTA],$I135)</f>
        <v>-1702436.3</v>
      </c>
      <c r="G135" s="4">
        <f t="shared" si="5"/>
        <v>-323149.34999999998</v>
      </c>
      <c r="I135" s="3" t="s">
        <v>737</v>
      </c>
      <c r="J135" s="3" t="s">
        <v>820</v>
      </c>
      <c r="K135" s="4">
        <v>-1379286.95</v>
      </c>
      <c r="L135" s="4">
        <v>0</v>
      </c>
      <c r="M135" s="4">
        <v>323149.34999999998</v>
      </c>
      <c r="N135" s="4">
        <v>-1702436.3</v>
      </c>
      <c r="O135" s="4">
        <f>Tab_07.Jul[[#This Row],[DÉBITO]]-Tab_07.Jul[[#This Row],[CRÉDITO]]</f>
        <v>-323149.34999999998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SUMIFS(Tab_06.Jun[SALDO
ATUAL],Tab_06.Jun[CONTA],$I136)</f>
        <v>-1572511.64</v>
      </c>
      <c r="G136" s="4">
        <f t="shared" si="5"/>
        <v>-154084.29</v>
      </c>
      <c r="I136" s="3" t="s">
        <v>569</v>
      </c>
      <c r="J136" s="3" t="s">
        <v>676</v>
      </c>
      <c r="K136" s="4">
        <v>-1418427.35</v>
      </c>
      <c r="L136" s="4">
        <v>0</v>
      </c>
      <c r="M136" s="4">
        <v>154084.29</v>
      </c>
      <c r="N136" s="4">
        <v>-1572511.64</v>
      </c>
      <c r="O136" s="4">
        <f>Tab_07.Jul[[#This Row],[DÉBITO]]-Tab_07.Jul[[#This Row],[CRÉDITO]]</f>
        <v>-154084.29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SUMIFS(Tab_06.Jun[SALDO
ATUAL],Tab_06.Jun[CONTA],$I137)</f>
        <v>-991749.08</v>
      </c>
      <c r="G137" s="4">
        <f t="shared" si="5"/>
        <v>-71118.210000000006</v>
      </c>
      <c r="I137" s="3" t="s">
        <v>570</v>
      </c>
      <c r="J137" s="3" t="s">
        <v>677</v>
      </c>
      <c r="K137" s="4">
        <v>-920630.87</v>
      </c>
      <c r="L137" s="4">
        <v>0</v>
      </c>
      <c r="M137" s="4">
        <v>71118.210000000006</v>
      </c>
      <c r="N137" s="4">
        <v>-991749.08</v>
      </c>
      <c r="O137" s="4">
        <f>Tab_07.Jul[[#This Row],[DÉBITO]]-Tab_07.Jul[[#This Row],[CRÉDITO]]</f>
        <v>-71118.210000000006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SUMIFS(Tab_06.Jun[SALDO
ATUAL],Tab_06.Jun[CONTA],$I138)</f>
        <v>-488798.45</v>
      </c>
      <c r="G138" s="4">
        <f t="shared" si="5"/>
        <v>-35652.550000000003</v>
      </c>
      <c r="I138" s="3" t="s">
        <v>368</v>
      </c>
      <c r="J138" s="3" t="s">
        <v>369</v>
      </c>
      <c r="K138" s="4">
        <v>-453145.9</v>
      </c>
      <c r="L138" s="4">
        <v>0</v>
      </c>
      <c r="M138" s="4">
        <v>35652.550000000003</v>
      </c>
      <c r="N138" s="4">
        <v>-488798.45</v>
      </c>
      <c r="O138" s="4">
        <f>Tab_07.Jul[[#This Row],[DÉBITO]]-Tab_07.Jul[[#This Row],[CRÉDITO]]</f>
        <v>-35652.550000000003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SUMIFS(Tab_06.Jun[SALDO
ATUAL],Tab_06.Jun[CONTA],$I139)</f>
        <v>-406878.7</v>
      </c>
      <c r="G139" s="4">
        <f t="shared" si="5"/>
        <v>-35465.660000000003</v>
      </c>
      <c r="I139" s="3" t="s">
        <v>370</v>
      </c>
      <c r="J139" s="3" t="s">
        <v>371</v>
      </c>
      <c r="K139" s="4">
        <v>-371413.04</v>
      </c>
      <c r="L139" s="4">
        <v>0</v>
      </c>
      <c r="M139" s="4">
        <v>35465.660000000003</v>
      </c>
      <c r="N139" s="4">
        <v>-406878.7</v>
      </c>
      <c r="O139" s="4">
        <f>Tab_07.Jul[[#This Row],[DÉBITO]]-Tab_07.Jul[[#This Row],[CRÉDITO]]</f>
        <v>-35465.660000000003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SUMIFS(Tab_06.Jun[SALDO
ATUAL],Tab_06.Jun[CONTA],$I140)</f>
        <v>-6547.36</v>
      </c>
      <c r="G140" s="4">
        <f t="shared" si="5"/>
        <v>0</v>
      </c>
      <c r="I140" s="3" t="s">
        <v>372</v>
      </c>
      <c r="J140" s="3" t="s">
        <v>373</v>
      </c>
      <c r="K140" s="4">
        <v>-6547.36</v>
      </c>
      <c r="L140" s="4">
        <v>0</v>
      </c>
      <c r="M140" s="4">
        <v>0</v>
      </c>
      <c r="N140" s="4">
        <v>-6547.36</v>
      </c>
      <c r="O140" s="4">
        <f>Tab_07.Jul[[#This Row],[DÉBITO]]-Tab_07.Jul[[#This Row],[CRÉDITO]]</f>
        <v>0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SUMIFS(Tab_06.Jun[SALDO
ATUAL],Tab_06.Jun[CONTA],$I141)</f>
        <v>-89524.57</v>
      </c>
      <c r="G141" s="4">
        <f t="shared" si="5"/>
        <v>0</v>
      </c>
      <c r="I141" s="3" t="s">
        <v>851</v>
      </c>
      <c r="J141" s="3" t="s">
        <v>852</v>
      </c>
      <c r="K141" s="4">
        <v>-89524.57</v>
      </c>
      <c r="L141" s="4">
        <v>0</v>
      </c>
      <c r="M141" s="4">
        <v>0</v>
      </c>
      <c r="N141" s="4">
        <v>-89524.57</v>
      </c>
      <c r="O141" s="4">
        <f>Tab_07.Jul[[#This Row],[DÉBITO]]-Tab_07.Jul[[#This Row],[CRÉDITO]]</f>
        <v>0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SUMIFS(Tab_06.Jun[SALDO
ATUAL],Tab_06.Jun[CONTA],$I142)</f>
        <v>-580762.56000000006</v>
      </c>
      <c r="G142" s="4">
        <f t="shared" si="5"/>
        <v>-82966.080000000002</v>
      </c>
      <c r="I142" s="3" t="s">
        <v>571</v>
      </c>
      <c r="J142" s="3" t="s">
        <v>377</v>
      </c>
      <c r="K142" s="4">
        <v>-497796.48</v>
      </c>
      <c r="L142" s="4">
        <v>0</v>
      </c>
      <c r="M142" s="4">
        <v>82966.080000000002</v>
      </c>
      <c r="N142" s="4">
        <v>-580762.56000000006</v>
      </c>
      <c r="O142" s="4">
        <f>Tab_07.Jul[[#This Row],[DÉBITO]]-Tab_07.Jul[[#This Row],[CRÉDITO]]</f>
        <v>-82966.080000000002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SUMIFS(Tab_06.Jun[SALDO
ATUAL],Tab_06.Jun[CONTA],$I143)</f>
        <v>-580762.56000000006</v>
      </c>
      <c r="G143" s="4">
        <f t="shared" si="5"/>
        <v>-82966.080000000002</v>
      </c>
      <c r="I143" s="3" t="s">
        <v>376</v>
      </c>
      <c r="J143" s="3" t="s">
        <v>377</v>
      </c>
      <c r="K143" s="4">
        <v>-497796.48</v>
      </c>
      <c r="L143" s="4">
        <v>0</v>
      </c>
      <c r="M143" s="4">
        <v>82966.080000000002</v>
      </c>
      <c r="N143" s="4">
        <v>-580762.56000000006</v>
      </c>
      <c r="O143" s="4">
        <f>Tab_07.Jul[[#This Row],[DÉBITO]]-Tab_07.Jul[[#This Row],[CRÉDITO]]</f>
        <v>-82966.080000000002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2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SUMIFS(Tab_06.Jun[SALDO
ATUAL],Tab_06.Jun[CONTA],$I144)</f>
        <v>-3078453.5</v>
      </c>
      <c r="G144" s="4">
        <f t="shared" si="5"/>
        <v>-446974.84</v>
      </c>
      <c r="I144" s="3" t="s">
        <v>574</v>
      </c>
      <c r="J144" s="3" t="s">
        <v>680</v>
      </c>
      <c r="K144" s="4">
        <v>-2631478.66</v>
      </c>
      <c r="L144" s="4">
        <v>11</v>
      </c>
      <c r="M144" s="4">
        <v>446985.84</v>
      </c>
      <c r="N144" s="4">
        <v>-3078453.5</v>
      </c>
      <c r="O144" s="4">
        <f>Tab_07.Jul[[#This Row],[DÉBITO]]-Tab_07.Jul[[#This Row],[CRÉDITO]]</f>
        <v>-446974.84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SUMIFS(Tab_06.Jun[SALDO
ATUAL],Tab_06.Jun[CONTA],$I145)</f>
        <v>-50</v>
      </c>
      <c r="G145" s="4">
        <f t="shared" si="5"/>
        <v>-50</v>
      </c>
      <c r="I145" s="3" t="s">
        <v>575</v>
      </c>
      <c r="J145" s="3" t="s">
        <v>681</v>
      </c>
      <c r="K145" s="4">
        <v>0</v>
      </c>
      <c r="L145" s="4">
        <v>0</v>
      </c>
      <c r="M145" s="4">
        <v>50</v>
      </c>
      <c r="N145" s="4">
        <v>-50</v>
      </c>
      <c r="O145" s="4">
        <f>Tab_07.Jul[[#This Row],[DÉBITO]]-Tab_07.Jul[[#This Row],[CRÉDITO]]</f>
        <v>-50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SUMIFS(Tab_06.Jun[SALDO
ATUAL],Tab_06.Jun[CONTA],$I146)</f>
        <v>-50</v>
      </c>
      <c r="G146" s="4">
        <f t="shared" ref="G146:G177" si="6">$F146-$K146</f>
        <v>-50</v>
      </c>
      <c r="I146" s="3" t="s">
        <v>576</v>
      </c>
      <c r="J146" s="3" t="s">
        <v>821</v>
      </c>
      <c r="K146" s="4">
        <v>0</v>
      </c>
      <c r="L146" s="4">
        <v>0</v>
      </c>
      <c r="M146" s="4">
        <v>50</v>
      </c>
      <c r="N146" s="4">
        <v>-50</v>
      </c>
      <c r="O146" s="4">
        <f>Tab_07.Jul[[#This Row],[DÉBITO]]-Tab_07.Jul[[#This Row],[CRÉDITO]]</f>
        <v>-50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A</v>
      </c>
      <c r="E147" s="2">
        <f>IF($I147="","",COUNTIFS(Tab_00.Trial[CONTA],$I147))</f>
        <v>1</v>
      </c>
      <c r="F147" s="4">
        <f>SUMIFS(Tab_06.Jun[SALDO
ATUAL],Tab_06.Jun[CONTA],$I147)</f>
        <v>-50</v>
      </c>
      <c r="G147" s="4">
        <f t="shared" si="6"/>
        <v>-50</v>
      </c>
      <c r="I147" s="3" t="s">
        <v>382</v>
      </c>
      <c r="J147" s="3" t="s">
        <v>292</v>
      </c>
      <c r="K147" s="4">
        <v>0</v>
      </c>
      <c r="L147" s="4">
        <v>0</v>
      </c>
      <c r="M147" s="4">
        <v>50</v>
      </c>
      <c r="N147" s="4">
        <v>-50</v>
      </c>
      <c r="O147" s="4">
        <f>Tab_07.Jul[[#This Row],[DÉBITO]]-Tab_07.Jul[[#This Row],[CRÉDITO]]</f>
        <v>-50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SUMIFS(Tab_06.Jun[SALDO
ATUAL],Tab_06.Jun[CONTA],$I148)</f>
        <v>11</v>
      </c>
      <c r="G148" s="4">
        <f t="shared" si="6"/>
        <v>11</v>
      </c>
      <c r="I148" s="3" t="s">
        <v>577</v>
      </c>
      <c r="J148" s="3" t="s">
        <v>683</v>
      </c>
      <c r="K148" s="4">
        <v>0</v>
      </c>
      <c r="L148" s="4">
        <v>11</v>
      </c>
      <c r="M148" s="4">
        <v>0</v>
      </c>
      <c r="N148" s="4">
        <v>11</v>
      </c>
      <c r="O148" s="4">
        <f>Tab_07.Jul[[#This Row],[DÉBITO]]-Tab_07.Jul[[#This Row],[CRÉDITO]]</f>
        <v>11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SUMIFS(Tab_06.Jun[SALDO
ATUAL],Tab_06.Jun[CONTA],$I149)</f>
        <v>11</v>
      </c>
      <c r="G149" s="4">
        <f t="shared" si="6"/>
        <v>11</v>
      </c>
      <c r="I149" s="3" t="s">
        <v>853</v>
      </c>
      <c r="J149" s="3" t="s">
        <v>854</v>
      </c>
      <c r="K149" s="4">
        <v>0</v>
      </c>
      <c r="L149" s="4">
        <v>11</v>
      </c>
      <c r="M149" s="4">
        <v>0</v>
      </c>
      <c r="N149" s="4">
        <v>11</v>
      </c>
      <c r="O149" s="4">
        <f>Tab_07.Jul[[#This Row],[DÉBITO]]-Tab_07.Jul[[#This Row],[CRÉDITO]]</f>
        <v>11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SUMIFS(Tab_06.Jun[SALDO
ATUAL],Tab_06.Jun[CONTA],$I150)</f>
        <v>11</v>
      </c>
      <c r="G150" s="4">
        <f t="shared" si="6"/>
        <v>11</v>
      </c>
      <c r="I150" s="3" t="s">
        <v>855</v>
      </c>
      <c r="J150" s="3" t="s">
        <v>856</v>
      </c>
      <c r="K150" s="4">
        <v>0</v>
      </c>
      <c r="L150" s="4">
        <v>11</v>
      </c>
      <c r="M150" s="4">
        <v>0</v>
      </c>
      <c r="N150" s="4">
        <v>11</v>
      </c>
      <c r="O150" s="4">
        <f>Tab_07.Jul[[#This Row],[DÉBITO]]-Tab_07.Jul[[#This Row],[CRÉDITO]]</f>
        <v>11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SUMIFS(Tab_06.Jun[SALDO
ATUAL],Tab_06.Jun[CONTA],$I151)</f>
        <v>-3078414.5</v>
      </c>
      <c r="G151" s="4">
        <f t="shared" si="6"/>
        <v>-446935.84</v>
      </c>
      <c r="I151" s="3" t="s">
        <v>580</v>
      </c>
      <c r="J151" s="3" t="s">
        <v>822</v>
      </c>
      <c r="K151" s="4">
        <v>-2631478.66</v>
      </c>
      <c r="L151" s="4">
        <v>0</v>
      </c>
      <c r="M151" s="4">
        <v>446935.84</v>
      </c>
      <c r="N151" s="4">
        <v>-3078414.5</v>
      </c>
      <c r="O151" s="4">
        <f>Tab_07.Jul[[#This Row],[DÉBITO]]-Tab_07.Jul[[#This Row],[CRÉDITO]]</f>
        <v>-446935.84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SUMIFS(Tab_06.Jun[SALDO
ATUAL],Tab_06.Jun[CONTA],$I152)</f>
        <v>-3078414.5</v>
      </c>
      <c r="G152" s="4">
        <f t="shared" si="6"/>
        <v>-446935.84</v>
      </c>
      <c r="I152" s="3" t="s">
        <v>581</v>
      </c>
      <c r="J152" s="3" t="s">
        <v>687</v>
      </c>
      <c r="K152" s="4">
        <v>-2631478.66</v>
      </c>
      <c r="L152" s="4">
        <v>0</v>
      </c>
      <c r="M152" s="4">
        <v>446935.84</v>
      </c>
      <c r="N152" s="4">
        <v>-3078414.5</v>
      </c>
      <c r="O152" s="4">
        <f>Tab_07.Jul[[#This Row],[DÉBITO]]-Tab_07.Jul[[#This Row],[CRÉDITO]]</f>
        <v>-446935.84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SUMIFS(Tab_06.Jun[SALDO
ATUAL],Tab_06.Jun[CONTA],$I153)</f>
        <v>-3026099.26</v>
      </c>
      <c r="G153" s="4">
        <f t="shared" si="6"/>
        <v>-440421.58</v>
      </c>
      <c r="I153" s="3" t="s">
        <v>387</v>
      </c>
      <c r="J153" s="3" t="s">
        <v>388</v>
      </c>
      <c r="K153" s="4">
        <v>-2585677.6800000002</v>
      </c>
      <c r="L153" s="4">
        <v>0</v>
      </c>
      <c r="M153" s="4">
        <v>440421.58</v>
      </c>
      <c r="N153" s="4">
        <v>-3026099.26</v>
      </c>
      <c r="O153" s="4">
        <f>Tab_07.Jul[[#This Row],[DÉBITO]]-Tab_07.Jul[[#This Row],[CRÉDITO]]</f>
        <v>-440421.58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A</v>
      </c>
      <c r="E154" s="2">
        <f>IF($I154="","",COUNTIFS(Tab_00.Trial[CONTA],$I154))</f>
        <v>1</v>
      </c>
      <c r="F154" s="4">
        <f>SUMIFS(Tab_06.Jun[SALDO
ATUAL],Tab_06.Jun[CONTA],$I154)</f>
        <v>-52315.24</v>
      </c>
      <c r="G154" s="4">
        <f t="shared" si="6"/>
        <v>-6514.26</v>
      </c>
      <c r="I154" s="3" t="s">
        <v>389</v>
      </c>
      <c r="J154" s="3" t="s">
        <v>390</v>
      </c>
      <c r="K154" s="4">
        <v>-45800.98</v>
      </c>
      <c r="L154" s="4">
        <v>0</v>
      </c>
      <c r="M154" s="4">
        <v>6514.26</v>
      </c>
      <c r="N154" s="4">
        <v>-52315.24</v>
      </c>
      <c r="O154" s="4">
        <f>Tab_07.Jul[[#This Row],[DÉBITO]]-Tab_07.Jul[[#This Row],[CRÉDITO]]</f>
        <v>-6514.26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2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SUMIFS(Tab_06.Jun[SALDO
ATUAL],Tab_06.Jun[CONTA],$I155)</f>
        <v>-1668493.84</v>
      </c>
      <c r="G155" s="4">
        <f t="shared" si="6"/>
        <v>-435543.94</v>
      </c>
      <c r="I155" s="3" t="s">
        <v>582</v>
      </c>
      <c r="J155" s="3" t="s">
        <v>688</v>
      </c>
      <c r="K155" s="4">
        <v>-1232949.8999999999</v>
      </c>
      <c r="L155" s="4">
        <v>0</v>
      </c>
      <c r="M155" s="4">
        <v>435543.94</v>
      </c>
      <c r="N155" s="4">
        <v>-1668493.84</v>
      </c>
      <c r="O155" s="4">
        <f>Tab_07.Jul[[#This Row],[DÉBITO]]-Tab_07.Jul[[#This Row],[CRÉDITO]]</f>
        <v>-435543.94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SUMIFS(Tab_06.Jun[SALDO
ATUAL],Tab_06.Jun[CONTA],$I156)</f>
        <v>-73.459999999999994</v>
      </c>
      <c r="G156" s="4">
        <f t="shared" si="6"/>
        <v>-0.03</v>
      </c>
      <c r="I156" s="3" t="s">
        <v>583</v>
      </c>
      <c r="J156" s="3" t="s">
        <v>689</v>
      </c>
      <c r="K156" s="4">
        <v>-73.430000000000007</v>
      </c>
      <c r="L156" s="4">
        <v>0</v>
      </c>
      <c r="M156" s="4">
        <v>0.03</v>
      </c>
      <c r="N156" s="4">
        <v>-73.459999999999994</v>
      </c>
      <c r="O156" s="4">
        <f>Tab_07.Jul[[#This Row],[DÉBITO]]-Tab_07.Jul[[#This Row],[CRÉDITO]]</f>
        <v>-0.03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SUMIFS(Tab_06.Jun[SALDO
ATUAL],Tab_06.Jun[CONTA],$I157)</f>
        <v>-73.459999999999994</v>
      </c>
      <c r="G157" s="4">
        <f t="shared" si="6"/>
        <v>-0.03</v>
      </c>
      <c r="I157" s="3" t="s">
        <v>584</v>
      </c>
      <c r="J157" s="3" t="s">
        <v>689</v>
      </c>
      <c r="K157" s="4">
        <v>-73.430000000000007</v>
      </c>
      <c r="L157" s="4">
        <v>0</v>
      </c>
      <c r="M157" s="4">
        <v>0.03</v>
      </c>
      <c r="N157" s="4">
        <v>-73.459999999999994</v>
      </c>
      <c r="O157" s="4">
        <f>Tab_07.Jul[[#This Row],[DÉBITO]]-Tab_07.Jul[[#This Row],[CRÉDITO]]</f>
        <v>-0.03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A</v>
      </c>
      <c r="E158" s="2">
        <f>IF($I158="","",COUNTIFS(Tab_00.Trial[CONTA],$I158))</f>
        <v>1</v>
      </c>
      <c r="F158" s="4">
        <f>SUMIFS(Tab_06.Jun[SALDO
ATUAL],Tab_06.Jun[CONTA],$I158)</f>
        <v>-73.459999999999994</v>
      </c>
      <c r="G158" s="4">
        <f t="shared" si="6"/>
        <v>-0.03</v>
      </c>
      <c r="I158" s="3" t="s">
        <v>391</v>
      </c>
      <c r="J158" s="3" t="s">
        <v>392</v>
      </c>
      <c r="K158" s="4">
        <v>-73.430000000000007</v>
      </c>
      <c r="L158" s="4">
        <v>0</v>
      </c>
      <c r="M158" s="4">
        <v>0.03</v>
      </c>
      <c r="N158" s="4">
        <v>-73.459999999999994</v>
      </c>
      <c r="O158" s="4">
        <f>Tab_07.Jul[[#This Row],[DÉBITO]]-Tab_07.Jul[[#This Row],[CRÉDITO]]</f>
        <v>-0.03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SUMIFS(Tab_06.Jun[SALDO
ATUAL],Tab_06.Jun[CONTA],$I159)</f>
        <v>-1668420.38</v>
      </c>
      <c r="G159" s="4">
        <f t="shared" si="6"/>
        <v>-435543.91</v>
      </c>
      <c r="I159" s="3" t="s">
        <v>585</v>
      </c>
      <c r="J159" s="3" t="s">
        <v>690</v>
      </c>
      <c r="K159" s="4">
        <v>-1232876.47</v>
      </c>
      <c r="L159" s="4">
        <v>0</v>
      </c>
      <c r="M159" s="4">
        <v>435543.91</v>
      </c>
      <c r="N159" s="4">
        <v>-1668420.38</v>
      </c>
      <c r="O159" s="4">
        <f>Tab_07.Jul[[#This Row],[DÉBITO]]-Tab_07.Jul[[#This Row],[CRÉDITO]]</f>
        <v>-435543.91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SUMIFS(Tab_06.Jun[SALDO
ATUAL],Tab_06.Jun[CONTA],$I160)</f>
        <v>-1668420.38</v>
      </c>
      <c r="G160" s="4">
        <f t="shared" si="6"/>
        <v>-435543.91</v>
      </c>
      <c r="I160" s="3" t="s">
        <v>586</v>
      </c>
      <c r="J160" s="3" t="s">
        <v>394</v>
      </c>
      <c r="K160" s="4">
        <v>-1232876.47</v>
      </c>
      <c r="L160" s="4">
        <v>0</v>
      </c>
      <c r="M160" s="4">
        <v>435543.91</v>
      </c>
      <c r="N160" s="4">
        <v>-1668420.38</v>
      </c>
      <c r="O160" s="4">
        <f>Tab_07.Jul[[#This Row],[DÉBITO]]-Tab_07.Jul[[#This Row],[CRÉDITO]]</f>
        <v>-435543.91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SUMIFS(Tab_06.Jun[SALDO
ATUAL],Tab_06.Jun[CONTA],$I161)</f>
        <v>-1668420.38</v>
      </c>
      <c r="G161" s="4">
        <f t="shared" si="6"/>
        <v>-435543.91</v>
      </c>
      <c r="I161" s="3" t="s">
        <v>393</v>
      </c>
      <c r="J161" s="3" t="s">
        <v>394</v>
      </c>
      <c r="K161" s="4">
        <v>-1232876.47</v>
      </c>
      <c r="L161" s="4">
        <v>0</v>
      </c>
      <c r="M161" s="4">
        <v>435543.91</v>
      </c>
      <c r="N161" s="4">
        <v>-1668420.38</v>
      </c>
      <c r="O161" s="4">
        <f>Tab_07.Jul[[#This Row],[DÉBITO]]-Tab_07.Jul[[#This Row],[CRÉDITO]]</f>
        <v>-435543.91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2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SUMIFS(Tab_06.Jun[SALDO
ATUAL],Tab_06.Jun[CONTA],$I162)</f>
        <v>-7450</v>
      </c>
      <c r="G162" s="4">
        <f t="shared" si="6"/>
        <v>-1250</v>
      </c>
      <c r="I162" s="3" t="s">
        <v>587</v>
      </c>
      <c r="J162" s="3" t="s">
        <v>691</v>
      </c>
      <c r="K162" s="4">
        <v>-6200</v>
      </c>
      <c r="L162" s="4">
        <v>0</v>
      </c>
      <c r="M162" s="4">
        <v>1250</v>
      </c>
      <c r="N162" s="4">
        <v>-7450</v>
      </c>
      <c r="O162" s="4">
        <f>Tab_07.Jul[[#This Row],[DÉBITO]]-Tab_07.Jul[[#This Row],[CRÉDITO]]</f>
        <v>-1250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SUMIFS(Tab_06.Jun[SALDO
ATUAL],Tab_06.Jun[CONTA],$I163)</f>
        <v>-7450</v>
      </c>
      <c r="G163" s="4">
        <f t="shared" si="6"/>
        <v>-1250</v>
      </c>
      <c r="I163" s="3" t="s">
        <v>588</v>
      </c>
      <c r="J163" s="3" t="s">
        <v>692</v>
      </c>
      <c r="K163" s="4">
        <v>-6200</v>
      </c>
      <c r="L163" s="4">
        <v>0</v>
      </c>
      <c r="M163" s="4">
        <v>1250</v>
      </c>
      <c r="N163" s="4">
        <v>-7450</v>
      </c>
      <c r="O163" s="4">
        <f>Tab_07.Jul[[#This Row],[DÉBITO]]-Tab_07.Jul[[#This Row],[CRÉDITO]]</f>
        <v>-1250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SUMIFS(Tab_06.Jun[SALDO
ATUAL],Tab_06.Jun[CONTA],$I164)</f>
        <v>-7450</v>
      </c>
      <c r="G164" s="4">
        <f t="shared" si="6"/>
        <v>-1250</v>
      </c>
      <c r="I164" s="3" t="s">
        <v>589</v>
      </c>
      <c r="J164" s="3" t="s">
        <v>692</v>
      </c>
      <c r="K164" s="4">
        <v>-6200</v>
      </c>
      <c r="L164" s="4">
        <v>0</v>
      </c>
      <c r="M164" s="4">
        <v>1250</v>
      </c>
      <c r="N164" s="4">
        <v>-7450</v>
      </c>
      <c r="O164" s="4">
        <f>Tab_07.Jul[[#This Row],[DÉBITO]]-Tab_07.Jul[[#This Row],[CRÉDITO]]</f>
        <v>-1250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5</v>
      </c>
      <c r="D165" s="2" t="str">
        <f>_xlfn.XLOOKUP($I165,Tab_00.Trial[CONTA],Tab_00.Trial[S/A],"",0,1)</f>
        <v>A</v>
      </c>
      <c r="E165" s="2">
        <f>IF($I165="","",COUNTIFS(Tab_00.Trial[CONTA],$I165))</f>
        <v>1</v>
      </c>
      <c r="F165" s="4">
        <f>SUMIFS(Tab_06.Jun[SALDO
ATUAL],Tab_06.Jun[CONTA],$I165)</f>
        <v>-7450</v>
      </c>
      <c r="G165" s="4">
        <f t="shared" si="6"/>
        <v>-1250</v>
      </c>
      <c r="I165" s="3" t="s">
        <v>395</v>
      </c>
      <c r="J165" s="3" t="s">
        <v>396</v>
      </c>
      <c r="K165" s="4">
        <v>-6200</v>
      </c>
      <c r="L165" s="4">
        <v>0</v>
      </c>
      <c r="M165" s="4">
        <v>1250</v>
      </c>
      <c r="N165" s="4">
        <v>-7450</v>
      </c>
      <c r="O165" s="4">
        <f>Tab_07.Jul[[#This Row],[DÉBITO]]-Tab_07.Jul[[#This Row],[CRÉDITO]]</f>
        <v>-1250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1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SUMIFS(Tab_06.Jun[SALDO
ATUAL],Tab_06.Jun[CONTA],$I166)</f>
        <v>5754644.9500000002</v>
      </c>
      <c r="G166" s="4">
        <f t="shared" si="6"/>
        <v>827933.55</v>
      </c>
      <c r="I166" s="3">
        <v>4</v>
      </c>
      <c r="J166" s="3" t="s">
        <v>693</v>
      </c>
      <c r="K166" s="4">
        <v>4926711.4000000004</v>
      </c>
      <c r="L166" s="4">
        <v>842911.56</v>
      </c>
      <c r="M166" s="4">
        <v>14978.01</v>
      </c>
      <c r="N166" s="4">
        <v>5754644.9500000002</v>
      </c>
      <c r="O166" s="4">
        <f>Tab_07.Jul[[#This Row],[DÉBITO]]-Tab_07.Jul[[#This Row],[CRÉDITO]]</f>
        <v>827933.55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2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SUMIFS(Tab_06.Jun[SALDO
ATUAL],Tab_06.Jun[CONTA],$I167)</f>
        <v>5754644.9500000002</v>
      </c>
      <c r="G167" s="4">
        <f t="shared" si="6"/>
        <v>827933.55</v>
      </c>
      <c r="I167" s="3" t="s">
        <v>234</v>
      </c>
      <c r="J167" s="3" t="s">
        <v>823</v>
      </c>
      <c r="K167" s="4">
        <v>4926711.4000000004</v>
      </c>
      <c r="L167" s="4">
        <v>842911.56</v>
      </c>
      <c r="M167" s="4">
        <v>14978.01</v>
      </c>
      <c r="N167" s="4">
        <v>5754644.9500000002</v>
      </c>
      <c r="O167" s="4">
        <f>Tab_07.Jul[[#This Row],[DÉBITO]]-Tab_07.Jul[[#This Row],[CRÉDITO]]</f>
        <v>827933.55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SUMIFS(Tab_06.Jun[SALDO
ATUAL],Tab_06.Jun[CONTA],$I168)</f>
        <v>1065211.75</v>
      </c>
      <c r="G168" s="4">
        <f t="shared" si="6"/>
        <v>125936.96000000001</v>
      </c>
      <c r="I168" s="3" t="s">
        <v>235</v>
      </c>
      <c r="J168" s="3" t="s">
        <v>824</v>
      </c>
      <c r="K168" s="4">
        <v>939274.79</v>
      </c>
      <c r="L168" s="4">
        <v>140914.97</v>
      </c>
      <c r="M168" s="4">
        <v>14978.01</v>
      </c>
      <c r="N168" s="4">
        <v>1065211.75</v>
      </c>
      <c r="O168" s="4">
        <f>Tab_07.Jul[[#This Row],[DÉBITO]]-Tab_07.Jul[[#This Row],[CRÉDITO]]</f>
        <v>125936.96000000001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SUMIFS(Tab_06.Jun[SALDO
ATUAL],Tab_06.Jun[CONTA],$I169)</f>
        <v>477244.49</v>
      </c>
      <c r="G169" s="4">
        <f t="shared" si="6"/>
        <v>54793.49</v>
      </c>
      <c r="I169" s="3" t="s">
        <v>236</v>
      </c>
      <c r="J169" s="3" t="s">
        <v>696</v>
      </c>
      <c r="K169" s="4">
        <v>422451</v>
      </c>
      <c r="L169" s="4">
        <v>65941.08</v>
      </c>
      <c r="M169" s="4">
        <v>11147.59</v>
      </c>
      <c r="N169" s="4">
        <v>477244.49</v>
      </c>
      <c r="O169" s="4">
        <f>Tab_07.Jul[[#This Row],[DÉBITO]]-Tab_07.Jul[[#This Row],[CRÉDITO]]</f>
        <v>54793.49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SUMIFS(Tab_06.Jun[SALDO
ATUAL],Tab_06.Jun[CONTA],$I170)</f>
        <v>326968.65999999997</v>
      </c>
      <c r="G170" s="4">
        <f t="shared" si="6"/>
        <v>37076.21</v>
      </c>
      <c r="I170" s="3" t="s">
        <v>195</v>
      </c>
      <c r="J170" s="3" t="s">
        <v>427</v>
      </c>
      <c r="K170" s="4">
        <v>289892.45</v>
      </c>
      <c r="L170" s="4">
        <v>48223.8</v>
      </c>
      <c r="M170" s="4">
        <v>11147.59</v>
      </c>
      <c r="N170" s="4">
        <v>326968.65999999997</v>
      </c>
      <c r="O170" s="4">
        <f>Tab_07.Jul[[#This Row],[DÉBITO]]-Tab_07.Jul[[#This Row],[CRÉDITO]]</f>
        <v>37076.21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SUMIFS(Tab_06.Jun[SALDO
ATUAL],Tab_06.Jun[CONTA],$I171)</f>
        <v>53472.45</v>
      </c>
      <c r="G171" s="4">
        <f t="shared" si="6"/>
        <v>6726.67</v>
      </c>
      <c r="I171" s="3" t="s">
        <v>430</v>
      </c>
      <c r="J171" s="3" t="s">
        <v>431</v>
      </c>
      <c r="K171" s="4">
        <v>46745.78</v>
      </c>
      <c r="L171" s="4">
        <v>6726.67</v>
      </c>
      <c r="M171" s="4">
        <v>0</v>
      </c>
      <c r="N171" s="4">
        <v>53472.45</v>
      </c>
      <c r="O171" s="4">
        <f>Tab_07.Jul[[#This Row],[DÉBITO]]-Tab_07.Jul[[#This Row],[CRÉDITO]]</f>
        <v>6726.67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SUMIFS(Tab_06.Jun[SALDO
ATUAL],Tab_06.Jun[CONTA],$I172)</f>
        <v>36600.269999999997</v>
      </c>
      <c r="G172" s="4">
        <f t="shared" si="6"/>
        <v>6330.11</v>
      </c>
      <c r="I172" s="3" t="s">
        <v>432</v>
      </c>
      <c r="J172" s="3" t="s">
        <v>433</v>
      </c>
      <c r="K172" s="4">
        <v>30270.16</v>
      </c>
      <c r="L172" s="4">
        <v>6330.11</v>
      </c>
      <c r="M172" s="4">
        <v>0</v>
      </c>
      <c r="N172" s="4">
        <v>36600.269999999997</v>
      </c>
      <c r="O172" s="4">
        <f>Tab_07.Jul[[#This Row],[DÉBITO]]-Tab_07.Jul[[#This Row],[CRÉDITO]]</f>
        <v>6330.11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SUMIFS(Tab_06.Jun[SALDO
ATUAL],Tab_06.Jun[CONTA],$I173)</f>
        <v>43660.94</v>
      </c>
      <c r="G173" s="4">
        <f t="shared" si="6"/>
        <v>1802.73</v>
      </c>
      <c r="I173" s="3" t="s">
        <v>796</v>
      </c>
      <c r="J173" s="3" t="s">
        <v>797</v>
      </c>
      <c r="K173" s="4">
        <v>41858.21</v>
      </c>
      <c r="L173" s="4">
        <v>1802.73</v>
      </c>
      <c r="M173" s="4">
        <v>0</v>
      </c>
      <c r="N173" s="4">
        <v>43660.94</v>
      </c>
      <c r="O173" s="4">
        <f>Tab_07.Jul[[#This Row],[DÉBITO]]-Tab_07.Jul[[#This Row],[CRÉDITO]]</f>
        <v>1802.73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SUMIFS(Tab_06.Jun[SALDO
ATUAL],Tab_06.Jun[CONTA],$I174)</f>
        <v>3055.4</v>
      </c>
      <c r="G174" s="4">
        <f t="shared" si="6"/>
        <v>538.13</v>
      </c>
      <c r="I174" s="3" t="s">
        <v>798</v>
      </c>
      <c r="J174" s="3" t="s">
        <v>799</v>
      </c>
      <c r="K174" s="4">
        <v>2517.27</v>
      </c>
      <c r="L174" s="4">
        <v>538.13</v>
      </c>
      <c r="M174" s="4">
        <v>0</v>
      </c>
      <c r="N174" s="4">
        <v>3055.4</v>
      </c>
      <c r="O174" s="4">
        <f>Tab_07.Jul[[#This Row],[DÉBITO]]-Tab_07.Jul[[#This Row],[CRÉDITO]]</f>
        <v>538.13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SUMIFS(Tab_06.Jun[SALDO
ATUAL],Tab_06.Jun[CONTA],$I175)</f>
        <v>397.77</v>
      </c>
      <c r="G175" s="4">
        <f t="shared" si="6"/>
        <v>67.28</v>
      </c>
      <c r="I175" s="3" t="s">
        <v>800</v>
      </c>
      <c r="J175" s="3" t="s">
        <v>801</v>
      </c>
      <c r="K175" s="4">
        <v>330.49</v>
      </c>
      <c r="L175" s="4">
        <v>67.28</v>
      </c>
      <c r="M175" s="4">
        <v>0</v>
      </c>
      <c r="N175" s="4">
        <v>397.77</v>
      </c>
      <c r="O175" s="4">
        <f>Tab_07.Jul[[#This Row],[DÉBITO]]-Tab_07.Jul[[#This Row],[CRÉDITO]]</f>
        <v>67.28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SUMIFS(Tab_06.Jun[SALDO
ATUAL],Tab_06.Jun[CONTA],$I176)</f>
        <v>9807.86</v>
      </c>
      <c r="G176" s="4">
        <f t="shared" si="6"/>
        <v>1695.5</v>
      </c>
      <c r="I176" s="3" t="s">
        <v>802</v>
      </c>
      <c r="J176" s="3" t="s">
        <v>803</v>
      </c>
      <c r="K176" s="4">
        <v>8112.36</v>
      </c>
      <c r="L176" s="4">
        <v>1695.5</v>
      </c>
      <c r="M176" s="4">
        <v>0</v>
      </c>
      <c r="N176" s="4">
        <v>9807.86</v>
      </c>
      <c r="O176" s="4">
        <f>Tab_07.Jul[[#This Row],[DÉBITO]]-Tab_07.Jul[[#This Row],[CRÉDITO]]</f>
        <v>1695.5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SUMIFS(Tab_06.Jun[SALDO
ATUAL],Tab_06.Jun[CONTA],$I177)</f>
        <v>2928</v>
      </c>
      <c r="G177" s="4">
        <f t="shared" si="6"/>
        <v>506.41</v>
      </c>
      <c r="I177" s="3" t="s">
        <v>804</v>
      </c>
      <c r="J177" s="3" t="s">
        <v>805</v>
      </c>
      <c r="K177" s="4">
        <v>2421.59</v>
      </c>
      <c r="L177" s="4">
        <v>506.41</v>
      </c>
      <c r="M177" s="4">
        <v>0</v>
      </c>
      <c r="N177" s="4">
        <v>2928</v>
      </c>
      <c r="O177" s="4">
        <f>Tab_07.Jul[[#This Row],[DÉBITO]]-Tab_07.Jul[[#This Row],[CRÉDITO]]</f>
        <v>506.41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SUMIFS(Tab_06.Jun[SALDO
ATUAL],Tab_06.Jun[CONTA],$I178)</f>
        <v>353.14</v>
      </c>
      <c r="G178" s="4">
        <f t="shared" ref="G178:G198" si="7">$F178-$K178</f>
        <v>50.45</v>
      </c>
      <c r="I178" s="3" t="s">
        <v>806</v>
      </c>
      <c r="J178" s="3" t="s">
        <v>807</v>
      </c>
      <c r="K178" s="4">
        <v>302.69</v>
      </c>
      <c r="L178" s="4">
        <v>50.45</v>
      </c>
      <c r="M178" s="4">
        <v>0</v>
      </c>
      <c r="N178" s="4">
        <v>353.14</v>
      </c>
      <c r="O178" s="4">
        <f>Tab_07.Jul[[#This Row],[DÉBITO]]-Tab_07.Jul[[#This Row],[CRÉDITO]]</f>
        <v>50.45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S</v>
      </c>
      <c r="E179" s="2">
        <f>IF($I179="","",COUNTIFS(Tab_00.Trial[CONTA],$I179))</f>
        <v>1</v>
      </c>
      <c r="F179" s="4">
        <f>SUMIFS(Tab_06.Jun[SALDO
ATUAL],Tab_06.Jun[CONTA],$I179)</f>
        <v>178894.39</v>
      </c>
      <c r="G179" s="4">
        <f t="shared" si="7"/>
        <v>23277.599999999999</v>
      </c>
      <c r="I179" s="3" t="s">
        <v>590</v>
      </c>
      <c r="J179" s="3" t="s">
        <v>697</v>
      </c>
      <c r="K179" s="4">
        <v>155616.79</v>
      </c>
      <c r="L179" s="4">
        <v>26643.32</v>
      </c>
      <c r="M179" s="4">
        <v>3365.72</v>
      </c>
      <c r="N179" s="4">
        <v>178894.39</v>
      </c>
      <c r="O179" s="4">
        <f>Tab_07.Jul[[#This Row],[DÉBITO]]-Tab_07.Jul[[#This Row],[CRÉDITO]]</f>
        <v>23277.599999999999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SUMIFS(Tab_06.Jun[SALDO
ATUAL],Tab_06.Jun[CONTA],$I180)</f>
        <v>174412.34</v>
      </c>
      <c r="G180" s="4">
        <f t="shared" si="7"/>
        <v>23562.880000000001</v>
      </c>
      <c r="I180" s="3" t="s">
        <v>434</v>
      </c>
      <c r="J180" s="3" t="s">
        <v>435</v>
      </c>
      <c r="K180" s="4">
        <v>150849.46</v>
      </c>
      <c r="L180" s="4">
        <v>25050.02</v>
      </c>
      <c r="M180" s="4">
        <v>1487.14</v>
      </c>
      <c r="N180" s="4">
        <v>174412.34</v>
      </c>
      <c r="O180" s="4">
        <f>Tab_07.Jul[[#This Row],[DÉBITO]]-Tab_07.Jul[[#This Row],[CRÉDITO]]</f>
        <v>23562.880000000001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SUMIFS(Tab_06.Jun[SALDO
ATUAL],Tab_06.Jun[CONTA],$I181)</f>
        <v>4482.05</v>
      </c>
      <c r="G181" s="4">
        <f t="shared" si="7"/>
        <v>-285.27999999999997</v>
      </c>
      <c r="I181" s="3" t="s">
        <v>750</v>
      </c>
      <c r="J181" s="3" t="s">
        <v>751</v>
      </c>
      <c r="K181" s="4">
        <v>4767.33</v>
      </c>
      <c r="L181" s="4">
        <v>1593.3</v>
      </c>
      <c r="M181" s="4">
        <v>1878.58</v>
      </c>
      <c r="N181" s="4">
        <v>4482.05</v>
      </c>
      <c r="O181" s="4">
        <f>Tab_07.Jul[[#This Row],[DÉBITO]]-Tab_07.Jul[[#This Row],[CRÉDITO]]</f>
        <v>-285.27999999999997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SUMIFS(Tab_06.Jun[SALDO
ATUAL],Tab_06.Jun[CONTA],$I182)</f>
        <v>143762.09</v>
      </c>
      <c r="G182" s="4">
        <f t="shared" si="7"/>
        <v>13151.63</v>
      </c>
      <c r="I182" s="3" t="s">
        <v>591</v>
      </c>
      <c r="J182" s="3" t="s">
        <v>698</v>
      </c>
      <c r="K182" s="4">
        <v>130610.46</v>
      </c>
      <c r="L182" s="4">
        <v>13616.33</v>
      </c>
      <c r="M182" s="4">
        <v>464.7</v>
      </c>
      <c r="N182" s="4">
        <v>143762.09</v>
      </c>
      <c r="O182" s="4">
        <f>Tab_07.Jul[[#This Row],[DÉBITO]]-Tab_07.Jul[[#This Row],[CRÉDITO]]</f>
        <v>13151.63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SUMIFS(Tab_06.Jun[SALDO
ATUAL],Tab_06.Jun[CONTA],$I183)</f>
        <v>114927.93</v>
      </c>
      <c r="G183" s="4">
        <f t="shared" si="7"/>
        <v>9936.44</v>
      </c>
      <c r="I183" s="3" t="s">
        <v>436</v>
      </c>
      <c r="J183" s="3" t="s">
        <v>437</v>
      </c>
      <c r="K183" s="4">
        <v>104991.49</v>
      </c>
      <c r="L183" s="4">
        <v>9936.44</v>
      </c>
      <c r="M183" s="4">
        <v>0</v>
      </c>
      <c r="N183" s="4">
        <v>114927.93</v>
      </c>
      <c r="O183" s="4">
        <f>Tab_07.Jul[[#This Row],[DÉBITO]]-Tab_07.Jul[[#This Row],[CRÉDITO]]</f>
        <v>9936.44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SUMIFS(Tab_06.Jun[SALDO
ATUAL],Tab_06.Jun[CONTA],$I184)</f>
        <v>24854.71</v>
      </c>
      <c r="G184" s="4">
        <f t="shared" si="7"/>
        <v>2844.42</v>
      </c>
      <c r="I184" s="3" t="s">
        <v>438</v>
      </c>
      <c r="J184" s="3" t="s">
        <v>196</v>
      </c>
      <c r="K184" s="4">
        <v>22010.29</v>
      </c>
      <c r="L184" s="4">
        <v>3309.12</v>
      </c>
      <c r="M184" s="4">
        <v>464.7</v>
      </c>
      <c r="N184" s="4">
        <v>24854.71</v>
      </c>
      <c r="O184" s="4">
        <f>Tab_07.Jul[[#This Row],[DÉBITO]]-Tab_07.Jul[[#This Row],[CRÉDITO]]</f>
        <v>2844.42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SUMIFS(Tab_06.Jun[SALDO
ATUAL],Tab_06.Jun[CONTA],$I185)</f>
        <v>3979.45</v>
      </c>
      <c r="G185" s="4">
        <f t="shared" si="7"/>
        <v>370.77</v>
      </c>
      <c r="I185" s="3" t="s">
        <v>439</v>
      </c>
      <c r="J185" s="3" t="s">
        <v>440</v>
      </c>
      <c r="K185" s="4">
        <v>3608.68</v>
      </c>
      <c r="L185" s="4">
        <v>370.77</v>
      </c>
      <c r="M185" s="4">
        <v>0</v>
      </c>
      <c r="N185" s="4">
        <v>3979.45</v>
      </c>
      <c r="O185" s="4">
        <f>Tab_07.Jul[[#This Row],[DÉBITO]]-Tab_07.Jul[[#This Row],[CRÉDITO]]</f>
        <v>370.77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S</v>
      </c>
      <c r="E186" s="2">
        <f>IF($I186="","",COUNTIFS(Tab_00.Trial[CONTA],$I186))</f>
        <v>1</v>
      </c>
      <c r="F186" s="4">
        <f>SUMIFS(Tab_06.Jun[SALDO
ATUAL],Tab_06.Jun[CONTA],$I186)</f>
        <v>9743.5</v>
      </c>
      <c r="G186" s="4">
        <f t="shared" si="7"/>
        <v>1711.6</v>
      </c>
      <c r="I186" s="3" t="s">
        <v>592</v>
      </c>
      <c r="J186" s="3" t="s">
        <v>699</v>
      </c>
      <c r="K186" s="4">
        <v>8031.9</v>
      </c>
      <c r="L186" s="4">
        <v>1711.6</v>
      </c>
      <c r="M186" s="4">
        <v>0</v>
      </c>
      <c r="N186" s="4">
        <v>9743.5</v>
      </c>
      <c r="O186" s="4">
        <f>Tab_07.Jul[[#This Row],[DÉBITO]]-Tab_07.Jul[[#This Row],[CRÉDITO]]</f>
        <v>1711.6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SUMIFS(Tab_06.Jun[SALDO
ATUAL],Tab_06.Jun[CONTA],$I187)</f>
        <v>9743.5</v>
      </c>
      <c r="G187" s="4">
        <f t="shared" si="7"/>
        <v>1711.6</v>
      </c>
      <c r="I187" s="3" t="s">
        <v>397</v>
      </c>
      <c r="J187" s="3" t="s">
        <v>398</v>
      </c>
      <c r="K187" s="4">
        <v>8031.9</v>
      </c>
      <c r="L187" s="4">
        <v>1711.6</v>
      </c>
      <c r="M187" s="4">
        <v>0</v>
      </c>
      <c r="N187" s="4">
        <v>9743.5</v>
      </c>
      <c r="O187" s="4">
        <f>Tab_07.Jul[[#This Row],[DÉBITO]]-Tab_07.Jul[[#This Row],[CRÉDITO]]</f>
        <v>1711.6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SUMIFS(Tab_06.Jun[SALDO
ATUAL],Tab_06.Jun[CONTA],$I188)</f>
        <v>245698.97</v>
      </c>
      <c r="G188" s="4">
        <f t="shared" si="7"/>
        <v>31975.96</v>
      </c>
      <c r="I188" s="3" t="s">
        <v>593</v>
      </c>
      <c r="J188" s="3" t="s">
        <v>711</v>
      </c>
      <c r="K188" s="4">
        <v>213723.01</v>
      </c>
      <c r="L188" s="4">
        <v>31975.96</v>
      </c>
      <c r="M188" s="4">
        <v>0</v>
      </c>
      <c r="N188" s="4">
        <v>245698.97</v>
      </c>
      <c r="O188" s="4">
        <f>Tab_07.Jul[[#This Row],[DÉBITO]]-Tab_07.Jul[[#This Row],[CRÉDITO]]</f>
        <v>31975.96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SUMIFS(Tab_06.Jun[SALDO
ATUAL],Tab_06.Jun[CONTA],$I189)</f>
        <v>28951.72</v>
      </c>
      <c r="G189" s="4">
        <f t="shared" si="7"/>
        <v>4135.96</v>
      </c>
      <c r="I189" s="3" t="s">
        <v>403</v>
      </c>
      <c r="J189" s="3" t="s">
        <v>404</v>
      </c>
      <c r="K189" s="4">
        <v>24815.759999999998</v>
      </c>
      <c r="L189" s="4">
        <v>4135.96</v>
      </c>
      <c r="M189" s="4">
        <v>0</v>
      </c>
      <c r="N189" s="4">
        <v>28951.72</v>
      </c>
      <c r="O189" s="4">
        <f>Tab_07.Jul[[#This Row],[DÉBITO]]-Tab_07.Jul[[#This Row],[CRÉDITO]]</f>
        <v>4135.96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SUMIFS(Tab_06.Jun[SALDO
ATUAL],Tab_06.Jun[CONTA],$I190)</f>
        <v>196382</v>
      </c>
      <c r="G190" s="4">
        <f t="shared" si="7"/>
        <v>27840</v>
      </c>
      <c r="I190" s="3" t="s">
        <v>405</v>
      </c>
      <c r="J190" s="3" t="s">
        <v>406</v>
      </c>
      <c r="K190" s="4">
        <v>168542</v>
      </c>
      <c r="L190" s="4">
        <v>27840</v>
      </c>
      <c r="M190" s="4">
        <v>0</v>
      </c>
      <c r="N190" s="4">
        <v>196382</v>
      </c>
      <c r="O190" s="4">
        <f>Tab_07.Jul[[#This Row],[DÉBITO]]-Tab_07.Jul[[#This Row],[CRÉDITO]]</f>
        <v>27840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SUMIFS(Tab_06.Jun[SALDO
ATUAL],Tab_06.Jun[CONTA],$I191)</f>
        <v>20365.25</v>
      </c>
      <c r="G191" s="4">
        <f t="shared" si="7"/>
        <v>0</v>
      </c>
      <c r="I191" s="3" t="s">
        <v>407</v>
      </c>
      <c r="J191" s="3" t="s">
        <v>408</v>
      </c>
      <c r="K191" s="4">
        <v>20365.25</v>
      </c>
      <c r="L191" s="4">
        <v>0</v>
      </c>
      <c r="M191" s="4">
        <v>0</v>
      </c>
      <c r="N191" s="4">
        <v>20365.25</v>
      </c>
      <c r="O191" s="4">
        <f>Tab_07.Jul[[#This Row],[DÉBITO]]-Tab_07.Jul[[#This Row],[CRÉDITO]]</f>
        <v>0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SUMIFS(Tab_06.Jun[SALDO
ATUAL],Tab_06.Jun[CONTA],$I192)</f>
        <v>5738.17</v>
      </c>
      <c r="G192" s="4">
        <f t="shared" si="7"/>
        <v>599.41999999999996</v>
      </c>
      <c r="I192" s="3" t="s">
        <v>594</v>
      </c>
      <c r="J192" s="3" t="s">
        <v>825</v>
      </c>
      <c r="K192" s="4">
        <v>5138.75</v>
      </c>
      <c r="L192" s="4">
        <v>599.41999999999996</v>
      </c>
      <c r="M192" s="4">
        <v>0</v>
      </c>
      <c r="N192" s="4">
        <v>5738.17</v>
      </c>
      <c r="O192" s="4">
        <f>Tab_07.Jul[[#This Row],[DÉBITO]]-Tab_07.Jul[[#This Row],[CRÉDITO]]</f>
        <v>599.41999999999996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SUMIFS(Tab_06.Jun[SALDO
ATUAL],Tab_06.Jun[CONTA],$I193)</f>
        <v>300</v>
      </c>
      <c r="G193" s="4">
        <f t="shared" si="7"/>
        <v>0</v>
      </c>
      <c r="I193" s="3" t="s">
        <v>411</v>
      </c>
      <c r="J193" s="3" t="s">
        <v>412</v>
      </c>
      <c r="K193" s="4">
        <v>300</v>
      </c>
      <c r="L193" s="4">
        <v>0</v>
      </c>
      <c r="M193" s="4">
        <v>0</v>
      </c>
      <c r="N193" s="4">
        <v>300</v>
      </c>
      <c r="O193" s="4">
        <f>Tab_07.Jul[[#This Row],[DÉBITO]]-Tab_07.Jul[[#This Row],[CRÉDITO]]</f>
        <v>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SUMIFS(Tab_06.Jun[SALDO
ATUAL],Tab_06.Jun[CONTA],$I194)</f>
        <v>5438.17</v>
      </c>
      <c r="G194" s="4">
        <f t="shared" si="7"/>
        <v>599.41999999999996</v>
      </c>
      <c r="I194" s="3" t="s">
        <v>413</v>
      </c>
      <c r="J194" s="3" t="s">
        <v>414</v>
      </c>
      <c r="K194" s="4">
        <v>4838.75</v>
      </c>
      <c r="L194" s="4">
        <v>599.41999999999996</v>
      </c>
      <c r="M194" s="4">
        <v>0</v>
      </c>
      <c r="N194" s="4">
        <v>5438.17</v>
      </c>
      <c r="O194" s="4">
        <f>Tab_07.Jul[[#This Row],[DÉBITO]]-Tab_07.Jul[[#This Row],[CRÉDITO]]</f>
        <v>599.41999999999996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SUMIFS(Tab_06.Jun[SALDO
ATUAL],Tab_06.Jun[CONTA],$I195)</f>
        <v>4130.1400000000003</v>
      </c>
      <c r="G195" s="4">
        <f t="shared" si="7"/>
        <v>427.26</v>
      </c>
      <c r="I195" s="3" t="s">
        <v>595</v>
      </c>
      <c r="J195" s="3" t="s">
        <v>420</v>
      </c>
      <c r="K195" s="4">
        <v>3702.88</v>
      </c>
      <c r="L195" s="4">
        <v>427.26</v>
      </c>
      <c r="M195" s="4">
        <v>0</v>
      </c>
      <c r="N195" s="4">
        <v>4130.1400000000003</v>
      </c>
      <c r="O195" s="4">
        <f>Tab_07.Jul[[#This Row],[DÉBITO]]-Tab_07.Jul[[#This Row],[CRÉDITO]]</f>
        <v>427.26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SUMIFS(Tab_06.Jun[SALDO
ATUAL],Tab_06.Jun[CONTA],$I196)</f>
        <v>4130.1400000000003</v>
      </c>
      <c r="G196" s="4">
        <f t="shared" si="7"/>
        <v>427.26</v>
      </c>
      <c r="I196" s="3" t="s">
        <v>419</v>
      </c>
      <c r="J196" s="3" t="s">
        <v>420</v>
      </c>
      <c r="K196" s="4">
        <v>3702.88</v>
      </c>
      <c r="L196" s="4">
        <v>427.26</v>
      </c>
      <c r="M196" s="4">
        <v>0</v>
      </c>
      <c r="N196" s="4">
        <v>4130.1400000000003</v>
      </c>
      <c r="O196" s="4">
        <f>Tab_07.Jul[[#This Row],[DÉBITO]]-Tab_07.Jul[[#This Row],[CRÉDITO]]</f>
        <v>427.26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SUMIFS(Tab_06.Jun[SALDO
ATUAL],Tab_06.Jun[CONTA],$I197)</f>
        <v>4689433.2</v>
      </c>
      <c r="G197" s="4">
        <f t="shared" si="7"/>
        <v>701996.59</v>
      </c>
      <c r="I197" s="3" t="s">
        <v>237</v>
      </c>
      <c r="J197" s="3" t="s">
        <v>702</v>
      </c>
      <c r="K197" s="4">
        <v>3987436.61</v>
      </c>
      <c r="L197" s="4">
        <v>701996.59</v>
      </c>
      <c r="M197" s="4">
        <v>0</v>
      </c>
      <c r="N197" s="4">
        <v>4689433.2</v>
      </c>
      <c r="O197" s="4">
        <f>Tab_07.Jul[[#This Row],[DÉBITO]]-Tab_07.Jul[[#This Row],[CRÉDITO]]</f>
        <v>701996.59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SUMIFS(Tab_06.Jun[SALDO
ATUAL],Tab_06.Jun[CONTA],$I198)</f>
        <v>4689433.2</v>
      </c>
      <c r="G198" s="4">
        <f t="shared" si="7"/>
        <v>701996.59</v>
      </c>
      <c r="I198" s="3" t="s">
        <v>238</v>
      </c>
      <c r="J198" s="3" t="s">
        <v>826</v>
      </c>
      <c r="K198" s="4">
        <v>3987436.61</v>
      </c>
      <c r="L198" s="4">
        <v>701996.59</v>
      </c>
      <c r="M198" s="4">
        <v>0</v>
      </c>
      <c r="N198" s="4">
        <v>4689433.2</v>
      </c>
      <c r="O198" s="4">
        <f>Tab_07.Jul[[#This Row],[DÉBITO]]-Tab_07.Jul[[#This Row],[CRÉDITO]]</f>
        <v>701996.59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SUMIFS(Tab_06.Jun[SALDO
ATUAL],Tab_06.Jun[CONTA],$I199)</f>
        <v>1702436.3</v>
      </c>
      <c r="G199" s="4">
        <f t="shared" ref="G199:G200" si="8">$F199-$K199</f>
        <v>323149.34999999998</v>
      </c>
      <c r="I199" s="3" t="s">
        <v>421</v>
      </c>
      <c r="J199" s="3" t="s">
        <v>422</v>
      </c>
      <c r="K199" s="4">
        <v>1379286.95</v>
      </c>
      <c r="L199" s="4">
        <v>323149.34999999998</v>
      </c>
      <c r="M199" s="4">
        <v>0</v>
      </c>
      <c r="N199" s="4">
        <v>1702436.3</v>
      </c>
      <c r="O199" s="4">
        <f>Tab_07.Jul[[#This Row],[DÉBITO]]-Tab_07.Jul[[#This Row],[CRÉDITO]]</f>
        <v>323149.34999999998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SUMIFS(Tab_06.Jun[SALDO
ATUAL],Tab_06.Jun[CONTA],$I200)</f>
        <v>916108.28</v>
      </c>
      <c r="G200" s="4">
        <f t="shared" si="8"/>
        <v>133881.88</v>
      </c>
      <c r="I200" s="3" t="s">
        <v>738</v>
      </c>
      <c r="J200" s="3" t="s">
        <v>367</v>
      </c>
      <c r="K200" s="4">
        <v>782226.4</v>
      </c>
      <c r="L200" s="4">
        <v>133881.88</v>
      </c>
      <c r="M200" s="4">
        <v>0</v>
      </c>
      <c r="N200" s="4">
        <v>916108.28</v>
      </c>
      <c r="O200" s="4">
        <f>Tab_07.Jul[[#This Row],[DÉBITO]]-Tab_07.Jul[[#This Row],[CRÉDITO]]</f>
        <v>133881.88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SUMIFS(Tab_06.Jun[SALDO
ATUAL],Tab_06.Jun[CONTA],$I201)</f>
        <v>2070888.62</v>
      </c>
      <c r="G201" s="4">
        <f t="shared" ref="G201:G232" si="9">$F201-$K201</f>
        <v>244965.36</v>
      </c>
      <c r="I201" s="3" t="s">
        <v>423</v>
      </c>
      <c r="J201" s="3" t="s">
        <v>424</v>
      </c>
      <c r="K201" s="4">
        <v>1825923.26</v>
      </c>
      <c r="L201" s="4">
        <v>244965.36</v>
      </c>
      <c r="M201" s="4">
        <v>0</v>
      </c>
      <c r="N201" s="4">
        <v>2070888.62</v>
      </c>
      <c r="O201" s="4">
        <f>Tab_07.Jul[[#This Row],[DÉBITO]]-Tab_07.Jul[[#This Row],[CRÉDITO]]</f>
        <v>244965.36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1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SUMIFS(Tab_06.Jun[SALDO
ATUAL],Tab_06.Jun[CONTA],$I202)</f>
        <v>2037713.18</v>
      </c>
      <c r="G202" s="4">
        <f t="shared" si="9"/>
        <v>257854.63</v>
      </c>
      <c r="I202" s="3">
        <v>5</v>
      </c>
      <c r="J202" s="3" t="s">
        <v>705</v>
      </c>
      <c r="K202" s="4">
        <v>1779858.55</v>
      </c>
      <c r="L202" s="4">
        <v>271383.77</v>
      </c>
      <c r="M202" s="4">
        <v>13529.14</v>
      </c>
      <c r="N202" s="4">
        <v>2037713.18</v>
      </c>
      <c r="O202" s="4">
        <f>Tab_07.Jul[[#This Row],[DÉBITO]]-Tab_07.Jul[[#This Row],[CRÉDITO]]</f>
        <v>257854.63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2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SUMIFS(Tab_06.Jun[SALDO
ATUAL],Tab_06.Jun[CONTA],$I203)</f>
        <v>2037497.18</v>
      </c>
      <c r="G203" s="4">
        <f t="shared" si="9"/>
        <v>257854.63</v>
      </c>
      <c r="I203" s="3" t="s">
        <v>599</v>
      </c>
      <c r="J203" s="3" t="s">
        <v>827</v>
      </c>
      <c r="K203" s="4">
        <v>1779642.55</v>
      </c>
      <c r="L203" s="4">
        <v>271383.77</v>
      </c>
      <c r="M203" s="4">
        <v>13529.14</v>
      </c>
      <c r="N203" s="4">
        <v>2037497.18</v>
      </c>
      <c r="O203" s="4">
        <f>Tab_07.Jul[[#This Row],[DÉBITO]]-Tab_07.Jul[[#This Row],[CRÉDITO]]</f>
        <v>257854.63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S</v>
      </c>
      <c r="E204" s="2">
        <f>IF($I204="","",COUNTIFS(Tab_00.Trial[CONTA],$I204))</f>
        <v>1</v>
      </c>
      <c r="F204" s="4">
        <f>SUMIFS(Tab_06.Jun[SALDO
ATUAL],Tab_06.Jun[CONTA],$I204)</f>
        <v>804141.97</v>
      </c>
      <c r="G204" s="4">
        <f t="shared" si="9"/>
        <v>68029.08</v>
      </c>
      <c r="I204" s="3" t="s">
        <v>600</v>
      </c>
      <c r="J204" s="3" t="s">
        <v>706</v>
      </c>
      <c r="K204" s="4">
        <v>736112.89</v>
      </c>
      <c r="L204" s="4">
        <v>81558.22</v>
      </c>
      <c r="M204" s="4">
        <v>13529.14</v>
      </c>
      <c r="N204" s="4">
        <v>804141.97</v>
      </c>
      <c r="O204" s="4">
        <f>Tab_07.Jul[[#This Row],[DÉBITO]]-Tab_07.Jul[[#This Row],[CRÉDITO]]</f>
        <v>68029.08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SUMIFS(Tab_06.Jun[SALDO
ATUAL],Tab_06.Jun[CONTA],$I205)</f>
        <v>504393.81</v>
      </c>
      <c r="G205" s="4">
        <f t="shared" si="9"/>
        <v>52426.37</v>
      </c>
      <c r="I205" s="3" t="s">
        <v>601</v>
      </c>
      <c r="J205" s="3" t="s">
        <v>707</v>
      </c>
      <c r="K205" s="4">
        <v>451967.44</v>
      </c>
      <c r="L205" s="4">
        <v>63858.85</v>
      </c>
      <c r="M205" s="4">
        <v>11432.48</v>
      </c>
      <c r="N205" s="4">
        <v>504393.81</v>
      </c>
      <c r="O205" s="4">
        <f>Tab_07.Jul[[#This Row],[DÉBITO]]-Tab_07.Jul[[#This Row],[CRÉDITO]]</f>
        <v>52426.37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SUMIFS(Tab_06.Jun[SALDO
ATUAL],Tab_06.Jun[CONTA],$I206)</f>
        <v>313429.03000000003</v>
      </c>
      <c r="G206" s="4">
        <f t="shared" si="9"/>
        <v>43052.47</v>
      </c>
      <c r="I206" s="3" t="s">
        <v>441</v>
      </c>
      <c r="J206" s="3" t="s">
        <v>427</v>
      </c>
      <c r="K206" s="4">
        <v>270376.56</v>
      </c>
      <c r="L206" s="4">
        <v>54484.95</v>
      </c>
      <c r="M206" s="4">
        <v>11432.48</v>
      </c>
      <c r="N206" s="4">
        <v>313429.03000000003</v>
      </c>
      <c r="O206" s="4">
        <f>Tab_07.Jul[[#This Row],[DÉBITO]]-Tab_07.Jul[[#This Row],[CRÉDITO]]</f>
        <v>43052.47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SUMIFS(Tab_06.Jun[SALDO
ATUAL],Tab_06.Jun[CONTA],$I207)</f>
        <v>43165.37</v>
      </c>
      <c r="G207" s="4">
        <f t="shared" si="9"/>
        <v>4673.3599999999997</v>
      </c>
      <c r="I207" s="3" t="s">
        <v>443</v>
      </c>
      <c r="J207" s="3" t="s">
        <v>431</v>
      </c>
      <c r="K207" s="4">
        <v>38492.01</v>
      </c>
      <c r="L207" s="4">
        <v>4673.3599999999997</v>
      </c>
      <c r="M207" s="4">
        <v>0</v>
      </c>
      <c r="N207" s="4">
        <v>43165.37</v>
      </c>
      <c r="O207" s="4">
        <f>Tab_07.Jul[[#This Row],[DÉBITO]]-Tab_07.Jul[[#This Row],[CRÉDITO]]</f>
        <v>4673.3599999999997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SUMIFS(Tab_06.Jun[SALDO
ATUAL],Tab_06.Jun[CONTA],$I208)</f>
        <v>34122.18</v>
      </c>
      <c r="G208" s="4">
        <f t="shared" si="9"/>
        <v>2219.91</v>
      </c>
      <c r="I208" s="3" t="s">
        <v>444</v>
      </c>
      <c r="J208" s="3" t="s">
        <v>433</v>
      </c>
      <c r="K208" s="4">
        <v>31902.27</v>
      </c>
      <c r="L208" s="4">
        <v>2219.91</v>
      </c>
      <c r="M208" s="4">
        <v>0</v>
      </c>
      <c r="N208" s="4">
        <v>34122.18</v>
      </c>
      <c r="O208" s="4">
        <f>Tab_07.Jul[[#This Row],[DÉBITO]]-Tab_07.Jul[[#This Row],[CRÉDITO]]</f>
        <v>2219.91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SUMIFS(Tab_06.Jun[SALDO
ATUAL],Tab_06.Jun[CONTA],$I209)</f>
        <v>85959.77</v>
      </c>
      <c r="G209" s="4">
        <f t="shared" si="9"/>
        <v>0</v>
      </c>
      <c r="I209" s="3" t="s">
        <v>777</v>
      </c>
      <c r="J209" s="3" t="s">
        <v>749</v>
      </c>
      <c r="K209" s="4">
        <v>85959.77</v>
      </c>
      <c r="L209" s="4">
        <v>0</v>
      </c>
      <c r="M209" s="4">
        <v>0</v>
      </c>
      <c r="N209" s="4">
        <v>85959.77</v>
      </c>
      <c r="O209" s="4">
        <f>Tab_07.Jul[[#This Row],[DÉBITO]]-Tab_07.Jul[[#This Row],[CRÉDITO]]</f>
        <v>0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SUMIFS(Tab_06.Jun[SALDO
ATUAL],Tab_06.Jun[CONTA],$I210)</f>
        <v>476.67</v>
      </c>
      <c r="G210" s="4">
        <f t="shared" si="9"/>
        <v>0</v>
      </c>
      <c r="I210" s="3" t="s">
        <v>447</v>
      </c>
      <c r="J210" s="3" t="s">
        <v>448</v>
      </c>
      <c r="K210" s="4">
        <v>476.67</v>
      </c>
      <c r="L210" s="4">
        <v>0</v>
      </c>
      <c r="M210" s="4">
        <v>0</v>
      </c>
      <c r="N210" s="4">
        <v>476.67</v>
      </c>
      <c r="O210" s="4">
        <f>Tab_07.Jul[[#This Row],[DÉBITO]]-Tab_07.Jul[[#This Row],[CRÉDITO]]</f>
        <v>0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SUMIFS(Tab_06.Jun[SALDO
ATUAL],Tab_06.Jun[CONTA],$I211)</f>
        <v>5777.27</v>
      </c>
      <c r="G211" s="4">
        <f t="shared" si="9"/>
        <v>1252.46</v>
      </c>
      <c r="I211" s="3" t="s">
        <v>808</v>
      </c>
      <c r="J211" s="3" t="s">
        <v>797</v>
      </c>
      <c r="K211" s="4">
        <v>4524.8100000000004</v>
      </c>
      <c r="L211" s="4">
        <v>1252.46</v>
      </c>
      <c r="M211" s="4">
        <v>0</v>
      </c>
      <c r="N211" s="4">
        <v>5777.27</v>
      </c>
      <c r="O211" s="4">
        <f>Tab_07.Jul[[#This Row],[DÉBITO]]-Tab_07.Jul[[#This Row],[CRÉDITO]]</f>
        <v>1252.46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SUMIFS(Tab_06.Jun[SALDO
ATUAL],Tab_06.Jun[CONTA],$I212)</f>
        <v>11147.53</v>
      </c>
      <c r="G212" s="4">
        <f t="shared" si="9"/>
        <v>373.87</v>
      </c>
      <c r="I212" s="3" t="s">
        <v>809</v>
      </c>
      <c r="J212" s="3" t="s">
        <v>799</v>
      </c>
      <c r="K212" s="4">
        <v>10773.66</v>
      </c>
      <c r="L212" s="4">
        <v>373.87</v>
      </c>
      <c r="M212" s="4">
        <v>0</v>
      </c>
      <c r="N212" s="4">
        <v>11147.53</v>
      </c>
      <c r="O212" s="4">
        <f>Tab_07.Jul[[#This Row],[DÉBITO]]-Tab_07.Jul[[#This Row],[CRÉDITO]]</f>
        <v>373.87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SUMIFS(Tab_06.Jun[SALDO
ATUAL],Tab_06.Jun[CONTA],$I213)</f>
        <v>224.51</v>
      </c>
      <c r="G213" s="4">
        <f t="shared" si="9"/>
        <v>46.74</v>
      </c>
      <c r="I213" s="3" t="s">
        <v>810</v>
      </c>
      <c r="J213" s="3" t="s">
        <v>801</v>
      </c>
      <c r="K213" s="4">
        <v>177.77</v>
      </c>
      <c r="L213" s="4">
        <v>46.74</v>
      </c>
      <c r="M213" s="4">
        <v>0</v>
      </c>
      <c r="N213" s="4">
        <v>224.51</v>
      </c>
      <c r="O213" s="4">
        <f>Tab_07.Jul[[#This Row],[DÉBITO]]-Tab_07.Jul[[#This Row],[CRÉDITO]]</f>
        <v>46.74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SUMIFS(Tab_06.Jun[SALDO
ATUAL],Tab_06.Jun[CONTA],$I214)</f>
        <v>7544.94</v>
      </c>
      <c r="G214" s="4">
        <f t="shared" si="9"/>
        <v>594.92999999999995</v>
      </c>
      <c r="I214" s="3" t="s">
        <v>811</v>
      </c>
      <c r="J214" s="3" t="s">
        <v>803</v>
      </c>
      <c r="K214" s="4">
        <v>6950.01</v>
      </c>
      <c r="L214" s="4">
        <v>594.92999999999995</v>
      </c>
      <c r="M214" s="4">
        <v>0</v>
      </c>
      <c r="N214" s="4">
        <v>7544.94</v>
      </c>
      <c r="O214" s="4">
        <f>Tab_07.Jul[[#This Row],[DÉBITO]]-Tab_07.Jul[[#This Row],[CRÉDITO]]</f>
        <v>594.92999999999995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SUMIFS(Tab_06.Jun[SALDO
ATUAL],Tab_06.Jun[CONTA],$I215)</f>
        <v>2252.1799999999998</v>
      </c>
      <c r="G215" s="4">
        <f t="shared" si="9"/>
        <v>177.59</v>
      </c>
      <c r="I215" s="3" t="s">
        <v>812</v>
      </c>
      <c r="J215" s="3" t="s">
        <v>805</v>
      </c>
      <c r="K215" s="4">
        <v>2074.59</v>
      </c>
      <c r="L215" s="4">
        <v>177.59</v>
      </c>
      <c r="M215" s="4">
        <v>0</v>
      </c>
      <c r="N215" s="4">
        <v>2252.1799999999998</v>
      </c>
      <c r="O215" s="4">
        <f>Tab_07.Jul[[#This Row],[DÉBITO]]-Tab_07.Jul[[#This Row],[CRÉDITO]]</f>
        <v>177.59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SUMIFS(Tab_06.Jun[SALDO
ATUAL],Tab_06.Jun[CONTA],$I216)</f>
        <v>294.36</v>
      </c>
      <c r="G216" s="4">
        <f t="shared" si="9"/>
        <v>35.04</v>
      </c>
      <c r="I216" s="3" t="s">
        <v>813</v>
      </c>
      <c r="J216" s="3" t="s">
        <v>807</v>
      </c>
      <c r="K216" s="4">
        <v>259.32</v>
      </c>
      <c r="L216" s="4">
        <v>35.04</v>
      </c>
      <c r="M216" s="4">
        <v>0</v>
      </c>
      <c r="N216" s="4">
        <v>294.36</v>
      </c>
      <c r="O216" s="4">
        <f>Tab_07.Jul[[#This Row],[DÉBITO]]-Tab_07.Jul[[#This Row],[CRÉDITO]]</f>
        <v>35.04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S</v>
      </c>
      <c r="E217" s="2">
        <f>IF($I217="","",COUNTIFS(Tab_00.Trial[CONTA],$I217))</f>
        <v>1</v>
      </c>
      <c r="F217" s="4">
        <f>SUMIFS(Tab_06.Jun[SALDO
ATUAL],Tab_06.Jun[CONTA],$I217)</f>
        <v>1014</v>
      </c>
      <c r="G217" s="4">
        <f t="shared" si="9"/>
        <v>0</v>
      </c>
      <c r="I217" s="3" t="s">
        <v>602</v>
      </c>
      <c r="J217" s="3" t="s">
        <v>708</v>
      </c>
      <c r="K217" s="4">
        <v>1014</v>
      </c>
      <c r="L217" s="4">
        <v>2096.66</v>
      </c>
      <c r="M217" s="4">
        <v>2096.66</v>
      </c>
      <c r="N217" s="4">
        <v>1014</v>
      </c>
      <c r="O217" s="4">
        <f>Tab_07.Jul[[#This Row],[DÉBITO]]-Tab_07.Jul[[#This Row],[CRÉDITO]]</f>
        <v>0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SUMIFS(Tab_06.Jun[SALDO
ATUAL],Tab_06.Jun[CONTA],$I218)</f>
        <v>0</v>
      </c>
      <c r="G218" s="4">
        <f t="shared" si="9"/>
        <v>0</v>
      </c>
      <c r="I218" s="3" t="s">
        <v>774</v>
      </c>
      <c r="J218" s="3" t="s">
        <v>435</v>
      </c>
      <c r="K218" s="4">
        <v>0</v>
      </c>
      <c r="L218" s="4">
        <v>734.28</v>
      </c>
      <c r="M218" s="4">
        <v>734.28</v>
      </c>
      <c r="N218" s="4">
        <v>0</v>
      </c>
      <c r="O218" s="4">
        <f>Tab_07.Jul[[#This Row],[DÉBITO]]-Tab_07.Jul[[#This Row],[CRÉDITO]]</f>
        <v>0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SUMIFS(Tab_06.Jun[SALDO
ATUAL],Tab_06.Jun[CONTA],$I219)</f>
        <v>0</v>
      </c>
      <c r="G219" s="4">
        <f t="shared" si="9"/>
        <v>0</v>
      </c>
      <c r="I219" s="3" t="s">
        <v>775</v>
      </c>
      <c r="J219" s="3" t="s">
        <v>751</v>
      </c>
      <c r="K219" s="4">
        <v>0</v>
      </c>
      <c r="L219" s="4">
        <v>1362.38</v>
      </c>
      <c r="M219" s="4">
        <v>1362.38</v>
      </c>
      <c r="N219" s="4">
        <v>0</v>
      </c>
      <c r="O219" s="4">
        <f>Tab_07.Jul[[#This Row],[DÉBITO]]-Tab_07.Jul[[#This Row],[CRÉDITO]]</f>
        <v>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SUMIFS(Tab_06.Jun[SALDO
ATUAL],Tab_06.Jun[CONTA],$I220)</f>
        <v>1014</v>
      </c>
      <c r="G220" s="4">
        <f t="shared" si="9"/>
        <v>0</v>
      </c>
      <c r="I220" s="3" t="s">
        <v>455</v>
      </c>
      <c r="J220" s="3" t="s">
        <v>456</v>
      </c>
      <c r="K220" s="4">
        <v>1014</v>
      </c>
      <c r="L220" s="4">
        <v>0</v>
      </c>
      <c r="M220" s="4">
        <v>0</v>
      </c>
      <c r="N220" s="4">
        <v>1014</v>
      </c>
      <c r="O220" s="4">
        <f>Tab_07.Jul[[#This Row],[DÉBITO]]-Tab_07.Jul[[#This Row],[CRÉDITO]]</f>
        <v>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S</v>
      </c>
      <c r="E221" s="2">
        <f>IF($I221="","",COUNTIFS(Tab_00.Trial[CONTA],$I221))</f>
        <v>1</v>
      </c>
      <c r="F221" s="4">
        <f>SUMIFS(Tab_06.Jun[SALDO
ATUAL],Tab_06.Jun[CONTA],$I221)</f>
        <v>297189.15999999997</v>
      </c>
      <c r="G221" s="4">
        <f t="shared" si="9"/>
        <v>15412.71</v>
      </c>
      <c r="I221" s="3" t="s">
        <v>603</v>
      </c>
      <c r="J221" s="3" t="s">
        <v>709</v>
      </c>
      <c r="K221" s="4">
        <v>281776.45</v>
      </c>
      <c r="L221" s="4">
        <v>15412.71</v>
      </c>
      <c r="M221" s="4">
        <v>0</v>
      </c>
      <c r="N221" s="4">
        <v>297189.15999999997</v>
      </c>
      <c r="O221" s="4">
        <f>Tab_07.Jul[[#This Row],[DÉBITO]]-Tab_07.Jul[[#This Row],[CRÉDITO]]</f>
        <v>15412.71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SUMIFS(Tab_06.Jun[SALDO
ATUAL],Tab_06.Jun[CONTA],$I222)</f>
        <v>84624.5</v>
      </c>
      <c r="G222" s="4">
        <f t="shared" si="9"/>
        <v>11538.01</v>
      </c>
      <c r="I222" s="3" t="s">
        <v>451</v>
      </c>
      <c r="J222" s="3" t="s">
        <v>437</v>
      </c>
      <c r="K222" s="4">
        <v>73086.490000000005</v>
      </c>
      <c r="L222" s="4">
        <v>11538.01</v>
      </c>
      <c r="M222" s="4">
        <v>0</v>
      </c>
      <c r="N222" s="4">
        <v>84624.5</v>
      </c>
      <c r="O222" s="4">
        <f>Tab_07.Jul[[#This Row],[DÉBITO]]-Tab_07.Jul[[#This Row],[CRÉDITO]]</f>
        <v>11538.01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SUMIFS(Tab_06.Jun[SALDO
ATUAL],Tab_06.Jun[CONTA],$I223)</f>
        <v>209407.02</v>
      </c>
      <c r="G223" s="4">
        <f t="shared" si="9"/>
        <v>3444.18</v>
      </c>
      <c r="I223" s="3" t="s">
        <v>452</v>
      </c>
      <c r="J223" s="3" t="s">
        <v>196</v>
      </c>
      <c r="K223" s="4">
        <v>205962.84</v>
      </c>
      <c r="L223" s="4">
        <v>3444.18</v>
      </c>
      <c r="M223" s="4">
        <v>0</v>
      </c>
      <c r="N223" s="4">
        <v>209407.02</v>
      </c>
      <c r="O223" s="4">
        <f>Tab_07.Jul[[#This Row],[DÉBITO]]-Tab_07.Jul[[#This Row],[CRÉDITO]]</f>
        <v>3444.18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SUMIFS(Tab_06.Jun[SALDO
ATUAL],Tab_06.Jun[CONTA],$I224)</f>
        <v>3157.64</v>
      </c>
      <c r="G224" s="4">
        <f t="shared" si="9"/>
        <v>430.52</v>
      </c>
      <c r="I224" s="3" t="s">
        <v>453</v>
      </c>
      <c r="J224" s="3" t="s">
        <v>454</v>
      </c>
      <c r="K224" s="4">
        <v>2727.12</v>
      </c>
      <c r="L224" s="4">
        <v>430.52</v>
      </c>
      <c r="M224" s="4">
        <v>0</v>
      </c>
      <c r="N224" s="4">
        <v>3157.64</v>
      </c>
      <c r="O224" s="4">
        <f>Tab_07.Jul[[#This Row],[DÉBITO]]-Tab_07.Jul[[#This Row],[CRÉDITO]]</f>
        <v>430.52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S</v>
      </c>
      <c r="E225" s="2">
        <f>IF($I225="","",COUNTIFS(Tab_00.Trial[CONTA],$I225))</f>
        <v>1</v>
      </c>
      <c r="F225" s="4">
        <f>SUMIFS(Tab_06.Jun[SALDO
ATUAL],Tab_06.Jun[CONTA],$I225)</f>
        <v>1545</v>
      </c>
      <c r="G225" s="4">
        <f t="shared" si="9"/>
        <v>190</v>
      </c>
      <c r="I225" s="3" t="s">
        <v>604</v>
      </c>
      <c r="J225" s="3" t="s">
        <v>710</v>
      </c>
      <c r="K225" s="4">
        <v>1355</v>
      </c>
      <c r="L225" s="4">
        <v>190</v>
      </c>
      <c r="M225" s="4">
        <v>0</v>
      </c>
      <c r="N225" s="4">
        <v>1545</v>
      </c>
      <c r="O225" s="4">
        <f>Tab_07.Jul[[#This Row],[DÉBITO]]-Tab_07.Jul[[#This Row],[CRÉDITO]]</f>
        <v>190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SUMIFS(Tab_06.Jun[SALDO
ATUAL],Tab_06.Jun[CONTA],$I226)</f>
        <v>1545</v>
      </c>
      <c r="G226" s="4">
        <f t="shared" si="9"/>
        <v>190</v>
      </c>
      <c r="I226" s="3" t="s">
        <v>457</v>
      </c>
      <c r="J226" s="3" t="s">
        <v>458</v>
      </c>
      <c r="K226" s="4">
        <v>1355</v>
      </c>
      <c r="L226" s="4">
        <v>190</v>
      </c>
      <c r="M226" s="4">
        <v>0</v>
      </c>
      <c r="N226" s="4">
        <v>1545</v>
      </c>
      <c r="O226" s="4">
        <f>Tab_07.Jul[[#This Row],[DÉBITO]]-Tab_07.Jul[[#This Row],[CRÉDITO]]</f>
        <v>190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S</v>
      </c>
      <c r="E227" s="2">
        <f>IF($I227="","",COUNTIFS(Tab_00.Trial[CONTA],$I227))</f>
        <v>1</v>
      </c>
      <c r="F227" s="4">
        <f>SUMIFS(Tab_06.Jun[SALDO
ATUAL],Tab_06.Jun[CONTA],$I227)</f>
        <v>1031244.39</v>
      </c>
      <c r="G227" s="4">
        <f t="shared" si="9"/>
        <v>167870.49</v>
      </c>
      <c r="I227" s="3" t="s">
        <v>605</v>
      </c>
      <c r="J227" s="3" t="s">
        <v>711</v>
      </c>
      <c r="K227" s="4">
        <v>863373.9</v>
      </c>
      <c r="L227" s="4">
        <v>167870.49</v>
      </c>
      <c r="M227" s="4">
        <v>0</v>
      </c>
      <c r="N227" s="4">
        <v>1031244.39</v>
      </c>
      <c r="O227" s="4">
        <f>Tab_07.Jul[[#This Row],[DÉBITO]]-Tab_07.Jul[[#This Row],[CRÉDITO]]</f>
        <v>167870.49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SUMIFS(Tab_06.Jun[SALDO
ATUAL],Tab_06.Jun[CONTA],$I228)</f>
        <v>450481.83</v>
      </c>
      <c r="G228" s="4">
        <f t="shared" si="9"/>
        <v>84904.41</v>
      </c>
      <c r="I228" s="3" t="s">
        <v>606</v>
      </c>
      <c r="J228" s="3" t="s">
        <v>712</v>
      </c>
      <c r="K228" s="4">
        <v>365577.42</v>
      </c>
      <c r="L228" s="4">
        <v>84904.41</v>
      </c>
      <c r="M228" s="4">
        <v>0</v>
      </c>
      <c r="N228" s="4">
        <v>450481.83</v>
      </c>
      <c r="O228" s="4">
        <f>Tab_07.Jul[[#This Row],[DÉBITO]]-Tab_07.Jul[[#This Row],[CRÉDITO]]</f>
        <v>84904.41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SUMIFS(Tab_06.Jun[SALDO
ATUAL],Tab_06.Jun[CONTA],$I229)</f>
        <v>53486.44</v>
      </c>
      <c r="G229" s="4">
        <f t="shared" si="9"/>
        <v>7634.62</v>
      </c>
      <c r="I229" s="3" t="s">
        <v>459</v>
      </c>
      <c r="J229" s="3" t="s">
        <v>460</v>
      </c>
      <c r="K229" s="4">
        <v>45851.82</v>
      </c>
      <c r="L229" s="4">
        <v>7634.62</v>
      </c>
      <c r="M229" s="4">
        <v>0</v>
      </c>
      <c r="N229" s="4">
        <v>53486.44</v>
      </c>
      <c r="O229" s="4">
        <f>Tab_07.Jul[[#This Row],[DÉBITO]]-Tab_07.Jul[[#This Row],[CRÉDITO]]</f>
        <v>7634.62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SUMIFS(Tab_06.Jun[SALDO
ATUAL],Tab_06.Jun[CONTA],$I230)</f>
        <v>105046.48</v>
      </c>
      <c r="G230" s="4">
        <f t="shared" si="9"/>
        <v>11469.72</v>
      </c>
      <c r="I230" s="3" t="s">
        <v>461</v>
      </c>
      <c r="J230" s="3" t="s">
        <v>462</v>
      </c>
      <c r="K230" s="4">
        <v>93576.76</v>
      </c>
      <c r="L230" s="4">
        <v>11469.72</v>
      </c>
      <c r="M230" s="4">
        <v>0</v>
      </c>
      <c r="N230" s="4">
        <v>105046.48</v>
      </c>
      <c r="O230" s="4">
        <f>Tab_07.Jul[[#This Row],[DÉBITO]]-Tab_07.Jul[[#This Row],[CRÉDITO]]</f>
        <v>11469.72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SUMIFS(Tab_06.Jun[SALDO
ATUAL],Tab_06.Jun[CONTA],$I231)</f>
        <v>21500.01</v>
      </c>
      <c r="G231" s="4">
        <f t="shared" si="9"/>
        <v>0</v>
      </c>
      <c r="I231" s="3" t="s">
        <v>463</v>
      </c>
      <c r="J231" s="3" t="s">
        <v>464</v>
      </c>
      <c r="K231" s="4">
        <v>21500.01</v>
      </c>
      <c r="L231" s="4">
        <v>0</v>
      </c>
      <c r="M231" s="4">
        <v>0</v>
      </c>
      <c r="N231" s="4">
        <v>21500.01</v>
      </c>
      <c r="O231" s="4">
        <f>Tab_07.Jul[[#This Row],[DÉBITO]]-Tab_07.Jul[[#This Row],[CRÉDITO]]</f>
        <v>0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SUMIFS(Tab_06.Jun[SALDO
ATUAL],Tab_06.Jun[CONTA],$I232)</f>
        <v>157895.04000000001</v>
      </c>
      <c r="G232" s="4">
        <f t="shared" si="9"/>
        <v>49166.95</v>
      </c>
      <c r="I232" s="3" t="s">
        <v>465</v>
      </c>
      <c r="J232" s="3" t="s">
        <v>466</v>
      </c>
      <c r="K232" s="4">
        <v>108728.09</v>
      </c>
      <c r="L232" s="4">
        <v>49166.95</v>
      </c>
      <c r="M232" s="4">
        <v>0</v>
      </c>
      <c r="N232" s="4">
        <v>157895.04000000001</v>
      </c>
      <c r="O232" s="4">
        <f>Tab_07.Jul[[#This Row],[DÉBITO]]-Tab_07.Jul[[#This Row],[CRÉDITO]]</f>
        <v>49166.95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SUMIFS(Tab_06.Jun[SALDO
ATUAL],Tab_06.Jun[CONTA],$I233)</f>
        <v>31500</v>
      </c>
      <c r="G233" s="4">
        <f t="shared" ref="G233:G264" si="10">$F233-$K233</f>
        <v>4500</v>
      </c>
      <c r="I233" s="3" t="s">
        <v>473</v>
      </c>
      <c r="J233" s="3" t="s">
        <v>474</v>
      </c>
      <c r="K233" s="4">
        <v>27000</v>
      </c>
      <c r="L233" s="4">
        <v>4500</v>
      </c>
      <c r="M233" s="4">
        <v>0</v>
      </c>
      <c r="N233" s="4">
        <v>31500</v>
      </c>
      <c r="O233" s="4">
        <f>Tab_07.Jul[[#This Row],[DÉBITO]]-Tab_07.Jul[[#This Row],[CRÉDITO]]</f>
        <v>4500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SUMIFS(Tab_06.Jun[SALDO
ATUAL],Tab_06.Jun[CONTA],$I234)</f>
        <v>1564.92</v>
      </c>
      <c r="G234" s="4">
        <f t="shared" si="10"/>
        <v>223.56</v>
      </c>
      <c r="I234" s="3" t="s">
        <v>467</v>
      </c>
      <c r="J234" s="3" t="s">
        <v>468</v>
      </c>
      <c r="K234" s="4">
        <v>1341.36</v>
      </c>
      <c r="L234" s="4">
        <v>223.56</v>
      </c>
      <c r="M234" s="4">
        <v>0</v>
      </c>
      <c r="N234" s="4">
        <v>1564.92</v>
      </c>
      <c r="O234" s="4">
        <f>Tab_07.Jul[[#This Row],[DÉBITO]]-Tab_07.Jul[[#This Row],[CRÉDITO]]</f>
        <v>223.56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SUMIFS(Tab_06.Jun[SALDO
ATUAL],Tab_06.Jun[CONTA],$I235)</f>
        <v>46198.74</v>
      </c>
      <c r="G235" s="4">
        <f t="shared" si="10"/>
        <v>6599.82</v>
      </c>
      <c r="I235" s="3" t="s">
        <v>469</v>
      </c>
      <c r="J235" s="3" t="s">
        <v>470</v>
      </c>
      <c r="K235" s="4">
        <v>39598.92</v>
      </c>
      <c r="L235" s="4">
        <v>6599.82</v>
      </c>
      <c r="M235" s="4">
        <v>0</v>
      </c>
      <c r="N235" s="4">
        <v>46198.74</v>
      </c>
      <c r="O235" s="4">
        <f>Tab_07.Jul[[#This Row],[DÉBITO]]-Tab_07.Jul[[#This Row],[CRÉDITO]]</f>
        <v>6599.82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SUMIFS(Tab_06.Jun[SALDO
ATUAL],Tab_06.Jun[CONTA],$I236)</f>
        <v>33290.199999999997</v>
      </c>
      <c r="G236" s="4">
        <f t="shared" si="10"/>
        <v>5309.74</v>
      </c>
      <c r="I236" s="3" t="s">
        <v>471</v>
      </c>
      <c r="J236" s="3" t="s">
        <v>472</v>
      </c>
      <c r="K236" s="4">
        <v>27980.46</v>
      </c>
      <c r="L236" s="4">
        <v>5309.74</v>
      </c>
      <c r="M236" s="4">
        <v>0</v>
      </c>
      <c r="N236" s="4">
        <v>33290.199999999997</v>
      </c>
      <c r="O236" s="4">
        <f>Tab_07.Jul[[#This Row],[DÉBITO]]-Tab_07.Jul[[#This Row],[CRÉDITO]]</f>
        <v>5309.74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SUMIFS(Tab_06.Jun[SALDO
ATUAL],Tab_06.Jun[CONTA],$I237)</f>
        <v>580762.56000000006</v>
      </c>
      <c r="G237" s="4">
        <f t="shared" si="10"/>
        <v>82966.080000000002</v>
      </c>
      <c r="I237" s="3" t="s">
        <v>608</v>
      </c>
      <c r="J237" s="3" t="s">
        <v>713</v>
      </c>
      <c r="K237" s="4">
        <v>497796.48</v>
      </c>
      <c r="L237" s="4">
        <v>82966.080000000002</v>
      </c>
      <c r="M237" s="4">
        <v>0</v>
      </c>
      <c r="N237" s="4">
        <v>580762.56000000006</v>
      </c>
      <c r="O237" s="4">
        <f>Tab_07.Jul[[#This Row],[DÉBITO]]-Tab_07.Jul[[#This Row],[CRÉDITO]]</f>
        <v>82966.080000000002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SUMIFS(Tab_06.Jun[SALDO
ATUAL],Tab_06.Jun[CONTA],$I238)</f>
        <v>125860.56</v>
      </c>
      <c r="G238" s="4">
        <f t="shared" si="10"/>
        <v>17980.080000000002</v>
      </c>
      <c r="I238" s="3" t="s">
        <v>741</v>
      </c>
      <c r="J238" s="3" t="s">
        <v>742</v>
      </c>
      <c r="K238" s="4">
        <v>107880.48</v>
      </c>
      <c r="L238" s="4">
        <v>17980.080000000002</v>
      </c>
      <c r="M238" s="4">
        <v>0</v>
      </c>
      <c r="N238" s="4">
        <v>125860.56</v>
      </c>
      <c r="O238" s="4">
        <f>Tab_07.Jul[[#This Row],[DÉBITO]]-Tab_07.Jul[[#This Row],[CRÉDITO]]</f>
        <v>17980.080000000002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SUMIFS(Tab_06.Jun[SALDO
ATUAL],Tab_06.Jun[CONTA],$I239)</f>
        <v>52500</v>
      </c>
      <c r="G239" s="4">
        <f t="shared" si="10"/>
        <v>7500</v>
      </c>
      <c r="I239" s="3" t="s">
        <v>839</v>
      </c>
      <c r="J239" s="3" t="s">
        <v>840</v>
      </c>
      <c r="K239" s="4">
        <v>45000</v>
      </c>
      <c r="L239" s="4">
        <v>7500</v>
      </c>
      <c r="M239" s="4">
        <v>0</v>
      </c>
      <c r="N239" s="4">
        <v>52500</v>
      </c>
      <c r="O239" s="4">
        <f>Tab_07.Jul[[#This Row],[DÉBITO]]-Tab_07.Jul[[#This Row],[CRÉDITO]]</f>
        <v>7500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SUMIFS(Tab_06.Jun[SALDO
ATUAL],Tab_06.Jun[CONTA],$I240)</f>
        <v>402402</v>
      </c>
      <c r="G240" s="4">
        <f t="shared" si="10"/>
        <v>57486</v>
      </c>
      <c r="I240" s="3" t="s">
        <v>480</v>
      </c>
      <c r="J240" s="3" t="s">
        <v>481</v>
      </c>
      <c r="K240" s="4">
        <v>344916</v>
      </c>
      <c r="L240" s="4">
        <v>57486</v>
      </c>
      <c r="M240" s="4">
        <v>0</v>
      </c>
      <c r="N240" s="4">
        <v>402402</v>
      </c>
      <c r="O240" s="4">
        <f>Tab_07.Jul[[#This Row],[DÉBITO]]-Tab_07.Jul[[#This Row],[CRÉDITO]]</f>
        <v>57486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SUMIFS(Tab_06.Jun[SALDO
ATUAL],Tab_06.Jun[CONTA],$I241)</f>
        <v>15305.65</v>
      </c>
      <c r="G241" s="4">
        <f t="shared" si="10"/>
        <v>1813.26</v>
      </c>
      <c r="I241" s="3" t="s">
        <v>609</v>
      </c>
      <c r="J241" s="3" t="s">
        <v>714</v>
      </c>
      <c r="K241" s="4">
        <v>13492.39</v>
      </c>
      <c r="L241" s="4">
        <v>1813.26</v>
      </c>
      <c r="M241" s="4">
        <v>0</v>
      </c>
      <c r="N241" s="4">
        <v>15305.65</v>
      </c>
      <c r="O241" s="4">
        <f>Tab_07.Jul[[#This Row],[DÉBITO]]-Tab_07.Jul[[#This Row],[CRÉDITO]]</f>
        <v>1813.26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S</v>
      </c>
      <c r="E242" s="2">
        <f>IF($I242="","",COUNTIFS(Tab_00.Trial[CONTA],$I242))</f>
        <v>1</v>
      </c>
      <c r="F242" s="4">
        <f>SUMIFS(Tab_06.Jun[SALDO
ATUAL],Tab_06.Jun[CONTA],$I242)</f>
        <v>15305.65</v>
      </c>
      <c r="G242" s="4">
        <f t="shared" si="10"/>
        <v>1813.26</v>
      </c>
      <c r="I242" s="3" t="s">
        <v>610</v>
      </c>
      <c r="J242" s="3" t="s">
        <v>714</v>
      </c>
      <c r="K242" s="4">
        <v>13492.39</v>
      </c>
      <c r="L242" s="4">
        <v>1813.26</v>
      </c>
      <c r="M242" s="4">
        <v>0</v>
      </c>
      <c r="N242" s="4">
        <v>15305.65</v>
      </c>
      <c r="O242" s="4">
        <f>Tab_07.Jul[[#This Row],[DÉBITO]]-Tab_07.Jul[[#This Row],[CRÉDITO]]</f>
        <v>1813.26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SUMIFS(Tab_06.Jun[SALDO
ATUAL],Tab_06.Jun[CONTA],$I243)</f>
        <v>5005.3100000000004</v>
      </c>
      <c r="G243" s="4">
        <f t="shared" si="10"/>
        <v>866.32</v>
      </c>
      <c r="I243" s="3" t="s">
        <v>482</v>
      </c>
      <c r="J243" s="3" t="s">
        <v>483</v>
      </c>
      <c r="K243" s="4">
        <v>4138.99</v>
      </c>
      <c r="L243" s="4">
        <v>866.32</v>
      </c>
      <c r="M243" s="4">
        <v>0</v>
      </c>
      <c r="N243" s="4">
        <v>5005.3100000000004</v>
      </c>
      <c r="O243" s="4">
        <f>Tab_07.Jul[[#This Row],[DÉBITO]]-Tab_07.Jul[[#This Row],[CRÉDITO]]</f>
        <v>866.32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SUMIFS(Tab_06.Jun[SALDO
ATUAL],Tab_06.Jun[CONTA],$I244)</f>
        <v>5000</v>
      </c>
      <c r="G244" s="4">
        <f t="shared" si="10"/>
        <v>0</v>
      </c>
      <c r="I244" s="3" t="s">
        <v>752</v>
      </c>
      <c r="J244" s="3" t="s">
        <v>753</v>
      </c>
      <c r="K244" s="4">
        <v>5000</v>
      </c>
      <c r="L244" s="4">
        <v>0</v>
      </c>
      <c r="M244" s="4">
        <v>0</v>
      </c>
      <c r="N244" s="4">
        <v>5000</v>
      </c>
      <c r="O244" s="4">
        <f>Tab_07.Jul[[#This Row],[DÉBITO]]-Tab_07.Jul[[#This Row],[CRÉDITO]]</f>
        <v>0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SUMIFS(Tab_06.Jun[SALDO
ATUAL],Tab_06.Jun[CONTA],$I245)</f>
        <v>5300.34</v>
      </c>
      <c r="G245" s="4">
        <f t="shared" si="10"/>
        <v>946.94</v>
      </c>
      <c r="I245" s="3" t="s">
        <v>484</v>
      </c>
      <c r="J245" s="3" t="s">
        <v>485</v>
      </c>
      <c r="K245" s="4">
        <v>4353.3999999999996</v>
      </c>
      <c r="L245" s="4">
        <v>946.94</v>
      </c>
      <c r="M245" s="4">
        <v>0</v>
      </c>
      <c r="N245" s="4">
        <v>5300.34</v>
      </c>
      <c r="O245" s="4">
        <f>Tab_07.Jul[[#This Row],[DÉBITO]]-Tab_07.Jul[[#This Row],[CRÉDITO]]</f>
        <v>946.94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S</v>
      </c>
      <c r="E246" s="2">
        <f>IF($I246="","",COUNTIFS(Tab_00.Trial[CONTA],$I246))</f>
        <v>1</v>
      </c>
      <c r="F246" s="4">
        <f>SUMIFS(Tab_06.Jun[SALDO
ATUAL],Tab_06.Jun[CONTA],$I246)</f>
        <v>65659.31</v>
      </c>
      <c r="G246" s="4">
        <f t="shared" si="10"/>
        <v>7586.35</v>
      </c>
      <c r="I246" s="3" t="s">
        <v>612</v>
      </c>
      <c r="J246" s="3" t="s">
        <v>716</v>
      </c>
      <c r="K246" s="4">
        <v>58072.959999999999</v>
      </c>
      <c r="L246" s="4">
        <v>7586.35</v>
      </c>
      <c r="M246" s="4">
        <v>0</v>
      </c>
      <c r="N246" s="4">
        <v>65659.31</v>
      </c>
      <c r="O246" s="4">
        <f>Tab_07.Jul[[#This Row],[DÉBITO]]-Tab_07.Jul[[#This Row],[CRÉDITO]]</f>
        <v>7586.35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S</v>
      </c>
      <c r="E247" s="2">
        <f>IF($I247="","",COUNTIFS(Tab_00.Trial[CONTA],$I247))</f>
        <v>1</v>
      </c>
      <c r="F247" s="4">
        <f>SUMIFS(Tab_06.Jun[SALDO
ATUAL],Tab_06.Jun[CONTA],$I247)</f>
        <v>42421.55</v>
      </c>
      <c r="G247" s="4">
        <f t="shared" si="10"/>
        <v>5018.91</v>
      </c>
      <c r="I247" s="3" t="s">
        <v>613</v>
      </c>
      <c r="J247" s="3" t="s">
        <v>717</v>
      </c>
      <c r="K247" s="4">
        <v>37402.639999999999</v>
      </c>
      <c r="L247" s="4">
        <v>5018.91</v>
      </c>
      <c r="M247" s="4">
        <v>0</v>
      </c>
      <c r="N247" s="4">
        <v>42421.55</v>
      </c>
      <c r="O247" s="4">
        <f>Tab_07.Jul[[#This Row],[DÉBITO]]-Tab_07.Jul[[#This Row],[CRÉDITO]]</f>
        <v>5018.91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SUMIFS(Tab_06.Jun[SALDO
ATUAL],Tab_06.Jun[CONTA],$I248)</f>
        <v>20558.62</v>
      </c>
      <c r="G248" s="4">
        <f t="shared" si="10"/>
        <v>1918.54</v>
      </c>
      <c r="I248" s="3" t="s">
        <v>491</v>
      </c>
      <c r="J248" s="3" t="s">
        <v>492</v>
      </c>
      <c r="K248" s="4">
        <v>18640.080000000002</v>
      </c>
      <c r="L248" s="4">
        <v>1918.54</v>
      </c>
      <c r="M248" s="4">
        <v>0</v>
      </c>
      <c r="N248" s="4">
        <v>20558.62</v>
      </c>
      <c r="O248" s="4">
        <f>Tab_07.Jul[[#This Row],[DÉBITO]]-Tab_07.Jul[[#This Row],[CRÉDITO]]</f>
        <v>1918.54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SUMIFS(Tab_06.Jun[SALDO
ATUAL],Tab_06.Jun[CONTA],$I249)</f>
        <v>11886.68</v>
      </c>
      <c r="G249" s="4">
        <f t="shared" si="10"/>
        <v>1523.82</v>
      </c>
      <c r="I249" s="3" t="s">
        <v>493</v>
      </c>
      <c r="J249" s="3" t="s">
        <v>494</v>
      </c>
      <c r="K249" s="4">
        <v>10362.86</v>
      </c>
      <c r="L249" s="4">
        <v>1523.82</v>
      </c>
      <c r="M249" s="4">
        <v>0</v>
      </c>
      <c r="N249" s="4">
        <v>11886.68</v>
      </c>
      <c r="O249" s="4">
        <f>Tab_07.Jul[[#This Row],[DÉBITO]]-Tab_07.Jul[[#This Row],[CRÉDITO]]</f>
        <v>1523.82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SUMIFS(Tab_06.Jun[SALDO
ATUAL],Tab_06.Jun[CONTA],$I250)</f>
        <v>9976.25</v>
      </c>
      <c r="G250" s="4">
        <f t="shared" si="10"/>
        <v>1576.55</v>
      </c>
      <c r="I250" s="3" t="s">
        <v>495</v>
      </c>
      <c r="J250" s="3" t="s">
        <v>496</v>
      </c>
      <c r="K250" s="4">
        <v>8399.7000000000007</v>
      </c>
      <c r="L250" s="4">
        <v>1576.55</v>
      </c>
      <c r="M250" s="4">
        <v>0</v>
      </c>
      <c r="N250" s="4">
        <v>9976.25</v>
      </c>
      <c r="O250" s="4">
        <f>Tab_07.Jul[[#This Row],[DÉBITO]]-Tab_07.Jul[[#This Row],[CRÉDITO]]</f>
        <v>1576.55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SUMIFS(Tab_06.Jun[SALDO
ATUAL],Tab_06.Jun[CONTA],$I251)</f>
        <v>23237.759999999998</v>
      </c>
      <c r="G251" s="4">
        <f t="shared" si="10"/>
        <v>2567.44</v>
      </c>
      <c r="I251" s="3" t="s">
        <v>614</v>
      </c>
      <c r="J251" s="3" t="s">
        <v>718</v>
      </c>
      <c r="K251" s="4">
        <v>20670.32</v>
      </c>
      <c r="L251" s="4">
        <v>2567.44</v>
      </c>
      <c r="M251" s="4">
        <v>0</v>
      </c>
      <c r="N251" s="4">
        <v>23237.759999999998</v>
      </c>
      <c r="O251" s="4">
        <f>Tab_07.Jul[[#This Row],[DÉBITO]]-Tab_07.Jul[[#This Row],[CRÉDITO]]</f>
        <v>2567.44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SUMIFS(Tab_06.Jun[SALDO
ATUAL],Tab_06.Jun[CONTA],$I252)</f>
        <v>95</v>
      </c>
      <c r="G252" s="4">
        <f t="shared" si="10"/>
        <v>0</v>
      </c>
      <c r="I252" s="3" t="s">
        <v>497</v>
      </c>
      <c r="J252" s="3" t="s">
        <v>498</v>
      </c>
      <c r="K252" s="4">
        <v>95</v>
      </c>
      <c r="L252" s="4">
        <v>0</v>
      </c>
      <c r="M252" s="4">
        <v>0</v>
      </c>
      <c r="N252" s="4">
        <v>95</v>
      </c>
      <c r="O252" s="4">
        <f>Tab_07.Jul[[#This Row],[DÉBITO]]-Tab_07.Jul[[#This Row],[CRÉDITO]]</f>
        <v>0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SUMIFS(Tab_06.Jun[SALDO
ATUAL],Tab_06.Jun[CONTA],$I253)</f>
        <v>9794.14</v>
      </c>
      <c r="G253" s="4">
        <f t="shared" si="10"/>
        <v>167.4</v>
      </c>
      <c r="I253" s="3" t="s">
        <v>499</v>
      </c>
      <c r="J253" s="3" t="s">
        <v>500</v>
      </c>
      <c r="K253" s="4">
        <v>9626.74</v>
      </c>
      <c r="L253" s="4">
        <v>167.4</v>
      </c>
      <c r="M253" s="4">
        <v>0</v>
      </c>
      <c r="N253" s="4">
        <v>9794.14</v>
      </c>
      <c r="O253" s="4">
        <f>Tab_07.Jul[[#This Row],[DÉBITO]]-Tab_07.Jul[[#This Row],[CRÉDITO]]</f>
        <v>167.4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SUMIFS(Tab_06.Jun[SALDO
ATUAL],Tab_06.Jun[CONTA],$I254)</f>
        <v>9664.69</v>
      </c>
      <c r="G254" s="4">
        <f t="shared" si="10"/>
        <v>2024.25</v>
      </c>
      <c r="I254" s="3" t="s">
        <v>501</v>
      </c>
      <c r="J254" s="3" t="s">
        <v>502</v>
      </c>
      <c r="K254" s="4">
        <v>7640.44</v>
      </c>
      <c r="L254" s="4">
        <v>2024.25</v>
      </c>
      <c r="M254" s="4">
        <v>0</v>
      </c>
      <c r="N254" s="4">
        <v>9664.69</v>
      </c>
      <c r="O254" s="4">
        <f>Tab_07.Jul[[#This Row],[DÉBITO]]-Tab_07.Jul[[#This Row],[CRÉDITO]]</f>
        <v>2024.25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SUMIFS(Tab_06.Jun[SALDO
ATUAL],Tab_06.Jun[CONTA],$I255)</f>
        <v>3683.93</v>
      </c>
      <c r="G255" s="4">
        <f t="shared" si="10"/>
        <v>375.79</v>
      </c>
      <c r="I255" s="3" t="s">
        <v>503</v>
      </c>
      <c r="J255" s="3" t="s">
        <v>504</v>
      </c>
      <c r="K255" s="4">
        <v>3308.14</v>
      </c>
      <c r="L255" s="4">
        <v>375.79</v>
      </c>
      <c r="M255" s="4">
        <v>0</v>
      </c>
      <c r="N255" s="4">
        <v>3683.93</v>
      </c>
      <c r="O255" s="4">
        <f>Tab_07.Jul[[#This Row],[DÉBITO]]-Tab_07.Jul[[#This Row],[CRÉDITO]]</f>
        <v>375.79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SUMIFS(Tab_06.Jun[SALDO
ATUAL],Tab_06.Jun[CONTA],$I256)</f>
        <v>42759.32</v>
      </c>
      <c r="G256" s="4">
        <f t="shared" si="10"/>
        <v>4362.9799999999996</v>
      </c>
      <c r="I256" s="3" t="s">
        <v>615</v>
      </c>
      <c r="J256" s="3" t="s">
        <v>719</v>
      </c>
      <c r="K256" s="4">
        <v>38396.339999999997</v>
      </c>
      <c r="L256" s="4">
        <v>4362.9799999999996</v>
      </c>
      <c r="M256" s="4">
        <v>0</v>
      </c>
      <c r="N256" s="4">
        <v>42759.32</v>
      </c>
      <c r="O256" s="4">
        <f>Tab_07.Jul[[#This Row],[DÉBITO]]-Tab_07.Jul[[#This Row],[CRÉDITO]]</f>
        <v>4362.9799999999996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SUMIFS(Tab_06.Jun[SALDO
ATUAL],Tab_06.Jun[CONTA],$I257)</f>
        <v>2014.18</v>
      </c>
      <c r="G257" s="4">
        <f t="shared" si="10"/>
        <v>287.74</v>
      </c>
      <c r="I257" s="3" t="s">
        <v>617</v>
      </c>
      <c r="J257" s="3" t="s">
        <v>721</v>
      </c>
      <c r="K257" s="4">
        <v>1726.44</v>
      </c>
      <c r="L257" s="4">
        <v>287.74</v>
      </c>
      <c r="M257" s="4">
        <v>0</v>
      </c>
      <c r="N257" s="4">
        <v>2014.18</v>
      </c>
      <c r="O257" s="4">
        <f>Tab_07.Jul[[#This Row],[DÉBITO]]-Tab_07.Jul[[#This Row],[CRÉDITO]]</f>
        <v>287.74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SUMIFS(Tab_06.Jun[SALDO
ATUAL],Tab_06.Jun[CONTA],$I258)</f>
        <v>2014.18</v>
      </c>
      <c r="G258" s="4">
        <f t="shared" si="10"/>
        <v>287.74</v>
      </c>
      <c r="I258" s="3" t="s">
        <v>739</v>
      </c>
      <c r="J258" s="3" t="s">
        <v>740</v>
      </c>
      <c r="K258" s="4">
        <v>1726.44</v>
      </c>
      <c r="L258" s="4">
        <v>287.74</v>
      </c>
      <c r="M258" s="4">
        <v>0</v>
      </c>
      <c r="N258" s="4">
        <v>2014.18</v>
      </c>
      <c r="O258" s="4">
        <f>Tab_07.Jul[[#This Row],[DÉBITO]]-Tab_07.Jul[[#This Row],[CRÉDITO]]</f>
        <v>287.74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SUMIFS(Tab_06.Jun[SALDO
ATUAL],Tab_06.Jun[CONTA],$I259)</f>
        <v>18055.939999999999</v>
      </c>
      <c r="G259" s="4">
        <f t="shared" si="10"/>
        <v>2592.38</v>
      </c>
      <c r="I259" s="3" t="s">
        <v>618</v>
      </c>
      <c r="J259" s="3" t="s">
        <v>722</v>
      </c>
      <c r="K259" s="4">
        <v>15463.56</v>
      </c>
      <c r="L259" s="4">
        <v>2592.38</v>
      </c>
      <c r="M259" s="4">
        <v>0</v>
      </c>
      <c r="N259" s="4">
        <v>18055.939999999999</v>
      </c>
      <c r="O259" s="4">
        <f>Tab_07.Jul[[#This Row],[DÉBITO]]-Tab_07.Jul[[#This Row],[CRÉDITO]]</f>
        <v>2592.38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SUMIFS(Tab_06.Jun[SALDO
ATUAL],Tab_06.Jun[CONTA],$I260)</f>
        <v>18055.939999999999</v>
      </c>
      <c r="G260" s="4">
        <f t="shared" si="10"/>
        <v>2592.38</v>
      </c>
      <c r="I260" s="3" t="s">
        <v>511</v>
      </c>
      <c r="J260" s="3" t="s">
        <v>512</v>
      </c>
      <c r="K260" s="4">
        <v>15463.56</v>
      </c>
      <c r="L260" s="4">
        <v>2592.38</v>
      </c>
      <c r="M260" s="4">
        <v>0</v>
      </c>
      <c r="N260" s="4">
        <v>18055.939999999999</v>
      </c>
      <c r="O260" s="4">
        <f>Tab_07.Jul[[#This Row],[DÉBITO]]-Tab_07.Jul[[#This Row],[CRÉDITO]]</f>
        <v>2592.38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SUMIFS(Tab_06.Jun[SALDO
ATUAL],Tab_06.Jun[CONTA],$I261)</f>
        <v>22689.200000000001</v>
      </c>
      <c r="G261" s="4">
        <f t="shared" si="10"/>
        <v>1482.86</v>
      </c>
      <c r="I261" s="3" t="s">
        <v>619</v>
      </c>
      <c r="J261" s="3" t="s">
        <v>420</v>
      </c>
      <c r="K261" s="4">
        <v>21206.34</v>
      </c>
      <c r="L261" s="4">
        <v>1482.86</v>
      </c>
      <c r="M261" s="4">
        <v>0</v>
      </c>
      <c r="N261" s="4">
        <v>22689.200000000001</v>
      </c>
      <c r="O261" s="4">
        <f>Tab_07.Jul[[#This Row],[DÉBITO]]-Tab_07.Jul[[#This Row],[CRÉDITO]]</f>
        <v>1482.86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SUMIFS(Tab_06.Jun[SALDO
ATUAL],Tab_06.Jun[CONTA],$I262)</f>
        <v>22689.200000000001</v>
      </c>
      <c r="G262" s="4">
        <f t="shared" si="10"/>
        <v>1482.86</v>
      </c>
      <c r="I262" s="3" t="s">
        <v>515</v>
      </c>
      <c r="J262" s="3" t="s">
        <v>420</v>
      </c>
      <c r="K262" s="4">
        <v>21206.34</v>
      </c>
      <c r="L262" s="4">
        <v>1482.86</v>
      </c>
      <c r="M262" s="4">
        <v>0</v>
      </c>
      <c r="N262" s="4">
        <v>22689.200000000001</v>
      </c>
      <c r="O262" s="4">
        <f>Tab_07.Jul[[#This Row],[DÉBITO]]-Tab_07.Jul[[#This Row],[CRÉDITO]]</f>
        <v>1482.86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SUMIFS(Tab_06.Jun[SALDO
ATUAL],Tab_06.Jun[CONTA],$I263)</f>
        <v>11741.31</v>
      </c>
      <c r="G263" s="4">
        <f t="shared" si="10"/>
        <v>1860.58</v>
      </c>
      <c r="I263" s="3" t="s">
        <v>621</v>
      </c>
      <c r="J263" s="3" t="s">
        <v>723</v>
      </c>
      <c r="K263" s="4">
        <v>9880.73</v>
      </c>
      <c r="L263" s="4">
        <v>1860.58</v>
      </c>
      <c r="M263" s="4">
        <v>0</v>
      </c>
      <c r="N263" s="4">
        <v>11741.31</v>
      </c>
      <c r="O263" s="4">
        <f>Tab_07.Jul[[#This Row],[DÉBITO]]-Tab_07.Jul[[#This Row],[CRÉDITO]]</f>
        <v>1860.58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SUMIFS(Tab_06.Jun[SALDO
ATUAL],Tab_06.Jun[CONTA],$I264)</f>
        <v>11741.31</v>
      </c>
      <c r="G264" s="4">
        <f t="shared" si="10"/>
        <v>1860.58</v>
      </c>
      <c r="I264" s="3" t="s">
        <v>622</v>
      </c>
      <c r="J264" s="3" t="s">
        <v>723</v>
      </c>
      <c r="K264" s="4">
        <v>9880.73</v>
      </c>
      <c r="L264" s="4">
        <v>1860.58</v>
      </c>
      <c r="M264" s="4">
        <v>0</v>
      </c>
      <c r="N264" s="4">
        <v>11741.31</v>
      </c>
      <c r="O264" s="4">
        <f>Tab_07.Jul[[#This Row],[DÉBITO]]-Tab_07.Jul[[#This Row],[CRÉDITO]]</f>
        <v>1860.58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SUMIFS(Tab_06.Jun[SALDO
ATUAL],Tab_06.Jun[CONTA],$I265)</f>
        <v>11741.31</v>
      </c>
      <c r="G265" s="4">
        <f t="shared" ref="G265:G269" si="11">$F265-$K265</f>
        <v>1860.58</v>
      </c>
      <c r="I265" s="3" t="s">
        <v>518</v>
      </c>
      <c r="J265" s="3" t="s">
        <v>519</v>
      </c>
      <c r="K265" s="4">
        <v>9880.73</v>
      </c>
      <c r="L265" s="4">
        <v>1860.58</v>
      </c>
      <c r="M265" s="4">
        <v>0</v>
      </c>
      <c r="N265" s="4">
        <v>11741.31</v>
      </c>
      <c r="O265" s="4">
        <f>Tab_07.Jul[[#This Row],[DÉBITO]]-Tab_07.Jul[[#This Row],[CRÉDITO]]</f>
        <v>1860.58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SUMIFS(Tab_06.Jun[SALDO
ATUAL],Tab_06.Jun[CONTA],$I266)</f>
        <v>28948.49</v>
      </c>
      <c r="G266" s="4">
        <f t="shared" si="11"/>
        <v>3666.75</v>
      </c>
      <c r="I266" s="3" t="s">
        <v>623</v>
      </c>
      <c r="J266" s="3" t="s">
        <v>724</v>
      </c>
      <c r="K266" s="4">
        <v>25281.74</v>
      </c>
      <c r="L266" s="4">
        <v>3666.75</v>
      </c>
      <c r="M266" s="4">
        <v>0</v>
      </c>
      <c r="N266" s="4">
        <v>28948.49</v>
      </c>
      <c r="O266" s="4">
        <f>Tab_07.Jul[[#This Row],[DÉBITO]]-Tab_07.Jul[[#This Row],[CRÉDITO]]</f>
        <v>3666.75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SUMIFS(Tab_06.Jun[SALDO
ATUAL],Tab_06.Jun[CONTA],$I267)</f>
        <v>28948.49</v>
      </c>
      <c r="G267" s="4">
        <f t="shared" si="11"/>
        <v>3666.75</v>
      </c>
      <c r="I267" s="3" t="s">
        <v>624</v>
      </c>
      <c r="J267" s="3" t="s">
        <v>724</v>
      </c>
      <c r="K267" s="4">
        <v>25281.74</v>
      </c>
      <c r="L267" s="4">
        <v>3666.75</v>
      </c>
      <c r="M267" s="4">
        <v>0</v>
      </c>
      <c r="N267" s="4">
        <v>28948.49</v>
      </c>
      <c r="O267" s="4">
        <f>Tab_07.Jul[[#This Row],[DÉBITO]]-Tab_07.Jul[[#This Row],[CRÉDITO]]</f>
        <v>3666.75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SUMIFS(Tab_06.Jun[SALDO
ATUAL],Tab_06.Jun[CONTA],$I268)</f>
        <v>28948.49</v>
      </c>
      <c r="G268" s="4">
        <f t="shared" si="11"/>
        <v>3666.75</v>
      </c>
      <c r="I268" s="3" t="s">
        <v>520</v>
      </c>
      <c r="J268" s="3" t="s">
        <v>521</v>
      </c>
      <c r="K268" s="4">
        <v>25281.74</v>
      </c>
      <c r="L268" s="4">
        <v>3666.75</v>
      </c>
      <c r="M268" s="4">
        <v>0</v>
      </c>
      <c r="N268" s="4">
        <v>28948.49</v>
      </c>
      <c r="O268" s="4">
        <f>Tab_07.Jul[[#This Row],[DÉBITO]]-Tab_07.Jul[[#This Row],[CRÉDITO]]</f>
        <v>3666.75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SUMIFS(Tab_06.Jun[SALDO
ATUAL],Tab_06.Jun[CONTA],$I269)</f>
        <v>37696.74</v>
      </c>
      <c r="G269" s="4">
        <f t="shared" si="11"/>
        <v>2665.14</v>
      </c>
      <c r="I269" s="3" t="s">
        <v>625</v>
      </c>
      <c r="J269" s="3" t="s">
        <v>542</v>
      </c>
      <c r="K269" s="4">
        <v>35031.599999999999</v>
      </c>
      <c r="L269" s="4">
        <v>2665.14</v>
      </c>
      <c r="M269" s="4">
        <v>0</v>
      </c>
      <c r="N269" s="4">
        <v>37696.74</v>
      </c>
      <c r="O269" s="4">
        <f>Tab_07.Jul[[#This Row],[DÉBITO]]-Tab_07.Jul[[#This Row],[CRÉDITO]]</f>
        <v>2665.14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SUMIFS(Tab_06.Jun[SALDO
ATUAL],Tab_06.Jun[CONTA],$I270)</f>
        <v>16096.81</v>
      </c>
      <c r="G270" s="4">
        <f t="shared" ref="G270:G274" si="12">$F270-$K270</f>
        <v>99.82</v>
      </c>
      <c r="I270" s="3" t="s">
        <v>626</v>
      </c>
      <c r="J270" s="3" t="s">
        <v>725</v>
      </c>
      <c r="K270" s="4">
        <v>15996.99</v>
      </c>
      <c r="L270" s="4">
        <v>99.82</v>
      </c>
      <c r="M270" s="4">
        <v>0</v>
      </c>
      <c r="N270" s="4">
        <v>16096.81</v>
      </c>
      <c r="O270" s="4">
        <f>Tab_07.Jul[[#This Row],[DÉBITO]]-Tab_07.Jul[[#This Row],[CRÉDITO]]</f>
        <v>99.82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SUMIFS(Tab_06.Jun[SALDO
ATUAL],Tab_06.Jun[CONTA],$I271)</f>
        <v>15527.74</v>
      </c>
      <c r="G271" s="4">
        <f t="shared" si="12"/>
        <v>0</v>
      </c>
      <c r="I271" s="3" t="s">
        <v>522</v>
      </c>
      <c r="J271" s="3" t="s">
        <v>523</v>
      </c>
      <c r="K271" s="4">
        <v>15527.74</v>
      </c>
      <c r="L271" s="4">
        <v>0</v>
      </c>
      <c r="M271" s="4">
        <v>0</v>
      </c>
      <c r="N271" s="4">
        <v>15527.74</v>
      </c>
      <c r="O271" s="4">
        <f>Tab_07.Jul[[#This Row],[DÉBITO]]-Tab_07.Jul[[#This Row],[CRÉDITO]]</f>
        <v>0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SUMIFS(Tab_06.Jun[SALDO
ATUAL],Tab_06.Jun[CONTA],$I272)</f>
        <v>569.07000000000005</v>
      </c>
      <c r="G272" s="4">
        <f t="shared" si="12"/>
        <v>99.82</v>
      </c>
      <c r="I272" s="3" t="s">
        <v>524</v>
      </c>
      <c r="J272" s="3" t="s">
        <v>525</v>
      </c>
      <c r="K272" s="4">
        <v>469.25</v>
      </c>
      <c r="L272" s="4">
        <v>99.82</v>
      </c>
      <c r="M272" s="4">
        <v>0</v>
      </c>
      <c r="N272" s="4">
        <v>569.07000000000005</v>
      </c>
      <c r="O272" s="4">
        <f>Tab_07.Jul[[#This Row],[DÉBITO]]-Tab_07.Jul[[#This Row],[CRÉDITO]]</f>
        <v>99.82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SUMIFS(Tab_06.Jun[SALDO
ATUAL],Tab_06.Jun[CONTA],$I273)</f>
        <v>21599.93</v>
      </c>
      <c r="G273" s="4">
        <f t="shared" si="12"/>
        <v>2565.3200000000002</v>
      </c>
      <c r="I273" s="3" t="s">
        <v>627</v>
      </c>
      <c r="J273" s="3" t="s">
        <v>542</v>
      </c>
      <c r="K273" s="4">
        <v>19034.61</v>
      </c>
      <c r="L273" s="4">
        <v>2565.3200000000002</v>
      </c>
      <c r="M273" s="4">
        <v>0</v>
      </c>
      <c r="N273" s="4">
        <v>21599.93</v>
      </c>
      <c r="O273" s="4">
        <f>Tab_07.Jul[[#This Row],[DÉBITO]]-Tab_07.Jul[[#This Row],[CRÉDITO]]</f>
        <v>2565.3200000000002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SUMIFS(Tab_06.Jun[SALDO
ATUAL],Tab_06.Jun[CONTA],$I274)</f>
        <v>750.01</v>
      </c>
      <c r="G274" s="4">
        <f t="shared" si="12"/>
        <v>121.89</v>
      </c>
      <c r="I274" s="3" t="s">
        <v>528</v>
      </c>
      <c r="J274" s="3" t="s">
        <v>416</v>
      </c>
      <c r="K274" s="4">
        <v>628.12</v>
      </c>
      <c r="L274" s="4">
        <v>121.89</v>
      </c>
      <c r="M274" s="4">
        <v>0</v>
      </c>
      <c r="N274" s="4">
        <v>750.01</v>
      </c>
      <c r="O274" s="4">
        <f>Tab_07.Jul[[#This Row],[DÉBITO]]-Tab_07.Jul[[#This Row],[CRÉDITO]]</f>
        <v>121.89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SUMIFS(Tab_06.Jun[SALDO
ATUAL],Tab_06.Jun[CONTA],$I275)</f>
        <v>258</v>
      </c>
      <c r="G275" s="4">
        <f t="shared" ref="G275:G288" si="13">$F275-$K275</f>
        <v>0</v>
      </c>
      <c r="I275" s="3" t="s">
        <v>529</v>
      </c>
      <c r="J275" s="3" t="s">
        <v>530</v>
      </c>
      <c r="K275" s="4">
        <v>258</v>
      </c>
      <c r="L275" s="4">
        <v>0</v>
      </c>
      <c r="M275" s="4">
        <v>0</v>
      </c>
      <c r="N275" s="4">
        <v>258</v>
      </c>
      <c r="O275" s="4">
        <f>Tab_07.Jul[[#This Row],[DÉBITO]]-Tab_07.Jul[[#This Row],[CRÉDITO]]</f>
        <v>0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A</v>
      </c>
      <c r="E276" s="2">
        <f>IF($I276="","",COUNTIFS(Tab_00.Trial[CONTA],$I276))</f>
        <v>1</v>
      </c>
      <c r="F276" s="4">
        <f>SUMIFS(Tab_06.Jun[SALDO
ATUAL],Tab_06.Jun[CONTA],$I276)</f>
        <v>1090.6300000000001</v>
      </c>
      <c r="G276" s="4">
        <f t="shared" si="13"/>
        <v>616.04999999999995</v>
      </c>
      <c r="I276" s="3" t="s">
        <v>531</v>
      </c>
      <c r="J276" s="3" t="s">
        <v>532</v>
      </c>
      <c r="K276" s="4">
        <v>474.58</v>
      </c>
      <c r="L276" s="4">
        <v>616.04999999999995</v>
      </c>
      <c r="M276" s="4">
        <v>0</v>
      </c>
      <c r="N276" s="4">
        <v>1090.6300000000001</v>
      </c>
      <c r="O276" s="4">
        <f>Tab_07.Jul[[#This Row],[DÉBITO]]-Tab_07.Jul[[#This Row],[CRÉDITO]]</f>
        <v>616.04999999999995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A</v>
      </c>
      <c r="E277" s="2">
        <f>IF($I277="","",COUNTIFS(Tab_00.Trial[CONTA],$I277))</f>
        <v>1</v>
      </c>
      <c r="F277" s="4">
        <f>SUMIFS(Tab_06.Jun[SALDO
ATUAL],Tab_06.Jun[CONTA],$I277)</f>
        <v>2100</v>
      </c>
      <c r="G277" s="4">
        <f t="shared" si="13"/>
        <v>350</v>
      </c>
      <c r="I277" s="3" t="s">
        <v>533</v>
      </c>
      <c r="J277" s="3" t="s">
        <v>534</v>
      </c>
      <c r="K277" s="4">
        <v>1750</v>
      </c>
      <c r="L277" s="4">
        <v>350</v>
      </c>
      <c r="M277" s="4">
        <v>0</v>
      </c>
      <c r="N277" s="4">
        <v>2100</v>
      </c>
      <c r="O277" s="4">
        <f>Tab_07.Jul[[#This Row],[DÉBITO]]-Tab_07.Jul[[#This Row],[CRÉDITO]]</f>
        <v>350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SUMIFS(Tab_06.Jun[SALDO
ATUAL],Tab_06.Jun[CONTA],$I278)</f>
        <v>4749.8900000000003</v>
      </c>
      <c r="G278" s="4">
        <f t="shared" si="13"/>
        <v>5.0999999999999996</v>
      </c>
      <c r="I278" s="3" t="s">
        <v>537</v>
      </c>
      <c r="J278" s="3" t="s">
        <v>538</v>
      </c>
      <c r="K278" s="4">
        <v>4744.79</v>
      </c>
      <c r="L278" s="4">
        <v>5.0999999999999996</v>
      </c>
      <c r="M278" s="4">
        <v>0</v>
      </c>
      <c r="N278" s="4">
        <v>4749.8900000000003</v>
      </c>
      <c r="O278" s="4">
        <f>Tab_07.Jul[[#This Row],[DÉBITO]]-Tab_07.Jul[[#This Row],[CRÉDITO]]</f>
        <v>5.0999999999999996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SUMIFS(Tab_06.Jun[SALDO
ATUAL],Tab_06.Jun[CONTA],$I279)</f>
        <v>10965.13</v>
      </c>
      <c r="G279" s="4">
        <f t="shared" si="13"/>
        <v>1214.8800000000001</v>
      </c>
      <c r="I279" s="3" t="s">
        <v>539</v>
      </c>
      <c r="J279" s="3" t="s">
        <v>540</v>
      </c>
      <c r="K279" s="4">
        <v>9750.25</v>
      </c>
      <c r="L279" s="4">
        <v>1214.8800000000001</v>
      </c>
      <c r="M279" s="4">
        <v>0</v>
      </c>
      <c r="N279" s="4">
        <v>10965.13</v>
      </c>
      <c r="O279" s="4">
        <f>Tab_07.Jul[[#This Row],[DÉBITO]]-Tab_07.Jul[[#This Row],[CRÉDITO]]</f>
        <v>1214.8800000000001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SUMIFS(Tab_06.Jun[SALDO
ATUAL],Tab_06.Jun[CONTA],$I280)</f>
        <v>1686.27</v>
      </c>
      <c r="G280" s="4">
        <f t="shared" si="13"/>
        <v>257.39999999999998</v>
      </c>
      <c r="I280" s="3" t="s">
        <v>541</v>
      </c>
      <c r="J280" s="3" t="s">
        <v>542</v>
      </c>
      <c r="K280" s="4">
        <v>1428.87</v>
      </c>
      <c r="L280" s="4">
        <v>257.39999999999998</v>
      </c>
      <c r="M280" s="4">
        <v>0</v>
      </c>
      <c r="N280" s="4">
        <v>1686.27</v>
      </c>
      <c r="O280" s="4">
        <f>Tab_07.Jul[[#This Row],[DÉBITO]]-Tab_07.Jul[[#This Row],[CRÉDITO]]</f>
        <v>257.39999999999998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2</v>
      </c>
      <c r="D281" s="2" t="str">
        <f>_xlfn.XLOOKUP($I281,Tab_00.Trial[CONTA],Tab_00.Trial[S/A],"",0,1)</f>
        <v>S</v>
      </c>
      <c r="E281" s="2">
        <f>IF($I281="","",COUNTIFS(Tab_00.Trial[CONTA],$I281))</f>
        <v>1</v>
      </c>
      <c r="F281" s="4">
        <f>SUMIFS(Tab_06.Jun[SALDO
ATUAL],Tab_06.Jun[CONTA],$I281)</f>
        <v>405</v>
      </c>
      <c r="G281" s="4">
        <f t="shared" si="13"/>
        <v>0</v>
      </c>
      <c r="I281" s="3" t="s">
        <v>630</v>
      </c>
      <c r="J281" s="3" t="s">
        <v>728</v>
      </c>
      <c r="K281" s="4">
        <v>405</v>
      </c>
      <c r="L281" s="4">
        <v>0</v>
      </c>
      <c r="M281" s="4">
        <v>0</v>
      </c>
      <c r="N281" s="4">
        <v>405</v>
      </c>
      <c r="O281" s="4">
        <f>Tab_07.Jul[[#This Row],[DÉBITO]]-Tab_07.Jul[[#This Row],[CRÉDITO]]</f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S</v>
      </c>
      <c r="E282" s="2">
        <f>IF($I282="","",COUNTIFS(Tab_00.Trial[CONTA],$I282))</f>
        <v>1</v>
      </c>
      <c r="F282" s="4">
        <f>SUMIFS(Tab_06.Jun[SALDO
ATUAL],Tab_06.Jun[CONTA],$I282)</f>
        <v>405</v>
      </c>
      <c r="G282" s="4">
        <f t="shared" si="13"/>
        <v>0</v>
      </c>
      <c r="I282" s="3" t="s">
        <v>631</v>
      </c>
      <c r="J282" s="3" t="s">
        <v>728</v>
      </c>
      <c r="K282" s="4">
        <v>405</v>
      </c>
      <c r="L282" s="4">
        <v>0</v>
      </c>
      <c r="M282" s="4">
        <v>0</v>
      </c>
      <c r="N282" s="4">
        <v>405</v>
      </c>
      <c r="O282" s="4">
        <f>Tab_07.Jul[[#This Row],[DÉBITO]]-Tab_07.Jul[[#This Row],[CRÉDITO]]</f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S</v>
      </c>
      <c r="E283" s="2">
        <f>IF($I283="","",COUNTIFS(Tab_00.Trial[CONTA],$I283))</f>
        <v>1</v>
      </c>
      <c r="F283" s="4">
        <f>SUMIFS(Tab_06.Jun[SALDO
ATUAL],Tab_06.Jun[CONTA],$I283)</f>
        <v>405</v>
      </c>
      <c r="G283" s="4">
        <f t="shared" si="13"/>
        <v>0</v>
      </c>
      <c r="I283" s="3" t="s">
        <v>633</v>
      </c>
      <c r="J283" s="3" t="s">
        <v>548</v>
      </c>
      <c r="K283" s="4">
        <v>405</v>
      </c>
      <c r="L283" s="4">
        <v>0</v>
      </c>
      <c r="M283" s="4">
        <v>0</v>
      </c>
      <c r="N283" s="4">
        <v>405</v>
      </c>
      <c r="O283" s="4">
        <f>Tab_07.Jul[[#This Row],[DÉBITO]]-Tab_07.Jul[[#This Row],[CRÉDITO]]</f>
        <v>0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SUMIFS(Tab_06.Jun[SALDO
ATUAL],Tab_06.Jun[CONTA],$I284)</f>
        <v>405</v>
      </c>
      <c r="G284" s="4">
        <f t="shared" si="13"/>
        <v>0</v>
      </c>
      <c r="I284" s="3" t="s">
        <v>547</v>
      </c>
      <c r="J284" s="3" t="s">
        <v>548</v>
      </c>
      <c r="K284" s="4">
        <v>405</v>
      </c>
      <c r="L284" s="4">
        <v>0</v>
      </c>
      <c r="M284" s="4">
        <v>0</v>
      </c>
      <c r="N284" s="4">
        <v>405</v>
      </c>
      <c r="O284" s="4">
        <f>Tab_07.Jul[[#This Row],[DÉBITO]]-Tab_07.Jul[[#This Row],[CRÉDITO]]</f>
        <v>0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2</v>
      </c>
      <c r="D285" s="2" t="str">
        <f>_xlfn.XLOOKUP($I285,Tab_00.Trial[CONTA],Tab_00.Trial[S/A],"",0,1)</f>
        <v>S</v>
      </c>
      <c r="E285" s="2">
        <f>IF($I285="","",COUNTIFS(Tab_00.Trial[CONTA],$I285))</f>
        <v>1</v>
      </c>
      <c r="F285" s="4">
        <f>SUMIFS(Tab_06.Jun[SALDO
ATUAL],Tab_06.Jun[CONTA],$I285)</f>
        <v>-189</v>
      </c>
      <c r="G285" s="4">
        <f t="shared" si="13"/>
        <v>0</v>
      </c>
      <c r="I285" s="3" t="s">
        <v>634</v>
      </c>
      <c r="J285" s="3" t="s">
        <v>730</v>
      </c>
      <c r="K285" s="4">
        <v>-189</v>
      </c>
      <c r="L285" s="4">
        <v>0</v>
      </c>
      <c r="M285" s="4">
        <v>0</v>
      </c>
      <c r="N285" s="4">
        <v>-189</v>
      </c>
      <c r="O285" s="4">
        <f>Tab_07.Jul[[#This Row],[DÉBITO]]-Tab_07.Jul[[#This Row],[CRÉDITO]]</f>
        <v>0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S</v>
      </c>
      <c r="E286" s="2">
        <f>IF($I286="","",COUNTIFS(Tab_00.Trial[CONTA],$I286))</f>
        <v>1</v>
      </c>
      <c r="F286" s="4">
        <f>SUMIFS(Tab_06.Jun[SALDO
ATUAL],Tab_06.Jun[CONTA],$I286)</f>
        <v>-189</v>
      </c>
      <c r="G286" s="4">
        <f t="shared" si="13"/>
        <v>0</v>
      </c>
      <c r="I286" s="3" t="s">
        <v>831</v>
      </c>
      <c r="J286" s="3" t="s">
        <v>832</v>
      </c>
      <c r="K286" s="4">
        <v>-189</v>
      </c>
      <c r="L286" s="4">
        <v>0</v>
      </c>
      <c r="M286" s="4">
        <v>0</v>
      </c>
      <c r="N286" s="4">
        <v>-189</v>
      </c>
      <c r="O286" s="4">
        <f>Tab_07.Jul[[#This Row],[DÉBITO]]-Tab_07.Jul[[#This Row],[CRÉDITO]]</f>
        <v>0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S</v>
      </c>
      <c r="E287" s="2">
        <f>IF($I287="","",COUNTIFS(Tab_00.Trial[CONTA],$I287))</f>
        <v>1</v>
      </c>
      <c r="F287" s="4">
        <f>SUMIFS(Tab_06.Jun[SALDO
ATUAL],Tab_06.Jun[CONTA],$I287)</f>
        <v>-189</v>
      </c>
      <c r="G287" s="4">
        <f t="shared" si="13"/>
        <v>0</v>
      </c>
      <c r="I287" s="3" t="s">
        <v>833</v>
      </c>
      <c r="J287" s="3" t="s">
        <v>832</v>
      </c>
      <c r="K287" s="4">
        <v>-189</v>
      </c>
      <c r="L287" s="4">
        <v>0</v>
      </c>
      <c r="M287" s="4">
        <v>0</v>
      </c>
      <c r="N287" s="4">
        <v>-189</v>
      </c>
      <c r="O287" s="4">
        <f>Tab_07.Jul[[#This Row],[DÉBITO]]-Tab_07.Jul[[#This Row],[CRÉDITO]]</f>
        <v>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A</v>
      </c>
      <c r="E288" s="2">
        <f>IF($I288="","",COUNTIFS(Tab_00.Trial[CONTA],$I288))</f>
        <v>1</v>
      </c>
      <c r="F288" s="4">
        <f>SUMIFS(Tab_06.Jun[SALDO
ATUAL],Tab_06.Jun[CONTA],$I288)</f>
        <v>-189</v>
      </c>
      <c r="G288" s="4">
        <f t="shared" si="13"/>
        <v>0</v>
      </c>
      <c r="I288" s="3" t="s">
        <v>834</v>
      </c>
      <c r="J288" s="3" t="s">
        <v>835</v>
      </c>
      <c r="K288" s="4">
        <v>-189</v>
      </c>
      <c r="L288" s="4">
        <v>0</v>
      </c>
      <c r="M288" s="4">
        <v>0</v>
      </c>
      <c r="N288" s="4">
        <v>-189</v>
      </c>
      <c r="O288" s="4">
        <f>Tab_07.Jul[[#This Row],[DÉBITO]]-Tab_07.Jul[[#This Row],[CRÉDITO]]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3EAB6-947B-4565-B129-FD99356D1172}">
  <sheetPr codeName="Planilha18"/>
  <dimension ref="B1:O296"/>
  <sheetViews>
    <sheetView showGridLines="0" showRowColHeaders="0" zoomScale="85" zoomScaleNormal="85" workbookViewId="0">
      <pane xSplit="7" ySplit="14" topLeftCell="H15" activePane="bottomRight" state="frozen"/>
      <selection activeCell="H15" sqref="H15"/>
      <selection pane="topRight" activeCell="H15" sqref="H15"/>
      <selection pane="bottomLeft" activeCell="H15" sqref="H15"/>
      <selection pane="bottomRight" activeCell="G15" sqref="G15:G29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SUMIFS(INDIRECT("Tab_08.Ago["&amp;F$14&amp;"]"),Tab_08.Ago[TP],$B2,Tab_08.Ago[NV],"A")</f>
        <v>0</v>
      </c>
      <c r="G2" s="7">
        <f ca="1">SUMIFS(INDIRECT("Tab_08.Ago["&amp;G$14&amp;"]"),Tab_08.Ago[TP],$B2,Tab_08.Ago[NV],"A")</f>
        <v>0</v>
      </c>
      <c r="H2" s="3"/>
      <c r="I2" s="3"/>
      <c r="J2" s="88" t="s">
        <v>15</v>
      </c>
      <c r="K2" s="7">
        <f ca="1">SUMIFS(INDIRECT("Tab_08.Ago["&amp;K$14&amp;"]"),Tab_08.Ago[TP],$B2,Tab_08.Ago[S/A],"A")</f>
        <v>83957861.060000002</v>
      </c>
      <c r="L2" s="7">
        <f ca="1">SUMIFS(INDIRECT("Tab_08.Ago["&amp;L$14&amp;"]"),Tab_08.Ago[TP],$B2,Tab_08.Ago[S/A],"A")</f>
        <v>1705112.11</v>
      </c>
      <c r="M2" s="7">
        <f ca="1">SUMIFS(INDIRECT("Tab_08.Ago["&amp;M$14&amp;"]"),Tab_08.Ago[TP],$B2,Tab_08.Ago[S/A],"A")</f>
        <v>1161640.1499999999</v>
      </c>
      <c r="N2" s="7">
        <f ca="1">SUMIFS(INDIRECT("Tab_08.Ago["&amp;N$14&amp;"]"),Tab_08.Ago[TP],$B2,Tab_08.Ago[S/A],"A")</f>
        <v>84501333.019999996</v>
      </c>
      <c r="O2" s="7">
        <f ca="1">SUMIFS(INDIRECT("Tab_08.Ago["&amp;O$14&amp;"]"),Tab_08.Ago[TP],$B2,Tab_08.Ago[S/A],"A")</f>
        <v>543471.96</v>
      </c>
    </row>
    <row r="3" spans="2:15" outlineLevel="1" x14ac:dyDescent="0.3">
      <c r="B3" s="2" t="s">
        <v>116</v>
      </c>
      <c r="F3" s="7">
        <f ca="1">SUMIFS(INDIRECT("Tab_08.Ago["&amp;F$14&amp;"]"),Tab_08.Ago[TP],$B3,Tab_08.Ago[NV],"A")</f>
        <v>0</v>
      </c>
      <c r="G3" s="7">
        <f ca="1">SUMIFS(INDIRECT("Tab_08.Ago["&amp;G$14&amp;"]"),Tab_08.Ago[TP],$B3,Tab_08.Ago[NV],"A")</f>
        <v>0</v>
      </c>
      <c r="H3" s="3"/>
      <c r="I3" s="3"/>
      <c r="J3" s="88" t="s">
        <v>110</v>
      </c>
      <c r="K3" s="7">
        <f ca="1">SUMIFS(INDIRECT("Tab_08.Ago["&amp;K$14&amp;"]"),Tab_08.Ago[TP],$B3,Tab_08.Ago[S/A],"A")</f>
        <v>-83213861.75</v>
      </c>
      <c r="L3" s="7">
        <f ca="1">SUMIFS(INDIRECT("Tab_08.Ago["&amp;L$14&amp;"]"),Tab_08.Ago[TP],$B3,Tab_08.Ago[S/A],"A")</f>
        <v>408811.77</v>
      </c>
      <c r="M3" s="7">
        <f ca="1">SUMIFS(INDIRECT("Tab_08.Ago["&amp;M$14&amp;"]"),Tab_08.Ago[TP],$B3,Tab_08.Ago[S/A],"A")</f>
        <v>543187.61</v>
      </c>
      <c r="N3" s="7">
        <f ca="1">SUMIFS(INDIRECT("Tab_08.Ago["&amp;N$14&amp;"]"),Tab_08.Ago[TP],$B3,Tab_08.Ago[S/A],"A")</f>
        <v>-83348237.590000004</v>
      </c>
      <c r="O3" s="7">
        <f ca="1">SUMIFS(INDIRECT("Tab_08.Ago["&amp;O$14&amp;"]"),Tab_08.Ago[TP],$B3,Tab_08.Ago[S/A],"A")</f>
        <v>-134375.84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743999.31</v>
      </c>
      <c r="L4" s="8">
        <f t="shared" ca="1" si="0"/>
        <v>2113923.88</v>
      </c>
      <c r="M4" s="8">
        <f t="shared" ca="1" si="0"/>
        <v>1704827.76</v>
      </c>
      <c r="N4" s="8">
        <f ca="1">SUM(N$2:N$3)</f>
        <v>1153095.43</v>
      </c>
      <c r="O4" s="8">
        <f t="shared" ca="1" si="0"/>
        <v>409096.12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SUMIFS(INDIRECT("Tab_08.Ago["&amp;F$14&amp;"]"),Tab_08.Ago[TP],$B6,Tab_08.Ago[NV],"A")</f>
        <v>0</v>
      </c>
      <c r="G6" s="7">
        <f ca="1">SUMIFS(INDIRECT("Tab_08.Ago["&amp;G$14&amp;"]"),Tab_08.Ago[TP],$B6,Tab_08.Ago[NV],"A")</f>
        <v>0</v>
      </c>
      <c r="H6" s="3"/>
      <c r="I6" s="3"/>
      <c r="J6" s="88" t="s">
        <v>18</v>
      </c>
      <c r="K6" s="7">
        <f ca="1">SUMIFS(INDIRECT("Tab_08.Ago["&amp;K$14&amp;"]"),Tab_08.Ago[TP],$B6,Tab_08.Ago[S/A],"A")</f>
        <v>-7450569.2599999998</v>
      </c>
      <c r="L6" s="7">
        <f ca="1">SUMIFS(INDIRECT("Tab_08.Ago["&amp;L$14&amp;"]"),Tab_08.Ago[TP],$B6,Tab_08.Ago[S/A],"A")</f>
        <v>11</v>
      </c>
      <c r="M6" s="7">
        <f ca="1">SUMIFS(INDIRECT("Tab_08.Ago["&amp;M$14&amp;"]"),Tab_08.Ago[TP],$B6,Tab_08.Ago[S/A],"A")</f>
        <v>1494895.3</v>
      </c>
      <c r="N6" s="7">
        <f ca="1">SUMIFS(INDIRECT("Tab_08.Ago["&amp;N$14&amp;"]"),Tab_08.Ago[TP],$B6,Tab_08.Ago[S/A],"A")</f>
        <v>-8945453.5600000005</v>
      </c>
      <c r="O6" s="7">
        <f ca="1">SUMIFS(INDIRECT("Tab_08.Ago["&amp;O$14&amp;"]"),Tab_08.Ago[TP],$B6,Tab_08.Ago[S/A],"A")</f>
        <v>-1494884.3</v>
      </c>
    </row>
    <row r="7" spans="2:15" outlineLevel="1" x14ac:dyDescent="0.3">
      <c r="B7" s="2" t="s">
        <v>20</v>
      </c>
      <c r="F7" s="7">
        <f ca="1">SUMIFS(INDIRECT("Tab_08.Ago["&amp;F$14&amp;"]"),Tab_08.Ago[TP],$B7,Tab_08.Ago[NV],"A")</f>
        <v>0</v>
      </c>
      <c r="G7" s="7">
        <f ca="1">SUMIFS(INDIRECT("Tab_08.Ago["&amp;G$14&amp;"]"),Tab_08.Ago[TP],$B7,Tab_08.Ago[NV],"A")</f>
        <v>0</v>
      </c>
      <c r="H7" s="3"/>
      <c r="I7" s="3"/>
      <c r="J7" s="88" t="s">
        <v>111</v>
      </c>
      <c r="K7" s="7">
        <f ca="1">SUMIFS(INDIRECT("Tab_08.Ago["&amp;K$14&amp;"]"),Tab_08.Ago[TP],$B7,Tab_08.Ago[S/A],"A")</f>
        <v>6706569.9500000002</v>
      </c>
      <c r="L7" s="7">
        <f ca="1">SUMIFS(INDIRECT("Tab_08.Ago["&amp;L$14&amp;"]"),Tab_08.Ago[TP],$B7,Tab_08.Ago[S/A],"A")</f>
        <v>1114295.33</v>
      </c>
      <c r="M7" s="7">
        <f ca="1">SUMIFS(INDIRECT("Tab_08.Ago["&amp;M$14&amp;"]"),Tab_08.Ago[TP],$B7,Tab_08.Ago[S/A],"A")</f>
        <v>28507.15</v>
      </c>
      <c r="N7" s="7">
        <f ca="1">SUMIFS(INDIRECT("Tab_08.Ago["&amp;N$14&amp;"]"),Tab_08.Ago[TP],$B7,Tab_08.Ago[S/A],"A")</f>
        <v>7792358.1299999999</v>
      </c>
      <c r="O7" s="7">
        <f ca="1">SUMIFS(INDIRECT("Tab_08.Ago["&amp;O$14&amp;"]"),Tab_08.Ago[TP],$B7,Tab_08.Ago[S/A],"A")</f>
        <v>1085788.18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-743999.31</v>
      </c>
      <c r="L8" s="8">
        <f ca="1">SUM(L$6:L$7)</f>
        <v>1114306.33</v>
      </c>
      <c r="M8" s="8">
        <f ca="1">SUM(M$6:M$7)</f>
        <v>1523402.45</v>
      </c>
      <c r="N8" s="8">
        <f ca="1">SUM(N$6:N$7)</f>
        <v>-1153095.43</v>
      </c>
      <c r="O8" s="8">
        <f ca="1">SUM(O$6:O$7)</f>
        <v>-409096.12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3228230.21</v>
      </c>
      <c r="M10" s="11">
        <f t="shared" ca="1" si="1"/>
        <v>3228230.21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SUBTOTAL(9,Tab_08.Ago[SALDO FINAL
ANTERIOR])</f>
        <v>0</v>
      </c>
      <c r="G12" s="7">
        <f>SUBTOTAL(9,Tab_08.Ago[DIFERENÇA])</f>
        <v>0</v>
      </c>
      <c r="H12" s="3"/>
      <c r="I12" s="3"/>
      <c r="J12" s="3"/>
      <c r="K12" s="7">
        <f>SUBTOTAL(9,Tab_08.Ago[SALDO
ANTERIOR])</f>
        <v>0</v>
      </c>
      <c r="L12" s="7">
        <f>SUBTOTAL(9,Tab_08.Ago[DÉBITO])</f>
        <v>16141151.050000001</v>
      </c>
      <c r="M12" s="7">
        <f>SUBTOTAL(9,Tab_08.Ago[CRÉDITO])</f>
        <v>16141151.050000001</v>
      </c>
      <c r="N12" s="7">
        <f>SUBTOTAL(9,Tab_08.Ago[SALDO
ATUAL])</f>
        <v>0</v>
      </c>
      <c r="O12" s="7">
        <f>SUBTOTAL(9,Tab_08.Ago[MOVIMENTO])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SUMIFS(Tab_07.Jul[SALDO
ATUAL],Tab_07.Jul[CONTA],$I15)</f>
        <v>84501333.019999996</v>
      </c>
      <c r="G15" s="4">
        <f>$F15-$K15</f>
        <v>543471.96</v>
      </c>
      <c r="H15" s="3"/>
      <c r="I15" s="3">
        <v>1</v>
      </c>
      <c r="J15" s="3" t="s">
        <v>637</v>
      </c>
      <c r="K15" s="4">
        <v>83957861.060000002</v>
      </c>
      <c r="L15" s="4">
        <v>1705112.11</v>
      </c>
      <c r="M15" s="4">
        <v>1161640.1499999999</v>
      </c>
      <c r="N15" s="4">
        <v>84501333.019999996</v>
      </c>
      <c r="O15" s="4">
        <f t="shared" ref="O15:O17" si="2">$L15-$M15</f>
        <v>543471.96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SUMIFS(Tab_07.Jul[SALDO
ATUAL],Tab_07.Jul[CONTA],$I16)</f>
        <v>10902560.52</v>
      </c>
      <c r="G16" s="4">
        <f>$F16-$K16</f>
        <v>209976.12</v>
      </c>
      <c r="H16" s="3"/>
      <c r="I16" s="3" t="s">
        <v>197</v>
      </c>
      <c r="J16" s="3" t="s">
        <v>247</v>
      </c>
      <c r="K16" s="4">
        <v>10692584.4</v>
      </c>
      <c r="L16" s="4">
        <v>1367949.52</v>
      </c>
      <c r="M16" s="4">
        <v>1157973.3999999999</v>
      </c>
      <c r="N16" s="4">
        <v>10902560.52</v>
      </c>
      <c r="O16" s="4">
        <f t="shared" si="2"/>
        <v>209976.12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SUMIFS(Tab_07.Jul[SALDO
ATUAL],Tab_07.Jul[CONTA],$I17)</f>
        <v>10708727.35</v>
      </c>
      <c r="G17" s="4">
        <f>$F17-$K17</f>
        <v>229205.22</v>
      </c>
      <c r="H17" s="3"/>
      <c r="I17" s="3" t="s">
        <v>199</v>
      </c>
      <c r="J17" s="3" t="s">
        <v>638</v>
      </c>
      <c r="K17" s="4">
        <v>10479522.130000001</v>
      </c>
      <c r="L17" s="4">
        <v>1363445.51</v>
      </c>
      <c r="M17" s="4">
        <v>1134240.29</v>
      </c>
      <c r="N17" s="4">
        <v>10708727.35</v>
      </c>
      <c r="O17" s="4">
        <f t="shared" si="2"/>
        <v>229205.22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SUMIFS(Tab_07.Jul[SALDO
ATUAL],Tab_07.Jul[CONTA],$I18)</f>
        <v>1243.94</v>
      </c>
      <c r="G18" s="4">
        <f t="shared" ref="G18:G49" si="3">$F18-$K18</f>
        <v>-906.62</v>
      </c>
      <c r="I18" s="3" t="s">
        <v>201</v>
      </c>
      <c r="J18" s="3" t="s">
        <v>639</v>
      </c>
      <c r="K18" s="4">
        <v>2150.56</v>
      </c>
      <c r="L18" s="4">
        <v>0</v>
      </c>
      <c r="M18" s="4">
        <v>906.62</v>
      </c>
      <c r="N18" s="4">
        <v>1243.94</v>
      </c>
      <c r="O18" s="4">
        <f t="shared" ref="O18:O49" si="4">$L18-$M18</f>
        <v>-906.62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SUMIFS(Tab_07.Jul[SALDO
ATUAL],Tab_07.Jul[CONTA],$I19)</f>
        <v>1243.94</v>
      </c>
      <c r="G19" s="4">
        <f t="shared" si="3"/>
        <v>-906.62</v>
      </c>
      <c r="I19" s="3" t="s">
        <v>176</v>
      </c>
      <c r="J19" s="3" t="s">
        <v>274</v>
      </c>
      <c r="K19" s="4">
        <v>2150.56</v>
      </c>
      <c r="L19" s="4">
        <v>0</v>
      </c>
      <c r="M19" s="4">
        <v>906.62</v>
      </c>
      <c r="N19" s="4">
        <v>1243.94</v>
      </c>
      <c r="O19" s="4">
        <f t="shared" si="4"/>
        <v>-906.62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SUMIFS(Tab_07.Jul[SALDO
ATUAL],Tab_07.Jul[CONTA],$I20)</f>
        <v>22507.02</v>
      </c>
      <c r="G20" s="4">
        <f t="shared" si="3"/>
        <v>-3203.77</v>
      </c>
      <c r="I20" s="3" t="s">
        <v>202</v>
      </c>
      <c r="J20" s="3" t="s">
        <v>640</v>
      </c>
      <c r="K20" s="4">
        <v>25710.79</v>
      </c>
      <c r="L20" s="4">
        <v>824741.99</v>
      </c>
      <c r="M20" s="4">
        <v>827945.76</v>
      </c>
      <c r="N20" s="4">
        <v>22507.02</v>
      </c>
      <c r="O20" s="4">
        <f t="shared" si="4"/>
        <v>-3203.77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SUMIFS(Tab_07.Jul[SALDO
ATUAL],Tab_07.Jul[CONTA],$I21)</f>
        <v>1.01</v>
      </c>
      <c r="G21" s="4">
        <f t="shared" si="3"/>
        <v>0</v>
      </c>
      <c r="I21" s="3" t="s">
        <v>277</v>
      </c>
      <c r="J21" s="3" t="s">
        <v>278</v>
      </c>
      <c r="K21" s="4">
        <v>1.01</v>
      </c>
      <c r="L21" s="4">
        <v>816998.19</v>
      </c>
      <c r="M21" s="4">
        <v>816998.19</v>
      </c>
      <c r="N21" s="4">
        <v>1.01</v>
      </c>
      <c r="O21" s="4">
        <f t="shared" si="4"/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SUMIFS(Tab_07.Jul[SALDO
ATUAL],Tab_07.Jul[CONTA],$I22)</f>
        <v>18084.73</v>
      </c>
      <c r="G22" s="4">
        <f t="shared" si="3"/>
        <v>-147.27000000000001</v>
      </c>
      <c r="I22" s="3" t="s">
        <v>177</v>
      </c>
      <c r="J22" s="3" t="s">
        <v>279</v>
      </c>
      <c r="K22" s="4">
        <v>18232</v>
      </c>
      <c r="L22" s="4">
        <v>7693.8</v>
      </c>
      <c r="M22" s="4">
        <v>7841.07</v>
      </c>
      <c r="N22" s="4">
        <v>18084.73</v>
      </c>
      <c r="O22" s="4">
        <f t="shared" si="4"/>
        <v>-147.27000000000001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SUMIFS(Tab_07.Jul[SALDO
ATUAL],Tab_07.Jul[CONTA],$I23)</f>
        <v>4421.28</v>
      </c>
      <c r="G23" s="4">
        <f t="shared" si="3"/>
        <v>-3056.5</v>
      </c>
      <c r="I23" s="3" t="s">
        <v>280</v>
      </c>
      <c r="J23" s="3" t="s">
        <v>281</v>
      </c>
      <c r="K23" s="4">
        <v>7477.78</v>
      </c>
      <c r="L23" s="4">
        <v>50</v>
      </c>
      <c r="M23" s="4">
        <v>3106.5</v>
      </c>
      <c r="N23" s="4">
        <v>4421.28</v>
      </c>
      <c r="O23" s="4">
        <f t="shared" si="4"/>
        <v>-3056.5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SUMIFS(Tab_07.Jul[SALDO
ATUAL],Tab_07.Jul[CONTA],$I24)</f>
        <v>10684976.390000001</v>
      </c>
      <c r="G24" s="4">
        <f t="shared" si="3"/>
        <v>233315.61</v>
      </c>
      <c r="I24" s="3" t="s">
        <v>203</v>
      </c>
      <c r="J24" s="3" t="s">
        <v>641</v>
      </c>
      <c r="K24" s="4">
        <v>10451660.779999999</v>
      </c>
      <c r="L24" s="4">
        <v>538703.52</v>
      </c>
      <c r="M24" s="4">
        <v>305387.90999999997</v>
      </c>
      <c r="N24" s="4">
        <v>10684976.390000001</v>
      </c>
      <c r="O24" s="4">
        <f t="shared" si="4"/>
        <v>233315.61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SUMIFS(Tab_07.Jul[SALDO
ATUAL],Tab_07.Jul[CONTA],$I25)</f>
        <v>4933795.4400000004</v>
      </c>
      <c r="G25" s="4">
        <f t="shared" si="3"/>
        <v>182444.01</v>
      </c>
      <c r="I25" s="3" t="s">
        <v>178</v>
      </c>
      <c r="J25" s="3" t="s">
        <v>284</v>
      </c>
      <c r="K25" s="4">
        <v>4751351.43</v>
      </c>
      <c r="L25" s="4">
        <v>487831.92</v>
      </c>
      <c r="M25" s="4">
        <v>305387.90999999997</v>
      </c>
      <c r="N25" s="4">
        <v>4933795.4400000004</v>
      </c>
      <c r="O25" s="4">
        <f t="shared" si="4"/>
        <v>182444.01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SUMIFS(Tab_07.Jul[SALDO
ATUAL],Tab_07.Jul[CONTA],$I26)</f>
        <v>5751180.9500000002</v>
      </c>
      <c r="G26" s="4">
        <f t="shared" si="3"/>
        <v>50871.6</v>
      </c>
      <c r="I26" s="3" t="s">
        <v>287</v>
      </c>
      <c r="J26" s="3" t="s">
        <v>288</v>
      </c>
      <c r="K26" s="4">
        <v>5700309.3499999996</v>
      </c>
      <c r="L26" s="4">
        <v>50871.6</v>
      </c>
      <c r="M26" s="4">
        <v>0</v>
      </c>
      <c r="N26" s="4">
        <v>5751180.9500000002</v>
      </c>
      <c r="O26" s="4">
        <f t="shared" si="4"/>
        <v>50871.6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SUMIFS(Tab_07.Jul[SALDO
ATUAL],Tab_07.Jul[CONTA],$I27)</f>
        <v>99274.97</v>
      </c>
      <c r="G27" s="4">
        <f t="shared" si="3"/>
        <v>0</v>
      </c>
      <c r="I27" s="3" t="s">
        <v>204</v>
      </c>
      <c r="J27" s="3" t="s">
        <v>642</v>
      </c>
      <c r="K27" s="4">
        <v>99274.97</v>
      </c>
      <c r="L27" s="4">
        <v>50</v>
      </c>
      <c r="M27" s="4">
        <v>50</v>
      </c>
      <c r="N27" s="4">
        <v>99274.97</v>
      </c>
      <c r="O27" s="4">
        <f t="shared" si="4"/>
        <v>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SUMIFS(Tab_07.Jul[SALDO
ATUAL],Tab_07.Jul[CONTA],$I28)</f>
        <v>99274.97</v>
      </c>
      <c r="G28" s="4">
        <f t="shared" si="3"/>
        <v>0</v>
      </c>
      <c r="I28" s="3" t="s">
        <v>205</v>
      </c>
      <c r="J28" s="3" t="s">
        <v>643</v>
      </c>
      <c r="K28" s="4">
        <v>99274.97</v>
      </c>
      <c r="L28" s="4">
        <v>50</v>
      </c>
      <c r="M28" s="4">
        <v>50</v>
      </c>
      <c r="N28" s="4">
        <v>99274.97</v>
      </c>
      <c r="O28" s="4">
        <f t="shared" si="4"/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SUMIFS(Tab_07.Jul[SALDO
ATUAL],Tab_07.Jul[CONTA],$I29)</f>
        <v>99274.97</v>
      </c>
      <c r="G29" s="4">
        <f t="shared" si="3"/>
        <v>0</v>
      </c>
      <c r="I29" s="3" t="s">
        <v>291</v>
      </c>
      <c r="J29" s="3" t="s">
        <v>292</v>
      </c>
      <c r="K29" s="4">
        <v>99274.97</v>
      </c>
      <c r="L29" s="4">
        <v>50</v>
      </c>
      <c r="M29" s="4">
        <v>50</v>
      </c>
      <c r="N29" s="4">
        <v>99274.97</v>
      </c>
      <c r="O29" s="4">
        <f t="shared" si="4"/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SUMIFS(Tab_07.Jul[SALDO
ATUAL],Tab_07.Jul[CONTA],$I30)</f>
        <v>15213.77</v>
      </c>
      <c r="G30" s="4">
        <f t="shared" si="3"/>
        <v>-18941.36</v>
      </c>
      <c r="I30" s="3" t="s">
        <v>206</v>
      </c>
      <c r="J30" s="3" t="s">
        <v>644</v>
      </c>
      <c r="K30" s="4">
        <v>34155.129999999997</v>
      </c>
      <c r="L30" s="4">
        <v>4454.01</v>
      </c>
      <c r="M30" s="4">
        <v>23395.37</v>
      </c>
      <c r="N30" s="4">
        <v>15213.77</v>
      </c>
      <c r="O30" s="4">
        <f t="shared" si="4"/>
        <v>-18941.36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SUMIFS(Tab_07.Jul[SALDO
ATUAL],Tab_07.Jul[CONTA],$I31)</f>
        <v>0</v>
      </c>
      <c r="G31" s="4">
        <f t="shared" si="3"/>
        <v>-18930.36</v>
      </c>
      <c r="I31" s="3" t="s">
        <v>208</v>
      </c>
      <c r="J31" s="3" t="s">
        <v>139</v>
      </c>
      <c r="K31" s="4">
        <v>18930.36</v>
      </c>
      <c r="L31" s="4">
        <v>4454.01</v>
      </c>
      <c r="M31" s="4">
        <v>23384.37</v>
      </c>
      <c r="N31" s="4">
        <v>0</v>
      </c>
      <c r="O31" s="4">
        <f t="shared" si="4"/>
        <v>-18930.36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SUMIFS(Tab_07.Jul[SALDO
ATUAL],Tab_07.Jul[CONTA],$I32)</f>
        <v>0</v>
      </c>
      <c r="G32" s="4">
        <f t="shared" si="3"/>
        <v>-18930.36</v>
      </c>
      <c r="I32" s="3" t="s">
        <v>294</v>
      </c>
      <c r="J32" s="3" t="s">
        <v>295</v>
      </c>
      <c r="K32" s="4">
        <v>18930.36</v>
      </c>
      <c r="L32" s="4">
        <v>4454.01</v>
      </c>
      <c r="M32" s="4">
        <v>23384.37</v>
      </c>
      <c r="N32" s="4">
        <v>0</v>
      </c>
      <c r="O32" s="4">
        <f t="shared" si="4"/>
        <v>-18930.36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SUMIFS(Tab_07.Jul[SALDO
ATUAL],Tab_07.Jul[CONTA],$I33)</f>
        <v>15213.77</v>
      </c>
      <c r="G33" s="4">
        <f t="shared" si="3"/>
        <v>-11</v>
      </c>
      <c r="I33" s="3" t="s">
        <v>551</v>
      </c>
      <c r="J33" s="3" t="s">
        <v>645</v>
      </c>
      <c r="K33" s="4">
        <v>15224.77</v>
      </c>
      <c r="L33" s="4">
        <v>0</v>
      </c>
      <c r="M33" s="4">
        <v>11</v>
      </c>
      <c r="N33" s="4">
        <v>15213.77</v>
      </c>
      <c r="O33" s="4">
        <f t="shared" si="4"/>
        <v>-11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SUMIFS(Tab_07.Jul[SALDO
ATUAL],Tab_07.Jul[CONTA],$I34)</f>
        <v>15213.77</v>
      </c>
      <c r="G34" s="4">
        <f t="shared" si="3"/>
        <v>-11</v>
      </c>
      <c r="I34" s="3" t="s">
        <v>837</v>
      </c>
      <c r="J34" s="3" t="s">
        <v>838</v>
      </c>
      <c r="K34" s="4">
        <v>15224.77</v>
      </c>
      <c r="L34" s="4">
        <v>0</v>
      </c>
      <c r="M34" s="4">
        <v>11</v>
      </c>
      <c r="N34" s="4">
        <v>15213.77</v>
      </c>
      <c r="O34" s="4">
        <f t="shared" si="4"/>
        <v>-11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SUMIFS(Tab_07.Jul[SALDO
ATUAL],Tab_07.Jul[CONTA],$I35)</f>
        <v>78781.539999999994</v>
      </c>
      <c r="G35" s="4">
        <f t="shared" si="3"/>
        <v>0</v>
      </c>
      <c r="I35" s="3" t="s">
        <v>846</v>
      </c>
      <c r="J35" s="3" t="s">
        <v>847</v>
      </c>
      <c r="K35" s="4">
        <v>78781.539999999994</v>
      </c>
      <c r="L35" s="4">
        <v>0</v>
      </c>
      <c r="M35" s="4">
        <v>0</v>
      </c>
      <c r="N35" s="4">
        <v>78781.539999999994</v>
      </c>
      <c r="O35" s="4">
        <f t="shared" si="4"/>
        <v>0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SUMIFS(Tab_07.Jul[SALDO
ATUAL],Tab_07.Jul[CONTA],$I36)</f>
        <v>78781.539999999994</v>
      </c>
      <c r="G36" s="4">
        <f t="shared" si="3"/>
        <v>0</v>
      </c>
      <c r="I36" s="3" t="s">
        <v>848</v>
      </c>
      <c r="J36" s="3" t="s">
        <v>849</v>
      </c>
      <c r="K36" s="4">
        <v>78781.539999999994</v>
      </c>
      <c r="L36" s="4">
        <v>0</v>
      </c>
      <c r="M36" s="4">
        <v>0</v>
      </c>
      <c r="N36" s="4">
        <v>78781.539999999994</v>
      </c>
      <c r="O36" s="4">
        <f t="shared" si="4"/>
        <v>0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SUMIFS(Tab_07.Jul[SALDO
ATUAL],Tab_07.Jul[CONTA],$I37)</f>
        <v>78781.539999999994</v>
      </c>
      <c r="G37" s="4">
        <f t="shared" si="3"/>
        <v>0</v>
      </c>
      <c r="I37" s="3" t="s">
        <v>850</v>
      </c>
      <c r="J37" s="3" t="s">
        <v>849</v>
      </c>
      <c r="K37" s="4">
        <v>78781.539999999994</v>
      </c>
      <c r="L37" s="4">
        <v>0</v>
      </c>
      <c r="M37" s="4">
        <v>0</v>
      </c>
      <c r="N37" s="4">
        <v>78781.539999999994</v>
      </c>
      <c r="O37" s="4">
        <f t="shared" si="4"/>
        <v>0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SUMIFS(Tab_07.Jul[SALDO
ATUAL],Tab_07.Jul[CONTA],$I38)</f>
        <v>562.89</v>
      </c>
      <c r="G38" s="4">
        <f t="shared" si="3"/>
        <v>-287.74</v>
      </c>
      <c r="I38" s="3" t="s">
        <v>209</v>
      </c>
      <c r="J38" s="3" t="s">
        <v>646</v>
      </c>
      <c r="K38" s="4">
        <v>850.63</v>
      </c>
      <c r="L38" s="4">
        <v>0</v>
      </c>
      <c r="M38" s="4">
        <v>287.74</v>
      </c>
      <c r="N38" s="4">
        <v>562.89</v>
      </c>
      <c r="O38" s="4">
        <f t="shared" si="4"/>
        <v>-287.74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S</v>
      </c>
      <c r="E39" s="2">
        <f>IF($I39="","",COUNTIFS(Tab_00.Trial[CONTA],$I39))</f>
        <v>1</v>
      </c>
      <c r="F39" s="4">
        <f>SUMIFS(Tab_07.Jul[SALDO
ATUAL],Tab_07.Jul[CONTA],$I39)</f>
        <v>562.89</v>
      </c>
      <c r="G39" s="4">
        <f t="shared" si="3"/>
        <v>-287.74</v>
      </c>
      <c r="I39" s="3" t="s">
        <v>210</v>
      </c>
      <c r="J39" s="3" t="s">
        <v>646</v>
      </c>
      <c r="K39" s="4">
        <v>850.63</v>
      </c>
      <c r="L39" s="4">
        <v>0</v>
      </c>
      <c r="M39" s="4">
        <v>287.74</v>
      </c>
      <c r="N39" s="4">
        <v>562.89</v>
      </c>
      <c r="O39" s="4">
        <f t="shared" si="4"/>
        <v>-287.74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A</v>
      </c>
      <c r="E40" s="2">
        <f>IF($I40="","",COUNTIFS(Tab_00.Trial[CONTA],$I40))</f>
        <v>1</v>
      </c>
      <c r="F40" s="4">
        <f>SUMIFS(Tab_07.Jul[SALDO
ATUAL],Tab_07.Jul[CONTA],$I40)</f>
        <v>562.89</v>
      </c>
      <c r="G40" s="4">
        <f t="shared" si="3"/>
        <v>-287.74</v>
      </c>
      <c r="I40" s="3" t="s">
        <v>298</v>
      </c>
      <c r="J40" s="3" t="s">
        <v>299</v>
      </c>
      <c r="K40" s="4">
        <v>850.63</v>
      </c>
      <c r="L40" s="4">
        <v>0</v>
      </c>
      <c r="M40" s="4">
        <v>287.74</v>
      </c>
      <c r="N40" s="4">
        <v>562.89</v>
      </c>
      <c r="O40" s="4">
        <f t="shared" si="4"/>
        <v>-287.74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2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SUMIFS(Tab_07.Jul[SALDO
ATUAL],Tab_07.Jul[CONTA],$I41)</f>
        <v>73598772.5</v>
      </c>
      <c r="G41" s="4">
        <f t="shared" si="3"/>
        <v>333495.84000000003</v>
      </c>
      <c r="I41" s="3" t="s">
        <v>211</v>
      </c>
      <c r="J41" s="3" t="s">
        <v>76</v>
      </c>
      <c r="K41" s="4">
        <v>73265276.659999996</v>
      </c>
      <c r="L41" s="4">
        <v>337162.59</v>
      </c>
      <c r="M41" s="4">
        <v>3666.75</v>
      </c>
      <c r="N41" s="4">
        <v>73598772.5</v>
      </c>
      <c r="O41" s="4">
        <f t="shared" si="4"/>
        <v>333495.84000000003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SUMIFS(Tab_07.Jul[SALDO
ATUAL],Tab_07.Jul[CONTA],$I42)</f>
        <v>255285.62</v>
      </c>
      <c r="G42" s="4">
        <f t="shared" si="3"/>
        <v>322.2</v>
      </c>
      <c r="I42" s="3" t="s">
        <v>552</v>
      </c>
      <c r="J42" s="3" t="s">
        <v>647</v>
      </c>
      <c r="K42" s="4">
        <v>254963.42</v>
      </c>
      <c r="L42" s="4">
        <v>322.2</v>
      </c>
      <c r="M42" s="4">
        <v>0</v>
      </c>
      <c r="N42" s="4">
        <v>255285.62</v>
      </c>
      <c r="O42" s="4">
        <f t="shared" si="4"/>
        <v>322.2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SUMIFS(Tab_07.Jul[SALDO
ATUAL],Tab_07.Jul[CONTA],$I43)</f>
        <v>255285.62</v>
      </c>
      <c r="G43" s="4">
        <f t="shared" si="3"/>
        <v>322.2</v>
      </c>
      <c r="I43" s="3" t="s">
        <v>553</v>
      </c>
      <c r="J43" s="3" t="s">
        <v>301</v>
      </c>
      <c r="K43" s="4">
        <v>254963.42</v>
      </c>
      <c r="L43" s="4">
        <v>322.2</v>
      </c>
      <c r="M43" s="4">
        <v>0</v>
      </c>
      <c r="N43" s="4">
        <v>255285.62</v>
      </c>
      <c r="O43" s="4">
        <f t="shared" si="4"/>
        <v>322.2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SUMIFS(Tab_07.Jul[SALDO
ATUAL],Tab_07.Jul[CONTA],$I44)</f>
        <v>255285.62</v>
      </c>
      <c r="G44" s="4">
        <f t="shared" si="3"/>
        <v>322.2</v>
      </c>
      <c r="I44" s="3" t="s">
        <v>300</v>
      </c>
      <c r="J44" s="3" t="s">
        <v>301</v>
      </c>
      <c r="K44" s="4">
        <v>254963.42</v>
      </c>
      <c r="L44" s="4">
        <v>322.2</v>
      </c>
      <c r="M44" s="4">
        <v>0</v>
      </c>
      <c r="N44" s="4">
        <v>255285.62</v>
      </c>
      <c r="O44" s="4">
        <f t="shared" si="4"/>
        <v>322.2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SUMIFS(Tab_07.Jul[SALDO
ATUAL],Tab_07.Jul[CONTA],$I45)</f>
        <v>70977841.069999993</v>
      </c>
      <c r="G45" s="4">
        <f t="shared" si="3"/>
        <v>336840.39</v>
      </c>
      <c r="I45" s="3" t="s">
        <v>554</v>
      </c>
      <c r="J45" s="3" t="s">
        <v>648</v>
      </c>
      <c r="K45" s="4">
        <v>70641000.680000007</v>
      </c>
      <c r="L45" s="4">
        <v>336840.39</v>
      </c>
      <c r="M45" s="4">
        <v>0</v>
      </c>
      <c r="N45" s="4">
        <v>70977841.069999993</v>
      </c>
      <c r="O45" s="4">
        <f t="shared" si="4"/>
        <v>336840.39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SUMIFS(Tab_07.Jul[SALDO
ATUAL],Tab_07.Jul[CONTA],$I46)</f>
        <v>45344232.229999997</v>
      </c>
      <c r="G46" s="4">
        <f t="shared" si="3"/>
        <v>0</v>
      </c>
      <c r="I46" s="3" t="s">
        <v>555</v>
      </c>
      <c r="J46" s="3" t="s">
        <v>649</v>
      </c>
      <c r="K46" s="4">
        <v>45344232.229999997</v>
      </c>
      <c r="L46" s="4">
        <v>0</v>
      </c>
      <c r="M46" s="4">
        <v>0</v>
      </c>
      <c r="N46" s="4">
        <v>45344232.229999997</v>
      </c>
      <c r="O46" s="4">
        <f t="shared" si="4"/>
        <v>0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A</v>
      </c>
      <c r="E47" s="2">
        <f>IF($I47="","",COUNTIFS(Tab_00.Trial[CONTA],$I47))</f>
        <v>1</v>
      </c>
      <c r="F47" s="4">
        <f>SUMIFS(Tab_07.Jul[SALDO
ATUAL],Tab_07.Jul[CONTA],$I47)</f>
        <v>42477392.43</v>
      </c>
      <c r="G47" s="4">
        <f t="shared" si="3"/>
        <v>0</v>
      </c>
      <c r="I47" s="3" t="s">
        <v>302</v>
      </c>
      <c r="J47" s="3" t="s">
        <v>303</v>
      </c>
      <c r="K47" s="4">
        <v>42477392.43</v>
      </c>
      <c r="L47" s="4">
        <v>0</v>
      </c>
      <c r="M47" s="4">
        <v>0</v>
      </c>
      <c r="N47" s="4">
        <v>42477392.43</v>
      </c>
      <c r="O47" s="4">
        <f t="shared" si="4"/>
        <v>0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SUMIFS(Tab_07.Jul[SALDO
ATUAL],Tab_07.Jul[CONTA],$I48)</f>
        <v>2866839.8</v>
      </c>
      <c r="G48" s="4">
        <f t="shared" si="3"/>
        <v>0</v>
      </c>
      <c r="I48" s="3" t="s">
        <v>304</v>
      </c>
      <c r="J48" s="3" t="s">
        <v>305</v>
      </c>
      <c r="K48" s="4">
        <v>2866839.8</v>
      </c>
      <c r="L48" s="4">
        <v>0</v>
      </c>
      <c r="M48" s="4">
        <v>0</v>
      </c>
      <c r="N48" s="4">
        <v>2866839.8</v>
      </c>
      <c r="O48" s="4">
        <f t="shared" si="4"/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SUMIFS(Tab_07.Jul[SALDO
ATUAL],Tab_07.Jul[CONTA],$I49)</f>
        <v>4760.84</v>
      </c>
      <c r="G49" s="4">
        <f t="shared" si="3"/>
        <v>0</v>
      </c>
      <c r="I49" s="3" t="s">
        <v>556</v>
      </c>
      <c r="J49" s="3" t="s">
        <v>650</v>
      </c>
      <c r="K49" s="4">
        <v>4760.84</v>
      </c>
      <c r="L49" s="4">
        <v>0</v>
      </c>
      <c r="M49" s="4">
        <v>0</v>
      </c>
      <c r="N49" s="4">
        <v>4760.84</v>
      </c>
      <c r="O49" s="4">
        <f t="shared" si="4"/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SUMIFS(Tab_07.Jul[SALDO
ATUAL],Tab_07.Jul[CONTA],$I50)</f>
        <v>4760.84</v>
      </c>
      <c r="G50" s="4">
        <f t="shared" ref="G50:G81" si="5">$F50-$K50</f>
        <v>0</v>
      </c>
      <c r="I50" s="3" t="s">
        <v>306</v>
      </c>
      <c r="J50" s="3" t="s">
        <v>307</v>
      </c>
      <c r="K50" s="4">
        <v>4760.84</v>
      </c>
      <c r="L50" s="4">
        <v>0</v>
      </c>
      <c r="M50" s="4">
        <v>0</v>
      </c>
      <c r="N50" s="4">
        <v>4760.84</v>
      </c>
      <c r="O50" s="4">
        <f t="shared" ref="O50:O81" si="6">$L50-$M50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SUMIFS(Tab_07.Jul[SALDO
ATUAL],Tab_07.Jul[CONTA],$I51)</f>
        <v>25628848</v>
      </c>
      <c r="G51" s="4">
        <f t="shared" si="5"/>
        <v>336840.39</v>
      </c>
      <c r="I51" s="3" t="s">
        <v>557</v>
      </c>
      <c r="J51" s="3" t="s">
        <v>309</v>
      </c>
      <c r="K51" s="4">
        <v>25292007.609999999</v>
      </c>
      <c r="L51" s="4">
        <v>336840.39</v>
      </c>
      <c r="M51" s="4">
        <v>0</v>
      </c>
      <c r="N51" s="4">
        <v>25628848</v>
      </c>
      <c r="O51" s="4">
        <f t="shared" si="6"/>
        <v>336840.39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SUMIFS(Tab_07.Jul[SALDO
ATUAL],Tab_07.Jul[CONTA],$I52)</f>
        <v>25628848</v>
      </c>
      <c r="G52" s="4">
        <f t="shared" si="5"/>
        <v>336840.39</v>
      </c>
      <c r="I52" s="3" t="s">
        <v>308</v>
      </c>
      <c r="J52" s="3" t="s">
        <v>309</v>
      </c>
      <c r="K52" s="4">
        <v>25292007.609999999</v>
      </c>
      <c r="L52" s="4">
        <v>336840.39</v>
      </c>
      <c r="M52" s="4">
        <v>0</v>
      </c>
      <c r="N52" s="4">
        <v>25628848</v>
      </c>
      <c r="O52" s="4">
        <f t="shared" si="6"/>
        <v>336840.39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SUMIFS(Tab_07.Jul[SALDO
ATUAL],Tab_07.Jul[CONTA],$I53)</f>
        <v>2365645.81</v>
      </c>
      <c r="G53" s="4">
        <f t="shared" si="5"/>
        <v>-3666.75</v>
      </c>
      <c r="I53" s="3" t="s">
        <v>213</v>
      </c>
      <c r="J53" s="3" t="s">
        <v>35</v>
      </c>
      <c r="K53" s="4">
        <v>2369312.56</v>
      </c>
      <c r="L53" s="4">
        <v>0</v>
      </c>
      <c r="M53" s="4">
        <v>3666.75</v>
      </c>
      <c r="N53" s="4">
        <v>2365645.81</v>
      </c>
      <c r="O53" s="4">
        <f t="shared" si="6"/>
        <v>-3666.75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S</v>
      </c>
      <c r="E54" s="2">
        <f>IF($I54="","",COUNTIFS(Tab_00.Trial[CONTA],$I54))</f>
        <v>1</v>
      </c>
      <c r="F54" s="4">
        <f>SUMIFS(Tab_07.Jul[SALDO
ATUAL],Tab_07.Jul[CONTA],$I54)</f>
        <v>3546368.31</v>
      </c>
      <c r="G54" s="4">
        <f t="shared" si="5"/>
        <v>0</v>
      </c>
      <c r="I54" s="3" t="s">
        <v>214</v>
      </c>
      <c r="J54" s="3" t="s">
        <v>651</v>
      </c>
      <c r="K54" s="4">
        <v>3546368.31</v>
      </c>
      <c r="L54" s="4">
        <v>0</v>
      </c>
      <c r="M54" s="4">
        <v>0</v>
      </c>
      <c r="N54" s="4">
        <v>3546368.31</v>
      </c>
      <c r="O54" s="4">
        <f t="shared" si="6"/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SUMIFS(Tab_07.Jul[SALDO
ATUAL],Tab_07.Jul[CONTA],$I55)</f>
        <v>1379260.84</v>
      </c>
      <c r="G55" s="4">
        <f t="shared" si="5"/>
        <v>0</v>
      </c>
      <c r="I55" s="3" t="s">
        <v>310</v>
      </c>
      <c r="J55" s="3" t="s">
        <v>311</v>
      </c>
      <c r="K55" s="4">
        <v>1379260.84</v>
      </c>
      <c r="L55" s="4">
        <v>0</v>
      </c>
      <c r="M55" s="4">
        <v>0</v>
      </c>
      <c r="N55" s="4">
        <v>1379260.84</v>
      </c>
      <c r="O55" s="4">
        <f t="shared" si="6"/>
        <v>0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SUMIFS(Tab_07.Jul[SALDO
ATUAL],Tab_07.Jul[CONTA],$I56)</f>
        <v>1291140.25</v>
      </c>
      <c r="G56" s="4">
        <f t="shared" si="5"/>
        <v>0</v>
      </c>
      <c r="I56" s="3" t="s">
        <v>312</v>
      </c>
      <c r="J56" s="3" t="s">
        <v>313</v>
      </c>
      <c r="K56" s="4">
        <v>1291140.25</v>
      </c>
      <c r="L56" s="4">
        <v>0</v>
      </c>
      <c r="M56" s="4">
        <v>0</v>
      </c>
      <c r="N56" s="4">
        <v>1291140.25</v>
      </c>
      <c r="O56" s="4">
        <f t="shared" si="6"/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SUMIFS(Tab_07.Jul[SALDO
ATUAL],Tab_07.Jul[CONTA],$I57)</f>
        <v>23000</v>
      </c>
      <c r="G57" s="4">
        <f t="shared" si="5"/>
        <v>0</v>
      </c>
      <c r="I57" s="3" t="s">
        <v>181</v>
      </c>
      <c r="J57" s="3" t="s">
        <v>314</v>
      </c>
      <c r="K57" s="4">
        <v>23000</v>
      </c>
      <c r="L57" s="4">
        <v>0</v>
      </c>
      <c r="M57" s="4">
        <v>0</v>
      </c>
      <c r="N57" s="4">
        <v>23000</v>
      </c>
      <c r="O57" s="4">
        <f t="shared" si="6"/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SUMIFS(Tab_07.Jul[SALDO
ATUAL],Tab_07.Jul[CONTA],$I58)</f>
        <v>12594</v>
      </c>
      <c r="G58" s="4">
        <f t="shared" si="5"/>
        <v>0</v>
      </c>
      <c r="I58" s="3" t="s">
        <v>182</v>
      </c>
      <c r="J58" s="3" t="s">
        <v>315</v>
      </c>
      <c r="K58" s="4">
        <v>12594</v>
      </c>
      <c r="L58" s="4">
        <v>0</v>
      </c>
      <c r="M58" s="4">
        <v>0</v>
      </c>
      <c r="N58" s="4">
        <v>12594</v>
      </c>
      <c r="O58" s="4">
        <f t="shared" si="6"/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SUMIFS(Tab_07.Jul[SALDO
ATUAL],Tab_07.Jul[CONTA],$I59)</f>
        <v>224642.85</v>
      </c>
      <c r="G59" s="4">
        <f t="shared" si="5"/>
        <v>0</v>
      </c>
      <c r="I59" s="3" t="s">
        <v>183</v>
      </c>
      <c r="J59" s="3" t="s">
        <v>316</v>
      </c>
      <c r="K59" s="4">
        <v>224642.85</v>
      </c>
      <c r="L59" s="4">
        <v>0</v>
      </c>
      <c r="M59" s="4">
        <v>0</v>
      </c>
      <c r="N59" s="4">
        <v>224642.85</v>
      </c>
      <c r="O59" s="4">
        <f t="shared" si="6"/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SUMIFS(Tab_07.Jul[SALDO
ATUAL],Tab_07.Jul[CONTA],$I60)</f>
        <v>7349.9</v>
      </c>
      <c r="G60" s="4">
        <f t="shared" si="5"/>
        <v>0</v>
      </c>
      <c r="I60" s="3" t="s">
        <v>317</v>
      </c>
      <c r="J60" s="3" t="s">
        <v>318</v>
      </c>
      <c r="K60" s="4">
        <v>7349.9</v>
      </c>
      <c r="L60" s="4">
        <v>0</v>
      </c>
      <c r="M60" s="4">
        <v>0</v>
      </c>
      <c r="N60" s="4">
        <v>7349.9</v>
      </c>
      <c r="O60" s="4">
        <f t="shared" si="6"/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SUMIFS(Tab_07.Jul[SALDO
ATUAL],Tab_07.Jul[CONTA],$I61)</f>
        <v>128697.03</v>
      </c>
      <c r="G61" s="4">
        <f t="shared" si="5"/>
        <v>0</v>
      </c>
      <c r="I61" s="3" t="s">
        <v>184</v>
      </c>
      <c r="J61" s="3" t="s">
        <v>319</v>
      </c>
      <c r="K61" s="4">
        <v>128697.03</v>
      </c>
      <c r="L61" s="4">
        <v>0</v>
      </c>
      <c r="M61" s="4">
        <v>0</v>
      </c>
      <c r="N61" s="4">
        <v>128697.03</v>
      </c>
      <c r="O61" s="4">
        <f t="shared" si="6"/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SUMIFS(Tab_07.Jul[SALDO
ATUAL],Tab_07.Jul[CONTA],$I62)</f>
        <v>15029.74</v>
      </c>
      <c r="G62" s="4">
        <f t="shared" si="5"/>
        <v>0</v>
      </c>
      <c r="I62" s="3" t="s">
        <v>185</v>
      </c>
      <c r="J62" s="3" t="s">
        <v>320</v>
      </c>
      <c r="K62" s="4">
        <v>15029.74</v>
      </c>
      <c r="L62" s="4">
        <v>0</v>
      </c>
      <c r="M62" s="4">
        <v>0</v>
      </c>
      <c r="N62" s="4">
        <v>15029.74</v>
      </c>
      <c r="O62" s="4">
        <f t="shared" si="6"/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SUMIFS(Tab_07.Jul[SALDO
ATUAL],Tab_07.Jul[CONTA],$I63)</f>
        <v>464653.7</v>
      </c>
      <c r="G63" s="4">
        <f t="shared" si="5"/>
        <v>0</v>
      </c>
      <c r="I63" s="3" t="s">
        <v>321</v>
      </c>
      <c r="J63" s="3" t="s">
        <v>322</v>
      </c>
      <c r="K63" s="4">
        <v>464653.7</v>
      </c>
      <c r="L63" s="4">
        <v>0</v>
      </c>
      <c r="M63" s="4">
        <v>0</v>
      </c>
      <c r="N63" s="4">
        <v>464653.7</v>
      </c>
      <c r="O63" s="4">
        <f t="shared" si="6"/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S</v>
      </c>
      <c r="E64" s="2">
        <f>IF($I64="","",COUNTIFS(Tab_00.Trial[CONTA],$I64))</f>
        <v>1</v>
      </c>
      <c r="F64" s="4">
        <f>SUMIFS(Tab_07.Jul[SALDO
ATUAL],Tab_07.Jul[CONTA],$I64)</f>
        <v>-1180722.5</v>
      </c>
      <c r="G64" s="4">
        <f t="shared" si="5"/>
        <v>-3666.75</v>
      </c>
      <c r="I64" s="3" t="s">
        <v>215</v>
      </c>
      <c r="J64" s="3" t="s">
        <v>652</v>
      </c>
      <c r="K64" s="4">
        <v>-1177055.75</v>
      </c>
      <c r="L64" s="4">
        <v>0</v>
      </c>
      <c r="M64" s="4">
        <v>3666.75</v>
      </c>
      <c r="N64" s="4">
        <v>-1180722.5</v>
      </c>
      <c r="O64" s="4">
        <f t="shared" si="6"/>
        <v>-3666.75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SUMIFS(Tab_07.Jul[SALDO
ATUAL],Tab_07.Jul[CONTA],$I65)</f>
        <v>-667864.55000000005</v>
      </c>
      <c r="G65" s="4">
        <f t="shared" si="5"/>
        <v>-2997.93</v>
      </c>
      <c r="I65" s="3" t="s">
        <v>186</v>
      </c>
      <c r="J65" s="3" t="s">
        <v>313</v>
      </c>
      <c r="K65" s="4">
        <v>-664866.62</v>
      </c>
      <c r="L65" s="4">
        <v>0</v>
      </c>
      <c r="M65" s="4">
        <v>2997.93</v>
      </c>
      <c r="N65" s="4">
        <v>-667864.55000000005</v>
      </c>
      <c r="O65" s="4">
        <f t="shared" si="6"/>
        <v>-2997.93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SUMIFS(Tab_07.Jul[SALDO
ATUAL],Tab_07.Jul[CONTA],$I66)</f>
        <v>-18208.62</v>
      </c>
      <c r="G66" s="4">
        <f t="shared" si="5"/>
        <v>-191.67</v>
      </c>
      <c r="I66" s="3" t="s">
        <v>187</v>
      </c>
      <c r="J66" s="3" t="s">
        <v>314</v>
      </c>
      <c r="K66" s="4">
        <v>-18016.95</v>
      </c>
      <c r="L66" s="4">
        <v>0</v>
      </c>
      <c r="M66" s="4">
        <v>191.67</v>
      </c>
      <c r="N66" s="4">
        <v>-18208.62</v>
      </c>
      <c r="O66" s="4">
        <f t="shared" si="6"/>
        <v>-191.67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SUMIFS(Tab_07.Jul[SALDO
ATUAL],Tab_07.Jul[CONTA],$I67)</f>
        <v>-6788.76</v>
      </c>
      <c r="G67" s="4">
        <f t="shared" si="5"/>
        <v>-104.95</v>
      </c>
      <c r="I67" s="3" t="s">
        <v>188</v>
      </c>
      <c r="J67" s="3" t="s">
        <v>315</v>
      </c>
      <c r="K67" s="4">
        <v>-6683.81</v>
      </c>
      <c r="L67" s="4">
        <v>0</v>
      </c>
      <c r="M67" s="4">
        <v>104.95</v>
      </c>
      <c r="N67" s="4">
        <v>-6788.76</v>
      </c>
      <c r="O67" s="4">
        <f t="shared" si="6"/>
        <v>-104.95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SUMIFS(Tab_07.Jul[SALDO
ATUAL],Tab_07.Jul[CONTA],$I68)</f>
        <v>-224642.85</v>
      </c>
      <c r="G68" s="4">
        <f t="shared" si="5"/>
        <v>0</v>
      </c>
      <c r="I68" s="3" t="s">
        <v>189</v>
      </c>
      <c r="J68" s="3" t="s">
        <v>316</v>
      </c>
      <c r="K68" s="4">
        <v>-224642.85</v>
      </c>
      <c r="L68" s="4">
        <v>0</v>
      </c>
      <c r="M68" s="4">
        <v>0</v>
      </c>
      <c r="N68" s="4">
        <v>-224642.85</v>
      </c>
      <c r="O68" s="4">
        <f t="shared" si="6"/>
        <v>0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SUMIFS(Tab_07.Jul[SALDO
ATUAL],Tab_07.Jul[CONTA],$I69)</f>
        <v>-4309.24</v>
      </c>
      <c r="G69" s="4">
        <f t="shared" si="5"/>
        <v>-122.2</v>
      </c>
      <c r="I69" s="3" t="s">
        <v>190</v>
      </c>
      <c r="J69" s="3" t="s">
        <v>318</v>
      </c>
      <c r="K69" s="4">
        <v>-4187.04</v>
      </c>
      <c r="L69" s="4">
        <v>0</v>
      </c>
      <c r="M69" s="4">
        <v>122.2</v>
      </c>
      <c r="N69" s="4">
        <v>-4309.24</v>
      </c>
      <c r="O69" s="4">
        <f t="shared" si="6"/>
        <v>-122.2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SUMIFS(Tab_07.Jul[SALDO
ATUAL],Tab_07.Jul[CONTA],$I70)</f>
        <v>-128697.03</v>
      </c>
      <c r="G70" s="4">
        <f t="shared" si="5"/>
        <v>0</v>
      </c>
      <c r="I70" s="3" t="s">
        <v>323</v>
      </c>
      <c r="J70" s="3" t="s">
        <v>319</v>
      </c>
      <c r="K70" s="4">
        <v>-128697.03</v>
      </c>
      <c r="L70" s="4">
        <v>0</v>
      </c>
      <c r="M70" s="4">
        <v>0</v>
      </c>
      <c r="N70" s="4">
        <v>-128697.03</v>
      </c>
      <c r="O70" s="4">
        <f t="shared" si="6"/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SUMIFS(Tab_07.Jul[SALDO
ATUAL],Tab_07.Jul[CONTA],$I71)</f>
        <v>-15029.74</v>
      </c>
      <c r="G71" s="4">
        <f t="shared" si="5"/>
        <v>0</v>
      </c>
      <c r="I71" s="3" t="s">
        <v>324</v>
      </c>
      <c r="J71" s="3" t="s">
        <v>320</v>
      </c>
      <c r="K71" s="4">
        <v>-15029.74</v>
      </c>
      <c r="L71" s="4">
        <v>0</v>
      </c>
      <c r="M71" s="4">
        <v>0</v>
      </c>
      <c r="N71" s="4">
        <v>-15029.74</v>
      </c>
      <c r="O71" s="4">
        <f t="shared" si="6"/>
        <v>0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SUMIFS(Tab_07.Jul[SALDO
ATUAL],Tab_07.Jul[CONTA],$I72)</f>
        <v>-115181.71</v>
      </c>
      <c r="G72" s="4">
        <f t="shared" si="5"/>
        <v>-250</v>
      </c>
      <c r="I72" s="3" t="s">
        <v>325</v>
      </c>
      <c r="J72" s="3" t="s">
        <v>322</v>
      </c>
      <c r="K72" s="4">
        <v>-114931.71</v>
      </c>
      <c r="L72" s="4">
        <v>0</v>
      </c>
      <c r="M72" s="4">
        <v>250</v>
      </c>
      <c r="N72" s="4">
        <v>-115181.71</v>
      </c>
      <c r="O72" s="4">
        <f t="shared" si="6"/>
        <v>-250</v>
      </c>
    </row>
    <row r="73" spans="2:15" x14ac:dyDescent="0.3">
      <c r="B73" s="2" t="str">
        <f>_xlfn.XLOOKUP($I73,Tab_00.Trial[CONTA],Tab_00.Trial[TP],"",0,1)</f>
        <v>P</v>
      </c>
      <c r="C73" s="2">
        <f>_xlfn.XLOOKUP($I73,Tab_00.Trial[CONTA],Tab_00.Trial[NV],"",0,1)</f>
        <v>1</v>
      </c>
      <c r="D73" s="2" t="str">
        <f>_xlfn.XLOOKUP($I73,Tab_00.Trial[CONTA],Tab_00.Trial[S/A],"",0,1)</f>
        <v>S</v>
      </c>
      <c r="E73" s="2">
        <f>IF($I73="","",COUNTIFS(Tab_00.Trial[CONTA],$I73))</f>
        <v>1</v>
      </c>
      <c r="F73" s="4">
        <f>SUMIFS(Tab_07.Jul[SALDO
ATUAL],Tab_07.Jul[CONTA],$I73)</f>
        <v>-83348237.590000004</v>
      </c>
      <c r="G73" s="4">
        <f t="shared" si="5"/>
        <v>-134375.84</v>
      </c>
      <c r="I73" s="3">
        <v>2</v>
      </c>
      <c r="J73" s="3" t="s">
        <v>653</v>
      </c>
      <c r="K73" s="4">
        <v>-83213861.75</v>
      </c>
      <c r="L73" s="4">
        <v>408811.77</v>
      </c>
      <c r="M73" s="4">
        <v>543187.61</v>
      </c>
      <c r="N73" s="4">
        <v>-83348237.590000004</v>
      </c>
      <c r="O73" s="4">
        <f t="shared" si="6"/>
        <v>-134375.84</v>
      </c>
    </row>
    <row r="74" spans="2:15" x14ac:dyDescent="0.3">
      <c r="B74" s="2" t="str">
        <f>_xlfn.XLOOKUP($I74,Tab_00.Trial[CONTA],Tab_00.Trial[TP],"",0,1)</f>
        <v>P</v>
      </c>
      <c r="C74" s="2">
        <f>_xlfn.XLOOKUP($I74,Tab_00.Trial[CONTA],Tab_00.Trial[NV],"",0,1)</f>
        <v>2</v>
      </c>
      <c r="D74" s="2" t="str">
        <f>_xlfn.XLOOKUP($I74,Tab_00.Trial[CONTA],Tab_00.Trial[S/A],"",0,1)</f>
        <v>S</v>
      </c>
      <c r="E74" s="2">
        <f>IF($I74="","",COUNTIFS(Tab_00.Trial[CONTA],$I74))</f>
        <v>1</v>
      </c>
      <c r="F74" s="4">
        <f>SUMIFS(Tab_07.Jul[SALDO
ATUAL],Tab_07.Jul[CONTA],$I74)</f>
        <v>-1445773.06</v>
      </c>
      <c r="G74" s="4">
        <f t="shared" si="5"/>
        <v>-134375.84</v>
      </c>
      <c r="I74" s="3" t="s">
        <v>216</v>
      </c>
      <c r="J74" s="3" t="s">
        <v>31</v>
      </c>
      <c r="K74" s="4">
        <v>-1311397.22</v>
      </c>
      <c r="L74" s="4">
        <v>408811.77</v>
      </c>
      <c r="M74" s="4">
        <v>543187.61</v>
      </c>
      <c r="N74" s="4">
        <v>-1445773.06</v>
      </c>
      <c r="O74" s="4">
        <f t="shared" si="6"/>
        <v>-134375.84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5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SUMIFS(Tab_07.Jul[SALDO
ATUAL],Tab_07.Jul[CONTA],$I75)</f>
        <v>-349578.4</v>
      </c>
      <c r="G75" s="4">
        <f t="shared" si="5"/>
        <v>13382.8</v>
      </c>
      <c r="I75" s="3" t="s">
        <v>558</v>
      </c>
      <c r="J75" s="3" t="s">
        <v>654</v>
      </c>
      <c r="K75" s="4">
        <v>-362961.2</v>
      </c>
      <c r="L75" s="4">
        <v>152592.89000000001</v>
      </c>
      <c r="M75" s="4">
        <v>139210.09</v>
      </c>
      <c r="N75" s="4">
        <v>-349578.4</v>
      </c>
      <c r="O75" s="4">
        <f t="shared" si="6"/>
        <v>13382.8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5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SUMIFS(Tab_07.Jul[SALDO
ATUAL],Tab_07.Jul[CONTA],$I76)</f>
        <v>0</v>
      </c>
      <c r="G76" s="4">
        <f t="shared" si="5"/>
        <v>0</v>
      </c>
      <c r="I76" s="3" t="s">
        <v>559</v>
      </c>
      <c r="J76" s="3" t="s">
        <v>655</v>
      </c>
      <c r="K76" s="4">
        <v>0</v>
      </c>
      <c r="L76" s="4">
        <v>64094.879999999997</v>
      </c>
      <c r="M76" s="4">
        <v>64094.879999999997</v>
      </c>
      <c r="N76" s="4">
        <v>0</v>
      </c>
      <c r="O76" s="4">
        <f t="shared" si="6"/>
        <v>0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A</v>
      </c>
      <c r="E77" s="2">
        <f>IF($I77="","",COUNTIFS(Tab_00.Trial[CONTA],$I77))</f>
        <v>1</v>
      </c>
      <c r="F77" s="4">
        <f>SUMIFS(Tab_07.Jul[SALDO
ATUAL],Tab_07.Jul[CONTA],$I77)</f>
        <v>0</v>
      </c>
      <c r="G77" s="4">
        <f t="shared" si="5"/>
        <v>0</v>
      </c>
      <c r="I77" s="3" t="s">
        <v>326</v>
      </c>
      <c r="J77" s="3" t="s">
        <v>327</v>
      </c>
      <c r="K77" s="4">
        <v>0</v>
      </c>
      <c r="L77" s="4">
        <v>62905.75</v>
      </c>
      <c r="M77" s="4">
        <v>62905.75</v>
      </c>
      <c r="N77" s="4">
        <v>0</v>
      </c>
      <c r="O77" s="4">
        <f t="shared" si="6"/>
        <v>0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A</v>
      </c>
      <c r="E78" s="2">
        <f>IF($I78="","",COUNTIFS(Tab_00.Trial[CONTA],$I78))</f>
        <v>1</v>
      </c>
      <c r="F78" s="4">
        <f>SUMIFS(Tab_07.Jul[SALDO
ATUAL],Tab_07.Jul[CONTA],$I78)</f>
        <v>0</v>
      </c>
      <c r="G78" s="4">
        <f t="shared" si="5"/>
        <v>0</v>
      </c>
      <c r="I78" s="3" t="s">
        <v>330</v>
      </c>
      <c r="J78" s="3" t="s">
        <v>331</v>
      </c>
      <c r="K78" s="4">
        <v>0</v>
      </c>
      <c r="L78" s="4">
        <v>1189.1300000000001</v>
      </c>
      <c r="M78" s="4">
        <v>1189.1300000000001</v>
      </c>
      <c r="N78" s="4">
        <v>0</v>
      </c>
      <c r="O78" s="4">
        <f t="shared" si="6"/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SUMIFS(Tab_07.Jul[SALDO
ATUAL],Tab_07.Jul[CONTA],$I79)</f>
        <v>-79827.03</v>
      </c>
      <c r="G79" s="4">
        <f t="shared" si="5"/>
        <v>-11609.94</v>
      </c>
      <c r="I79" s="3" t="s">
        <v>560</v>
      </c>
      <c r="J79" s="3" t="s">
        <v>656</v>
      </c>
      <c r="K79" s="4">
        <v>-68217.09</v>
      </c>
      <c r="L79" s="4">
        <v>0</v>
      </c>
      <c r="M79" s="4">
        <v>11609.94</v>
      </c>
      <c r="N79" s="4">
        <v>-79827.03</v>
      </c>
      <c r="O79" s="4">
        <f t="shared" si="6"/>
        <v>-11609.94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SUMIFS(Tab_07.Jul[SALDO
ATUAL],Tab_07.Jul[CONTA],$I80)</f>
        <v>-58783.59</v>
      </c>
      <c r="G80" s="4">
        <f t="shared" si="5"/>
        <v>-8550.02</v>
      </c>
      <c r="I80" s="3" t="s">
        <v>332</v>
      </c>
      <c r="J80" s="3" t="s">
        <v>333</v>
      </c>
      <c r="K80" s="4">
        <v>-50233.57</v>
      </c>
      <c r="L80" s="4">
        <v>0</v>
      </c>
      <c r="M80" s="4">
        <v>8550.02</v>
      </c>
      <c r="N80" s="4">
        <v>-58783.59</v>
      </c>
      <c r="O80" s="4">
        <f t="shared" si="6"/>
        <v>-8550.02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SUMIFS(Tab_07.Jul[SALDO
ATUAL],Tab_07.Jul[CONTA],$I81)</f>
        <v>-4702.63</v>
      </c>
      <c r="G81" s="4">
        <f t="shared" si="5"/>
        <v>-684</v>
      </c>
      <c r="I81" s="3" t="s">
        <v>784</v>
      </c>
      <c r="J81" s="3" t="s">
        <v>785</v>
      </c>
      <c r="K81" s="4">
        <v>-4018.63</v>
      </c>
      <c r="L81" s="4">
        <v>0</v>
      </c>
      <c r="M81" s="4">
        <v>684</v>
      </c>
      <c r="N81" s="4">
        <v>-4702.63</v>
      </c>
      <c r="O81" s="4">
        <f t="shared" si="6"/>
        <v>-684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SUMIFS(Tab_07.Jul[SALDO
ATUAL],Tab_07.Jul[CONTA],$I82)</f>
        <v>-587.80999999999995</v>
      </c>
      <c r="G82" s="4">
        <f t="shared" ref="G82:G113" si="7">$F82-$K82</f>
        <v>-85.49</v>
      </c>
      <c r="I82" s="3" t="s">
        <v>786</v>
      </c>
      <c r="J82" s="3" t="s">
        <v>787</v>
      </c>
      <c r="K82" s="4">
        <v>-502.32</v>
      </c>
      <c r="L82" s="4">
        <v>0</v>
      </c>
      <c r="M82" s="4">
        <v>85.49</v>
      </c>
      <c r="N82" s="4">
        <v>-587.80999999999995</v>
      </c>
      <c r="O82" s="4">
        <f t="shared" ref="O82:O113" si="8">$L82-$M82</f>
        <v>-85.49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SUMIFS(Tab_07.Jul[SALDO
ATUAL],Tab_07.Jul[CONTA],$I83)</f>
        <v>-15753</v>
      </c>
      <c r="G83" s="4">
        <f t="shared" si="7"/>
        <v>-2290.4299999999998</v>
      </c>
      <c r="I83" s="3" t="s">
        <v>788</v>
      </c>
      <c r="J83" s="3" t="s">
        <v>789</v>
      </c>
      <c r="K83" s="4">
        <v>-13462.57</v>
      </c>
      <c r="L83" s="4">
        <v>0</v>
      </c>
      <c r="M83" s="4">
        <v>2290.4299999999998</v>
      </c>
      <c r="N83" s="4">
        <v>-15753</v>
      </c>
      <c r="O83" s="4">
        <f t="shared" si="8"/>
        <v>-2290.4299999999998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S</v>
      </c>
      <c r="E84" s="2">
        <f>IF($I84="","",COUNTIFS(Tab_00.Trial[CONTA],$I84))</f>
        <v>1</v>
      </c>
      <c r="F84" s="4">
        <f>SUMIFS(Tab_07.Jul[SALDO
ATUAL],Tab_07.Jul[CONTA],$I84)</f>
        <v>-226256.29</v>
      </c>
      <c r="G84" s="4">
        <f t="shared" si="7"/>
        <v>25832</v>
      </c>
      <c r="I84" s="3" t="s">
        <v>561</v>
      </c>
      <c r="J84" s="3" t="s">
        <v>657</v>
      </c>
      <c r="K84" s="4">
        <v>-252088.29</v>
      </c>
      <c r="L84" s="4">
        <v>41313.24</v>
      </c>
      <c r="M84" s="4">
        <v>15481.24</v>
      </c>
      <c r="N84" s="4">
        <v>-226256.29</v>
      </c>
      <c r="O84" s="4">
        <f t="shared" si="8"/>
        <v>25832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SUMIFS(Tab_07.Jul[SALDO
ATUAL],Tab_07.Jul[CONTA],$I85)</f>
        <v>-166422.66</v>
      </c>
      <c r="G85" s="4">
        <f t="shared" si="7"/>
        <v>19022.099999999999</v>
      </c>
      <c r="I85" s="3" t="s">
        <v>334</v>
      </c>
      <c r="J85" s="3" t="s">
        <v>335</v>
      </c>
      <c r="K85" s="4">
        <v>-185444.76</v>
      </c>
      <c r="L85" s="4">
        <v>30422.13</v>
      </c>
      <c r="M85" s="4">
        <v>11400.03</v>
      </c>
      <c r="N85" s="4">
        <v>-166422.66</v>
      </c>
      <c r="O85" s="4">
        <f t="shared" si="8"/>
        <v>19022.099999999999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SUMIFS(Tab_07.Jul[SALDO
ATUAL],Tab_07.Jul[CONTA],$I86)</f>
        <v>-13313.66</v>
      </c>
      <c r="G86" s="4">
        <f t="shared" si="7"/>
        <v>1521.75</v>
      </c>
      <c r="I86" s="3" t="s">
        <v>790</v>
      </c>
      <c r="J86" s="3" t="s">
        <v>791</v>
      </c>
      <c r="K86" s="4">
        <v>-14835.41</v>
      </c>
      <c r="L86" s="4">
        <v>2433.75</v>
      </c>
      <c r="M86" s="4">
        <v>912</v>
      </c>
      <c r="N86" s="4">
        <v>-13313.66</v>
      </c>
      <c r="O86" s="4">
        <f t="shared" si="8"/>
        <v>1521.75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SUMIFS(Tab_07.Jul[SALDO
ATUAL],Tab_07.Jul[CONTA],$I87)</f>
        <v>-1918.65</v>
      </c>
      <c r="G87" s="4">
        <f t="shared" si="7"/>
        <v>190.2</v>
      </c>
      <c r="I87" s="3" t="s">
        <v>792</v>
      </c>
      <c r="J87" s="3" t="s">
        <v>793</v>
      </c>
      <c r="K87" s="4">
        <v>-2108.85</v>
      </c>
      <c r="L87" s="4">
        <v>304.22000000000003</v>
      </c>
      <c r="M87" s="4">
        <v>114.02</v>
      </c>
      <c r="N87" s="4">
        <v>-1918.65</v>
      </c>
      <c r="O87" s="4">
        <f t="shared" si="8"/>
        <v>190.2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SUMIFS(Tab_07.Jul[SALDO
ATUAL],Tab_07.Jul[CONTA],$I88)</f>
        <v>-44601.32</v>
      </c>
      <c r="G88" s="4">
        <f t="shared" si="7"/>
        <v>5097.95</v>
      </c>
      <c r="I88" s="3" t="s">
        <v>794</v>
      </c>
      <c r="J88" s="3" t="s">
        <v>795</v>
      </c>
      <c r="K88" s="4">
        <v>-49699.27</v>
      </c>
      <c r="L88" s="4">
        <v>8153.14</v>
      </c>
      <c r="M88" s="4">
        <v>3055.19</v>
      </c>
      <c r="N88" s="4">
        <v>-44601.32</v>
      </c>
      <c r="O88" s="4">
        <f t="shared" si="8"/>
        <v>5097.95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S</v>
      </c>
      <c r="E89" s="2">
        <f>IF($I89="","",COUNTIFS(Tab_00.Trial[CONTA],$I89))</f>
        <v>1</v>
      </c>
      <c r="F89" s="4">
        <f>SUMIFS(Tab_07.Jul[SALDO
ATUAL],Tab_07.Jul[CONTA],$I89)</f>
        <v>-33202.51</v>
      </c>
      <c r="G89" s="4">
        <f t="shared" si="7"/>
        <v>-619.46</v>
      </c>
      <c r="I89" s="3" t="s">
        <v>562</v>
      </c>
      <c r="J89" s="3" t="s">
        <v>658</v>
      </c>
      <c r="K89" s="4">
        <v>-32583.05</v>
      </c>
      <c r="L89" s="4">
        <v>37112.01</v>
      </c>
      <c r="M89" s="4">
        <v>37731.47</v>
      </c>
      <c r="N89" s="4">
        <v>-33202.51</v>
      </c>
      <c r="O89" s="4">
        <f t="shared" si="8"/>
        <v>-619.46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SUMIFS(Tab_07.Jul[SALDO
ATUAL],Tab_07.Jul[CONTA],$I90)</f>
        <v>-32618.43</v>
      </c>
      <c r="G90" s="4">
        <f t="shared" si="7"/>
        <v>-548.36</v>
      </c>
      <c r="I90" s="3" t="s">
        <v>336</v>
      </c>
      <c r="J90" s="3" t="s">
        <v>337</v>
      </c>
      <c r="K90" s="4">
        <v>-32070.07</v>
      </c>
      <c r="L90" s="4">
        <v>36599.03</v>
      </c>
      <c r="M90" s="4">
        <v>37147.39</v>
      </c>
      <c r="N90" s="4">
        <v>-32618.43</v>
      </c>
      <c r="O90" s="4">
        <f t="shared" si="8"/>
        <v>-548.36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SUMIFS(Tab_07.Jul[SALDO
ATUAL],Tab_07.Jul[CONTA],$I91)</f>
        <v>-584.08000000000004</v>
      </c>
      <c r="G91" s="4">
        <f t="shared" si="7"/>
        <v>-71.099999999999994</v>
      </c>
      <c r="I91" s="3" t="s">
        <v>338</v>
      </c>
      <c r="J91" s="3" t="s">
        <v>339</v>
      </c>
      <c r="K91" s="4">
        <v>-512.98</v>
      </c>
      <c r="L91" s="4">
        <v>512.98</v>
      </c>
      <c r="M91" s="4">
        <v>584.08000000000004</v>
      </c>
      <c r="N91" s="4">
        <v>-584.08000000000004</v>
      </c>
      <c r="O91" s="4">
        <f t="shared" si="8"/>
        <v>-71.099999999999994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S</v>
      </c>
      <c r="E92" s="2">
        <f>IF($I92="","",COUNTIFS(Tab_00.Trial[CONTA],$I92))</f>
        <v>1</v>
      </c>
      <c r="F92" s="4">
        <f>SUMIFS(Tab_07.Jul[SALDO
ATUAL],Tab_07.Jul[CONTA],$I92)</f>
        <v>-10292.57</v>
      </c>
      <c r="G92" s="4">
        <f t="shared" si="7"/>
        <v>-219.8</v>
      </c>
      <c r="I92" s="3" t="s">
        <v>563</v>
      </c>
      <c r="J92" s="3" t="s">
        <v>659</v>
      </c>
      <c r="K92" s="4">
        <v>-10072.77</v>
      </c>
      <c r="L92" s="4">
        <v>10072.76</v>
      </c>
      <c r="M92" s="4">
        <v>10292.56</v>
      </c>
      <c r="N92" s="4">
        <v>-10292.57</v>
      </c>
      <c r="O92" s="4">
        <f t="shared" si="8"/>
        <v>-219.8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SUMIFS(Tab_07.Jul[SALDO
ATUAL],Tab_07.Jul[CONTA],$I93)</f>
        <v>-9187.0499999999993</v>
      </c>
      <c r="G93" s="4">
        <f t="shared" si="7"/>
        <v>-143.74</v>
      </c>
      <c r="I93" s="3" t="s">
        <v>340</v>
      </c>
      <c r="J93" s="3" t="s">
        <v>341</v>
      </c>
      <c r="K93" s="4">
        <v>-9043.31</v>
      </c>
      <c r="L93" s="4">
        <v>9043.31</v>
      </c>
      <c r="M93" s="4">
        <v>9187.0499999999993</v>
      </c>
      <c r="N93" s="4">
        <v>-9187.0499999999993</v>
      </c>
      <c r="O93" s="4">
        <f t="shared" si="8"/>
        <v>-143.74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SUMIFS(Tab_07.Jul[SALDO
ATUAL],Tab_07.Jul[CONTA],$I94)</f>
        <v>-1105.52</v>
      </c>
      <c r="G94" s="4">
        <f t="shared" si="7"/>
        <v>-76.06</v>
      </c>
      <c r="I94" s="3" t="s">
        <v>342</v>
      </c>
      <c r="J94" s="3" t="s">
        <v>343</v>
      </c>
      <c r="K94" s="4">
        <v>-1029.46</v>
      </c>
      <c r="L94" s="4">
        <v>1029.45</v>
      </c>
      <c r="M94" s="4">
        <v>1105.51</v>
      </c>
      <c r="N94" s="4">
        <v>-1105.52</v>
      </c>
      <c r="O94" s="4">
        <f t="shared" si="8"/>
        <v>-76.06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S</v>
      </c>
      <c r="E95" s="2">
        <f>IF($I95="","",COUNTIFS(Tab_00.Trial[CONTA],$I95))</f>
        <v>1</v>
      </c>
      <c r="F95" s="4">
        <f>SUMIFS(Tab_07.Jul[SALDO
ATUAL],Tab_07.Jul[CONTA],$I95)</f>
        <v>-1054727.3500000001</v>
      </c>
      <c r="G95" s="4">
        <f t="shared" si="7"/>
        <v>-154744.84</v>
      </c>
      <c r="I95" s="3" t="s">
        <v>218</v>
      </c>
      <c r="J95" s="3" t="s">
        <v>660</v>
      </c>
      <c r="K95" s="4">
        <v>-899982.51</v>
      </c>
      <c r="L95" s="4">
        <v>227376.48</v>
      </c>
      <c r="M95" s="4">
        <v>382121.32</v>
      </c>
      <c r="N95" s="4">
        <v>-1054727.3500000001</v>
      </c>
      <c r="O95" s="4">
        <f t="shared" si="8"/>
        <v>-154744.84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SUMIFS(Tab_07.Jul[SALDO
ATUAL],Tab_07.Jul[CONTA],$I96)</f>
        <v>-60413.4</v>
      </c>
      <c r="G96" s="4">
        <f t="shared" si="7"/>
        <v>30528.37</v>
      </c>
      <c r="I96" s="3" t="s">
        <v>219</v>
      </c>
      <c r="J96" s="3" t="s">
        <v>56</v>
      </c>
      <c r="K96" s="4">
        <v>-90941.77</v>
      </c>
      <c r="L96" s="4">
        <v>167684.32999999999</v>
      </c>
      <c r="M96" s="4">
        <v>137155.96</v>
      </c>
      <c r="N96" s="4">
        <v>-60413.4</v>
      </c>
      <c r="O96" s="4">
        <f t="shared" si="8"/>
        <v>30528.37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SUMIFS(Tab_07.Jul[SALDO
ATUAL],Tab_07.Jul[CONTA],$I97)</f>
        <v>-60413.4</v>
      </c>
      <c r="G97" s="4">
        <f t="shared" si="7"/>
        <v>30528.37</v>
      </c>
      <c r="I97" s="3" t="s">
        <v>344</v>
      </c>
      <c r="J97" s="3" t="s">
        <v>56</v>
      </c>
      <c r="K97" s="4">
        <v>-90941.77</v>
      </c>
      <c r="L97" s="4">
        <v>167684.32999999999</v>
      </c>
      <c r="M97" s="4">
        <v>137155.96</v>
      </c>
      <c r="N97" s="4">
        <v>-60413.4</v>
      </c>
      <c r="O97" s="4">
        <f t="shared" si="8"/>
        <v>30528.37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SUMIFS(Tab_07.Jul[SALDO
ATUAL],Tab_07.Jul[CONTA],$I98)</f>
        <v>-994313.95</v>
      </c>
      <c r="G98" s="4">
        <f t="shared" si="7"/>
        <v>-185273.21</v>
      </c>
      <c r="I98" s="3" t="s">
        <v>220</v>
      </c>
      <c r="J98" s="3" t="s">
        <v>346</v>
      </c>
      <c r="K98" s="4">
        <v>-809040.74</v>
      </c>
      <c r="L98" s="4">
        <v>59692.15</v>
      </c>
      <c r="M98" s="4">
        <v>244965.36</v>
      </c>
      <c r="N98" s="4">
        <v>-994313.95</v>
      </c>
      <c r="O98" s="4">
        <f t="shared" si="8"/>
        <v>-185273.21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SUMIFS(Tab_07.Jul[SALDO
ATUAL],Tab_07.Jul[CONTA],$I99)</f>
        <v>-994313.95</v>
      </c>
      <c r="G99" s="4">
        <f t="shared" si="7"/>
        <v>-185273.21</v>
      </c>
      <c r="I99" s="3" t="s">
        <v>345</v>
      </c>
      <c r="J99" s="3" t="s">
        <v>346</v>
      </c>
      <c r="K99" s="4">
        <v>-809040.74</v>
      </c>
      <c r="L99" s="4">
        <v>59692.15</v>
      </c>
      <c r="M99" s="4">
        <v>244965.36</v>
      </c>
      <c r="N99" s="4">
        <v>-994313.95</v>
      </c>
      <c r="O99" s="4">
        <f t="shared" si="8"/>
        <v>-185273.21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SUMIFS(Tab_07.Jul[SALDO
ATUAL],Tab_07.Jul[CONTA],$I100)</f>
        <v>-15262.55</v>
      </c>
      <c r="G100" s="4">
        <f t="shared" si="7"/>
        <v>6817.05</v>
      </c>
      <c r="I100" s="3" t="s">
        <v>221</v>
      </c>
      <c r="J100" s="3" t="s">
        <v>661</v>
      </c>
      <c r="K100" s="4">
        <v>-22079.599999999999</v>
      </c>
      <c r="L100" s="4">
        <v>28166.18</v>
      </c>
      <c r="M100" s="4">
        <v>21349.13</v>
      </c>
      <c r="N100" s="4">
        <v>-15262.55</v>
      </c>
      <c r="O100" s="4">
        <f t="shared" si="8"/>
        <v>6817.05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SUMIFS(Tab_07.Jul[SALDO
ATUAL],Tab_07.Jul[CONTA],$I101)</f>
        <v>-15262.55</v>
      </c>
      <c r="G101" s="4">
        <f t="shared" si="7"/>
        <v>6817.05</v>
      </c>
      <c r="I101" s="3" t="s">
        <v>222</v>
      </c>
      <c r="J101" s="3" t="s">
        <v>662</v>
      </c>
      <c r="K101" s="4">
        <v>-22079.599999999999</v>
      </c>
      <c r="L101" s="4">
        <v>28155.18</v>
      </c>
      <c r="M101" s="4">
        <v>21338.13</v>
      </c>
      <c r="N101" s="4">
        <v>-15262.55</v>
      </c>
      <c r="O101" s="4">
        <f t="shared" si="8"/>
        <v>6817.05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SUMIFS(Tab_07.Jul[SALDO
ATUAL],Tab_07.Jul[CONTA],$I102)</f>
        <v>-884.23</v>
      </c>
      <c r="G102" s="4">
        <f t="shared" si="7"/>
        <v>727.98</v>
      </c>
      <c r="I102" s="3" t="s">
        <v>191</v>
      </c>
      <c r="J102" s="3" t="s">
        <v>347</v>
      </c>
      <c r="K102" s="4">
        <v>-1612.21</v>
      </c>
      <c r="L102" s="4">
        <v>1778.47</v>
      </c>
      <c r="M102" s="4">
        <v>1050.49</v>
      </c>
      <c r="N102" s="4">
        <v>-884.23</v>
      </c>
      <c r="O102" s="4">
        <f t="shared" si="8"/>
        <v>727.98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SUMIFS(Tab_07.Jul[SALDO
ATUAL],Tab_07.Jul[CONTA],$I103)</f>
        <v>-10986.12</v>
      </c>
      <c r="G103" s="4">
        <f t="shared" si="7"/>
        <v>4492.88</v>
      </c>
      <c r="I103" s="3" t="s">
        <v>192</v>
      </c>
      <c r="J103" s="3" t="s">
        <v>348</v>
      </c>
      <c r="K103" s="4">
        <v>-15479</v>
      </c>
      <c r="L103" s="4">
        <v>21207.88</v>
      </c>
      <c r="M103" s="4">
        <v>16715</v>
      </c>
      <c r="N103" s="4">
        <v>-10986.12</v>
      </c>
      <c r="O103" s="4">
        <f t="shared" si="8"/>
        <v>4492.88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SUMIFS(Tab_07.Jul[SALDO
ATUAL],Tab_07.Jul[CONTA],$I104)</f>
        <v>0</v>
      </c>
      <c r="G104" s="4">
        <f t="shared" si="7"/>
        <v>335.15</v>
      </c>
      <c r="I104" s="3" t="s">
        <v>264</v>
      </c>
      <c r="J104" s="3" t="s">
        <v>349</v>
      </c>
      <c r="K104" s="4">
        <v>-335.15</v>
      </c>
      <c r="L104" s="4">
        <v>335.15</v>
      </c>
      <c r="M104" s="4">
        <v>0</v>
      </c>
      <c r="N104" s="4">
        <v>0</v>
      </c>
      <c r="O104" s="4">
        <f t="shared" si="8"/>
        <v>335.15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SUMIFS(Tab_07.Jul[SALDO
ATUAL],Tab_07.Jul[CONTA],$I105)</f>
        <v>-3369.75</v>
      </c>
      <c r="G105" s="4">
        <f t="shared" si="7"/>
        <v>1261.04</v>
      </c>
      <c r="I105" s="3" t="s">
        <v>350</v>
      </c>
      <c r="J105" s="3" t="s">
        <v>351</v>
      </c>
      <c r="K105" s="4">
        <v>-4630.79</v>
      </c>
      <c r="L105" s="4">
        <v>4822.51</v>
      </c>
      <c r="M105" s="4">
        <v>3561.47</v>
      </c>
      <c r="N105" s="4">
        <v>-3369.75</v>
      </c>
      <c r="O105" s="4">
        <f t="shared" si="8"/>
        <v>1261.04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SUMIFS(Tab_07.Jul[SALDO
ATUAL],Tab_07.Jul[CONTA],$I106)</f>
        <v>-22.45</v>
      </c>
      <c r="G106" s="4">
        <f t="shared" si="7"/>
        <v>0</v>
      </c>
      <c r="I106" s="3" t="s">
        <v>352</v>
      </c>
      <c r="J106" s="3" t="s">
        <v>353</v>
      </c>
      <c r="K106" s="4">
        <v>-22.45</v>
      </c>
      <c r="L106" s="4">
        <v>11.17</v>
      </c>
      <c r="M106" s="4">
        <v>11.17</v>
      </c>
      <c r="N106" s="4">
        <v>-22.45</v>
      </c>
      <c r="O106" s="4">
        <f t="shared" si="8"/>
        <v>0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S</v>
      </c>
      <c r="E107" s="2">
        <f>IF($I107="","",COUNTIFS(Tab_00.Trial[CONTA],$I107))</f>
        <v>1</v>
      </c>
      <c r="F107" s="4">
        <f>SUMIFS(Tab_07.Jul[SALDO
ATUAL],Tab_07.Jul[CONTA],$I107)</f>
        <v>0</v>
      </c>
      <c r="G107" s="4">
        <f t="shared" si="7"/>
        <v>0</v>
      </c>
      <c r="I107" s="3" t="s">
        <v>223</v>
      </c>
      <c r="J107" s="3" t="s">
        <v>663</v>
      </c>
      <c r="K107" s="4">
        <v>0</v>
      </c>
      <c r="L107" s="4">
        <v>11</v>
      </c>
      <c r="M107" s="4">
        <v>11</v>
      </c>
      <c r="N107" s="4">
        <v>0</v>
      </c>
      <c r="O107" s="4">
        <f t="shared" si="8"/>
        <v>0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SUMIFS(Tab_07.Jul[SALDO
ATUAL],Tab_07.Jul[CONTA],$I108)</f>
        <v>0</v>
      </c>
      <c r="G108" s="4">
        <f t="shared" si="7"/>
        <v>0</v>
      </c>
      <c r="I108" s="3" t="s">
        <v>354</v>
      </c>
      <c r="J108" s="3" t="s">
        <v>355</v>
      </c>
      <c r="K108" s="4">
        <v>0</v>
      </c>
      <c r="L108" s="4">
        <v>11</v>
      </c>
      <c r="M108" s="4">
        <v>11</v>
      </c>
      <c r="N108" s="4">
        <v>0</v>
      </c>
      <c r="O108" s="4">
        <f t="shared" si="8"/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SUMIFS(Tab_07.Jul[SALDO
ATUAL],Tab_07.Jul[CONTA],$I109)</f>
        <v>-22355.56</v>
      </c>
      <c r="G109" s="4">
        <f t="shared" si="7"/>
        <v>169.15</v>
      </c>
      <c r="I109" s="3" t="s">
        <v>224</v>
      </c>
      <c r="J109" s="3" t="s">
        <v>664</v>
      </c>
      <c r="K109" s="4">
        <v>-22524.71</v>
      </c>
      <c r="L109" s="4">
        <v>676.22</v>
      </c>
      <c r="M109" s="4">
        <v>507.07</v>
      </c>
      <c r="N109" s="4">
        <v>-22355.56</v>
      </c>
      <c r="O109" s="4">
        <f t="shared" si="8"/>
        <v>169.15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SUMIFS(Tab_07.Jul[SALDO
ATUAL],Tab_07.Jul[CONTA],$I110)</f>
        <v>-22355.56</v>
      </c>
      <c r="G110" s="4">
        <f t="shared" si="7"/>
        <v>169.15</v>
      </c>
      <c r="I110" s="3" t="s">
        <v>225</v>
      </c>
      <c r="J110" s="3" t="s">
        <v>665</v>
      </c>
      <c r="K110" s="4">
        <v>-22524.71</v>
      </c>
      <c r="L110" s="4">
        <v>676.22</v>
      </c>
      <c r="M110" s="4">
        <v>507.07</v>
      </c>
      <c r="N110" s="4">
        <v>-22355.56</v>
      </c>
      <c r="O110" s="4">
        <f t="shared" si="8"/>
        <v>169.15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A</v>
      </c>
      <c r="E111" s="2">
        <f>IF($I111="","",COUNTIFS(Tab_00.Trial[CONTA],$I111))</f>
        <v>1</v>
      </c>
      <c r="F111" s="4">
        <f>SUMIFS(Tab_07.Jul[SALDO
ATUAL],Tab_07.Jul[CONTA],$I111)</f>
        <v>-22355.56</v>
      </c>
      <c r="G111" s="4">
        <f t="shared" si="7"/>
        <v>169.15</v>
      </c>
      <c r="I111" s="3" t="s">
        <v>356</v>
      </c>
      <c r="J111" s="3" t="s">
        <v>357</v>
      </c>
      <c r="K111" s="4">
        <v>-22524.71</v>
      </c>
      <c r="L111" s="4">
        <v>676.22</v>
      </c>
      <c r="M111" s="4">
        <v>507.07</v>
      </c>
      <c r="N111" s="4">
        <v>-22355.56</v>
      </c>
      <c r="O111" s="4">
        <f t="shared" si="8"/>
        <v>169.15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SUMIFS(Tab_07.Jul[SALDO
ATUAL],Tab_07.Jul[CONTA],$I112)</f>
        <v>-3849.2</v>
      </c>
      <c r="G112" s="4">
        <f t="shared" si="7"/>
        <v>0</v>
      </c>
      <c r="I112" s="3" t="s">
        <v>564</v>
      </c>
      <c r="J112" s="3" t="s">
        <v>666</v>
      </c>
      <c r="K112" s="4">
        <v>-3849.2</v>
      </c>
      <c r="L112" s="4">
        <v>0</v>
      </c>
      <c r="M112" s="4">
        <v>0</v>
      </c>
      <c r="N112" s="4">
        <v>-3849.2</v>
      </c>
      <c r="O112" s="4">
        <f t="shared" si="8"/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SUMIFS(Tab_07.Jul[SALDO
ATUAL],Tab_07.Jul[CONTA],$I113)</f>
        <v>-3849.2</v>
      </c>
      <c r="G113" s="4">
        <f t="shared" si="7"/>
        <v>0</v>
      </c>
      <c r="I113" s="3" t="s">
        <v>565</v>
      </c>
      <c r="J113" s="3" t="s">
        <v>667</v>
      </c>
      <c r="K113" s="4">
        <v>-3849.2</v>
      </c>
      <c r="L113" s="4">
        <v>0</v>
      </c>
      <c r="M113" s="4">
        <v>0</v>
      </c>
      <c r="N113" s="4">
        <v>-3849.2</v>
      </c>
      <c r="O113" s="4">
        <f t="shared" si="8"/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A</v>
      </c>
      <c r="E114" s="2">
        <f>IF($I114="","",COUNTIFS(Tab_00.Trial[CONTA],$I114))</f>
        <v>1</v>
      </c>
      <c r="F114" s="4">
        <f>SUMIFS(Tab_07.Jul[SALDO
ATUAL],Tab_07.Jul[CONTA],$I114)</f>
        <v>-3849.2</v>
      </c>
      <c r="G114" s="4">
        <f t="shared" ref="G114:G145" si="9">$F114-$K114</f>
        <v>0</v>
      </c>
      <c r="I114" s="3" t="s">
        <v>358</v>
      </c>
      <c r="J114" s="3" t="s">
        <v>359</v>
      </c>
      <c r="K114" s="4">
        <v>-3849.2</v>
      </c>
      <c r="L114" s="4">
        <v>0</v>
      </c>
      <c r="M114" s="4">
        <v>0</v>
      </c>
      <c r="N114" s="4">
        <v>-3849.2</v>
      </c>
      <c r="O114" s="4">
        <f t="shared" ref="O114:O145" si="10">$L114-$M114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2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SUMIFS(Tab_07.Jul[SALDO
ATUAL],Tab_07.Jul[CONTA],$I115)</f>
        <v>-46934.04</v>
      </c>
      <c r="G115" s="4">
        <f t="shared" si="9"/>
        <v>0</v>
      </c>
      <c r="I115" s="3" t="s">
        <v>226</v>
      </c>
      <c r="J115" s="3" t="s">
        <v>76</v>
      </c>
      <c r="K115" s="4">
        <v>-46934.04</v>
      </c>
      <c r="L115" s="4">
        <v>0</v>
      </c>
      <c r="M115" s="4">
        <v>0</v>
      </c>
      <c r="N115" s="4">
        <v>-46934.04</v>
      </c>
      <c r="O115" s="4">
        <f t="shared" si="10"/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SUMIFS(Tab_07.Jul[SALDO
ATUAL],Tab_07.Jul[CONTA],$I116)</f>
        <v>-46934.04</v>
      </c>
      <c r="G116" s="4">
        <f t="shared" si="9"/>
        <v>0</v>
      </c>
      <c r="I116" s="3" t="s">
        <v>566</v>
      </c>
      <c r="J116" s="3" t="s">
        <v>668</v>
      </c>
      <c r="K116" s="4">
        <v>-46934.04</v>
      </c>
      <c r="L116" s="4">
        <v>0</v>
      </c>
      <c r="M116" s="4">
        <v>0</v>
      </c>
      <c r="N116" s="4">
        <v>-46934.04</v>
      </c>
      <c r="O116" s="4">
        <f t="shared" si="10"/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SUMIFS(Tab_07.Jul[SALDO
ATUAL],Tab_07.Jul[CONTA],$I117)</f>
        <v>-46934.04</v>
      </c>
      <c r="G117" s="4">
        <f t="shared" si="9"/>
        <v>0</v>
      </c>
      <c r="I117" s="3" t="s">
        <v>567</v>
      </c>
      <c r="J117" s="3" t="s">
        <v>669</v>
      </c>
      <c r="K117" s="4">
        <v>-46934.04</v>
      </c>
      <c r="L117" s="4">
        <v>0</v>
      </c>
      <c r="M117" s="4">
        <v>0</v>
      </c>
      <c r="N117" s="4">
        <v>-46934.04</v>
      </c>
      <c r="O117" s="4">
        <f t="shared" si="10"/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SUMIFS(Tab_07.Jul[SALDO
ATUAL],Tab_07.Jul[CONTA],$I118)</f>
        <v>-31934.04</v>
      </c>
      <c r="G118" s="4">
        <f t="shared" si="9"/>
        <v>0</v>
      </c>
      <c r="I118" s="3" t="s">
        <v>360</v>
      </c>
      <c r="J118" s="3" t="s">
        <v>361</v>
      </c>
      <c r="K118" s="4">
        <v>-31934.04</v>
      </c>
      <c r="L118" s="4">
        <v>0</v>
      </c>
      <c r="M118" s="4">
        <v>0</v>
      </c>
      <c r="N118" s="4">
        <v>-31934.04</v>
      </c>
      <c r="O118" s="4">
        <f t="shared" si="10"/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SUMIFS(Tab_07.Jul[SALDO
ATUAL],Tab_07.Jul[CONTA],$I119)</f>
        <v>-15000</v>
      </c>
      <c r="G119" s="4">
        <f t="shared" si="9"/>
        <v>0</v>
      </c>
      <c r="I119" s="3" t="s">
        <v>362</v>
      </c>
      <c r="J119" s="3" t="s">
        <v>363</v>
      </c>
      <c r="K119" s="4">
        <v>-15000</v>
      </c>
      <c r="L119" s="4">
        <v>0</v>
      </c>
      <c r="M119" s="4">
        <v>0</v>
      </c>
      <c r="N119" s="4">
        <v>-15000</v>
      </c>
      <c r="O119" s="4">
        <f t="shared" si="10"/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2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SUMIFS(Tab_07.Jul[SALDO
ATUAL],Tab_07.Jul[CONTA],$I120)</f>
        <v>-81855530.489999995</v>
      </c>
      <c r="G120" s="4">
        <f t="shared" si="9"/>
        <v>0</v>
      </c>
      <c r="I120" s="3" t="s">
        <v>228</v>
      </c>
      <c r="J120" s="3" t="s">
        <v>670</v>
      </c>
      <c r="K120" s="4">
        <v>-81855530.489999995</v>
      </c>
      <c r="L120" s="4">
        <v>0</v>
      </c>
      <c r="M120" s="4">
        <v>0</v>
      </c>
      <c r="N120" s="4">
        <v>-81855530.489999995</v>
      </c>
      <c r="O120" s="4">
        <f t="shared" si="10"/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SUMIFS(Tab_07.Jul[SALDO
ATUAL],Tab_07.Jul[CONTA],$I121)</f>
        <v>-81855530.489999995</v>
      </c>
      <c r="G121" s="4">
        <f t="shared" si="9"/>
        <v>0</v>
      </c>
      <c r="I121" s="3" t="s">
        <v>229</v>
      </c>
      <c r="J121" s="3" t="s">
        <v>670</v>
      </c>
      <c r="K121" s="4">
        <v>-81855530.489999995</v>
      </c>
      <c r="L121" s="4">
        <v>0</v>
      </c>
      <c r="M121" s="4">
        <v>0</v>
      </c>
      <c r="N121" s="4">
        <v>-81855530.489999995</v>
      </c>
      <c r="O121" s="4">
        <f t="shared" si="10"/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SUMIFS(Tab_07.Jul[SALDO
ATUAL],Tab_07.Jul[CONTA],$I122)</f>
        <v>-104784619.59999999</v>
      </c>
      <c r="G122" s="4">
        <f t="shared" si="9"/>
        <v>0</v>
      </c>
      <c r="I122" s="3" t="s">
        <v>230</v>
      </c>
      <c r="J122" s="3" t="s">
        <v>364</v>
      </c>
      <c r="K122" s="4">
        <v>-104784619.59999999</v>
      </c>
      <c r="L122" s="4">
        <v>0</v>
      </c>
      <c r="M122" s="4">
        <v>0</v>
      </c>
      <c r="N122" s="4">
        <v>-104784619.59999999</v>
      </c>
      <c r="O122" s="4">
        <f t="shared" si="10"/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SUMIFS(Tab_07.Jul[SALDO
ATUAL],Tab_07.Jul[CONTA],$I123)</f>
        <v>-104784619.59999999</v>
      </c>
      <c r="G123" s="4">
        <f t="shared" si="9"/>
        <v>0</v>
      </c>
      <c r="I123" s="3" t="s">
        <v>193</v>
      </c>
      <c r="J123" s="3" t="s">
        <v>364</v>
      </c>
      <c r="K123" s="4">
        <v>-104784619.59999999</v>
      </c>
      <c r="L123" s="4">
        <v>0</v>
      </c>
      <c r="M123" s="4">
        <v>0</v>
      </c>
      <c r="N123" s="4">
        <v>-104784619.59999999</v>
      </c>
      <c r="O123" s="4">
        <f t="shared" si="10"/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SUMIFS(Tab_07.Jul[SALDO
ATUAL],Tab_07.Jul[CONTA],$I124)</f>
        <v>32587250.850000001</v>
      </c>
      <c r="G124" s="4">
        <f t="shared" si="9"/>
        <v>0</v>
      </c>
      <c r="I124" s="3" t="s">
        <v>568</v>
      </c>
      <c r="J124" s="3" t="s">
        <v>671</v>
      </c>
      <c r="K124" s="4">
        <v>32587250.850000001</v>
      </c>
      <c r="L124" s="4">
        <v>0</v>
      </c>
      <c r="M124" s="4">
        <v>0</v>
      </c>
      <c r="N124" s="4">
        <v>32587250.850000001</v>
      </c>
      <c r="O124" s="4">
        <f t="shared" si="10"/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SUMIFS(Tab_07.Jul[SALDO
ATUAL],Tab_07.Jul[CONTA],$I125)</f>
        <v>-827719.82</v>
      </c>
      <c r="G125" s="4">
        <f t="shared" si="9"/>
        <v>0</v>
      </c>
      <c r="I125" s="3" t="s">
        <v>743</v>
      </c>
      <c r="J125" s="3" t="s">
        <v>744</v>
      </c>
      <c r="K125" s="4">
        <v>-827719.82</v>
      </c>
      <c r="L125" s="4">
        <v>0</v>
      </c>
      <c r="M125" s="4">
        <v>0</v>
      </c>
      <c r="N125" s="4">
        <v>-827719.82</v>
      </c>
      <c r="O125" s="4">
        <f t="shared" si="10"/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SUMIFS(Tab_07.Jul[SALDO
ATUAL],Tab_07.Jul[CONTA],$I126)</f>
        <v>33414970.670000002</v>
      </c>
      <c r="G126" s="4">
        <f t="shared" si="9"/>
        <v>0</v>
      </c>
      <c r="I126" s="3" t="s">
        <v>365</v>
      </c>
      <c r="J126" s="3" t="s">
        <v>366</v>
      </c>
      <c r="K126" s="4">
        <v>33414970.670000002</v>
      </c>
      <c r="L126" s="4">
        <v>0</v>
      </c>
      <c r="M126" s="4">
        <v>0</v>
      </c>
      <c r="N126" s="4">
        <v>33414970.670000002</v>
      </c>
      <c r="O126" s="4">
        <f t="shared" si="10"/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SUMIFS(Tab_07.Jul[SALDO
ATUAL],Tab_07.Jul[CONTA],$I127)</f>
        <v>-9658161.7400000002</v>
      </c>
      <c r="G127" s="4">
        <f t="shared" si="9"/>
        <v>0</v>
      </c>
      <c r="I127" s="3" t="s">
        <v>745</v>
      </c>
      <c r="J127" s="3" t="s">
        <v>746</v>
      </c>
      <c r="K127" s="4">
        <v>-9658161.7400000002</v>
      </c>
      <c r="L127" s="4">
        <v>0</v>
      </c>
      <c r="M127" s="4">
        <v>0</v>
      </c>
      <c r="N127" s="4">
        <v>-9658161.7400000002</v>
      </c>
      <c r="O127" s="4">
        <f t="shared" si="10"/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SUMIFS(Tab_07.Jul[SALDO
ATUAL],Tab_07.Jul[CONTA],$I128)</f>
        <v>-9658161.7400000002</v>
      </c>
      <c r="G128" s="4">
        <f t="shared" si="9"/>
        <v>0</v>
      </c>
      <c r="I128" s="3" t="s">
        <v>747</v>
      </c>
      <c r="J128" s="3" t="s">
        <v>746</v>
      </c>
      <c r="K128" s="4">
        <v>-9658161.7400000002</v>
      </c>
      <c r="L128" s="4">
        <v>0</v>
      </c>
      <c r="M128" s="4">
        <v>0</v>
      </c>
      <c r="N128" s="4">
        <v>-9658161.7400000002</v>
      </c>
      <c r="O128" s="4">
        <f t="shared" si="10"/>
        <v>0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1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SUMIFS(Tab_07.Jul[SALDO
ATUAL],Tab_07.Jul[CONTA],$I129)</f>
        <v>-8945453.5600000005</v>
      </c>
      <c r="G129" s="4">
        <f t="shared" si="9"/>
        <v>-1494884.3</v>
      </c>
      <c r="I129" s="3">
        <v>3</v>
      </c>
      <c r="J129" s="3" t="s">
        <v>672</v>
      </c>
      <c r="K129" s="4">
        <v>-7450569.2599999998</v>
      </c>
      <c r="L129" s="4">
        <v>11</v>
      </c>
      <c r="M129" s="4">
        <v>1494895.3</v>
      </c>
      <c r="N129" s="4">
        <v>-8945453.5600000005</v>
      </c>
      <c r="O129" s="4">
        <f t="shared" si="10"/>
        <v>-1494884.3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2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SUMIFS(Tab_07.Jul[SALDO
ATUAL],Tab_07.Jul[CONTA],$I130)</f>
        <v>-4191056.22</v>
      </c>
      <c r="G130" s="4">
        <f t="shared" si="9"/>
        <v>-611115.52000000002</v>
      </c>
      <c r="I130" s="3" t="s">
        <v>231</v>
      </c>
      <c r="J130" s="3" t="s">
        <v>673</v>
      </c>
      <c r="K130" s="4">
        <v>-3579940.7</v>
      </c>
      <c r="L130" s="4">
        <v>0</v>
      </c>
      <c r="M130" s="4">
        <v>611115.52000000002</v>
      </c>
      <c r="N130" s="4">
        <v>-4191056.22</v>
      </c>
      <c r="O130" s="4">
        <f t="shared" si="10"/>
        <v>-611115.52000000002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SUMIFS(Tab_07.Jul[SALDO
ATUAL],Tab_07.Jul[CONTA],$I131)</f>
        <v>-2618544.58</v>
      </c>
      <c r="G131" s="4">
        <f t="shared" si="9"/>
        <v>-457031.23</v>
      </c>
      <c r="I131" s="3" t="s">
        <v>232</v>
      </c>
      <c r="J131" s="3" t="s">
        <v>674</v>
      </c>
      <c r="K131" s="4">
        <v>-2161513.35</v>
      </c>
      <c r="L131" s="4">
        <v>0</v>
      </c>
      <c r="M131" s="4">
        <v>457031.23</v>
      </c>
      <c r="N131" s="4">
        <v>-2618544.58</v>
      </c>
      <c r="O131" s="4">
        <f t="shared" si="10"/>
        <v>-457031.23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SUMIFS(Tab_07.Jul[SALDO
ATUAL],Tab_07.Jul[CONTA],$I132)</f>
        <v>-916108.28</v>
      </c>
      <c r="G132" s="4">
        <f t="shared" si="9"/>
        <v>-133881.88</v>
      </c>
      <c r="I132" s="3" t="s">
        <v>233</v>
      </c>
      <c r="J132" s="3" t="s">
        <v>675</v>
      </c>
      <c r="K132" s="4">
        <v>-782226.4</v>
      </c>
      <c r="L132" s="4">
        <v>0</v>
      </c>
      <c r="M132" s="4">
        <v>133881.88</v>
      </c>
      <c r="N132" s="4">
        <v>-916108.28</v>
      </c>
      <c r="O132" s="4">
        <f t="shared" si="10"/>
        <v>-133881.88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A</v>
      </c>
      <c r="E133" s="2">
        <f>IF($I133="","",COUNTIFS(Tab_00.Trial[CONTA],$I133))</f>
        <v>1</v>
      </c>
      <c r="F133" s="4">
        <f>SUMIFS(Tab_07.Jul[SALDO
ATUAL],Tab_07.Jul[CONTA],$I133)</f>
        <v>-916108.28</v>
      </c>
      <c r="G133" s="4">
        <f t="shared" si="9"/>
        <v>-133881.88</v>
      </c>
      <c r="I133" s="3" t="s">
        <v>194</v>
      </c>
      <c r="J133" s="3" t="s">
        <v>367</v>
      </c>
      <c r="K133" s="4">
        <v>-782226.4</v>
      </c>
      <c r="L133" s="4">
        <v>0</v>
      </c>
      <c r="M133" s="4">
        <v>133881.88</v>
      </c>
      <c r="N133" s="4">
        <v>-916108.28</v>
      </c>
      <c r="O133" s="4">
        <f t="shared" si="10"/>
        <v>-133881.88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SUMIFS(Tab_07.Jul[SALDO
ATUAL],Tab_07.Jul[CONTA],$I134)</f>
        <v>-1702436.3</v>
      </c>
      <c r="G134" s="4">
        <f t="shared" si="9"/>
        <v>-323149.34999999998</v>
      </c>
      <c r="I134" s="3" t="s">
        <v>735</v>
      </c>
      <c r="J134" s="3" t="s">
        <v>736</v>
      </c>
      <c r="K134" s="4">
        <v>-1379286.95</v>
      </c>
      <c r="L134" s="4">
        <v>0</v>
      </c>
      <c r="M134" s="4">
        <v>323149.34999999998</v>
      </c>
      <c r="N134" s="4">
        <v>-1702436.3</v>
      </c>
      <c r="O134" s="4">
        <f t="shared" si="10"/>
        <v>-323149.34999999998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SUMIFS(Tab_07.Jul[SALDO
ATUAL],Tab_07.Jul[CONTA],$I135)</f>
        <v>-1702436.3</v>
      </c>
      <c r="G135" s="4">
        <f t="shared" si="9"/>
        <v>-323149.34999999998</v>
      </c>
      <c r="I135" s="3" t="s">
        <v>737</v>
      </c>
      <c r="J135" s="3" t="s">
        <v>820</v>
      </c>
      <c r="K135" s="4">
        <v>-1379286.95</v>
      </c>
      <c r="L135" s="4">
        <v>0</v>
      </c>
      <c r="M135" s="4">
        <v>323149.34999999998</v>
      </c>
      <c r="N135" s="4">
        <v>-1702436.3</v>
      </c>
      <c r="O135" s="4">
        <f t="shared" si="10"/>
        <v>-323149.34999999998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SUMIFS(Tab_07.Jul[SALDO
ATUAL],Tab_07.Jul[CONTA],$I136)</f>
        <v>-1572511.64</v>
      </c>
      <c r="G136" s="4">
        <f t="shared" si="9"/>
        <v>-154084.29</v>
      </c>
      <c r="I136" s="3" t="s">
        <v>569</v>
      </c>
      <c r="J136" s="3" t="s">
        <v>676</v>
      </c>
      <c r="K136" s="4">
        <v>-1418427.35</v>
      </c>
      <c r="L136" s="4">
        <v>0</v>
      </c>
      <c r="M136" s="4">
        <v>154084.29</v>
      </c>
      <c r="N136" s="4">
        <v>-1572511.64</v>
      </c>
      <c r="O136" s="4">
        <f t="shared" si="10"/>
        <v>-154084.29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SUMIFS(Tab_07.Jul[SALDO
ATUAL],Tab_07.Jul[CONTA],$I137)</f>
        <v>-991749.08</v>
      </c>
      <c r="G137" s="4">
        <f t="shared" si="9"/>
        <v>-71118.210000000006</v>
      </c>
      <c r="I137" s="3" t="s">
        <v>570</v>
      </c>
      <c r="J137" s="3" t="s">
        <v>677</v>
      </c>
      <c r="K137" s="4">
        <v>-920630.87</v>
      </c>
      <c r="L137" s="4">
        <v>0</v>
      </c>
      <c r="M137" s="4">
        <v>71118.210000000006</v>
      </c>
      <c r="N137" s="4">
        <v>-991749.08</v>
      </c>
      <c r="O137" s="4">
        <f t="shared" si="10"/>
        <v>-71118.210000000006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SUMIFS(Tab_07.Jul[SALDO
ATUAL],Tab_07.Jul[CONTA],$I138)</f>
        <v>-488798.45</v>
      </c>
      <c r="G138" s="4">
        <f t="shared" si="9"/>
        <v>-35652.550000000003</v>
      </c>
      <c r="I138" s="3" t="s">
        <v>368</v>
      </c>
      <c r="J138" s="3" t="s">
        <v>369</v>
      </c>
      <c r="K138" s="4">
        <v>-453145.9</v>
      </c>
      <c r="L138" s="4">
        <v>0</v>
      </c>
      <c r="M138" s="4">
        <v>35652.550000000003</v>
      </c>
      <c r="N138" s="4">
        <v>-488798.45</v>
      </c>
      <c r="O138" s="4">
        <f t="shared" si="10"/>
        <v>-35652.550000000003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SUMIFS(Tab_07.Jul[SALDO
ATUAL],Tab_07.Jul[CONTA],$I139)</f>
        <v>-406878.7</v>
      </c>
      <c r="G139" s="4">
        <f t="shared" si="9"/>
        <v>-35465.660000000003</v>
      </c>
      <c r="I139" s="3" t="s">
        <v>370</v>
      </c>
      <c r="J139" s="3" t="s">
        <v>371</v>
      </c>
      <c r="K139" s="4">
        <v>-371413.04</v>
      </c>
      <c r="L139" s="4">
        <v>0</v>
      </c>
      <c r="M139" s="4">
        <v>35465.660000000003</v>
      </c>
      <c r="N139" s="4">
        <v>-406878.7</v>
      </c>
      <c r="O139" s="4">
        <f t="shared" si="10"/>
        <v>-35465.660000000003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SUMIFS(Tab_07.Jul[SALDO
ATUAL],Tab_07.Jul[CONTA],$I140)</f>
        <v>-6547.36</v>
      </c>
      <c r="G140" s="4">
        <f t="shared" si="9"/>
        <v>0</v>
      </c>
      <c r="I140" s="3" t="s">
        <v>372</v>
      </c>
      <c r="J140" s="3" t="s">
        <v>373</v>
      </c>
      <c r="K140" s="4">
        <v>-6547.36</v>
      </c>
      <c r="L140" s="4">
        <v>0</v>
      </c>
      <c r="M140" s="4">
        <v>0</v>
      </c>
      <c r="N140" s="4">
        <v>-6547.36</v>
      </c>
      <c r="O140" s="4">
        <f t="shared" si="10"/>
        <v>0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SUMIFS(Tab_07.Jul[SALDO
ATUAL],Tab_07.Jul[CONTA],$I141)</f>
        <v>-89524.57</v>
      </c>
      <c r="G141" s="4">
        <f t="shared" si="9"/>
        <v>0</v>
      </c>
      <c r="I141" s="3" t="s">
        <v>851</v>
      </c>
      <c r="J141" s="3" t="s">
        <v>852</v>
      </c>
      <c r="K141" s="4">
        <v>-89524.57</v>
      </c>
      <c r="L141" s="4">
        <v>0</v>
      </c>
      <c r="M141" s="4">
        <v>0</v>
      </c>
      <c r="N141" s="4">
        <v>-89524.57</v>
      </c>
      <c r="O141" s="4">
        <f t="shared" si="10"/>
        <v>0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SUMIFS(Tab_07.Jul[SALDO
ATUAL],Tab_07.Jul[CONTA],$I142)</f>
        <v>-580762.56000000006</v>
      </c>
      <c r="G142" s="4">
        <f t="shared" si="9"/>
        <v>-82966.080000000002</v>
      </c>
      <c r="I142" s="3" t="s">
        <v>571</v>
      </c>
      <c r="J142" s="3" t="s">
        <v>377</v>
      </c>
      <c r="K142" s="4">
        <v>-497796.48</v>
      </c>
      <c r="L142" s="4">
        <v>0</v>
      </c>
      <c r="M142" s="4">
        <v>82966.080000000002</v>
      </c>
      <c r="N142" s="4">
        <v>-580762.56000000006</v>
      </c>
      <c r="O142" s="4">
        <f t="shared" si="10"/>
        <v>-82966.080000000002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SUMIFS(Tab_07.Jul[SALDO
ATUAL],Tab_07.Jul[CONTA],$I143)</f>
        <v>-580762.56000000006</v>
      </c>
      <c r="G143" s="4">
        <f t="shared" si="9"/>
        <v>-82966.080000000002</v>
      </c>
      <c r="I143" s="3" t="s">
        <v>376</v>
      </c>
      <c r="J143" s="3" t="s">
        <v>377</v>
      </c>
      <c r="K143" s="4">
        <v>-497796.48</v>
      </c>
      <c r="L143" s="4">
        <v>0</v>
      </c>
      <c r="M143" s="4">
        <v>82966.080000000002</v>
      </c>
      <c r="N143" s="4">
        <v>-580762.56000000006</v>
      </c>
      <c r="O143" s="4">
        <f t="shared" si="10"/>
        <v>-82966.080000000002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2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SUMIFS(Tab_07.Jul[SALDO
ATUAL],Tab_07.Jul[CONTA],$I144)</f>
        <v>-3078453.5</v>
      </c>
      <c r="G144" s="4">
        <f t="shared" si="9"/>
        <v>-446974.84</v>
      </c>
      <c r="I144" s="3" t="s">
        <v>574</v>
      </c>
      <c r="J144" s="3" t="s">
        <v>680</v>
      </c>
      <c r="K144" s="4">
        <v>-2631478.66</v>
      </c>
      <c r="L144" s="4">
        <v>11</v>
      </c>
      <c r="M144" s="4">
        <v>446985.84</v>
      </c>
      <c r="N144" s="4">
        <v>-3078453.5</v>
      </c>
      <c r="O144" s="4">
        <f t="shared" si="10"/>
        <v>-446974.84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SUMIFS(Tab_07.Jul[SALDO
ATUAL],Tab_07.Jul[CONTA],$I145)</f>
        <v>-50</v>
      </c>
      <c r="G145" s="4">
        <f t="shared" si="9"/>
        <v>-50</v>
      </c>
      <c r="I145" s="3" t="s">
        <v>575</v>
      </c>
      <c r="J145" s="3" t="s">
        <v>681</v>
      </c>
      <c r="K145" s="4">
        <v>0</v>
      </c>
      <c r="L145" s="4">
        <v>0</v>
      </c>
      <c r="M145" s="4">
        <v>50</v>
      </c>
      <c r="N145" s="4">
        <v>-50</v>
      </c>
      <c r="O145" s="4">
        <f t="shared" si="10"/>
        <v>-50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SUMIFS(Tab_07.Jul[SALDO
ATUAL],Tab_07.Jul[CONTA],$I146)</f>
        <v>-50</v>
      </c>
      <c r="G146" s="4">
        <f t="shared" ref="G146:G177" si="11">$F146-$K146</f>
        <v>-50</v>
      </c>
      <c r="I146" s="3" t="s">
        <v>576</v>
      </c>
      <c r="J146" s="3" t="s">
        <v>821</v>
      </c>
      <c r="K146" s="4">
        <v>0</v>
      </c>
      <c r="L146" s="4">
        <v>0</v>
      </c>
      <c r="M146" s="4">
        <v>50</v>
      </c>
      <c r="N146" s="4">
        <v>-50</v>
      </c>
      <c r="O146" s="4">
        <f t="shared" ref="O146:O177" si="12">$L146-$M146</f>
        <v>-50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A</v>
      </c>
      <c r="E147" s="2">
        <f>IF($I147="","",COUNTIFS(Tab_00.Trial[CONTA],$I147))</f>
        <v>1</v>
      </c>
      <c r="F147" s="4">
        <f>SUMIFS(Tab_07.Jul[SALDO
ATUAL],Tab_07.Jul[CONTA],$I147)</f>
        <v>-50</v>
      </c>
      <c r="G147" s="4">
        <f t="shared" si="11"/>
        <v>-50</v>
      </c>
      <c r="I147" s="3" t="s">
        <v>382</v>
      </c>
      <c r="J147" s="3" t="s">
        <v>292</v>
      </c>
      <c r="K147" s="4">
        <v>0</v>
      </c>
      <c r="L147" s="4">
        <v>0</v>
      </c>
      <c r="M147" s="4">
        <v>50</v>
      </c>
      <c r="N147" s="4">
        <v>-50</v>
      </c>
      <c r="O147" s="4">
        <f t="shared" si="12"/>
        <v>-50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SUMIFS(Tab_07.Jul[SALDO
ATUAL],Tab_07.Jul[CONTA],$I148)</f>
        <v>11</v>
      </c>
      <c r="G148" s="4">
        <f t="shared" si="11"/>
        <v>11</v>
      </c>
      <c r="I148" s="3" t="s">
        <v>577</v>
      </c>
      <c r="J148" s="3" t="s">
        <v>683</v>
      </c>
      <c r="K148" s="4">
        <v>0</v>
      </c>
      <c r="L148" s="4">
        <v>11</v>
      </c>
      <c r="M148" s="4">
        <v>0</v>
      </c>
      <c r="N148" s="4">
        <v>11</v>
      </c>
      <c r="O148" s="4">
        <f t="shared" si="12"/>
        <v>11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SUMIFS(Tab_07.Jul[SALDO
ATUAL],Tab_07.Jul[CONTA],$I149)</f>
        <v>11</v>
      </c>
      <c r="G149" s="4">
        <f t="shared" si="11"/>
        <v>11</v>
      </c>
      <c r="I149" s="3" t="s">
        <v>853</v>
      </c>
      <c r="J149" s="3" t="s">
        <v>854</v>
      </c>
      <c r="K149" s="4">
        <v>0</v>
      </c>
      <c r="L149" s="4">
        <v>11</v>
      </c>
      <c r="M149" s="4">
        <v>0</v>
      </c>
      <c r="N149" s="4">
        <v>11</v>
      </c>
      <c r="O149" s="4">
        <f t="shared" si="12"/>
        <v>11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SUMIFS(Tab_07.Jul[SALDO
ATUAL],Tab_07.Jul[CONTA],$I150)</f>
        <v>11</v>
      </c>
      <c r="G150" s="4">
        <f t="shared" si="11"/>
        <v>11</v>
      </c>
      <c r="I150" s="3" t="s">
        <v>855</v>
      </c>
      <c r="J150" s="3" t="s">
        <v>856</v>
      </c>
      <c r="K150" s="4">
        <v>0</v>
      </c>
      <c r="L150" s="4">
        <v>11</v>
      </c>
      <c r="M150" s="4">
        <v>0</v>
      </c>
      <c r="N150" s="4">
        <v>11</v>
      </c>
      <c r="O150" s="4">
        <f t="shared" si="12"/>
        <v>11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SUMIFS(Tab_07.Jul[SALDO
ATUAL],Tab_07.Jul[CONTA],$I151)</f>
        <v>-3078414.5</v>
      </c>
      <c r="G151" s="4">
        <f t="shared" si="11"/>
        <v>-446935.84</v>
      </c>
      <c r="I151" s="3" t="s">
        <v>580</v>
      </c>
      <c r="J151" s="3" t="s">
        <v>822</v>
      </c>
      <c r="K151" s="4">
        <v>-2631478.66</v>
      </c>
      <c r="L151" s="4">
        <v>0</v>
      </c>
      <c r="M151" s="4">
        <v>446935.84</v>
      </c>
      <c r="N151" s="4">
        <v>-3078414.5</v>
      </c>
      <c r="O151" s="4">
        <f t="shared" si="12"/>
        <v>-446935.84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SUMIFS(Tab_07.Jul[SALDO
ATUAL],Tab_07.Jul[CONTA],$I152)</f>
        <v>-3078414.5</v>
      </c>
      <c r="G152" s="4">
        <f t="shared" si="11"/>
        <v>-446935.84</v>
      </c>
      <c r="I152" s="3" t="s">
        <v>581</v>
      </c>
      <c r="J152" s="3" t="s">
        <v>687</v>
      </c>
      <c r="K152" s="4">
        <v>-2631478.66</v>
      </c>
      <c r="L152" s="4">
        <v>0</v>
      </c>
      <c r="M152" s="4">
        <v>446935.84</v>
      </c>
      <c r="N152" s="4">
        <v>-3078414.5</v>
      </c>
      <c r="O152" s="4">
        <f t="shared" si="12"/>
        <v>-446935.84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SUMIFS(Tab_07.Jul[SALDO
ATUAL],Tab_07.Jul[CONTA],$I153)</f>
        <v>-3026099.26</v>
      </c>
      <c r="G153" s="4">
        <f t="shared" si="11"/>
        <v>-440421.58</v>
      </c>
      <c r="I153" s="3" t="s">
        <v>387</v>
      </c>
      <c r="J153" s="3" t="s">
        <v>388</v>
      </c>
      <c r="K153" s="4">
        <v>-2585677.6800000002</v>
      </c>
      <c r="L153" s="4">
        <v>0</v>
      </c>
      <c r="M153" s="4">
        <v>440421.58</v>
      </c>
      <c r="N153" s="4">
        <v>-3026099.26</v>
      </c>
      <c r="O153" s="4">
        <f t="shared" si="12"/>
        <v>-440421.58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A</v>
      </c>
      <c r="E154" s="2">
        <f>IF($I154="","",COUNTIFS(Tab_00.Trial[CONTA],$I154))</f>
        <v>1</v>
      </c>
      <c r="F154" s="4">
        <f>SUMIFS(Tab_07.Jul[SALDO
ATUAL],Tab_07.Jul[CONTA],$I154)</f>
        <v>-52315.24</v>
      </c>
      <c r="G154" s="4">
        <f t="shared" si="11"/>
        <v>-6514.26</v>
      </c>
      <c r="I154" s="3" t="s">
        <v>389</v>
      </c>
      <c r="J154" s="3" t="s">
        <v>390</v>
      </c>
      <c r="K154" s="4">
        <v>-45800.98</v>
      </c>
      <c r="L154" s="4">
        <v>0</v>
      </c>
      <c r="M154" s="4">
        <v>6514.26</v>
      </c>
      <c r="N154" s="4">
        <v>-52315.24</v>
      </c>
      <c r="O154" s="4">
        <f t="shared" si="12"/>
        <v>-6514.26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2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SUMIFS(Tab_07.Jul[SALDO
ATUAL],Tab_07.Jul[CONTA],$I155)</f>
        <v>-1668493.84</v>
      </c>
      <c r="G155" s="4">
        <f t="shared" si="11"/>
        <v>-435543.94</v>
      </c>
      <c r="I155" s="3" t="s">
        <v>582</v>
      </c>
      <c r="J155" s="3" t="s">
        <v>688</v>
      </c>
      <c r="K155" s="4">
        <v>-1232949.8999999999</v>
      </c>
      <c r="L155" s="4">
        <v>0</v>
      </c>
      <c r="M155" s="4">
        <v>435543.94</v>
      </c>
      <c r="N155" s="4">
        <v>-1668493.84</v>
      </c>
      <c r="O155" s="4">
        <f t="shared" si="12"/>
        <v>-435543.94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SUMIFS(Tab_07.Jul[SALDO
ATUAL],Tab_07.Jul[CONTA],$I156)</f>
        <v>-73.459999999999994</v>
      </c>
      <c r="G156" s="4">
        <f t="shared" si="11"/>
        <v>-0.03</v>
      </c>
      <c r="I156" s="3" t="s">
        <v>583</v>
      </c>
      <c r="J156" s="3" t="s">
        <v>689</v>
      </c>
      <c r="K156" s="4">
        <v>-73.430000000000007</v>
      </c>
      <c r="L156" s="4">
        <v>0</v>
      </c>
      <c r="M156" s="4">
        <v>0.03</v>
      </c>
      <c r="N156" s="4">
        <v>-73.459999999999994</v>
      </c>
      <c r="O156" s="4">
        <f t="shared" si="12"/>
        <v>-0.03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SUMIFS(Tab_07.Jul[SALDO
ATUAL],Tab_07.Jul[CONTA],$I157)</f>
        <v>-73.459999999999994</v>
      </c>
      <c r="G157" s="4">
        <f t="shared" si="11"/>
        <v>-0.03</v>
      </c>
      <c r="I157" s="3" t="s">
        <v>584</v>
      </c>
      <c r="J157" s="3" t="s">
        <v>689</v>
      </c>
      <c r="K157" s="4">
        <v>-73.430000000000007</v>
      </c>
      <c r="L157" s="4">
        <v>0</v>
      </c>
      <c r="M157" s="4">
        <v>0.03</v>
      </c>
      <c r="N157" s="4">
        <v>-73.459999999999994</v>
      </c>
      <c r="O157" s="4">
        <f t="shared" si="12"/>
        <v>-0.03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A</v>
      </c>
      <c r="E158" s="2">
        <f>IF($I158="","",COUNTIFS(Tab_00.Trial[CONTA],$I158))</f>
        <v>1</v>
      </c>
      <c r="F158" s="4">
        <f>SUMIFS(Tab_07.Jul[SALDO
ATUAL],Tab_07.Jul[CONTA],$I158)</f>
        <v>-73.459999999999994</v>
      </c>
      <c r="G158" s="4">
        <f t="shared" si="11"/>
        <v>-0.03</v>
      </c>
      <c r="I158" s="3" t="s">
        <v>391</v>
      </c>
      <c r="J158" s="3" t="s">
        <v>392</v>
      </c>
      <c r="K158" s="4">
        <v>-73.430000000000007</v>
      </c>
      <c r="L158" s="4">
        <v>0</v>
      </c>
      <c r="M158" s="4">
        <v>0.03</v>
      </c>
      <c r="N158" s="4">
        <v>-73.459999999999994</v>
      </c>
      <c r="O158" s="4">
        <f t="shared" si="12"/>
        <v>-0.03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SUMIFS(Tab_07.Jul[SALDO
ATUAL],Tab_07.Jul[CONTA],$I159)</f>
        <v>-1668420.38</v>
      </c>
      <c r="G159" s="4">
        <f t="shared" si="11"/>
        <v>-435543.91</v>
      </c>
      <c r="I159" s="3" t="s">
        <v>585</v>
      </c>
      <c r="J159" s="3" t="s">
        <v>690</v>
      </c>
      <c r="K159" s="4">
        <v>-1232876.47</v>
      </c>
      <c r="L159" s="4">
        <v>0</v>
      </c>
      <c r="M159" s="4">
        <v>435543.91</v>
      </c>
      <c r="N159" s="4">
        <v>-1668420.38</v>
      </c>
      <c r="O159" s="4">
        <f t="shared" si="12"/>
        <v>-435543.91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SUMIFS(Tab_07.Jul[SALDO
ATUAL],Tab_07.Jul[CONTA],$I160)</f>
        <v>-1668420.38</v>
      </c>
      <c r="G160" s="4">
        <f t="shared" si="11"/>
        <v>-435543.91</v>
      </c>
      <c r="I160" s="3" t="s">
        <v>586</v>
      </c>
      <c r="J160" s="3" t="s">
        <v>394</v>
      </c>
      <c r="K160" s="4">
        <v>-1232876.47</v>
      </c>
      <c r="L160" s="4">
        <v>0</v>
      </c>
      <c r="M160" s="4">
        <v>435543.91</v>
      </c>
      <c r="N160" s="4">
        <v>-1668420.38</v>
      </c>
      <c r="O160" s="4">
        <f t="shared" si="12"/>
        <v>-435543.91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SUMIFS(Tab_07.Jul[SALDO
ATUAL],Tab_07.Jul[CONTA],$I161)</f>
        <v>-1668420.38</v>
      </c>
      <c r="G161" s="4">
        <f t="shared" si="11"/>
        <v>-435543.91</v>
      </c>
      <c r="I161" s="3" t="s">
        <v>393</v>
      </c>
      <c r="J161" s="3" t="s">
        <v>394</v>
      </c>
      <c r="K161" s="4">
        <v>-1232876.47</v>
      </c>
      <c r="L161" s="4">
        <v>0</v>
      </c>
      <c r="M161" s="4">
        <v>435543.91</v>
      </c>
      <c r="N161" s="4">
        <v>-1668420.38</v>
      </c>
      <c r="O161" s="4">
        <f t="shared" si="12"/>
        <v>-435543.91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2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SUMIFS(Tab_07.Jul[SALDO
ATUAL],Tab_07.Jul[CONTA],$I162)</f>
        <v>-7450</v>
      </c>
      <c r="G162" s="4">
        <f t="shared" si="11"/>
        <v>-1250</v>
      </c>
      <c r="I162" s="3" t="s">
        <v>587</v>
      </c>
      <c r="J162" s="3" t="s">
        <v>691</v>
      </c>
      <c r="K162" s="4">
        <v>-6200</v>
      </c>
      <c r="L162" s="4">
        <v>0</v>
      </c>
      <c r="M162" s="4">
        <v>1250</v>
      </c>
      <c r="N162" s="4">
        <v>-7450</v>
      </c>
      <c r="O162" s="4">
        <f t="shared" si="12"/>
        <v>-1250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SUMIFS(Tab_07.Jul[SALDO
ATUAL],Tab_07.Jul[CONTA],$I163)</f>
        <v>-7450</v>
      </c>
      <c r="G163" s="4">
        <f t="shared" si="11"/>
        <v>-1250</v>
      </c>
      <c r="I163" s="3" t="s">
        <v>588</v>
      </c>
      <c r="J163" s="3" t="s">
        <v>692</v>
      </c>
      <c r="K163" s="4">
        <v>-6200</v>
      </c>
      <c r="L163" s="4">
        <v>0</v>
      </c>
      <c r="M163" s="4">
        <v>1250</v>
      </c>
      <c r="N163" s="4">
        <v>-7450</v>
      </c>
      <c r="O163" s="4">
        <f t="shared" si="12"/>
        <v>-1250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SUMIFS(Tab_07.Jul[SALDO
ATUAL],Tab_07.Jul[CONTA],$I164)</f>
        <v>-7450</v>
      </c>
      <c r="G164" s="4">
        <f t="shared" si="11"/>
        <v>-1250</v>
      </c>
      <c r="I164" s="3" t="s">
        <v>589</v>
      </c>
      <c r="J164" s="3" t="s">
        <v>692</v>
      </c>
      <c r="K164" s="4">
        <v>-6200</v>
      </c>
      <c r="L164" s="4">
        <v>0</v>
      </c>
      <c r="M164" s="4">
        <v>1250</v>
      </c>
      <c r="N164" s="4">
        <v>-7450</v>
      </c>
      <c r="O164" s="4">
        <f t="shared" si="12"/>
        <v>-1250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5</v>
      </c>
      <c r="D165" s="2" t="str">
        <f>_xlfn.XLOOKUP($I165,Tab_00.Trial[CONTA],Tab_00.Trial[S/A],"",0,1)</f>
        <v>A</v>
      </c>
      <c r="E165" s="2">
        <f>IF($I165="","",COUNTIFS(Tab_00.Trial[CONTA],$I165))</f>
        <v>1</v>
      </c>
      <c r="F165" s="4">
        <f>SUMIFS(Tab_07.Jul[SALDO
ATUAL],Tab_07.Jul[CONTA],$I165)</f>
        <v>-7450</v>
      </c>
      <c r="G165" s="4">
        <f t="shared" si="11"/>
        <v>-1250</v>
      </c>
      <c r="I165" s="3" t="s">
        <v>395</v>
      </c>
      <c r="J165" s="3" t="s">
        <v>396</v>
      </c>
      <c r="K165" s="4">
        <v>-6200</v>
      </c>
      <c r="L165" s="4">
        <v>0</v>
      </c>
      <c r="M165" s="4">
        <v>1250</v>
      </c>
      <c r="N165" s="4">
        <v>-7450</v>
      </c>
      <c r="O165" s="4">
        <f t="shared" si="12"/>
        <v>-1250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1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SUMIFS(Tab_07.Jul[SALDO
ATUAL],Tab_07.Jul[CONTA],$I166)</f>
        <v>5754644.9500000002</v>
      </c>
      <c r="G166" s="4">
        <f t="shared" si="11"/>
        <v>827933.55</v>
      </c>
      <c r="I166" s="3">
        <v>4</v>
      </c>
      <c r="J166" s="3" t="s">
        <v>693</v>
      </c>
      <c r="K166" s="4">
        <v>4926711.4000000004</v>
      </c>
      <c r="L166" s="4">
        <v>842911.56</v>
      </c>
      <c r="M166" s="4">
        <v>14978.01</v>
      </c>
      <c r="N166" s="4">
        <v>5754644.9500000002</v>
      </c>
      <c r="O166" s="4">
        <f t="shared" si="12"/>
        <v>827933.55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2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SUMIFS(Tab_07.Jul[SALDO
ATUAL],Tab_07.Jul[CONTA],$I167)</f>
        <v>5754644.9500000002</v>
      </c>
      <c r="G167" s="4">
        <f t="shared" si="11"/>
        <v>827933.55</v>
      </c>
      <c r="I167" s="3" t="s">
        <v>234</v>
      </c>
      <c r="J167" s="3" t="s">
        <v>823</v>
      </c>
      <c r="K167" s="4">
        <v>4926711.4000000004</v>
      </c>
      <c r="L167" s="4">
        <v>842911.56</v>
      </c>
      <c r="M167" s="4">
        <v>14978.01</v>
      </c>
      <c r="N167" s="4">
        <v>5754644.9500000002</v>
      </c>
      <c r="O167" s="4">
        <f t="shared" si="12"/>
        <v>827933.55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SUMIFS(Tab_07.Jul[SALDO
ATUAL],Tab_07.Jul[CONTA],$I168)</f>
        <v>1065211.75</v>
      </c>
      <c r="G168" s="4">
        <f t="shared" si="11"/>
        <v>125936.96000000001</v>
      </c>
      <c r="I168" s="3" t="s">
        <v>235</v>
      </c>
      <c r="J168" s="3" t="s">
        <v>824</v>
      </c>
      <c r="K168" s="4">
        <v>939274.79</v>
      </c>
      <c r="L168" s="4">
        <v>140914.97</v>
      </c>
      <c r="M168" s="4">
        <v>14978.01</v>
      </c>
      <c r="N168" s="4">
        <v>1065211.75</v>
      </c>
      <c r="O168" s="4">
        <f t="shared" si="12"/>
        <v>125936.96000000001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SUMIFS(Tab_07.Jul[SALDO
ATUAL],Tab_07.Jul[CONTA],$I169)</f>
        <v>477244.49</v>
      </c>
      <c r="G169" s="4">
        <f t="shared" si="11"/>
        <v>54793.49</v>
      </c>
      <c r="I169" s="3" t="s">
        <v>236</v>
      </c>
      <c r="J169" s="3" t="s">
        <v>696</v>
      </c>
      <c r="K169" s="4">
        <v>422451</v>
      </c>
      <c r="L169" s="4">
        <v>65941.08</v>
      </c>
      <c r="M169" s="4">
        <v>11147.59</v>
      </c>
      <c r="N169" s="4">
        <v>477244.49</v>
      </c>
      <c r="O169" s="4">
        <f t="shared" si="12"/>
        <v>54793.49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SUMIFS(Tab_07.Jul[SALDO
ATUAL],Tab_07.Jul[CONTA],$I170)</f>
        <v>326968.65999999997</v>
      </c>
      <c r="G170" s="4">
        <f t="shared" si="11"/>
        <v>37076.21</v>
      </c>
      <c r="I170" s="3" t="s">
        <v>195</v>
      </c>
      <c r="J170" s="3" t="s">
        <v>427</v>
      </c>
      <c r="K170" s="4">
        <v>289892.45</v>
      </c>
      <c r="L170" s="4">
        <v>48223.8</v>
      </c>
      <c r="M170" s="4">
        <v>11147.59</v>
      </c>
      <c r="N170" s="4">
        <v>326968.65999999997</v>
      </c>
      <c r="O170" s="4">
        <f t="shared" si="12"/>
        <v>37076.21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SUMIFS(Tab_07.Jul[SALDO
ATUAL],Tab_07.Jul[CONTA],$I171)</f>
        <v>53472.45</v>
      </c>
      <c r="G171" s="4">
        <f t="shared" si="11"/>
        <v>6726.67</v>
      </c>
      <c r="I171" s="3" t="s">
        <v>430</v>
      </c>
      <c r="J171" s="3" t="s">
        <v>431</v>
      </c>
      <c r="K171" s="4">
        <v>46745.78</v>
      </c>
      <c r="L171" s="4">
        <v>6726.67</v>
      </c>
      <c r="M171" s="4">
        <v>0</v>
      </c>
      <c r="N171" s="4">
        <v>53472.45</v>
      </c>
      <c r="O171" s="4">
        <f t="shared" si="12"/>
        <v>6726.67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SUMIFS(Tab_07.Jul[SALDO
ATUAL],Tab_07.Jul[CONTA],$I172)</f>
        <v>36600.269999999997</v>
      </c>
      <c r="G172" s="4">
        <f t="shared" si="11"/>
        <v>6330.11</v>
      </c>
      <c r="I172" s="3" t="s">
        <v>432</v>
      </c>
      <c r="J172" s="3" t="s">
        <v>433</v>
      </c>
      <c r="K172" s="4">
        <v>30270.16</v>
      </c>
      <c r="L172" s="4">
        <v>6330.11</v>
      </c>
      <c r="M172" s="4">
        <v>0</v>
      </c>
      <c r="N172" s="4">
        <v>36600.269999999997</v>
      </c>
      <c r="O172" s="4">
        <f t="shared" si="12"/>
        <v>6330.11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SUMIFS(Tab_07.Jul[SALDO
ATUAL],Tab_07.Jul[CONTA],$I173)</f>
        <v>43660.94</v>
      </c>
      <c r="G173" s="4">
        <f t="shared" si="11"/>
        <v>1802.73</v>
      </c>
      <c r="I173" s="3" t="s">
        <v>796</v>
      </c>
      <c r="J173" s="3" t="s">
        <v>797</v>
      </c>
      <c r="K173" s="4">
        <v>41858.21</v>
      </c>
      <c r="L173" s="4">
        <v>1802.73</v>
      </c>
      <c r="M173" s="4">
        <v>0</v>
      </c>
      <c r="N173" s="4">
        <v>43660.94</v>
      </c>
      <c r="O173" s="4">
        <f t="shared" si="12"/>
        <v>1802.73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SUMIFS(Tab_07.Jul[SALDO
ATUAL],Tab_07.Jul[CONTA],$I174)</f>
        <v>3055.4</v>
      </c>
      <c r="G174" s="4">
        <f t="shared" si="11"/>
        <v>538.13</v>
      </c>
      <c r="I174" s="3" t="s">
        <v>798</v>
      </c>
      <c r="J174" s="3" t="s">
        <v>799</v>
      </c>
      <c r="K174" s="4">
        <v>2517.27</v>
      </c>
      <c r="L174" s="4">
        <v>538.13</v>
      </c>
      <c r="M174" s="4">
        <v>0</v>
      </c>
      <c r="N174" s="4">
        <v>3055.4</v>
      </c>
      <c r="O174" s="4">
        <f t="shared" si="12"/>
        <v>538.13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SUMIFS(Tab_07.Jul[SALDO
ATUAL],Tab_07.Jul[CONTA],$I175)</f>
        <v>397.77</v>
      </c>
      <c r="G175" s="4">
        <f t="shared" si="11"/>
        <v>67.28</v>
      </c>
      <c r="I175" s="3" t="s">
        <v>800</v>
      </c>
      <c r="J175" s="3" t="s">
        <v>801</v>
      </c>
      <c r="K175" s="4">
        <v>330.49</v>
      </c>
      <c r="L175" s="4">
        <v>67.28</v>
      </c>
      <c r="M175" s="4">
        <v>0</v>
      </c>
      <c r="N175" s="4">
        <v>397.77</v>
      </c>
      <c r="O175" s="4">
        <f t="shared" si="12"/>
        <v>67.28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SUMIFS(Tab_07.Jul[SALDO
ATUAL],Tab_07.Jul[CONTA],$I176)</f>
        <v>9807.86</v>
      </c>
      <c r="G176" s="4">
        <f t="shared" si="11"/>
        <v>1695.5</v>
      </c>
      <c r="I176" s="3" t="s">
        <v>802</v>
      </c>
      <c r="J176" s="3" t="s">
        <v>803</v>
      </c>
      <c r="K176" s="4">
        <v>8112.36</v>
      </c>
      <c r="L176" s="4">
        <v>1695.5</v>
      </c>
      <c r="M176" s="4">
        <v>0</v>
      </c>
      <c r="N176" s="4">
        <v>9807.86</v>
      </c>
      <c r="O176" s="4">
        <f t="shared" si="12"/>
        <v>1695.5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SUMIFS(Tab_07.Jul[SALDO
ATUAL],Tab_07.Jul[CONTA],$I177)</f>
        <v>2928</v>
      </c>
      <c r="G177" s="4">
        <f t="shared" si="11"/>
        <v>506.41</v>
      </c>
      <c r="I177" s="3" t="s">
        <v>804</v>
      </c>
      <c r="J177" s="3" t="s">
        <v>805</v>
      </c>
      <c r="K177" s="4">
        <v>2421.59</v>
      </c>
      <c r="L177" s="4">
        <v>506.41</v>
      </c>
      <c r="M177" s="4">
        <v>0</v>
      </c>
      <c r="N177" s="4">
        <v>2928</v>
      </c>
      <c r="O177" s="4">
        <f t="shared" si="12"/>
        <v>506.41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SUMIFS(Tab_07.Jul[SALDO
ATUAL],Tab_07.Jul[CONTA],$I178)</f>
        <v>353.14</v>
      </c>
      <c r="G178" s="4">
        <f t="shared" ref="G178:G200" si="13">$F178-$K178</f>
        <v>50.45</v>
      </c>
      <c r="I178" s="3" t="s">
        <v>806</v>
      </c>
      <c r="J178" s="3" t="s">
        <v>807</v>
      </c>
      <c r="K178" s="4">
        <v>302.69</v>
      </c>
      <c r="L178" s="4">
        <v>50.45</v>
      </c>
      <c r="M178" s="4">
        <v>0</v>
      </c>
      <c r="N178" s="4">
        <v>353.14</v>
      </c>
      <c r="O178" s="4">
        <f t="shared" ref="O178:O200" si="14">$L178-$M178</f>
        <v>50.45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S</v>
      </c>
      <c r="E179" s="2">
        <f>IF($I179="","",COUNTIFS(Tab_00.Trial[CONTA],$I179))</f>
        <v>1</v>
      </c>
      <c r="F179" s="4">
        <f>SUMIFS(Tab_07.Jul[SALDO
ATUAL],Tab_07.Jul[CONTA],$I179)</f>
        <v>178894.39</v>
      </c>
      <c r="G179" s="4">
        <f t="shared" si="13"/>
        <v>23277.599999999999</v>
      </c>
      <c r="I179" s="3" t="s">
        <v>590</v>
      </c>
      <c r="J179" s="3" t="s">
        <v>697</v>
      </c>
      <c r="K179" s="4">
        <v>155616.79</v>
      </c>
      <c r="L179" s="4">
        <v>26643.32</v>
      </c>
      <c r="M179" s="4">
        <v>3365.72</v>
      </c>
      <c r="N179" s="4">
        <v>178894.39</v>
      </c>
      <c r="O179" s="4">
        <f t="shared" si="14"/>
        <v>23277.599999999999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SUMIFS(Tab_07.Jul[SALDO
ATUAL],Tab_07.Jul[CONTA],$I180)</f>
        <v>174412.34</v>
      </c>
      <c r="G180" s="4">
        <f t="shared" si="13"/>
        <v>23562.880000000001</v>
      </c>
      <c r="I180" s="3" t="s">
        <v>434</v>
      </c>
      <c r="J180" s="3" t="s">
        <v>435</v>
      </c>
      <c r="K180" s="4">
        <v>150849.46</v>
      </c>
      <c r="L180" s="4">
        <v>25050.02</v>
      </c>
      <c r="M180" s="4">
        <v>1487.14</v>
      </c>
      <c r="N180" s="4">
        <v>174412.34</v>
      </c>
      <c r="O180" s="4">
        <f t="shared" si="14"/>
        <v>23562.880000000001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SUMIFS(Tab_07.Jul[SALDO
ATUAL],Tab_07.Jul[CONTA],$I181)</f>
        <v>4482.05</v>
      </c>
      <c r="G181" s="4">
        <f t="shared" si="13"/>
        <v>-285.27999999999997</v>
      </c>
      <c r="I181" s="3" t="s">
        <v>750</v>
      </c>
      <c r="J181" s="3" t="s">
        <v>751</v>
      </c>
      <c r="K181" s="4">
        <v>4767.33</v>
      </c>
      <c r="L181" s="4">
        <v>1593.3</v>
      </c>
      <c r="M181" s="4">
        <v>1878.58</v>
      </c>
      <c r="N181" s="4">
        <v>4482.05</v>
      </c>
      <c r="O181" s="4">
        <f t="shared" si="14"/>
        <v>-285.27999999999997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SUMIFS(Tab_07.Jul[SALDO
ATUAL],Tab_07.Jul[CONTA],$I182)</f>
        <v>143762.09</v>
      </c>
      <c r="G182" s="4">
        <f t="shared" si="13"/>
        <v>13151.63</v>
      </c>
      <c r="I182" s="3" t="s">
        <v>591</v>
      </c>
      <c r="J182" s="3" t="s">
        <v>698</v>
      </c>
      <c r="K182" s="4">
        <v>130610.46</v>
      </c>
      <c r="L182" s="4">
        <v>13616.33</v>
      </c>
      <c r="M182" s="4">
        <v>464.7</v>
      </c>
      <c r="N182" s="4">
        <v>143762.09</v>
      </c>
      <c r="O182" s="4">
        <f t="shared" si="14"/>
        <v>13151.63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SUMIFS(Tab_07.Jul[SALDO
ATUAL],Tab_07.Jul[CONTA],$I183)</f>
        <v>114927.93</v>
      </c>
      <c r="G183" s="4">
        <f t="shared" si="13"/>
        <v>9936.44</v>
      </c>
      <c r="I183" s="3" t="s">
        <v>436</v>
      </c>
      <c r="J183" s="3" t="s">
        <v>437</v>
      </c>
      <c r="K183" s="4">
        <v>104991.49</v>
      </c>
      <c r="L183" s="4">
        <v>9936.44</v>
      </c>
      <c r="M183" s="4">
        <v>0</v>
      </c>
      <c r="N183" s="4">
        <v>114927.93</v>
      </c>
      <c r="O183" s="4">
        <f t="shared" si="14"/>
        <v>9936.44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SUMIFS(Tab_07.Jul[SALDO
ATUAL],Tab_07.Jul[CONTA],$I184)</f>
        <v>24854.71</v>
      </c>
      <c r="G184" s="4">
        <f t="shared" si="13"/>
        <v>2844.42</v>
      </c>
      <c r="I184" s="3" t="s">
        <v>438</v>
      </c>
      <c r="J184" s="3" t="s">
        <v>196</v>
      </c>
      <c r="K184" s="4">
        <v>22010.29</v>
      </c>
      <c r="L184" s="4">
        <v>3309.12</v>
      </c>
      <c r="M184" s="4">
        <v>464.7</v>
      </c>
      <c r="N184" s="4">
        <v>24854.71</v>
      </c>
      <c r="O184" s="4">
        <f t="shared" si="14"/>
        <v>2844.42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SUMIFS(Tab_07.Jul[SALDO
ATUAL],Tab_07.Jul[CONTA],$I185)</f>
        <v>3979.45</v>
      </c>
      <c r="G185" s="4">
        <f t="shared" si="13"/>
        <v>370.77</v>
      </c>
      <c r="I185" s="3" t="s">
        <v>439</v>
      </c>
      <c r="J185" s="3" t="s">
        <v>440</v>
      </c>
      <c r="K185" s="4">
        <v>3608.68</v>
      </c>
      <c r="L185" s="4">
        <v>370.77</v>
      </c>
      <c r="M185" s="4">
        <v>0</v>
      </c>
      <c r="N185" s="4">
        <v>3979.45</v>
      </c>
      <c r="O185" s="4">
        <f t="shared" si="14"/>
        <v>370.77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S</v>
      </c>
      <c r="E186" s="2">
        <f>IF($I186="","",COUNTIFS(Tab_00.Trial[CONTA],$I186))</f>
        <v>1</v>
      </c>
      <c r="F186" s="4">
        <f>SUMIFS(Tab_07.Jul[SALDO
ATUAL],Tab_07.Jul[CONTA],$I186)</f>
        <v>9743.5</v>
      </c>
      <c r="G186" s="4">
        <f t="shared" si="13"/>
        <v>1711.6</v>
      </c>
      <c r="I186" s="3" t="s">
        <v>592</v>
      </c>
      <c r="J186" s="3" t="s">
        <v>699</v>
      </c>
      <c r="K186" s="4">
        <v>8031.9</v>
      </c>
      <c r="L186" s="4">
        <v>1711.6</v>
      </c>
      <c r="M186" s="4">
        <v>0</v>
      </c>
      <c r="N186" s="4">
        <v>9743.5</v>
      </c>
      <c r="O186" s="4">
        <f t="shared" si="14"/>
        <v>1711.6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SUMIFS(Tab_07.Jul[SALDO
ATUAL],Tab_07.Jul[CONTA],$I187)</f>
        <v>9743.5</v>
      </c>
      <c r="G187" s="4">
        <f t="shared" si="13"/>
        <v>1711.6</v>
      </c>
      <c r="I187" s="3" t="s">
        <v>397</v>
      </c>
      <c r="J187" s="3" t="s">
        <v>398</v>
      </c>
      <c r="K187" s="4">
        <v>8031.9</v>
      </c>
      <c r="L187" s="4">
        <v>1711.6</v>
      </c>
      <c r="M187" s="4">
        <v>0</v>
      </c>
      <c r="N187" s="4">
        <v>9743.5</v>
      </c>
      <c r="O187" s="4">
        <f t="shared" si="14"/>
        <v>1711.6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SUMIFS(Tab_07.Jul[SALDO
ATUAL],Tab_07.Jul[CONTA],$I188)</f>
        <v>245698.97</v>
      </c>
      <c r="G188" s="4">
        <f t="shared" si="13"/>
        <v>31975.96</v>
      </c>
      <c r="I188" s="3" t="s">
        <v>593</v>
      </c>
      <c r="J188" s="3" t="s">
        <v>711</v>
      </c>
      <c r="K188" s="4">
        <v>213723.01</v>
      </c>
      <c r="L188" s="4">
        <v>31975.96</v>
      </c>
      <c r="M188" s="4">
        <v>0</v>
      </c>
      <c r="N188" s="4">
        <v>245698.97</v>
      </c>
      <c r="O188" s="4">
        <f t="shared" si="14"/>
        <v>31975.96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SUMIFS(Tab_07.Jul[SALDO
ATUAL],Tab_07.Jul[CONTA],$I189)</f>
        <v>28951.72</v>
      </c>
      <c r="G189" s="4">
        <f t="shared" si="13"/>
        <v>4135.96</v>
      </c>
      <c r="I189" s="3" t="s">
        <v>403</v>
      </c>
      <c r="J189" s="3" t="s">
        <v>404</v>
      </c>
      <c r="K189" s="4">
        <v>24815.759999999998</v>
      </c>
      <c r="L189" s="4">
        <v>4135.96</v>
      </c>
      <c r="M189" s="4">
        <v>0</v>
      </c>
      <c r="N189" s="4">
        <v>28951.72</v>
      </c>
      <c r="O189" s="4">
        <f t="shared" si="14"/>
        <v>4135.96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SUMIFS(Tab_07.Jul[SALDO
ATUAL],Tab_07.Jul[CONTA],$I190)</f>
        <v>196382</v>
      </c>
      <c r="G190" s="4">
        <f t="shared" si="13"/>
        <v>27840</v>
      </c>
      <c r="I190" s="3" t="s">
        <v>405</v>
      </c>
      <c r="J190" s="3" t="s">
        <v>406</v>
      </c>
      <c r="K190" s="4">
        <v>168542</v>
      </c>
      <c r="L190" s="4">
        <v>27840</v>
      </c>
      <c r="M190" s="4">
        <v>0</v>
      </c>
      <c r="N190" s="4">
        <v>196382</v>
      </c>
      <c r="O190" s="4">
        <f t="shared" si="14"/>
        <v>27840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SUMIFS(Tab_07.Jul[SALDO
ATUAL],Tab_07.Jul[CONTA],$I191)</f>
        <v>20365.25</v>
      </c>
      <c r="G191" s="4">
        <f t="shared" si="13"/>
        <v>0</v>
      </c>
      <c r="I191" s="3" t="s">
        <v>407</v>
      </c>
      <c r="J191" s="3" t="s">
        <v>408</v>
      </c>
      <c r="K191" s="4">
        <v>20365.25</v>
      </c>
      <c r="L191" s="4">
        <v>0</v>
      </c>
      <c r="M191" s="4">
        <v>0</v>
      </c>
      <c r="N191" s="4">
        <v>20365.25</v>
      </c>
      <c r="O191" s="4">
        <f t="shared" si="14"/>
        <v>0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SUMIFS(Tab_07.Jul[SALDO
ATUAL],Tab_07.Jul[CONTA],$I192)</f>
        <v>5738.17</v>
      </c>
      <c r="G192" s="4">
        <f t="shared" si="13"/>
        <v>599.41999999999996</v>
      </c>
      <c r="I192" s="3" t="s">
        <v>594</v>
      </c>
      <c r="J192" s="3" t="s">
        <v>825</v>
      </c>
      <c r="K192" s="4">
        <v>5138.75</v>
      </c>
      <c r="L192" s="4">
        <v>599.41999999999996</v>
      </c>
      <c r="M192" s="4">
        <v>0</v>
      </c>
      <c r="N192" s="4">
        <v>5738.17</v>
      </c>
      <c r="O192" s="4">
        <f t="shared" si="14"/>
        <v>599.41999999999996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SUMIFS(Tab_07.Jul[SALDO
ATUAL],Tab_07.Jul[CONTA],$I193)</f>
        <v>300</v>
      </c>
      <c r="G193" s="4">
        <f t="shared" si="13"/>
        <v>0</v>
      </c>
      <c r="I193" s="3" t="s">
        <v>411</v>
      </c>
      <c r="J193" s="3" t="s">
        <v>412</v>
      </c>
      <c r="K193" s="4">
        <v>300</v>
      </c>
      <c r="L193" s="4">
        <v>0</v>
      </c>
      <c r="M193" s="4">
        <v>0</v>
      </c>
      <c r="N193" s="4">
        <v>300</v>
      </c>
      <c r="O193" s="4">
        <f t="shared" si="14"/>
        <v>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SUMIFS(Tab_07.Jul[SALDO
ATUAL],Tab_07.Jul[CONTA],$I194)</f>
        <v>5438.17</v>
      </c>
      <c r="G194" s="4">
        <f t="shared" si="13"/>
        <v>599.41999999999996</v>
      </c>
      <c r="I194" s="3" t="s">
        <v>413</v>
      </c>
      <c r="J194" s="3" t="s">
        <v>414</v>
      </c>
      <c r="K194" s="4">
        <v>4838.75</v>
      </c>
      <c r="L194" s="4">
        <v>599.41999999999996</v>
      </c>
      <c r="M194" s="4">
        <v>0</v>
      </c>
      <c r="N194" s="4">
        <v>5438.17</v>
      </c>
      <c r="O194" s="4">
        <f t="shared" si="14"/>
        <v>599.41999999999996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SUMIFS(Tab_07.Jul[SALDO
ATUAL],Tab_07.Jul[CONTA],$I195)</f>
        <v>4130.1400000000003</v>
      </c>
      <c r="G195" s="4">
        <f t="shared" si="13"/>
        <v>427.26</v>
      </c>
      <c r="I195" s="3" t="s">
        <v>595</v>
      </c>
      <c r="J195" s="3" t="s">
        <v>420</v>
      </c>
      <c r="K195" s="4">
        <v>3702.88</v>
      </c>
      <c r="L195" s="4">
        <v>427.26</v>
      </c>
      <c r="M195" s="4">
        <v>0</v>
      </c>
      <c r="N195" s="4">
        <v>4130.1400000000003</v>
      </c>
      <c r="O195" s="4">
        <f t="shared" si="14"/>
        <v>427.26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SUMIFS(Tab_07.Jul[SALDO
ATUAL],Tab_07.Jul[CONTA],$I196)</f>
        <v>4130.1400000000003</v>
      </c>
      <c r="G196" s="4">
        <f t="shared" si="13"/>
        <v>427.26</v>
      </c>
      <c r="I196" s="3" t="s">
        <v>419</v>
      </c>
      <c r="J196" s="3" t="s">
        <v>420</v>
      </c>
      <c r="K196" s="4">
        <v>3702.88</v>
      </c>
      <c r="L196" s="4">
        <v>427.26</v>
      </c>
      <c r="M196" s="4">
        <v>0</v>
      </c>
      <c r="N196" s="4">
        <v>4130.1400000000003</v>
      </c>
      <c r="O196" s="4">
        <f t="shared" si="14"/>
        <v>427.26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SUMIFS(Tab_07.Jul[SALDO
ATUAL],Tab_07.Jul[CONTA],$I197)</f>
        <v>4689433.2</v>
      </c>
      <c r="G197" s="4">
        <f t="shared" si="13"/>
        <v>701996.59</v>
      </c>
      <c r="I197" s="3" t="s">
        <v>237</v>
      </c>
      <c r="J197" s="3" t="s">
        <v>702</v>
      </c>
      <c r="K197" s="4">
        <v>3987436.61</v>
      </c>
      <c r="L197" s="4">
        <v>701996.59</v>
      </c>
      <c r="M197" s="4">
        <v>0</v>
      </c>
      <c r="N197" s="4">
        <v>4689433.2</v>
      </c>
      <c r="O197" s="4">
        <f t="shared" si="14"/>
        <v>701996.59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SUMIFS(Tab_07.Jul[SALDO
ATUAL],Tab_07.Jul[CONTA],$I198)</f>
        <v>4689433.2</v>
      </c>
      <c r="G198" s="4">
        <f t="shared" si="13"/>
        <v>701996.59</v>
      </c>
      <c r="I198" s="3" t="s">
        <v>238</v>
      </c>
      <c r="J198" s="3" t="s">
        <v>826</v>
      </c>
      <c r="K198" s="4">
        <v>3987436.61</v>
      </c>
      <c r="L198" s="4">
        <v>701996.59</v>
      </c>
      <c r="M198" s="4">
        <v>0</v>
      </c>
      <c r="N198" s="4">
        <v>4689433.2</v>
      </c>
      <c r="O198" s="4">
        <f t="shared" si="14"/>
        <v>701996.59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SUMIFS(Tab_07.Jul[SALDO
ATUAL],Tab_07.Jul[CONTA],$I199)</f>
        <v>1702436.3</v>
      </c>
      <c r="G199" s="4">
        <f t="shared" si="13"/>
        <v>323149.34999999998</v>
      </c>
      <c r="I199" s="3" t="s">
        <v>421</v>
      </c>
      <c r="J199" s="3" t="s">
        <v>422</v>
      </c>
      <c r="K199" s="4">
        <v>1379286.95</v>
      </c>
      <c r="L199" s="4">
        <v>323149.34999999998</v>
      </c>
      <c r="M199" s="4">
        <v>0</v>
      </c>
      <c r="N199" s="4">
        <v>1702436.3</v>
      </c>
      <c r="O199" s="4">
        <f t="shared" si="14"/>
        <v>323149.34999999998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SUMIFS(Tab_07.Jul[SALDO
ATUAL],Tab_07.Jul[CONTA],$I200)</f>
        <v>916108.28</v>
      </c>
      <c r="G200" s="4">
        <f t="shared" si="13"/>
        <v>133881.88</v>
      </c>
      <c r="I200" s="3" t="s">
        <v>738</v>
      </c>
      <c r="J200" s="3" t="s">
        <v>367</v>
      </c>
      <c r="K200" s="4">
        <v>782226.4</v>
      </c>
      <c r="L200" s="4">
        <v>133881.88</v>
      </c>
      <c r="M200" s="4">
        <v>0</v>
      </c>
      <c r="N200" s="4">
        <v>916108.28</v>
      </c>
      <c r="O200" s="4">
        <f t="shared" si="14"/>
        <v>133881.88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SUMIFS(Tab_07.Jul[SALDO
ATUAL],Tab_07.Jul[CONTA],$I201)</f>
        <v>2070888.62</v>
      </c>
      <c r="G201" s="4">
        <f t="shared" ref="G201:G232" si="15">$F201-$K201</f>
        <v>244965.36</v>
      </c>
      <c r="I201" s="3" t="s">
        <v>423</v>
      </c>
      <c r="J201" s="3" t="s">
        <v>424</v>
      </c>
      <c r="K201" s="4">
        <v>1825923.26</v>
      </c>
      <c r="L201" s="4">
        <v>244965.36</v>
      </c>
      <c r="M201" s="4">
        <v>0</v>
      </c>
      <c r="N201" s="4">
        <v>2070888.62</v>
      </c>
      <c r="O201" s="4">
        <f t="shared" ref="O201:O232" si="16">$L201-$M201</f>
        <v>244965.36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1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SUMIFS(Tab_07.Jul[SALDO
ATUAL],Tab_07.Jul[CONTA],$I202)</f>
        <v>2037713.18</v>
      </c>
      <c r="G202" s="4">
        <f t="shared" si="15"/>
        <v>257854.63</v>
      </c>
      <c r="I202" s="3">
        <v>5</v>
      </c>
      <c r="J202" s="3" t="s">
        <v>705</v>
      </c>
      <c r="K202" s="4">
        <v>1779858.55</v>
      </c>
      <c r="L202" s="4">
        <v>271383.77</v>
      </c>
      <c r="M202" s="4">
        <v>13529.14</v>
      </c>
      <c r="N202" s="4">
        <v>2037713.18</v>
      </c>
      <c r="O202" s="4">
        <f t="shared" si="16"/>
        <v>257854.63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2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SUMIFS(Tab_07.Jul[SALDO
ATUAL],Tab_07.Jul[CONTA],$I203)</f>
        <v>2037497.18</v>
      </c>
      <c r="G203" s="4">
        <f t="shared" si="15"/>
        <v>257854.63</v>
      </c>
      <c r="I203" s="3" t="s">
        <v>599</v>
      </c>
      <c r="J203" s="3" t="s">
        <v>827</v>
      </c>
      <c r="K203" s="4">
        <v>1779642.55</v>
      </c>
      <c r="L203" s="4">
        <v>271383.77</v>
      </c>
      <c r="M203" s="4">
        <v>13529.14</v>
      </c>
      <c r="N203" s="4">
        <v>2037497.18</v>
      </c>
      <c r="O203" s="4">
        <f t="shared" si="16"/>
        <v>257854.63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S</v>
      </c>
      <c r="E204" s="2">
        <f>IF($I204="","",COUNTIFS(Tab_00.Trial[CONTA],$I204))</f>
        <v>1</v>
      </c>
      <c r="F204" s="4">
        <f>SUMIFS(Tab_07.Jul[SALDO
ATUAL],Tab_07.Jul[CONTA],$I204)</f>
        <v>804141.97</v>
      </c>
      <c r="G204" s="4">
        <f t="shared" si="15"/>
        <v>68029.08</v>
      </c>
      <c r="I204" s="184" t="s">
        <v>600</v>
      </c>
      <c r="J204" s="184" t="s">
        <v>706</v>
      </c>
      <c r="K204" s="4">
        <v>736112.89</v>
      </c>
      <c r="L204" s="4">
        <v>81558.22</v>
      </c>
      <c r="M204" s="4">
        <v>13529.14</v>
      </c>
      <c r="N204" s="4">
        <v>804141.97</v>
      </c>
      <c r="O204" s="4">
        <f t="shared" si="16"/>
        <v>68029.08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SUMIFS(Tab_07.Jul[SALDO
ATUAL],Tab_07.Jul[CONTA],$I205)</f>
        <v>504393.81</v>
      </c>
      <c r="G205" s="4">
        <f t="shared" si="15"/>
        <v>52426.37</v>
      </c>
      <c r="I205" s="184" t="s">
        <v>601</v>
      </c>
      <c r="J205" s="184" t="s">
        <v>707</v>
      </c>
      <c r="K205" s="4">
        <v>451967.44</v>
      </c>
      <c r="L205" s="4">
        <v>63858.85</v>
      </c>
      <c r="M205" s="4">
        <v>11432.48</v>
      </c>
      <c r="N205" s="4">
        <v>504393.81</v>
      </c>
      <c r="O205" s="4">
        <f t="shared" si="16"/>
        <v>52426.37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SUMIFS(Tab_07.Jul[SALDO
ATUAL],Tab_07.Jul[CONTA],$I206)</f>
        <v>313429.03000000003</v>
      </c>
      <c r="G206" s="4">
        <f t="shared" si="15"/>
        <v>43052.47</v>
      </c>
      <c r="I206" s="3" t="s">
        <v>441</v>
      </c>
      <c r="J206" s="3" t="s">
        <v>427</v>
      </c>
      <c r="K206" s="4">
        <v>270376.56</v>
      </c>
      <c r="L206" s="4">
        <v>54484.95</v>
      </c>
      <c r="M206" s="4">
        <v>11432.48</v>
      </c>
      <c r="N206" s="4">
        <v>313429.03000000003</v>
      </c>
      <c r="O206" s="4">
        <f t="shared" si="16"/>
        <v>43052.47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SUMIFS(Tab_07.Jul[SALDO
ATUAL],Tab_07.Jul[CONTA],$I207)</f>
        <v>43165.37</v>
      </c>
      <c r="G207" s="4">
        <f t="shared" si="15"/>
        <v>4673.3599999999997</v>
      </c>
      <c r="I207" s="3" t="s">
        <v>443</v>
      </c>
      <c r="J207" s="3" t="s">
        <v>431</v>
      </c>
      <c r="K207" s="4">
        <v>38492.01</v>
      </c>
      <c r="L207" s="4">
        <v>4673.3599999999997</v>
      </c>
      <c r="M207" s="4">
        <v>0</v>
      </c>
      <c r="N207" s="4">
        <v>43165.37</v>
      </c>
      <c r="O207" s="4">
        <f t="shared" si="16"/>
        <v>4673.3599999999997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SUMIFS(Tab_07.Jul[SALDO
ATUAL],Tab_07.Jul[CONTA],$I208)</f>
        <v>34122.18</v>
      </c>
      <c r="G208" s="4">
        <f t="shared" si="15"/>
        <v>2219.91</v>
      </c>
      <c r="I208" s="3" t="s">
        <v>444</v>
      </c>
      <c r="J208" s="3" t="s">
        <v>433</v>
      </c>
      <c r="K208" s="4">
        <v>31902.27</v>
      </c>
      <c r="L208" s="4">
        <v>2219.91</v>
      </c>
      <c r="M208" s="4">
        <v>0</v>
      </c>
      <c r="N208" s="4">
        <v>34122.18</v>
      </c>
      <c r="O208" s="4">
        <f t="shared" si="16"/>
        <v>2219.91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SUMIFS(Tab_07.Jul[SALDO
ATUAL],Tab_07.Jul[CONTA],$I209)</f>
        <v>85959.77</v>
      </c>
      <c r="G209" s="4">
        <f t="shared" si="15"/>
        <v>0</v>
      </c>
      <c r="I209" s="3" t="s">
        <v>777</v>
      </c>
      <c r="J209" s="3" t="s">
        <v>749</v>
      </c>
      <c r="K209" s="4">
        <v>85959.77</v>
      </c>
      <c r="L209" s="4">
        <v>0</v>
      </c>
      <c r="M209" s="4">
        <v>0</v>
      </c>
      <c r="N209" s="4">
        <v>85959.77</v>
      </c>
      <c r="O209" s="4">
        <f t="shared" si="16"/>
        <v>0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SUMIFS(Tab_07.Jul[SALDO
ATUAL],Tab_07.Jul[CONTA],$I210)</f>
        <v>476.67</v>
      </c>
      <c r="G210" s="4">
        <f t="shared" si="15"/>
        <v>0</v>
      </c>
      <c r="I210" s="3" t="s">
        <v>447</v>
      </c>
      <c r="J210" s="3" t="s">
        <v>448</v>
      </c>
      <c r="K210" s="4">
        <v>476.67</v>
      </c>
      <c r="L210" s="4">
        <v>0</v>
      </c>
      <c r="M210" s="4">
        <v>0</v>
      </c>
      <c r="N210" s="4">
        <v>476.67</v>
      </c>
      <c r="O210" s="4">
        <f t="shared" si="16"/>
        <v>0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SUMIFS(Tab_07.Jul[SALDO
ATUAL],Tab_07.Jul[CONTA],$I211)</f>
        <v>5777.27</v>
      </c>
      <c r="G211" s="4">
        <f t="shared" si="15"/>
        <v>1252.46</v>
      </c>
      <c r="I211" s="3" t="s">
        <v>808</v>
      </c>
      <c r="J211" s="3" t="s">
        <v>797</v>
      </c>
      <c r="K211" s="4">
        <v>4524.8100000000004</v>
      </c>
      <c r="L211" s="4">
        <v>1252.46</v>
      </c>
      <c r="M211" s="4">
        <v>0</v>
      </c>
      <c r="N211" s="4">
        <v>5777.27</v>
      </c>
      <c r="O211" s="4">
        <f t="shared" si="16"/>
        <v>1252.46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SUMIFS(Tab_07.Jul[SALDO
ATUAL],Tab_07.Jul[CONTA],$I212)</f>
        <v>11147.53</v>
      </c>
      <c r="G212" s="4">
        <f t="shared" si="15"/>
        <v>373.87</v>
      </c>
      <c r="I212" s="3" t="s">
        <v>809</v>
      </c>
      <c r="J212" s="3" t="s">
        <v>799</v>
      </c>
      <c r="K212" s="4">
        <v>10773.66</v>
      </c>
      <c r="L212" s="4">
        <v>373.87</v>
      </c>
      <c r="M212" s="4">
        <v>0</v>
      </c>
      <c r="N212" s="4">
        <v>11147.53</v>
      </c>
      <c r="O212" s="4">
        <f t="shared" si="16"/>
        <v>373.87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SUMIFS(Tab_07.Jul[SALDO
ATUAL],Tab_07.Jul[CONTA],$I213)</f>
        <v>224.51</v>
      </c>
      <c r="G213" s="4">
        <f t="shared" si="15"/>
        <v>46.74</v>
      </c>
      <c r="I213" s="3" t="s">
        <v>810</v>
      </c>
      <c r="J213" s="3" t="s">
        <v>801</v>
      </c>
      <c r="K213" s="4">
        <v>177.77</v>
      </c>
      <c r="L213" s="4">
        <v>46.74</v>
      </c>
      <c r="M213" s="4">
        <v>0</v>
      </c>
      <c r="N213" s="4">
        <v>224.51</v>
      </c>
      <c r="O213" s="4">
        <f t="shared" si="16"/>
        <v>46.74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SUMIFS(Tab_07.Jul[SALDO
ATUAL],Tab_07.Jul[CONTA],$I214)</f>
        <v>7544.94</v>
      </c>
      <c r="G214" s="4">
        <f t="shared" si="15"/>
        <v>594.92999999999995</v>
      </c>
      <c r="I214" s="3" t="s">
        <v>811</v>
      </c>
      <c r="J214" s="3" t="s">
        <v>803</v>
      </c>
      <c r="K214" s="4">
        <v>6950.01</v>
      </c>
      <c r="L214" s="4">
        <v>594.92999999999995</v>
      </c>
      <c r="M214" s="4">
        <v>0</v>
      </c>
      <c r="N214" s="4">
        <v>7544.94</v>
      </c>
      <c r="O214" s="4">
        <f t="shared" si="16"/>
        <v>594.92999999999995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SUMIFS(Tab_07.Jul[SALDO
ATUAL],Tab_07.Jul[CONTA],$I215)</f>
        <v>2252.1799999999998</v>
      </c>
      <c r="G215" s="4">
        <f t="shared" si="15"/>
        <v>177.59</v>
      </c>
      <c r="I215" s="3" t="s">
        <v>812</v>
      </c>
      <c r="J215" s="3" t="s">
        <v>805</v>
      </c>
      <c r="K215" s="4">
        <v>2074.59</v>
      </c>
      <c r="L215" s="4">
        <v>177.59</v>
      </c>
      <c r="M215" s="4">
        <v>0</v>
      </c>
      <c r="N215" s="4">
        <v>2252.1799999999998</v>
      </c>
      <c r="O215" s="4">
        <f t="shared" si="16"/>
        <v>177.59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SUMIFS(Tab_07.Jul[SALDO
ATUAL],Tab_07.Jul[CONTA],$I216)</f>
        <v>294.36</v>
      </c>
      <c r="G216" s="4">
        <f t="shared" si="15"/>
        <v>35.04</v>
      </c>
      <c r="I216" s="3" t="s">
        <v>813</v>
      </c>
      <c r="J216" s="3" t="s">
        <v>807</v>
      </c>
      <c r="K216" s="4">
        <v>259.32</v>
      </c>
      <c r="L216" s="4">
        <v>35.04</v>
      </c>
      <c r="M216" s="4">
        <v>0</v>
      </c>
      <c r="N216" s="4">
        <v>294.36</v>
      </c>
      <c r="O216" s="4">
        <f t="shared" si="16"/>
        <v>35.04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S</v>
      </c>
      <c r="E217" s="2">
        <f>IF($I217="","",COUNTIFS(Tab_00.Trial[CONTA],$I217))</f>
        <v>1</v>
      </c>
      <c r="F217" s="4">
        <f>SUMIFS(Tab_07.Jul[SALDO
ATUAL],Tab_07.Jul[CONTA],$I217)</f>
        <v>1014</v>
      </c>
      <c r="G217" s="4">
        <f t="shared" si="15"/>
        <v>0</v>
      </c>
      <c r="I217" s="3" t="s">
        <v>602</v>
      </c>
      <c r="J217" s="3" t="s">
        <v>708</v>
      </c>
      <c r="K217" s="4">
        <v>1014</v>
      </c>
      <c r="L217" s="4">
        <v>2096.66</v>
      </c>
      <c r="M217" s="4">
        <v>2096.66</v>
      </c>
      <c r="N217" s="4">
        <v>1014</v>
      </c>
      <c r="O217" s="4">
        <f t="shared" si="16"/>
        <v>0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SUMIFS(Tab_07.Jul[SALDO
ATUAL],Tab_07.Jul[CONTA],$I218)</f>
        <v>0</v>
      </c>
      <c r="G218" s="4">
        <f t="shared" si="15"/>
        <v>0</v>
      </c>
      <c r="I218" s="3" t="s">
        <v>774</v>
      </c>
      <c r="J218" s="3" t="s">
        <v>435</v>
      </c>
      <c r="K218" s="4">
        <v>0</v>
      </c>
      <c r="L218" s="4">
        <v>734.28</v>
      </c>
      <c r="M218" s="4">
        <v>734.28</v>
      </c>
      <c r="N218" s="4">
        <v>0</v>
      </c>
      <c r="O218" s="4">
        <f t="shared" si="16"/>
        <v>0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SUMIFS(Tab_07.Jul[SALDO
ATUAL],Tab_07.Jul[CONTA],$I219)</f>
        <v>0</v>
      </c>
      <c r="G219" s="4">
        <f t="shared" si="15"/>
        <v>0</v>
      </c>
      <c r="I219" s="3" t="s">
        <v>775</v>
      </c>
      <c r="J219" s="3" t="s">
        <v>751</v>
      </c>
      <c r="K219" s="4">
        <v>0</v>
      </c>
      <c r="L219" s="4">
        <v>1362.38</v>
      </c>
      <c r="M219" s="4">
        <v>1362.38</v>
      </c>
      <c r="N219" s="4">
        <v>0</v>
      </c>
      <c r="O219" s="4">
        <f t="shared" si="16"/>
        <v>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SUMIFS(Tab_07.Jul[SALDO
ATUAL],Tab_07.Jul[CONTA],$I220)</f>
        <v>1014</v>
      </c>
      <c r="G220" s="4">
        <f t="shared" si="15"/>
        <v>0</v>
      </c>
      <c r="I220" s="3" t="s">
        <v>455</v>
      </c>
      <c r="J220" s="3" t="s">
        <v>456</v>
      </c>
      <c r="K220" s="4">
        <v>1014</v>
      </c>
      <c r="L220" s="4">
        <v>0</v>
      </c>
      <c r="M220" s="4">
        <v>0</v>
      </c>
      <c r="N220" s="4">
        <v>1014</v>
      </c>
      <c r="O220" s="4">
        <f t="shared" si="16"/>
        <v>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S</v>
      </c>
      <c r="E221" s="2">
        <f>IF($I221="","",COUNTIFS(Tab_00.Trial[CONTA],$I221))</f>
        <v>1</v>
      </c>
      <c r="F221" s="4">
        <f>SUMIFS(Tab_07.Jul[SALDO
ATUAL],Tab_07.Jul[CONTA],$I221)</f>
        <v>297189.15999999997</v>
      </c>
      <c r="G221" s="4">
        <f t="shared" si="15"/>
        <v>15412.71</v>
      </c>
      <c r="I221" s="3" t="s">
        <v>603</v>
      </c>
      <c r="J221" s="3" t="s">
        <v>709</v>
      </c>
      <c r="K221" s="4">
        <v>281776.45</v>
      </c>
      <c r="L221" s="4">
        <v>15412.71</v>
      </c>
      <c r="M221" s="4">
        <v>0</v>
      </c>
      <c r="N221" s="4">
        <v>297189.15999999997</v>
      </c>
      <c r="O221" s="4">
        <f t="shared" si="16"/>
        <v>15412.71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SUMIFS(Tab_07.Jul[SALDO
ATUAL],Tab_07.Jul[CONTA],$I222)</f>
        <v>84624.5</v>
      </c>
      <c r="G222" s="4">
        <f t="shared" si="15"/>
        <v>11538.01</v>
      </c>
      <c r="I222" s="3" t="s">
        <v>451</v>
      </c>
      <c r="J222" s="3" t="s">
        <v>437</v>
      </c>
      <c r="K222" s="4">
        <v>73086.490000000005</v>
      </c>
      <c r="L222" s="4">
        <v>11538.01</v>
      </c>
      <c r="M222" s="4">
        <v>0</v>
      </c>
      <c r="N222" s="4">
        <v>84624.5</v>
      </c>
      <c r="O222" s="4">
        <f t="shared" si="16"/>
        <v>11538.01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SUMIFS(Tab_07.Jul[SALDO
ATUAL],Tab_07.Jul[CONTA],$I223)</f>
        <v>209407.02</v>
      </c>
      <c r="G223" s="4">
        <f t="shared" si="15"/>
        <v>3444.18</v>
      </c>
      <c r="I223" s="3" t="s">
        <v>452</v>
      </c>
      <c r="J223" s="3" t="s">
        <v>196</v>
      </c>
      <c r="K223" s="4">
        <v>205962.84</v>
      </c>
      <c r="L223" s="4">
        <v>3444.18</v>
      </c>
      <c r="M223" s="4">
        <v>0</v>
      </c>
      <c r="N223" s="4">
        <v>209407.02</v>
      </c>
      <c r="O223" s="4">
        <f t="shared" si="16"/>
        <v>3444.18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SUMIFS(Tab_07.Jul[SALDO
ATUAL],Tab_07.Jul[CONTA],$I224)</f>
        <v>3157.64</v>
      </c>
      <c r="G224" s="4">
        <f t="shared" si="15"/>
        <v>430.52</v>
      </c>
      <c r="I224" s="3" t="s">
        <v>453</v>
      </c>
      <c r="J224" s="3" t="s">
        <v>454</v>
      </c>
      <c r="K224" s="4">
        <v>2727.12</v>
      </c>
      <c r="L224" s="4">
        <v>430.52</v>
      </c>
      <c r="M224" s="4">
        <v>0</v>
      </c>
      <c r="N224" s="4">
        <v>3157.64</v>
      </c>
      <c r="O224" s="4">
        <f t="shared" si="16"/>
        <v>430.52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S</v>
      </c>
      <c r="E225" s="2">
        <f>IF($I225="","",COUNTIFS(Tab_00.Trial[CONTA],$I225))</f>
        <v>1</v>
      </c>
      <c r="F225" s="4">
        <f>SUMIFS(Tab_07.Jul[SALDO
ATUAL],Tab_07.Jul[CONTA],$I225)</f>
        <v>1545</v>
      </c>
      <c r="G225" s="4">
        <f t="shared" si="15"/>
        <v>190</v>
      </c>
      <c r="I225" s="3" t="s">
        <v>604</v>
      </c>
      <c r="J225" s="3" t="s">
        <v>710</v>
      </c>
      <c r="K225" s="4">
        <v>1355</v>
      </c>
      <c r="L225" s="4">
        <v>190</v>
      </c>
      <c r="M225" s="4">
        <v>0</v>
      </c>
      <c r="N225" s="4">
        <v>1545</v>
      </c>
      <c r="O225" s="4">
        <f t="shared" si="16"/>
        <v>190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SUMIFS(Tab_07.Jul[SALDO
ATUAL],Tab_07.Jul[CONTA],$I226)</f>
        <v>1545</v>
      </c>
      <c r="G226" s="4">
        <f t="shared" si="15"/>
        <v>190</v>
      </c>
      <c r="I226" s="3" t="s">
        <v>457</v>
      </c>
      <c r="J226" s="3" t="s">
        <v>458</v>
      </c>
      <c r="K226" s="4">
        <v>1355</v>
      </c>
      <c r="L226" s="4">
        <v>190</v>
      </c>
      <c r="M226" s="4">
        <v>0</v>
      </c>
      <c r="N226" s="4">
        <v>1545</v>
      </c>
      <c r="O226" s="4">
        <f t="shared" si="16"/>
        <v>190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S</v>
      </c>
      <c r="E227" s="2">
        <f>IF($I227="","",COUNTIFS(Tab_00.Trial[CONTA],$I227))</f>
        <v>1</v>
      </c>
      <c r="F227" s="4">
        <f>SUMIFS(Tab_07.Jul[SALDO
ATUAL],Tab_07.Jul[CONTA],$I227)</f>
        <v>1031244.39</v>
      </c>
      <c r="G227" s="4">
        <f t="shared" si="15"/>
        <v>167870.49</v>
      </c>
      <c r="I227" s="3" t="s">
        <v>605</v>
      </c>
      <c r="J227" s="3" t="s">
        <v>711</v>
      </c>
      <c r="K227" s="4">
        <v>863373.9</v>
      </c>
      <c r="L227" s="4">
        <v>167870.49</v>
      </c>
      <c r="M227" s="4">
        <v>0</v>
      </c>
      <c r="N227" s="4">
        <v>1031244.39</v>
      </c>
      <c r="O227" s="4">
        <f t="shared" si="16"/>
        <v>167870.49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SUMIFS(Tab_07.Jul[SALDO
ATUAL],Tab_07.Jul[CONTA],$I228)</f>
        <v>450481.83</v>
      </c>
      <c r="G228" s="4">
        <f t="shared" si="15"/>
        <v>84904.41</v>
      </c>
      <c r="I228" s="3" t="s">
        <v>606</v>
      </c>
      <c r="J228" s="3" t="s">
        <v>712</v>
      </c>
      <c r="K228" s="4">
        <v>365577.42</v>
      </c>
      <c r="L228" s="4">
        <v>84904.41</v>
      </c>
      <c r="M228" s="4">
        <v>0</v>
      </c>
      <c r="N228" s="4">
        <v>450481.83</v>
      </c>
      <c r="O228" s="4">
        <f t="shared" si="16"/>
        <v>84904.41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SUMIFS(Tab_07.Jul[SALDO
ATUAL],Tab_07.Jul[CONTA],$I229)</f>
        <v>53486.44</v>
      </c>
      <c r="G229" s="4">
        <f t="shared" si="15"/>
        <v>7634.62</v>
      </c>
      <c r="I229" s="3" t="s">
        <v>459</v>
      </c>
      <c r="J229" s="3" t="s">
        <v>460</v>
      </c>
      <c r="K229" s="4">
        <v>45851.82</v>
      </c>
      <c r="L229" s="4">
        <v>7634.62</v>
      </c>
      <c r="M229" s="4">
        <v>0</v>
      </c>
      <c r="N229" s="4">
        <v>53486.44</v>
      </c>
      <c r="O229" s="4">
        <f t="shared" si="16"/>
        <v>7634.62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SUMIFS(Tab_07.Jul[SALDO
ATUAL],Tab_07.Jul[CONTA],$I230)</f>
        <v>105046.48</v>
      </c>
      <c r="G230" s="4">
        <f t="shared" si="15"/>
        <v>11469.72</v>
      </c>
      <c r="I230" s="3" t="s">
        <v>461</v>
      </c>
      <c r="J230" s="3" t="s">
        <v>462</v>
      </c>
      <c r="K230" s="4">
        <v>93576.76</v>
      </c>
      <c r="L230" s="4">
        <v>11469.72</v>
      </c>
      <c r="M230" s="4">
        <v>0</v>
      </c>
      <c r="N230" s="4">
        <v>105046.48</v>
      </c>
      <c r="O230" s="4">
        <f t="shared" si="16"/>
        <v>11469.72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SUMIFS(Tab_07.Jul[SALDO
ATUAL],Tab_07.Jul[CONTA],$I231)</f>
        <v>21500.01</v>
      </c>
      <c r="G231" s="4">
        <f t="shared" si="15"/>
        <v>0</v>
      </c>
      <c r="I231" s="3" t="s">
        <v>463</v>
      </c>
      <c r="J231" s="3" t="s">
        <v>464</v>
      </c>
      <c r="K231" s="4">
        <v>21500.01</v>
      </c>
      <c r="L231" s="4">
        <v>0</v>
      </c>
      <c r="M231" s="4">
        <v>0</v>
      </c>
      <c r="N231" s="4">
        <v>21500.01</v>
      </c>
      <c r="O231" s="4">
        <f t="shared" si="16"/>
        <v>0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SUMIFS(Tab_07.Jul[SALDO
ATUAL],Tab_07.Jul[CONTA],$I232)</f>
        <v>157895.04000000001</v>
      </c>
      <c r="G232" s="4">
        <f t="shared" si="15"/>
        <v>49166.95</v>
      </c>
      <c r="I232" s="3" t="s">
        <v>465</v>
      </c>
      <c r="J232" s="3" t="s">
        <v>466</v>
      </c>
      <c r="K232" s="4">
        <v>108728.09</v>
      </c>
      <c r="L232" s="4">
        <v>49166.95</v>
      </c>
      <c r="M232" s="4">
        <v>0</v>
      </c>
      <c r="N232" s="4">
        <v>157895.04000000001</v>
      </c>
      <c r="O232" s="4">
        <f t="shared" si="16"/>
        <v>49166.95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SUMIFS(Tab_07.Jul[SALDO
ATUAL],Tab_07.Jul[CONTA],$I233)</f>
        <v>31500</v>
      </c>
      <c r="G233" s="4">
        <f t="shared" ref="G233:G264" si="17">$F233-$K233</f>
        <v>4500</v>
      </c>
      <c r="I233" s="3" t="s">
        <v>473</v>
      </c>
      <c r="J233" s="3" t="s">
        <v>474</v>
      </c>
      <c r="K233" s="4">
        <v>27000</v>
      </c>
      <c r="L233" s="4">
        <v>4500</v>
      </c>
      <c r="M233" s="4">
        <v>0</v>
      </c>
      <c r="N233" s="4">
        <v>31500</v>
      </c>
      <c r="O233" s="4">
        <f t="shared" ref="O233:O264" si="18">$L233-$M233</f>
        <v>4500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SUMIFS(Tab_07.Jul[SALDO
ATUAL],Tab_07.Jul[CONTA],$I234)</f>
        <v>1564.92</v>
      </c>
      <c r="G234" s="4">
        <f t="shared" si="17"/>
        <v>223.56</v>
      </c>
      <c r="I234" s="3" t="s">
        <v>467</v>
      </c>
      <c r="J234" s="3" t="s">
        <v>468</v>
      </c>
      <c r="K234" s="4">
        <v>1341.36</v>
      </c>
      <c r="L234" s="4">
        <v>223.56</v>
      </c>
      <c r="M234" s="4">
        <v>0</v>
      </c>
      <c r="N234" s="4">
        <v>1564.92</v>
      </c>
      <c r="O234" s="4">
        <f t="shared" si="18"/>
        <v>223.56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SUMIFS(Tab_07.Jul[SALDO
ATUAL],Tab_07.Jul[CONTA],$I235)</f>
        <v>46198.74</v>
      </c>
      <c r="G235" s="4">
        <f t="shared" si="17"/>
        <v>6599.82</v>
      </c>
      <c r="I235" s="3" t="s">
        <v>469</v>
      </c>
      <c r="J235" s="3" t="s">
        <v>470</v>
      </c>
      <c r="K235" s="4">
        <v>39598.92</v>
      </c>
      <c r="L235" s="4">
        <v>6599.82</v>
      </c>
      <c r="M235" s="4">
        <v>0</v>
      </c>
      <c r="N235" s="4">
        <v>46198.74</v>
      </c>
      <c r="O235" s="4">
        <f t="shared" si="18"/>
        <v>6599.82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SUMIFS(Tab_07.Jul[SALDO
ATUAL],Tab_07.Jul[CONTA],$I236)</f>
        <v>33290.199999999997</v>
      </c>
      <c r="G236" s="4">
        <f t="shared" si="17"/>
        <v>5309.74</v>
      </c>
      <c r="I236" s="3" t="s">
        <v>471</v>
      </c>
      <c r="J236" s="3" t="s">
        <v>472</v>
      </c>
      <c r="K236" s="4">
        <v>27980.46</v>
      </c>
      <c r="L236" s="4">
        <v>5309.74</v>
      </c>
      <c r="M236" s="4">
        <v>0</v>
      </c>
      <c r="N236" s="4">
        <v>33290.199999999997</v>
      </c>
      <c r="O236" s="4">
        <f t="shared" si="18"/>
        <v>5309.74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SUMIFS(Tab_07.Jul[SALDO
ATUAL],Tab_07.Jul[CONTA],$I237)</f>
        <v>580762.56000000006</v>
      </c>
      <c r="G237" s="4">
        <f t="shared" si="17"/>
        <v>82966.080000000002</v>
      </c>
      <c r="I237" s="3" t="s">
        <v>608</v>
      </c>
      <c r="J237" s="3" t="s">
        <v>713</v>
      </c>
      <c r="K237" s="4">
        <v>497796.48</v>
      </c>
      <c r="L237" s="4">
        <v>82966.080000000002</v>
      </c>
      <c r="M237" s="4">
        <v>0</v>
      </c>
      <c r="N237" s="4">
        <v>580762.56000000006</v>
      </c>
      <c r="O237" s="4">
        <f t="shared" si="18"/>
        <v>82966.080000000002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SUMIFS(Tab_07.Jul[SALDO
ATUAL],Tab_07.Jul[CONTA],$I238)</f>
        <v>125860.56</v>
      </c>
      <c r="G238" s="4">
        <f t="shared" si="17"/>
        <v>17980.080000000002</v>
      </c>
      <c r="I238" s="3" t="s">
        <v>741</v>
      </c>
      <c r="J238" s="3" t="s">
        <v>742</v>
      </c>
      <c r="K238" s="4">
        <v>107880.48</v>
      </c>
      <c r="L238" s="4">
        <v>17980.080000000002</v>
      </c>
      <c r="M238" s="4">
        <v>0</v>
      </c>
      <c r="N238" s="4">
        <v>125860.56</v>
      </c>
      <c r="O238" s="4">
        <f t="shared" si="18"/>
        <v>17980.080000000002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SUMIFS(Tab_07.Jul[SALDO
ATUAL],Tab_07.Jul[CONTA],$I239)</f>
        <v>52500</v>
      </c>
      <c r="G239" s="4">
        <f t="shared" si="17"/>
        <v>7500</v>
      </c>
      <c r="I239" s="3" t="s">
        <v>839</v>
      </c>
      <c r="J239" s="3" t="s">
        <v>840</v>
      </c>
      <c r="K239" s="4">
        <v>45000</v>
      </c>
      <c r="L239" s="4">
        <v>7500</v>
      </c>
      <c r="M239" s="4">
        <v>0</v>
      </c>
      <c r="N239" s="4">
        <v>52500</v>
      </c>
      <c r="O239" s="4">
        <f t="shared" si="18"/>
        <v>7500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SUMIFS(Tab_07.Jul[SALDO
ATUAL],Tab_07.Jul[CONTA],$I240)</f>
        <v>402402</v>
      </c>
      <c r="G240" s="4">
        <f t="shared" si="17"/>
        <v>57486</v>
      </c>
      <c r="I240" s="3" t="s">
        <v>480</v>
      </c>
      <c r="J240" s="3" t="s">
        <v>481</v>
      </c>
      <c r="K240" s="4">
        <v>344916</v>
      </c>
      <c r="L240" s="4">
        <v>57486</v>
      </c>
      <c r="M240" s="4">
        <v>0</v>
      </c>
      <c r="N240" s="4">
        <v>402402</v>
      </c>
      <c r="O240" s="4">
        <f t="shared" si="18"/>
        <v>57486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SUMIFS(Tab_07.Jul[SALDO
ATUAL],Tab_07.Jul[CONTA],$I241)</f>
        <v>15305.65</v>
      </c>
      <c r="G241" s="4">
        <f t="shared" si="17"/>
        <v>1813.26</v>
      </c>
      <c r="I241" s="3" t="s">
        <v>609</v>
      </c>
      <c r="J241" s="3" t="s">
        <v>714</v>
      </c>
      <c r="K241" s="4">
        <v>13492.39</v>
      </c>
      <c r="L241" s="4">
        <v>1813.26</v>
      </c>
      <c r="M241" s="4">
        <v>0</v>
      </c>
      <c r="N241" s="4">
        <v>15305.65</v>
      </c>
      <c r="O241" s="4">
        <f t="shared" si="18"/>
        <v>1813.26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S</v>
      </c>
      <c r="E242" s="2">
        <f>IF($I242="","",COUNTIFS(Tab_00.Trial[CONTA],$I242))</f>
        <v>1</v>
      </c>
      <c r="F242" s="4">
        <f>SUMIFS(Tab_07.Jul[SALDO
ATUAL],Tab_07.Jul[CONTA],$I242)</f>
        <v>15305.65</v>
      </c>
      <c r="G242" s="4">
        <f t="shared" si="17"/>
        <v>1813.26</v>
      </c>
      <c r="I242" s="3" t="s">
        <v>610</v>
      </c>
      <c r="J242" s="3" t="s">
        <v>714</v>
      </c>
      <c r="K242" s="4">
        <v>13492.39</v>
      </c>
      <c r="L242" s="4">
        <v>1813.26</v>
      </c>
      <c r="M242" s="4">
        <v>0</v>
      </c>
      <c r="N242" s="4">
        <v>15305.65</v>
      </c>
      <c r="O242" s="4">
        <f t="shared" si="18"/>
        <v>1813.26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SUMIFS(Tab_07.Jul[SALDO
ATUAL],Tab_07.Jul[CONTA],$I243)</f>
        <v>5005.3100000000004</v>
      </c>
      <c r="G243" s="4">
        <f t="shared" si="17"/>
        <v>866.32</v>
      </c>
      <c r="I243" s="3" t="s">
        <v>482</v>
      </c>
      <c r="J243" s="3" t="s">
        <v>483</v>
      </c>
      <c r="K243" s="4">
        <v>4138.99</v>
      </c>
      <c r="L243" s="4">
        <v>866.32</v>
      </c>
      <c r="M243" s="4">
        <v>0</v>
      </c>
      <c r="N243" s="4">
        <v>5005.3100000000004</v>
      </c>
      <c r="O243" s="4">
        <f t="shared" si="18"/>
        <v>866.32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SUMIFS(Tab_07.Jul[SALDO
ATUAL],Tab_07.Jul[CONTA],$I244)</f>
        <v>5000</v>
      </c>
      <c r="G244" s="4">
        <f t="shared" si="17"/>
        <v>0</v>
      </c>
      <c r="I244" s="3" t="s">
        <v>752</v>
      </c>
      <c r="J244" s="3" t="s">
        <v>753</v>
      </c>
      <c r="K244" s="4">
        <v>5000</v>
      </c>
      <c r="L244" s="4">
        <v>0</v>
      </c>
      <c r="M244" s="4">
        <v>0</v>
      </c>
      <c r="N244" s="4">
        <v>5000</v>
      </c>
      <c r="O244" s="4">
        <f t="shared" si="18"/>
        <v>0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SUMIFS(Tab_07.Jul[SALDO
ATUAL],Tab_07.Jul[CONTA],$I245)</f>
        <v>5300.34</v>
      </c>
      <c r="G245" s="4">
        <f t="shared" si="17"/>
        <v>946.94</v>
      </c>
      <c r="I245" s="3" t="s">
        <v>484</v>
      </c>
      <c r="J245" s="3" t="s">
        <v>485</v>
      </c>
      <c r="K245" s="4">
        <v>4353.3999999999996</v>
      </c>
      <c r="L245" s="4">
        <v>946.94</v>
      </c>
      <c r="M245" s="4">
        <v>0</v>
      </c>
      <c r="N245" s="4">
        <v>5300.34</v>
      </c>
      <c r="O245" s="4">
        <f t="shared" si="18"/>
        <v>946.94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S</v>
      </c>
      <c r="E246" s="2">
        <f>IF($I246="","",COUNTIFS(Tab_00.Trial[CONTA],$I246))</f>
        <v>1</v>
      </c>
      <c r="F246" s="4">
        <f>SUMIFS(Tab_07.Jul[SALDO
ATUAL],Tab_07.Jul[CONTA],$I246)</f>
        <v>65659.31</v>
      </c>
      <c r="G246" s="4">
        <f t="shared" si="17"/>
        <v>7586.35</v>
      </c>
      <c r="I246" s="3" t="s">
        <v>612</v>
      </c>
      <c r="J246" s="3" t="s">
        <v>716</v>
      </c>
      <c r="K246" s="4">
        <v>58072.959999999999</v>
      </c>
      <c r="L246" s="4">
        <v>7586.35</v>
      </c>
      <c r="M246" s="4">
        <v>0</v>
      </c>
      <c r="N246" s="4">
        <v>65659.31</v>
      </c>
      <c r="O246" s="4">
        <f t="shared" si="18"/>
        <v>7586.35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S</v>
      </c>
      <c r="E247" s="2">
        <f>IF($I247="","",COUNTIFS(Tab_00.Trial[CONTA],$I247))</f>
        <v>1</v>
      </c>
      <c r="F247" s="4">
        <f>SUMIFS(Tab_07.Jul[SALDO
ATUAL],Tab_07.Jul[CONTA],$I247)</f>
        <v>42421.55</v>
      </c>
      <c r="G247" s="4">
        <f t="shared" si="17"/>
        <v>5018.91</v>
      </c>
      <c r="I247" s="3" t="s">
        <v>613</v>
      </c>
      <c r="J247" s="3" t="s">
        <v>717</v>
      </c>
      <c r="K247" s="4">
        <v>37402.639999999999</v>
      </c>
      <c r="L247" s="4">
        <v>5018.91</v>
      </c>
      <c r="M247" s="4">
        <v>0</v>
      </c>
      <c r="N247" s="4">
        <v>42421.55</v>
      </c>
      <c r="O247" s="4">
        <f t="shared" si="18"/>
        <v>5018.91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SUMIFS(Tab_07.Jul[SALDO
ATUAL],Tab_07.Jul[CONTA],$I248)</f>
        <v>20558.62</v>
      </c>
      <c r="G248" s="4">
        <f t="shared" si="17"/>
        <v>1918.54</v>
      </c>
      <c r="I248" s="3" t="s">
        <v>491</v>
      </c>
      <c r="J248" s="3" t="s">
        <v>492</v>
      </c>
      <c r="K248" s="4">
        <v>18640.080000000002</v>
      </c>
      <c r="L248" s="4">
        <v>1918.54</v>
      </c>
      <c r="M248" s="4">
        <v>0</v>
      </c>
      <c r="N248" s="4">
        <v>20558.62</v>
      </c>
      <c r="O248" s="4">
        <f t="shared" si="18"/>
        <v>1918.54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SUMIFS(Tab_07.Jul[SALDO
ATUAL],Tab_07.Jul[CONTA],$I249)</f>
        <v>11886.68</v>
      </c>
      <c r="G249" s="4">
        <f t="shared" si="17"/>
        <v>1523.82</v>
      </c>
      <c r="I249" s="3" t="s">
        <v>493</v>
      </c>
      <c r="J249" s="3" t="s">
        <v>494</v>
      </c>
      <c r="K249" s="4">
        <v>10362.86</v>
      </c>
      <c r="L249" s="4">
        <v>1523.82</v>
      </c>
      <c r="M249" s="4">
        <v>0</v>
      </c>
      <c r="N249" s="4">
        <v>11886.68</v>
      </c>
      <c r="O249" s="4">
        <f t="shared" si="18"/>
        <v>1523.82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SUMIFS(Tab_07.Jul[SALDO
ATUAL],Tab_07.Jul[CONTA],$I250)</f>
        <v>9976.25</v>
      </c>
      <c r="G250" s="4">
        <f t="shared" si="17"/>
        <v>1576.55</v>
      </c>
      <c r="I250" s="3" t="s">
        <v>495</v>
      </c>
      <c r="J250" s="3" t="s">
        <v>496</v>
      </c>
      <c r="K250" s="4">
        <v>8399.7000000000007</v>
      </c>
      <c r="L250" s="4">
        <v>1576.55</v>
      </c>
      <c r="M250" s="4">
        <v>0</v>
      </c>
      <c r="N250" s="4">
        <v>9976.25</v>
      </c>
      <c r="O250" s="4">
        <f t="shared" si="18"/>
        <v>1576.55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SUMIFS(Tab_07.Jul[SALDO
ATUAL],Tab_07.Jul[CONTA],$I251)</f>
        <v>23237.759999999998</v>
      </c>
      <c r="G251" s="4">
        <f t="shared" si="17"/>
        <v>2567.44</v>
      </c>
      <c r="I251" s="3" t="s">
        <v>614</v>
      </c>
      <c r="J251" s="3" t="s">
        <v>718</v>
      </c>
      <c r="K251" s="4">
        <v>20670.32</v>
      </c>
      <c r="L251" s="4">
        <v>2567.44</v>
      </c>
      <c r="M251" s="4">
        <v>0</v>
      </c>
      <c r="N251" s="4">
        <v>23237.759999999998</v>
      </c>
      <c r="O251" s="4">
        <f t="shared" si="18"/>
        <v>2567.44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SUMIFS(Tab_07.Jul[SALDO
ATUAL],Tab_07.Jul[CONTA],$I252)</f>
        <v>95</v>
      </c>
      <c r="G252" s="4">
        <f t="shared" si="17"/>
        <v>0</v>
      </c>
      <c r="I252" s="3" t="s">
        <v>497</v>
      </c>
      <c r="J252" s="3" t="s">
        <v>498</v>
      </c>
      <c r="K252" s="4">
        <v>95</v>
      </c>
      <c r="L252" s="4">
        <v>0</v>
      </c>
      <c r="M252" s="4">
        <v>0</v>
      </c>
      <c r="N252" s="4">
        <v>95</v>
      </c>
      <c r="O252" s="4">
        <f t="shared" si="18"/>
        <v>0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SUMIFS(Tab_07.Jul[SALDO
ATUAL],Tab_07.Jul[CONTA],$I253)</f>
        <v>9794.14</v>
      </c>
      <c r="G253" s="4">
        <f t="shared" si="17"/>
        <v>167.4</v>
      </c>
      <c r="I253" s="3" t="s">
        <v>499</v>
      </c>
      <c r="J253" s="3" t="s">
        <v>500</v>
      </c>
      <c r="K253" s="4">
        <v>9626.74</v>
      </c>
      <c r="L253" s="4">
        <v>167.4</v>
      </c>
      <c r="M253" s="4">
        <v>0</v>
      </c>
      <c r="N253" s="4">
        <v>9794.14</v>
      </c>
      <c r="O253" s="4">
        <f t="shared" si="18"/>
        <v>167.4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SUMIFS(Tab_07.Jul[SALDO
ATUAL],Tab_07.Jul[CONTA],$I254)</f>
        <v>9664.69</v>
      </c>
      <c r="G254" s="4">
        <f t="shared" si="17"/>
        <v>2024.25</v>
      </c>
      <c r="I254" s="3" t="s">
        <v>501</v>
      </c>
      <c r="J254" s="3" t="s">
        <v>502</v>
      </c>
      <c r="K254" s="4">
        <v>7640.44</v>
      </c>
      <c r="L254" s="4">
        <v>2024.25</v>
      </c>
      <c r="M254" s="4">
        <v>0</v>
      </c>
      <c r="N254" s="4">
        <v>9664.69</v>
      </c>
      <c r="O254" s="4">
        <f t="shared" si="18"/>
        <v>2024.25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SUMIFS(Tab_07.Jul[SALDO
ATUAL],Tab_07.Jul[CONTA],$I255)</f>
        <v>3683.93</v>
      </c>
      <c r="G255" s="4">
        <f t="shared" si="17"/>
        <v>375.79</v>
      </c>
      <c r="I255" s="3" t="s">
        <v>503</v>
      </c>
      <c r="J255" s="3" t="s">
        <v>504</v>
      </c>
      <c r="K255" s="4">
        <v>3308.14</v>
      </c>
      <c r="L255" s="4">
        <v>375.79</v>
      </c>
      <c r="M255" s="4">
        <v>0</v>
      </c>
      <c r="N255" s="4">
        <v>3683.93</v>
      </c>
      <c r="O255" s="4">
        <f t="shared" si="18"/>
        <v>375.79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SUMIFS(Tab_07.Jul[SALDO
ATUAL],Tab_07.Jul[CONTA],$I256)</f>
        <v>42759.32</v>
      </c>
      <c r="G256" s="4">
        <f t="shared" si="17"/>
        <v>4362.9799999999996</v>
      </c>
      <c r="I256" s="3" t="s">
        <v>615</v>
      </c>
      <c r="J256" s="3" t="s">
        <v>719</v>
      </c>
      <c r="K256" s="4">
        <v>38396.339999999997</v>
      </c>
      <c r="L256" s="4">
        <v>4362.9799999999996</v>
      </c>
      <c r="M256" s="4">
        <v>0</v>
      </c>
      <c r="N256" s="4">
        <v>42759.32</v>
      </c>
      <c r="O256" s="4">
        <f t="shared" si="18"/>
        <v>4362.9799999999996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S</v>
      </c>
      <c r="E257" s="2">
        <f>IF($I257="","",COUNTIFS(Tab_00.Trial[CONTA],$I257))</f>
        <v>1</v>
      </c>
      <c r="F257" s="4">
        <f>SUMIFS(Tab_07.Jul[SALDO
ATUAL],Tab_07.Jul[CONTA],$I257)</f>
        <v>2014.18</v>
      </c>
      <c r="G257" s="4">
        <f t="shared" si="17"/>
        <v>287.74</v>
      </c>
      <c r="I257" s="3" t="s">
        <v>617</v>
      </c>
      <c r="J257" s="3" t="s">
        <v>721</v>
      </c>
      <c r="K257" s="4">
        <v>1726.44</v>
      </c>
      <c r="L257" s="4">
        <v>287.74</v>
      </c>
      <c r="M257" s="4">
        <v>0</v>
      </c>
      <c r="N257" s="4">
        <v>2014.18</v>
      </c>
      <c r="O257" s="4">
        <f t="shared" si="18"/>
        <v>287.74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SUMIFS(Tab_07.Jul[SALDO
ATUAL],Tab_07.Jul[CONTA],$I258)</f>
        <v>2014.18</v>
      </c>
      <c r="G258" s="4">
        <f t="shared" si="17"/>
        <v>287.74</v>
      </c>
      <c r="I258" s="3" t="s">
        <v>739</v>
      </c>
      <c r="J258" s="3" t="s">
        <v>740</v>
      </c>
      <c r="K258" s="4">
        <v>1726.44</v>
      </c>
      <c r="L258" s="4">
        <v>287.74</v>
      </c>
      <c r="M258" s="4">
        <v>0</v>
      </c>
      <c r="N258" s="4">
        <v>2014.18</v>
      </c>
      <c r="O258" s="4">
        <f t="shared" si="18"/>
        <v>287.74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SUMIFS(Tab_07.Jul[SALDO
ATUAL],Tab_07.Jul[CONTA],$I259)</f>
        <v>18055.939999999999</v>
      </c>
      <c r="G259" s="4">
        <f t="shared" si="17"/>
        <v>2592.38</v>
      </c>
      <c r="I259" s="3" t="s">
        <v>618</v>
      </c>
      <c r="J259" s="3" t="s">
        <v>722</v>
      </c>
      <c r="K259" s="4">
        <v>15463.56</v>
      </c>
      <c r="L259" s="4">
        <v>2592.38</v>
      </c>
      <c r="M259" s="4">
        <v>0</v>
      </c>
      <c r="N259" s="4">
        <v>18055.939999999999</v>
      </c>
      <c r="O259" s="4">
        <f t="shared" si="18"/>
        <v>2592.38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SUMIFS(Tab_07.Jul[SALDO
ATUAL],Tab_07.Jul[CONTA],$I260)</f>
        <v>18055.939999999999</v>
      </c>
      <c r="G260" s="4">
        <f t="shared" si="17"/>
        <v>2592.38</v>
      </c>
      <c r="I260" s="3" t="s">
        <v>511</v>
      </c>
      <c r="J260" s="3" t="s">
        <v>512</v>
      </c>
      <c r="K260" s="4">
        <v>15463.56</v>
      </c>
      <c r="L260" s="4">
        <v>2592.38</v>
      </c>
      <c r="M260" s="4">
        <v>0</v>
      </c>
      <c r="N260" s="4">
        <v>18055.939999999999</v>
      </c>
      <c r="O260" s="4">
        <f t="shared" si="18"/>
        <v>2592.38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SUMIFS(Tab_07.Jul[SALDO
ATUAL],Tab_07.Jul[CONTA],$I261)</f>
        <v>22689.200000000001</v>
      </c>
      <c r="G261" s="4">
        <f t="shared" si="17"/>
        <v>1482.86</v>
      </c>
      <c r="I261" s="3" t="s">
        <v>619</v>
      </c>
      <c r="J261" s="3" t="s">
        <v>420</v>
      </c>
      <c r="K261" s="4">
        <v>21206.34</v>
      </c>
      <c r="L261" s="4">
        <v>1482.86</v>
      </c>
      <c r="M261" s="4">
        <v>0</v>
      </c>
      <c r="N261" s="4">
        <v>22689.200000000001</v>
      </c>
      <c r="O261" s="4">
        <f t="shared" si="18"/>
        <v>1482.86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SUMIFS(Tab_07.Jul[SALDO
ATUAL],Tab_07.Jul[CONTA],$I262)</f>
        <v>22689.200000000001</v>
      </c>
      <c r="G262" s="4">
        <f t="shared" si="17"/>
        <v>1482.86</v>
      </c>
      <c r="I262" s="3" t="s">
        <v>515</v>
      </c>
      <c r="J262" s="3" t="s">
        <v>420</v>
      </c>
      <c r="K262" s="4">
        <v>21206.34</v>
      </c>
      <c r="L262" s="4">
        <v>1482.86</v>
      </c>
      <c r="M262" s="4">
        <v>0</v>
      </c>
      <c r="N262" s="4">
        <v>22689.200000000001</v>
      </c>
      <c r="O262" s="4">
        <f t="shared" si="18"/>
        <v>1482.86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SUMIFS(Tab_07.Jul[SALDO
ATUAL],Tab_07.Jul[CONTA],$I263)</f>
        <v>11741.31</v>
      </c>
      <c r="G263" s="4">
        <f t="shared" si="17"/>
        <v>1860.58</v>
      </c>
      <c r="I263" s="3" t="s">
        <v>621</v>
      </c>
      <c r="J263" s="3" t="s">
        <v>723</v>
      </c>
      <c r="K263" s="4">
        <v>9880.73</v>
      </c>
      <c r="L263" s="4">
        <v>1860.58</v>
      </c>
      <c r="M263" s="4">
        <v>0</v>
      </c>
      <c r="N263" s="4">
        <v>11741.31</v>
      </c>
      <c r="O263" s="4">
        <f t="shared" si="18"/>
        <v>1860.58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SUMIFS(Tab_07.Jul[SALDO
ATUAL],Tab_07.Jul[CONTA],$I264)</f>
        <v>11741.31</v>
      </c>
      <c r="G264" s="4">
        <f t="shared" si="17"/>
        <v>1860.58</v>
      </c>
      <c r="I264" s="3" t="s">
        <v>622</v>
      </c>
      <c r="J264" s="3" t="s">
        <v>723</v>
      </c>
      <c r="K264" s="4">
        <v>9880.73</v>
      </c>
      <c r="L264" s="4">
        <v>1860.58</v>
      </c>
      <c r="M264" s="4">
        <v>0</v>
      </c>
      <c r="N264" s="4">
        <v>11741.31</v>
      </c>
      <c r="O264" s="4">
        <f t="shared" si="18"/>
        <v>1860.58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SUMIFS(Tab_07.Jul[SALDO
ATUAL],Tab_07.Jul[CONTA],$I265)</f>
        <v>11741.31</v>
      </c>
      <c r="G265" s="4">
        <f t="shared" ref="G265:G289" si="19">$F265-$K265</f>
        <v>1860.58</v>
      </c>
      <c r="I265" s="3" t="s">
        <v>518</v>
      </c>
      <c r="J265" s="3" t="s">
        <v>519</v>
      </c>
      <c r="K265" s="4">
        <v>9880.73</v>
      </c>
      <c r="L265" s="4">
        <v>1860.58</v>
      </c>
      <c r="M265" s="4">
        <v>0</v>
      </c>
      <c r="N265" s="4">
        <v>11741.31</v>
      </c>
      <c r="O265" s="4">
        <f t="shared" ref="O265:O289" si="20">$L265-$M265</f>
        <v>1860.58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SUMIFS(Tab_07.Jul[SALDO
ATUAL],Tab_07.Jul[CONTA],$I266)</f>
        <v>28948.49</v>
      </c>
      <c r="G266" s="4">
        <f t="shared" si="19"/>
        <v>3666.75</v>
      </c>
      <c r="I266" s="3" t="s">
        <v>623</v>
      </c>
      <c r="J266" s="3" t="s">
        <v>724</v>
      </c>
      <c r="K266" s="4">
        <v>25281.74</v>
      </c>
      <c r="L266" s="4">
        <v>3666.75</v>
      </c>
      <c r="M266" s="4">
        <v>0</v>
      </c>
      <c r="N266" s="4">
        <v>28948.49</v>
      </c>
      <c r="O266" s="4">
        <f t="shared" si="20"/>
        <v>3666.75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SUMIFS(Tab_07.Jul[SALDO
ATUAL],Tab_07.Jul[CONTA],$I267)</f>
        <v>28948.49</v>
      </c>
      <c r="G267" s="4">
        <f t="shared" si="19"/>
        <v>3666.75</v>
      </c>
      <c r="I267" s="3" t="s">
        <v>624</v>
      </c>
      <c r="J267" s="3" t="s">
        <v>724</v>
      </c>
      <c r="K267" s="4">
        <v>25281.74</v>
      </c>
      <c r="L267" s="4">
        <v>3666.75</v>
      </c>
      <c r="M267" s="4">
        <v>0</v>
      </c>
      <c r="N267" s="4">
        <v>28948.49</v>
      </c>
      <c r="O267" s="4">
        <f t="shared" si="20"/>
        <v>3666.75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SUMIFS(Tab_07.Jul[SALDO
ATUAL],Tab_07.Jul[CONTA],$I268)</f>
        <v>28948.49</v>
      </c>
      <c r="G268" s="4">
        <f t="shared" si="19"/>
        <v>3666.75</v>
      </c>
      <c r="I268" s="3" t="s">
        <v>520</v>
      </c>
      <c r="J268" s="3" t="s">
        <v>521</v>
      </c>
      <c r="K268" s="4">
        <v>25281.74</v>
      </c>
      <c r="L268" s="4">
        <v>3666.75</v>
      </c>
      <c r="M268" s="4">
        <v>0</v>
      </c>
      <c r="N268" s="4">
        <v>28948.49</v>
      </c>
      <c r="O268" s="4">
        <f t="shared" si="20"/>
        <v>3666.75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SUMIFS(Tab_07.Jul[SALDO
ATUAL],Tab_07.Jul[CONTA],$I269)</f>
        <v>37696.74</v>
      </c>
      <c r="G269" s="4">
        <f t="shared" si="19"/>
        <v>2665.14</v>
      </c>
      <c r="I269" s="3" t="s">
        <v>625</v>
      </c>
      <c r="J269" s="3" t="s">
        <v>542</v>
      </c>
      <c r="K269" s="4">
        <v>35031.599999999999</v>
      </c>
      <c r="L269" s="4">
        <v>2665.14</v>
      </c>
      <c r="M269" s="4">
        <v>0</v>
      </c>
      <c r="N269" s="4">
        <v>37696.74</v>
      </c>
      <c r="O269" s="4">
        <f t="shared" si="20"/>
        <v>2665.14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SUMIFS(Tab_07.Jul[SALDO
ATUAL],Tab_07.Jul[CONTA],$I270)</f>
        <v>16096.81</v>
      </c>
      <c r="G270" s="4">
        <f t="shared" si="19"/>
        <v>99.82</v>
      </c>
      <c r="I270" s="3" t="s">
        <v>626</v>
      </c>
      <c r="J270" s="3" t="s">
        <v>725</v>
      </c>
      <c r="K270" s="4">
        <v>15996.99</v>
      </c>
      <c r="L270" s="4">
        <v>99.82</v>
      </c>
      <c r="M270" s="4">
        <v>0</v>
      </c>
      <c r="N270" s="4">
        <v>16096.81</v>
      </c>
      <c r="O270" s="4">
        <f t="shared" si="20"/>
        <v>99.82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SUMIFS(Tab_07.Jul[SALDO
ATUAL],Tab_07.Jul[CONTA],$I271)</f>
        <v>15527.74</v>
      </c>
      <c r="G271" s="4">
        <f t="shared" si="19"/>
        <v>0</v>
      </c>
      <c r="I271" s="3" t="s">
        <v>522</v>
      </c>
      <c r="J271" s="3" t="s">
        <v>523</v>
      </c>
      <c r="K271" s="4">
        <v>15527.74</v>
      </c>
      <c r="L271" s="4">
        <v>0</v>
      </c>
      <c r="M271" s="4">
        <v>0</v>
      </c>
      <c r="N271" s="4">
        <v>15527.74</v>
      </c>
      <c r="O271" s="4">
        <f t="shared" si="20"/>
        <v>0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SUMIFS(Tab_07.Jul[SALDO
ATUAL],Tab_07.Jul[CONTA],$I272)</f>
        <v>569.07000000000005</v>
      </c>
      <c r="G272" s="4">
        <f t="shared" si="19"/>
        <v>99.82</v>
      </c>
      <c r="I272" s="3" t="s">
        <v>524</v>
      </c>
      <c r="J272" s="3" t="s">
        <v>525</v>
      </c>
      <c r="K272" s="4">
        <v>469.25</v>
      </c>
      <c r="L272" s="4">
        <v>99.82</v>
      </c>
      <c r="M272" s="4">
        <v>0</v>
      </c>
      <c r="N272" s="4">
        <v>569.07000000000005</v>
      </c>
      <c r="O272" s="4">
        <f t="shared" si="20"/>
        <v>99.82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SUMIFS(Tab_07.Jul[SALDO
ATUAL],Tab_07.Jul[CONTA],$I273)</f>
        <v>21599.93</v>
      </c>
      <c r="G273" s="4">
        <f t="shared" si="19"/>
        <v>2565.3200000000002</v>
      </c>
      <c r="I273" s="3" t="s">
        <v>627</v>
      </c>
      <c r="J273" s="3" t="s">
        <v>542</v>
      </c>
      <c r="K273" s="4">
        <v>19034.61</v>
      </c>
      <c r="L273" s="4">
        <v>2565.3200000000002</v>
      </c>
      <c r="M273" s="4">
        <v>0</v>
      </c>
      <c r="N273" s="4">
        <v>21599.93</v>
      </c>
      <c r="O273" s="4">
        <f t="shared" si="20"/>
        <v>2565.3200000000002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SUMIFS(Tab_07.Jul[SALDO
ATUAL],Tab_07.Jul[CONTA],$I274)</f>
        <v>750.01</v>
      </c>
      <c r="G274" s="4">
        <f t="shared" si="19"/>
        <v>121.89</v>
      </c>
      <c r="I274" s="3" t="s">
        <v>528</v>
      </c>
      <c r="J274" s="3" t="s">
        <v>416</v>
      </c>
      <c r="K274" s="4">
        <v>628.12</v>
      </c>
      <c r="L274" s="4">
        <v>121.89</v>
      </c>
      <c r="M274" s="4">
        <v>0</v>
      </c>
      <c r="N274" s="4">
        <v>750.01</v>
      </c>
      <c r="O274" s="4">
        <f t="shared" si="20"/>
        <v>121.89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SUMIFS(Tab_07.Jul[SALDO
ATUAL],Tab_07.Jul[CONTA],$I275)</f>
        <v>258</v>
      </c>
      <c r="G275" s="4">
        <f t="shared" si="19"/>
        <v>0</v>
      </c>
      <c r="I275" s="3" t="s">
        <v>529</v>
      </c>
      <c r="J275" s="3" t="s">
        <v>530</v>
      </c>
      <c r="K275" s="4">
        <v>258</v>
      </c>
      <c r="L275" s="4">
        <v>0</v>
      </c>
      <c r="M275" s="4">
        <v>0</v>
      </c>
      <c r="N275" s="4">
        <v>258</v>
      </c>
      <c r="O275" s="4">
        <f t="shared" si="20"/>
        <v>0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A</v>
      </c>
      <c r="E276" s="2">
        <f>IF($I276="","",COUNTIFS(Tab_00.Trial[CONTA],$I276))</f>
        <v>1</v>
      </c>
      <c r="F276" s="4">
        <f>SUMIFS(Tab_07.Jul[SALDO
ATUAL],Tab_07.Jul[CONTA],$I276)</f>
        <v>1090.6300000000001</v>
      </c>
      <c r="G276" s="4">
        <f t="shared" si="19"/>
        <v>616.04999999999995</v>
      </c>
      <c r="I276" s="3" t="s">
        <v>531</v>
      </c>
      <c r="J276" s="3" t="s">
        <v>532</v>
      </c>
      <c r="K276" s="4">
        <v>474.58</v>
      </c>
      <c r="L276" s="4">
        <v>616.04999999999995</v>
      </c>
      <c r="M276" s="4">
        <v>0</v>
      </c>
      <c r="N276" s="4">
        <v>1090.6300000000001</v>
      </c>
      <c r="O276" s="4">
        <f t="shared" si="20"/>
        <v>616.04999999999995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A</v>
      </c>
      <c r="E277" s="2">
        <f>IF($I277="","",COUNTIFS(Tab_00.Trial[CONTA],$I277))</f>
        <v>1</v>
      </c>
      <c r="F277" s="4">
        <f>SUMIFS(Tab_07.Jul[SALDO
ATUAL],Tab_07.Jul[CONTA],$I277)</f>
        <v>2100</v>
      </c>
      <c r="G277" s="4">
        <f t="shared" si="19"/>
        <v>350</v>
      </c>
      <c r="I277" s="3" t="s">
        <v>533</v>
      </c>
      <c r="J277" s="3" t="s">
        <v>534</v>
      </c>
      <c r="K277" s="4">
        <v>1750</v>
      </c>
      <c r="L277" s="4">
        <v>350</v>
      </c>
      <c r="M277" s="4">
        <v>0</v>
      </c>
      <c r="N277" s="4">
        <v>2100</v>
      </c>
      <c r="O277" s="4">
        <f t="shared" si="20"/>
        <v>350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SUMIFS(Tab_07.Jul[SALDO
ATUAL],Tab_07.Jul[CONTA],$I278)</f>
        <v>4749.8900000000003</v>
      </c>
      <c r="G278" s="4">
        <f t="shared" si="19"/>
        <v>5.0999999999999996</v>
      </c>
      <c r="I278" s="3" t="s">
        <v>537</v>
      </c>
      <c r="J278" s="3" t="s">
        <v>538</v>
      </c>
      <c r="K278" s="4">
        <v>4744.79</v>
      </c>
      <c r="L278" s="4">
        <v>5.0999999999999996</v>
      </c>
      <c r="M278" s="4">
        <v>0</v>
      </c>
      <c r="N278" s="4">
        <v>4749.8900000000003</v>
      </c>
      <c r="O278" s="4">
        <f t="shared" si="20"/>
        <v>5.0999999999999996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SUMIFS(Tab_07.Jul[SALDO
ATUAL],Tab_07.Jul[CONTA],$I279)</f>
        <v>10965.13</v>
      </c>
      <c r="G279" s="4">
        <f t="shared" si="19"/>
        <v>1214.8800000000001</v>
      </c>
      <c r="I279" s="3" t="s">
        <v>539</v>
      </c>
      <c r="J279" s="3" t="s">
        <v>540</v>
      </c>
      <c r="K279" s="4">
        <v>9750.25</v>
      </c>
      <c r="L279" s="4">
        <v>1214.8800000000001</v>
      </c>
      <c r="M279" s="4">
        <v>0</v>
      </c>
      <c r="N279" s="4">
        <v>10965.13</v>
      </c>
      <c r="O279" s="4">
        <f t="shared" si="20"/>
        <v>1214.8800000000001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SUMIFS(Tab_07.Jul[SALDO
ATUAL],Tab_07.Jul[CONTA],$I280)</f>
        <v>1686.27</v>
      </c>
      <c r="G280" s="4">
        <f t="shared" si="19"/>
        <v>257.39999999999998</v>
      </c>
      <c r="I280" s="3" t="s">
        <v>541</v>
      </c>
      <c r="J280" s="3" t="s">
        <v>542</v>
      </c>
      <c r="K280" s="4">
        <v>1428.87</v>
      </c>
      <c r="L280" s="4">
        <v>257.39999999999998</v>
      </c>
      <c r="M280" s="4">
        <v>0</v>
      </c>
      <c r="N280" s="4">
        <v>1686.27</v>
      </c>
      <c r="O280" s="4">
        <f t="shared" si="20"/>
        <v>257.39999999999998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2</v>
      </c>
      <c r="D281" s="2" t="str">
        <f>_xlfn.XLOOKUP($I281,Tab_00.Trial[CONTA],Tab_00.Trial[S/A],"",0,1)</f>
        <v>S</v>
      </c>
      <c r="E281" s="2">
        <f>IF($I281="","",COUNTIFS(Tab_00.Trial[CONTA],$I281))</f>
        <v>1</v>
      </c>
      <c r="F281" s="4">
        <f>SUMIFS(Tab_07.Jul[SALDO
ATUAL],Tab_07.Jul[CONTA],$I281)</f>
        <v>405</v>
      </c>
      <c r="G281" s="4">
        <f t="shared" si="19"/>
        <v>0</v>
      </c>
      <c r="I281" s="3" t="s">
        <v>630</v>
      </c>
      <c r="J281" s="3" t="s">
        <v>728</v>
      </c>
      <c r="K281" s="4">
        <v>405</v>
      </c>
      <c r="L281" s="4">
        <v>0</v>
      </c>
      <c r="M281" s="4">
        <v>0</v>
      </c>
      <c r="N281" s="4">
        <v>405</v>
      </c>
      <c r="O281" s="4">
        <f t="shared" si="20"/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S</v>
      </c>
      <c r="E282" s="2">
        <f>IF($I282="","",COUNTIFS(Tab_00.Trial[CONTA],$I282))</f>
        <v>1</v>
      </c>
      <c r="F282" s="4">
        <f>SUMIFS(Tab_07.Jul[SALDO
ATUAL],Tab_07.Jul[CONTA],$I282)</f>
        <v>405</v>
      </c>
      <c r="G282" s="4">
        <f t="shared" si="19"/>
        <v>0</v>
      </c>
      <c r="I282" s="3" t="s">
        <v>631</v>
      </c>
      <c r="J282" s="3" t="s">
        <v>728</v>
      </c>
      <c r="K282" s="4">
        <v>405</v>
      </c>
      <c r="L282" s="4">
        <v>0</v>
      </c>
      <c r="M282" s="4">
        <v>0</v>
      </c>
      <c r="N282" s="4">
        <v>405</v>
      </c>
      <c r="O282" s="4">
        <f t="shared" si="20"/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S</v>
      </c>
      <c r="E283" s="2">
        <f>IF($I283="","",COUNTIFS(Tab_00.Trial[CONTA],$I283))</f>
        <v>1</v>
      </c>
      <c r="F283" s="4">
        <f>SUMIFS(Tab_07.Jul[SALDO
ATUAL],Tab_07.Jul[CONTA],$I283)</f>
        <v>405</v>
      </c>
      <c r="G283" s="4">
        <f t="shared" si="19"/>
        <v>0</v>
      </c>
      <c r="I283" s="3" t="s">
        <v>633</v>
      </c>
      <c r="J283" s="3" t="s">
        <v>548</v>
      </c>
      <c r="K283" s="4">
        <v>405</v>
      </c>
      <c r="L283" s="4">
        <v>0</v>
      </c>
      <c r="M283" s="4">
        <v>0</v>
      </c>
      <c r="N283" s="4">
        <v>405</v>
      </c>
      <c r="O283" s="4">
        <f t="shared" si="20"/>
        <v>0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SUMIFS(Tab_07.Jul[SALDO
ATUAL],Tab_07.Jul[CONTA],$I284)</f>
        <v>405</v>
      </c>
      <c r="G284" s="4">
        <f t="shared" si="19"/>
        <v>0</v>
      </c>
      <c r="I284" s="3" t="s">
        <v>547</v>
      </c>
      <c r="J284" s="3" t="s">
        <v>548</v>
      </c>
      <c r="K284" s="4">
        <v>405</v>
      </c>
      <c r="L284" s="4">
        <v>0</v>
      </c>
      <c r="M284" s="4">
        <v>0</v>
      </c>
      <c r="N284" s="4">
        <v>405</v>
      </c>
      <c r="O284" s="4">
        <f t="shared" si="20"/>
        <v>0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2</v>
      </c>
      <c r="D285" s="2" t="str">
        <f>_xlfn.XLOOKUP($I285,Tab_00.Trial[CONTA],Tab_00.Trial[S/A],"",0,1)</f>
        <v>S</v>
      </c>
      <c r="E285" s="2">
        <f>IF($I285="","",COUNTIFS(Tab_00.Trial[CONTA],$I285))</f>
        <v>1</v>
      </c>
      <c r="F285" s="4">
        <f>SUMIFS(Tab_07.Jul[SALDO
ATUAL],Tab_07.Jul[CONTA],$I285)</f>
        <v>-189</v>
      </c>
      <c r="G285" s="4">
        <f t="shared" si="19"/>
        <v>0</v>
      </c>
      <c r="I285" s="3" t="s">
        <v>634</v>
      </c>
      <c r="J285" s="3" t="s">
        <v>730</v>
      </c>
      <c r="K285" s="4">
        <v>-189</v>
      </c>
      <c r="L285" s="4">
        <v>0</v>
      </c>
      <c r="M285" s="4">
        <v>0</v>
      </c>
      <c r="N285" s="4">
        <v>-189</v>
      </c>
      <c r="O285" s="4">
        <f t="shared" si="20"/>
        <v>0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S</v>
      </c>
      <c r="E286" s="2">
        <f>IF($I286="","",COUNTIFS(Tab_00.Trial[CONTA],$I286))</f>
        <v>1</v>
      </c>
      <c r="F286" s="4">
        <f>SUMIFS(Tab_07.Jul[SALDO
ATUAL],Tab_07.Jul[CONTA],$I286)</f>
        <v>-189</v>
      </c>
      <c r="G286" s="4">
        <f t="shared" si="19"/>
        <v>0</v>
      </c>
      <c r="I286" s="3" t="s">
        <v>831</v>
      </c>
      <c r="J286" s="3" t="s">
        <v>832</v>
      </c>
      <c r="K286" s="4">
        <v>-189</v>
      </c>
      <c r="L286" s="4">
        <v>0</v>
      </c>
      <c r="M286" s="4">
        <v>0</v>
      </c>
      <c r="N286" s="4">
        <v>-189</v>
      </c>
      <c r="O286" s="4">
        <f t="shared" si="20"/>
        <v>0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S</v>
      </c>
      <c r="E287" s="2">
        <f>IF($I287="","",COUNTIFS(Tab_00.Trial[CONTA],$I287))</f>
        <v>1</v>
      </c>
      <c r="F287" s="4">
        <f>SUMIFS(Tab_07.Jul[SALDO
ATUAL],Tab_07.Jul[CONTA],$I287)</f>
        <v>-189</v>
      </c>
      <c r="G287" s="4">
        <f t="shared" si="19"/>
        <v>0</v>
      </c>
      <c r="I287" s="3" t="s">
        <v>833</v>
      </c>
      <c r="J287" s="3" t="s">
        <v>832</v>
      </c>
      <c r="K287" s="4">
        <v>-189</v>
      </c>
      <c r="L287" s="4">
        <v>0</v>
      </c>
      <c r="M287" s="4">
        <v>0</v>
      </c>
      <c r="N287" s="4">
        <v>-189</v>
      </c>
      <c r="O287" s="4">
        <f t="shared" si="20"/>
        <v>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A</v>
      </c>
      <c r="E288" s="2">
        <f>IF($I288="","",COUNTIFS(Tab_00.Trial[CONTA],$I288))</f>
        <v>1</v>
      </c>
      <c r="F288" s="4">
        <f>SUMIFS(Tab_07.Jul[SALDO
ATUAL],Tab_07.Jul[CONTA],$I288)</f>
        <v>-189</v>
      </c>
      <c r="G288" s="4">
        <f t="shared" si="19"/>
        <v>0</v>
      </c>
      <c r="I288" s="3" t="s">
        <v>834</v>
      </c>
      <c r="J288" s="3" t="s">
        <v>835</v>
      </c>
      <c r="K288" s="4">
        <v>-189</v>
      </c>
      <c r="L288" s="4">
        <v>0</v>
      </c>
      <c r="M288" s="4">
        <v>0</v>
      </c>
      <c r="N288" s="4">
        <v>-189</v>
      </c>
      <c r="O288" s="4">
        <f t="shared" si="20"/>
        <v>0</v>
      </c>
    </row>
    <row r="289" spans="2:15" x14ac:dyDescent="0.3">
      <c r="B289" s="2" t="str">
        <f>_xlfn.XLOOKUP($I289,Tab_00.Trial[CONTA],Tab_00.Trial[TP],"",0,1)</f>
        <v/>
      </c>
      <c r="C289" s="2" t="str">
        <f>_xlfn.XLOOKUP($I289,Tab_00.Trial[CONTA],Tab_00.Trial[NV],"",0,1)</f>
        <v/>
      </c>
      <c r="D289" s="2" t="str">
        <f>_xlfn.XLOOKUP($I289,Tab_00.Trial[CONTA],Tab_00.Trial[S/A],"",0,1)</f>
        <v/>
      </c>
      <c r="E289" s="2" t="str">
        <f>IF($I289="","",COUNTIFS(Tab_00.Trial[CONTA],$I289))</f>
        <v/>
      </c>
      <c r="F289" s="4">
        <f>SUMIFS(Tab_07.Jul[SALDO
ATUAL],Tab_07.Jul[CONTA],$I289)</f>
        <v>0</v>
      </c>
      <c r="G289" s="4">
        <f t="shared" si="19"/>
        <v>0</v>
      </c>
      <c r="I289" s="3"/>
      <c r="J289" s="3"/>
      <c r="K289" s="4"/>
      <c r="L289" s="4"/>
      <c r="M289" s="4"/>
      <c r="O289" s="4">
        <f t="shared" si="20"/>
        <v>0</v>
      </c>
    </row>
    <row r="290" spans="2:15" x14ac:dyDescent="0.3">
      <c r="B290" s="2" t="str">
        <f>_xlfn.XLOOKUP($I290,Tab_00.Trial[CONTA],Tab_00.Trial[TP],"",0,1)</f>
        <v/>
      </c>
      <c r="C290" s="2" t="str">
        <f>_xlfn.XLOOKUP($I290,Tab_00.Trial[CONTA],Tab_00.Trial[NV],"",0,1)</f>
        <v/>
      </c>
      <c r="D290" s="2" t="str">
        <f>_xlfn.XLOOKUP($I290,Tab_00.Trial[CONTA],Tab_00.Trial[S/A],"",0,1)</f>
        <v/>
      </c>
      <c r="E290" s="2" t="str">
        <f>IF($I290="","",COUNTIFS(Tab_00.Trial[CONTA],$I290))</f>
        <v/>
      </c>
      <c r="F290" s="4">
        <f>SUMIFS(Tab_07.Jul[SALDO
ATUAL],Tab_07.Jul[CONTA],$I290)</f>
        <v>0</v>
      </c>
      <c r="G290" s="4">
        <f t="shared" ref="G290:G295" si="21">$F290-$K290</f>
        <v>0</v>
      </c>
      <c r="I290" s="3"/>
      <c r="J290" s="3"/>
      <c r="K290" s="4"/>
      <c r="L290" s="4"/>
      <c r="M290" s="4"/>
      <c r="O290" s="4">
        <f t="shared" ref="O290:O295" si="22">$L290-$M290</f>
        <v>0</v>
      </c>
    </row>
    <row r="291" spans="2:15" x14ac:dyDescent="0.3">
      <c r="B291" s="2" t="str">
        <f>_xlfn.XLOOKUP($I291,Tab_00.Trial[CONTA],Tab_00.Trial[TP],"",0,1)</f>
        <v/>
      </c>
      <c r="C291" s="2" t="str">
        <f>_xlfn.XLOOKUP($I291,Tab_00.Trial[CONTA],Tab_00.Trial[NV],"",0,1)</f>
        <v/>
      </c>
      <c r="D291" s="2" t="str">
        <f>_xlfn.XLOOKUP($I291,Tab_00.Trial[CONTA],Tab_00.Trial[S/A],"",0,1)</f>
        <v/>
      </c>
      <c r="E291" s="2" t="str">
        <f>IF($I291="","",COUNTIFS(Tab_00.Trial[CONTA],$I291))</f>
        <v/>
      </c>
      <c r="F291" s="4">
        <f>SUMIFS(Tab_07.Jul[SALDO
ATUAL],Tab_07.Jul[CONTA],$I291)</f>
        <v>0</v>
      </c>
      <c r="G291" s="4">
        <f t="shared" si="21"/>
        <v>0</v>
      </c>
      <c r="I291" s="3"/>
      <c r="J291" s="3"/>
      <c r="K291" s="4"/>
      <c r="L291" s="4"/>
      <c r="M291" s="4"/>
      <c r="O291" s="4">
        <f t="shared" si="22"/>
        <v>0</v>
      </c>
    </row>
    <row r="292" spans="2:15" x14ac:dyDescent="0.3">
      <c r="B292" s="2" t="str">
        <f>_xlfn.XLOOKUP($I292,Tab_00.Trial[CONTA],Tab_00.Trial[TP],"",0,1)</f>
        <v/>
      </c>
      <c r="C292" s="2" t="str">
        <f>_xlfn.XLOOKUP($I292,Tab_00.Trial[CONTA],Tab_00.Trial[NV],"",0,1)</f>
        <v/>
      </c>
      <c r="D292" s="2" t="str">
        <f>_xlfn.XLOOKUP($I292,Tab_00.Trial[CONTA],Tab_00.Trial[S/A],"",0,1)</f>
        <v/>
      </c>
      <c r="E292" s="2" t="str">
        <f>IF($I292="","",COUNTIFS(Tab_00.Trial[CONTA],$I292))</f>
        <v/>
      </c>
      <c r="F292" s="4">
        <f>SUMIFS(Tab_07.Jul[SALDO
ATUAL],Tab_07.Jul[CONTA],$I292)</f>
        <v>0</v>
      </c>
      <c r="G292" s="4">
        <f t="shared" si="21"/>
        <v>0</v>
      </c>
      <c r="I292" s="3"/>
      <c r="J292" s="3"/>
      <c r="K292" s="4"/>
      <c r="L292" s="4"/>
      <c r="M292" s="4"/>
      <c r="O292" s="4">
        <f t="shared" si="22"/>
        <v>0</v>
      </c>
    </row>
    <row r="293" spans="2:15" x14ac:dyDescent="0.3">
      <c r="B293" s="2" t="str">
        <f>_xlfn.XLOOKUP($I293,Tab_00.Trial[CONTA],Tab_00.Trial[TP],"",0,1)</f>
        <v/>
      </c>
      <c r="C293" s="2" t="str">
        <f>_xlfn.XLOOKUP($I293,Tab_00.Trial[CONTA],Tab_00.Trial[NV],"",0,1)</f>
        <v/>
      </c>
      <c r="D293" s="2" t="str">
        <f>_xlfn.XLOOKUP($I293,Tab_00.Trial[CONTA],Tab_00.Trial[S/A],"",0,1)</f>
        <v/>
      </c>
      <c r="E293" s="2" t="str">
        <f>IF($I293="","",COUNTIFS(Tab_00.Trial[CONTA],$I293))</f>
        <v/>
      </c>
      <c r="F293" s="4">
        <f>SUMIFS(Tab_07.Jul[SALDO
ATUAL],Tab_07.Jul[CONTA],$I293)</f>
        <v>0</v>
      </c>
      <c r="G293" s="4">
        <f t="shared" si="21"/>
        <v>0</v>
      </c>
      <c r="I293" s="3"/>
      <c r="J293" s="3"/>
      <c r="K293" s="4"/>
      <c r="L293" s="4"/>
      <c r="M293" s="4"/>
      <c r="O293" s="4">
        <f t="shared" si="22"/>
        <v>0</v>
      </c>
    </row>
    <row r="294" spans="2:15" x14ac:dyDescent="0.3">
      <c r="B294" s="2" t="str">
        <f>_xlfn.XLOOKUP($I294,Tab_00.Trial[CONTA],Tab_00.Trial[TP],"",0,1)</f>
        <v/>
      </c>
      <c r="C294" s="2" t="str">
        <f>_xlfn.XLOOKUP($I294,Tab_00.Trial[CONTA],Tab_00.Trial[NV],"",0,1)</f>
        <v/>
      </c>
      <c r="D294" s="2" t="str">
        <f>_xlfn.XLOOKUP($I294,Tab_00.Trial[CONTA],Tab_00.Trial[S/A],"",0,1)</f>
        <v/>
      </c>
      <c r="E294" s="2" t="str">
        <f>IF($I294="","",COUNTIFS(Tab_00.Trial[CONTA],$I294))</f>
        <v/>
      </c>
      <c r="F294" s="4">
        <f>SUMIFS(Tab_07.Jul[SALDO
ATUAL],Tab_07.Jul[CONTA],$I294)</f>
        <v>0</v>
      </c>
      <c r="G294" s="4">
        <f t="shared" si="21"/>
        <v>0</v>
      </c>
      <c r="I294" s="3"/>
      <c r="J294" s="3"/>
      <c r="K294" s="4"/>
      <c r="L294" s="4"/>
      <c r="M294" s="4"/>
      <c r="O294" s="4">
        <f t="shared" si="22"/>
        <v>0</v>
      </c>
    </row>
    <row r="295" spans="2:15" x14ac:dyDescent="0.3">
      <c r="B295" s="2" t="str">
        <f>_xlfn.XLOOKUP($I295,Tab_00.Trial[CONTA],Tab_00.Trial[TP],"",0,1)</f>
        <v/>
      </c>
      <c r="C295" s="2" t="str">
        <f>_xlfn.XLOOKUP($I295,Tab_00.Trial[CONTA],Tab_00.Trial[NV],"",0,1)</f>
        <v/>
      </c>
      <c r="D295" s="2" t="str">
        <f>_xlfn.XLOOKUP($I295,Tab_00.Trial[CONTA],Tab_00.Trial[S/A],"",0,1)</f>
        <v/>
      </c>
      <c r="E295" s="2" t="str">
        <f>IF($I295="","",COUNTIFS(Tab_00.Trial[CONTA],$I295))</f>
        <v/>
      </c>
      <c r="F295" s="4">
        <f>SUMIFS(Tab_07.Jul[SALDO
ATUAL],Tab_07.Jul[CONTA],$I295)</f>
        <v>0</v>
      </c>
      <c r="G295" s="4">
        <f t="shared" si="21"/>
        <v>0</v>
      </c>
      <c r="I295" s="3"/>
      <c r="J295" s="3"/>
      <c r="K295" s="4"/>
      <c r="L295" s="4"/>
      <c r="M295" s="4"/>
      <c r="O295" s="4">
        <f t="shared" si="22"/>
        <v>0</v>
      </c>
    </row>
    <row r="296" spans="2:15" x14ac:dyDescent="0.3">
      <c r="B296" s="2" t="str">
        <f>_xlfn.XLOOKUP($I296,Tab_00.Trial[CONTA],Tab_00.Trial[TP],"",0,1)</f>
        <v/>
      </c>
      <c r="C296" s="2" t="str">
        <f>_xlfn.XLOOKUP($I296,Tab_00.Trial[CONTA],Tab_00.Trial[NV],"",0,1)</f>
        <v/>
      </c>
      <c r="D296" s="2" t="str">
        <f>_xlfn.XLOOKUP($I296,Tab_00.Trial[CONTA],Tab_00.Trial[S/A],"",0,1)</f>
        <v/>
      </c>
      <c r="E296" s="2" t="str">
        <f>IF($I296="","",COUNTIFS(Tab_00.Trial[CONTA],$I296))</f>
        <v/>
      </c>
      <c r="F296" s="4">
        <f>SUMIFS(Tab_07.Jul[SALDO
ATUAL],Tab_07.Jul[CONTA],$I296)</f>
        <v>0</v>
      </c>
      <c r="G296" s="4">
        <f t="shared" ref="G296" si="23">$F296-$K296</f>
        <v>0</v>
      </c>
      <c r="I296" s="3"/>
      <c r="J296" s="3"/>
      <c r="K296" s="4"/>
      <c r="L296" s="4"/>
      <c r="M296" s="4"/>
      <c r="O296" s="4">
        <f t="shared" ref="O296" si="24">$L296-$M296</f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29464-D4F1-4789-BC11-26058A446850}">
  <sheetPr codeName="Planilha3">
    <pageSetUpPr fitToPage="1"/>
  </sheetPr>
  <dimension ref="A1:XFD58"/>
  <sheetViews>
    <sheetView showGridLines="0" tabSelected="1" topLeftCell="C1" zoomScale="85" zoomScaleNormal="85" zoomScaleSheetLayoutView="75" workbookViewId="0">
      <selection activeCell="M20" sqref="M20"/>
    </sheetView>
  </sheetViews>
  <sheetFormatPr defaultColWidth="9.5546875" defaultRowHeight="13.2" customHeight="1" outlineLevelCol="1" x14ac:dyDescent="0.3"/>
  <cols>
    <col min="1" max="1" width="2.88671875" style="23" customWidth="1"/>
    <col min="2" max="2" width="32.33203125" style="23" customWidth="1"/>
    <col min="3" max="3" width="8.6640625" style="23" customWidth="1" outlineLevel="1"/>
    <col min="4" max="4" width="14.5546875" style="23" customWidth="1"/>
    <col min="5" max="5" width="10.6640625" style="101" customWidth="1"/>
    <col min="6" max="6" width="20.6640625" style="24" customWidth="1"/>
    <col min="7" max="7" width="10.6640625" style="104" customWidth="1"/>
    <col min="8" max="8" width="1.88671875" style="25" customWidth="1"/>
    <col min="9" max="9" width="33.21875" style="23" customWidth="1"/>
    <col min="10" max="10" width="8.6640625" style="23" customWidth="1" outlineLevel="1"/>
    <col min="11" max="11" width="14.5546875" style="23" customWidth="1"/>
    <col min="12" max="12" width="10.6640625" style="23" customWidth="1"/>
    <col min="13" max="13" width="15.33203125" style="24" customWidth="1"/>
    <col min="14" max="14" width="10.6640625" style="24" customWidth="1"/>
    <col min="15" max="15" width="1.88671875" style="25" customWidth="1"/>
    <col min="16" max="16" width="1.88671875" style="23" customWidth="1"/>
    <col min="17" max="17" width="38.6640625" style="23" customWidth="1"/>
    <col min="18" max="18" width="8.6640625" style="23" customWidth="1" outlineLevel="1"/>
    <col min="19" max="19" width="15.6640625" style="23" customWidth="1"/>
    <col min="20" max="20" width="10.6640625" style="23" customWidth="1"/>
    <col min="21" max="21" width="20.6640625" style="24" hidden="1" customWidth="1"/>
    <col min="22" max="22" width="10.6640625" style="24" hidden="1" customWidth="1"/>
    <col min="23" max="23" width="1.88671875" style="26" customWidth="1"/>
    <col min="24" max="24" width="4" style="27" customWidth="1"/>
    <col min="25" max="25" width="11.6640625" style="28" customWidth="1"/>
    <col min="26" max="26" width="4" style="27" customWidth="1"/>
    <col min="27" max="16384" width="9.5546875" style="27"/>
  </cols>
  <sheetData>
    <row r="1" spans="2:16384" ht="16.2" customHeight="1" thickTop="1" thickBot="1" x14ac:dyDescent="0.35">
      <c r="F1" s="86" t="s">
        <v>80</v>
      </c>
      <c r="K1" s="168">
        <f ca="1">$D$44-$K$44</f>
        <v>0</v>
      </c>
      <c r="M1" s="168">
        <f ca="1">$F$44-$M$44</f>
        <v>0</v>
      </c>
      <c r="N1" s="30"/>
      <c r="Q1" s="73" t="str">
        <f ca="1">IF(OR($D$44&lt;&gt;$K$44,$F$44&lt;&gt;$M$44),"PRESTE ATENÇÃO!!!","")</f>
        <v/>
      </c>
      <c r="R1" s="71"/>
      <c r="S1" s="71"/>
      <c r="T1" s="71"/>
    </row>
    <row r="2" spans="2:16384" ht="16.5" customHeight="1" thickTop="1" thickBot="1" x14ac:dyDescent="0.35">
      <c r="F2" s="87">
        <v>45657</v>
      </c>
      <c r="K2" s="169"/>
      <c r="M2" s="169">
        <v>0</v>
      </c>
      <c r="N2" s="30"/>
      <c r="Q2" s="73" t="str">
        <f ca="1">IF(OR($D$44&lt;&gt;$K$44,$F$44&lt;&gt;$M$44),"ATIVO E PASSIVO NÃO BATE.","")</f>
        <v/>
      </c>
    </row>
    <row r="3" spans="2:16384" ht="9.9" customHeight="1" thickTop="1" x14ac:dyDescent="0.3">
      <c r="M3" s="30"/>
      <c r="N3" s="30"/>
    </row>
    <row r="4" spans="2:16384" s="32" customFormat="1" ht="20.100000000000001" customHeight="1" x14ac:dyDescent="0.3">
      <c r="B4" s="29" t="s">
        <v>754</v>
      </c>
      <c r="C4" s="29"/>
      <c r="D4" s="29"/>
      <c r="E4" s="35"/>
      <c r="F4" s="30"/>
      <c r="G4" s="37"/>
      <c r="H4" s="31"/>
      <c r="I4" s="31"/>
      <c r="J4" s="31"/>
      <c r="K4" s="31"/>
      <c r="L4" s="31"/>
      <c r="M4" s="30"/>
      <c r="N4" s="30"/>
      <c r="O4" s="31"/>
      <c r="P4" s="31"/>
      <c r="Q4" s="31"/>
      <c r="R4" s="31"/>
      <c r="S4" s="23"/>
      <c r="T4" s="31"/>
      <c r="U4" s="30"/>
      <c r="V4" s="30"/>
      <c r="W4" s="31"/>
      <c r="X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  <c r="XFB4" s="27"/>
      <c r="XFC4" s="27"/>
      <c r="XFD4" s="27"/>
    </row>
    <row r="5" spans="2:16384" s="32" customFormat="1" ht="20.100000000000001" customHeight="1" x14ac:dyDescent="0.3">
      <c r="B5" s="29" t="s">
        <v>755</v>
      </c>
      <c r="C5" s="29"/>
      <c r="D5" s="29"/>
      <c r="E5" s="35"/>
      <c r="F5" s="30"/>
      <c r="G5" s="37"/>
      <c r="H5" s="31"/>
      <c r="I5" s="31"/>
      <c r="J5" s="31"/>
      <c r="K5" s="31" t="s">
        <v>243</v>
      </c>
      <c r="L5" s="31"/>
      <c r="M5" s="30"/>
      <c r="N5" s="30"/>
      <c r="O5" s="31"/>
      <c r="P5" s="31"/>
      <c r="Q5" s="31"/>
      <c r="R5" s="31"/>
      <c r="S5" s="31"/>
      <c r="T5" s="31"/>
      <c r="U5" s="30"/>
      <c r="V5" s="30"/>
      <c r="W5" s="31"/>
      <c r="X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  <c r="XFB5" s="27"/>
      <c r="XFC5" s="27"/>
      <c r="XFD5" s="27"/>
    </row>
    <row r="6" spans="2:16384" s="32" customFormat="1" ht="5.0999999999999996" customHeight="1" x14ac:dyDescent="0.3">
      <c r="B6" s="33"/>
      <c r="C6" s="33"/>
      <c r="D6" s="33"/>
      <c r="E6" s="102"/>
      <c r="F6" s="34"/>
      <c r="G6" s="105"/>
      <c r="H6" s="35"/>
      <c r="M6" s="34"/>
      <c r="N6" s="34"/>
      <c r="U6" s="34"/>
      <c r="V6" s="34"/>
      <c r="W6" s="36"/>
      <c r="X6" s="27"/>
      <c r="Y6" s="28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  <c r="XFB6" s="27"/>
      <c r="XFC6" s="27"/>
      <c r="XFD6" s="27"/>
    </row>
    <row r="7" spans="2:16384" s="32" customFormat="1" ht="20.100000000000001" customHeight="1" x14ac:dyDescent="0.3">
      <c r="B7" s="29" t="str">
        <f>IF($F$2="","INFORMAR A DATA DE ENCERRAMENTO DO BALANÇO","BALANÇO PATRIMONIAL E DEMONSTRAÇÃO DO RESULTADO EM "&amp;TEXT($F$2,"DD")&amp;" DE "&amp;UPPER(TEXT($F$2,"MMMM"))&amp;" DE "&amp;TEXT($F$2,"AAAA")&amp;" (SUJEITO A REVISÃO DA AUDITORIA)")</f>
        <v>BALANÇO PATRIMONIAL E DEMONSTRAÇÃO DO RESULTADO EM 31 DE DEZEMBRO DE 2024 (SUJEITO A REVISÃO DA AUDITORIA)</v>
      </c>
      <c r="C7" s="29"/>
      <c r="D7" s="29"/>
      <c r="E7" s="35"/>
      <c r="F7" s="37"/>
      <c r="G7" s="37"/>
      <c r="H7" s="35"/>
      <c r="I7" s="35"/>
      <c r="J7" s="35"/>
      <c r="K7" s="35" t="s">
        <v>242</v>
      </c>
      <c r="L7" s="35"/>
      <c r="M7" s="37"/>
      <c r="N7" s="37"/>
      <c r="O7" s="35"/>
      <c r="Q7" s="35"/>
      <c r="R7" s="35"/>
      <c r="S7" s="146"/>
      <c r="T7" s="35"/>
      <c r="U7" s="37"/>
      <c r="V7" s="37"/>
      <c r="W7" s="38"/>
      <c r="X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  <c r="XFB7" s="27"/>
      <c r="XFC7" s="27"/>
      <c r="XFD7" s="27"/>
    </row>
    <row r="8" spans="2:16384" s="32" customFormat="1" ht="5.0999999999999996" customHeight="1" x14ac:dyDescent="0.3">
      <c r="B8" s="35"/>
      <c r="C8" s="35"/>
      <c r="D8" s="35"/>
      <c r="E8" s="35"/>
      <c r="F8" s="37"/>
      <c r="G8" s="37"/>
      <c r="H8" s="35"/>
      <c r="I8" s="35"/>
      <c r="J8" s="35"/>
      <c r="K8" s="35"/>
      <c r="L8" s="35"/>
      <c r="M8" s="37"/>
      <c r="N8" s="37"/>
      <c r="O8" s="35"/>
      <c r="Q8" s="35"/>
      <c r="R8" s="35"/>
      <c r="S8" s="35"/>
      <c r="T8" s="35"/>
      <c r="U8" s="37"/>
      <c r="V8" s="37"/>
      <c r="W8" s="38"/>
      <c r="X8" s="27"/>
      <c r="Y8" s="28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  <c r="XEY8" s="27"/>
      <c r="XEZ8" s="27"/>
      <c r="XFA8" s="27"/>
      <c r="XFB8" s="27"/>
      <c r="XFC8" s="27"/>
      <c r="XFD8" s="27"/>
    </row>
    <row r="9" spans="2:16384" s="32" customFormat="1" ht="21" customHeight="1" x14ac:dyDescent="0.3">
      <c r="B9" s="106" t="s">
        <v>73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8"/>
      <c r="P9" s="39"/>
      <c r="Q9" s="106" t="s">
        <v>74</v>
      </c>
      <c r="R9" s="107"/>
      <c r="S9" s="107"/>
      <c r="T9" s="107"/>
      <c r="U9" s="107"/>
      <c r="V9" s="107"/>
      <c r="W9" s="108"/>
      <c r="X9" s="27"/>
      <c r="Y9" s="28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  <c r="XFC9" s="27"/>
      <c r="XFD9" s="27"/>
    </row>
    <row r="10" spans="2:16384" s="32" customFormat="1" ht="15.6" x14ac:dyDescent="0.3">
      <c r="B10" s="109" t="s">
        <v>154</v>
      </c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/>
      <c r="P10" s="39"/>
      <c r="Q10" s="109" t="s">
        <v>154</v>
      </c>
      <c r="R10" s="112"/>
      <c r="S10" s="112"/>
      <c r="T10" s="112"/>
      <c r="U10" s="112"/>
      <c r="V10" s="112"/>
      <c r="W10" s="113"/>
      <c r="X10" s="27"/>
      <c r="Y10" s="28" t="s">
        <v>79</v>
      </c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  <c r="XFC10" s="27"/>
      <c r="XFD10" s="27"/>
    </row>
    <row r="11" spans="2:16384" ht="13.2" customHeight="1" x14ac:dyDescent="0.3">
      <c r="B11" s="40" t="s">
        <v>15</v>
      </c>
      <c r="C11" s="42"/>
      <c r="D11" s="90">
        <v>2024</v>
      </c>
      <c r="E11" s="103" t="s">
        <v>124</v>
      </c>
      <c r="F11" s="90">
        <v>2023</v>
      </c>
      <c r="G11" s="103" t="s">
        <v>124</v>
      </c>
      <c r="H11" s="41"/>
      <c r="I11" s="42" t="s">
        <v>17</v>
      </c>
      <c r="J11" s="42"/>
      <c r="K11" s="90">
        <v>2024</v>
      </c>
      <c r="L11" s="103" t="s">
        <v>124</v>
      </c>
      <c r="M11" s="90">
        <v>2023</v>
      </c>
      <c r="N11" s="103" t="s">
        <v>124</v>
      </c>
      <c r="O11" s="41"/>
      <c r="Q11" s="43"/>
      <c r="R11" s="72"/>
      <c r="S11" s="90">
        <v>2024</v>
      </c>
      <c r="T11" s="103" t="s">
        <v>124</v>
      </c>
      <c r="U11" s="90">
        <v>2023</v>
      </c>
      <c r="V11" s="103" t="s">
        <v>124</v>
      </c>
      <c r="W11" s="44"/>
      <c r="Y11" s="28">
        <v>45322</v>
      </c>
    </row>
    <row r="12" spans="2:16384" ht="13.2" customHeight="1" x14ac:dyDescent="0.3">
      <c r="B12" s="45"/>
      <c r="C12" s="47"/>
      <c r="E12" s="23"/>
      <c r="G12" s="24"/>
      <c r="H12" s="46"/>
      <c r="I12" s="47"/>
      <c r="J12" s="47"/>
      <c r="N12" s="23"/>
      <c r="O12" s="123"/>
      <c r="Q12" s="60"/>
      <c r="R12" s="27"/>
      <c r="S12" s="54"/>
      <c r="T12" s="54"/>
      <c r="U12" s="54"/>
      <c r="V12" s="54"/>
      <c r="W12" s="49"/>
      <c r="Y12" s="28">
        <v>45351</v>
      </c>
      <c r="AA12" s="50"/>
    </row>
    <row r="13" spans="2:16384" ht="13.2" customHeight="1" x14ac:dyDescent="0.3">
      <c r="B13" s="51" t="s">
        <v>31</v>
      </c>
      <c r="C13" s="62"/>
      <c r="D13" s="70"/>
      <c r="E13" s="70"/>
      <c r="F13" s="48"/>
      <c r="G13" s="48"/>
      <c r="H13" s="52"/>
      <c r="I13" s="53" t="s">
        <v>31</v>
      </c>
      <c r="J13" s="53"/>
      <c r="K13" s="124"/>
      <c r="L13" s="70"/>
      <c r="M13" s="48"/>
      <c r="N13" s="70"/>
      <c r="O13" s="52"/>
      <c r="Q13" s="100" t="s">
        <v>756</v>
      </c>
      <c r="R13" s="50" t="s">
        <v>101</v>
      </c>
      <c r="S13" s="133">
        <f ca="1">IF($F$2="",0,-SUMIFS(INDIRECT("Tab_00.Trial["&amp;TEXT($F$2,"MMMM")&amp;"]"),Tab_00.Trial[DC],$R13))</f>
        <v>12877863.82</v>
      </c>
      <c r="T13" s="117"/>
      <c r="U13" s="133">
        <f ca="1">IF($F$2="",0,-SUMIFS(INDIRECT("Tab_99.Trial["&amp;TEXT($F$2,"MMMM")&amp;"]"),Tab_99.Trial[DC],$R13))</f>
        <v>0</v>
      </c>
      <c r="V13" s="117"/>
      <c r="W13" s="59"/>
      <c r="Y13" s="28">
        <v>45382</v>
      </c>
    </row>
    <row r="14" spans="2:16384" ht="13.2" customHeight="1" x14ac:dyDescent="0.3">
      <c r="B14" s="55" t="s">
        <v>32</v>
      </c>
      <c r="C14" s="50" t="s">
        <v>38</v>
      </c>
      <c r="D14" s="127">
        <f ca="1">IF($F$2="",0,SUMIFS(INDIRECT("Tab_00.Trial["&amp;TEXT($F$2,"MMMM")&amp;"]"),Tab_00.Trial[DC],$C14))</f>
        <v>179814.8</v>
      </c>
      <c r="E14" s="114">
        <f t="shared" ref="E14:E22" ca="1" si="0">IFERROR($D14/$D$44,0)</f>
        <v>0</v>
      </c>
      <c r="F14" s="127">
        <f ca="1">IF($F$2="",0,SUMIFS(INDIRECT("Tab_99.Trial["&amp;TEXT($F$2,"MMMM")&amp;"]"),Tab_99.Trial[DC],$C14))</f>
        <v>0</v>
      </c>
      <c r="G14" s="114">
        <f t="shared" ref="G14:G22" ca="1" si="1">IFERROR($F14/$F$44,0)</f>
        <v>0</v>
      </c>
      <c r="H14" s="52"/>
      <c r="I14" s="63" t="s">
        <v>56</v>
      </c>
      <c r="J14" s="50" t="s">
        <v>50</v>
      </c>
      <c r="K14" s="147">
        <f ca="1">IF($F$2="",0,-SUMIFS(INDIRECT("Tab_00.Trial["&amp;TEXT($F$2,"MMMM")&amp;"]"),Tab_00.Trial[DC],$J14))</f>
        <v>350148.93</v>
      </c>
      <c r="L14" s="148">
        <f t="shared" ref="L14:L20" ca="1" si="2">IFERROR($K14/$K$44,0)</f>
        <v>0</v>
      </c>
      <c r="M14" s="147">
        <f ca="1">IF($F$2="",0,-SUMIFS(INDIRECT("Tab_99.Trial["&amp;TEXT($F$2,"MMMM")&amp;"]"),Tab_99.Trial[DC],$J14))</f>
        <v>0</v>
      </c>
      <c r="N14" s="114">
        <f t="shared" ref="N14:N20" ca="1" si="3">IFERROR($M14/$M$44,0)</f>
        <v>0</v>
      </c>
      <c r="O14" s="52"/>
      <c r="Q14" s="61" t="s">
        <v>155</v>
      </c>
      <c r="R14" s="50" t="s">
        <v>102</v>
      </c>
      <c r="S14" s="133">
        <f ca="1">IF($F$2="",0,-SUMIFS(INDIRECT("Tab_00.Trial["&amp;TEXT($F$2,"MMMM")&amp;"]"),Tab_00.Trial[DC],$R14))</f>
        <v>-14303.78</v>
      </c>
      <c r="T14" s="117"/>
      <c r="U14" s="133"/>
      <c r="V14" s="117"/>
      <c r="W14" s="49"/>
      <c r="Y14" s="28">
        <v>45412</v>
      </c>
    </row>
    <row r="15" spans="2:16384" ht="13.2" customHeight="1" x14ac:dyDescent="0.3">
      <c r="B15" s="55" t="s">
        <v>138</v>
      </c>
      <c r="C15" s="50" t="s">
        <v>39</v>
      </c>
      <c r="D15" s="127">
        <f ca="1">IF($F$2="",0,SUMIFS(INDIRECT("Tab_00.Trial["&amp;TEXT($F$2,"MMMM")&amp;"]"),Tab_00.Trial[DC],$C15))</f>
        <v>10969820.439999999</v>
      </c>
      <c r="E15" s="114">
        <f t="shared" ca="1" si="0"/>
        <v>0.13</v>
      </c>
      <c r="F15" s="127">
        <f ca="1">IF($F$2="",0,SUMIFS(INDIRECT("Tab_99.Trial["&amp;TEXT($F$2,"MMMM")&amp;"]"),Tab_99.Trial[DC],$C15))</f>
        <v>0</v>
      </c>
      <c r="G15" s="114">
        <f t="shared" ca="1" si="1"/>
        <v>0</v>
      </c>
      <c r="H15" s="52"/>
      <c r="I15" s="63" t="s">
        <v>57</v>
      </c>
      <c r="J15" s="50" t="s">
        <v>51</v>
      </c>
      <c r="K15" s="147">
        <f ca="1">IF($F$2="",0,-SUMIFS(INDIRECT("Tab_00.Trial["&amp;TEXT($F$2,"MMMM")&amp;"]"),Tab_00.Trial[DC],$J15))</f>
        <v>0</v>
      </c>
      <c r="L15" s="148">
        <f t="shared" ca="1" si="2"/>
        <v>0</v>
      </c>
      <c r="M15" s="147">
        <f ca="1">IF($F$2="",0,-SUMIFS(INDIRECT("Tab_99.Trial["&amp;TEXT($F$2,"MMMM")&amp;"]"),Tab_99.Trial[DC],$J15))</f>
        <v>0</v>
      </c>
      <c r="N15" s="114">
        <f t="shared" ca="1" si="3"/>
        <v>0</v>
      </c>
      <c r="O15" s="52"/>
      <c r="Q15" s="60"/>
      <c r="R15" s="27"/>
      <c r="S15" s="127"/>
      <c r="T15" s="54"/>
      <c r="U15" s="127"/>
      <c r="V15" s="54"/>
      <c r="W15" s="49"/>
      <c r="Y15" s="28">
        <v>45443</v>
      </c>
    </row>
    <row r="16" spans="2:16384" ht="13.2" customHeight="1" x14ac:dyDescent="0.3">
      <c r="B16" s="55" t="s">
        <v>99</v>
      </c>
      <c r="C16" s="50" t="s">
        <v>40</v>
      </c>
      <c r="D16" s="147">
        <f ca="1">IF($F$2="",0,SUMIFS(INDIRECT("Tab_00.Trial["&amp;TEXT($F$2,"MMMM")&amp;"]"),Tab_00.Trial[DC],$C16))</f>
        <v>4705.95</v>
      </c>
      <c r="E16" s="114">
        <f t="shared" ca="1" si="0"/>
        <v>0</v>
      </c>
      <c r="F16" s="127">
        <f ca="1">IF($F$2="",0,SUMIFS(INDIRECT("Tab_99.Trial["&amp;TEXT($F$2,"MMMM")&amp;"]"),Tab_99.Trial[DC],$C16))</f>
        <v>0</v>
      </c>
      <c r="G16" s="114">
        <f t="shared" ca="1" si="1"/>
        <v>0</v>
      </c>
      <c r="H16" s="52"/>
      <c r="I16" s="63" t="s">
        <v>88</v>
      </c>
      <c r="J16" s="50" t="s">
        <v>52</v>
      </c>
      <c r="K16" s="147">
        <f ca="1">IF($F$2="",0,-SUMIFS(INDIRECT("Tab_00.Trial["&amp;TEXT($F$2,"MMMM")&amp;"]"),Tab_00.Trial[DC],$J16))</f>
        <v>284492.44</v>
      </c>
      <c r="L16" s="148">
        <f t="shared" ca="1" si="2"/>
        <v>0</v>
      </c>
      <c r="M16" s="147">
        <f ca="1">IF($F$2="",0,-SUMIFS(INDIRECT("Tab_99.Trial["&amp;TEXT($F$2,"MMMM")&amp;"]"),Tab_99.Trial[DC],$J16))</f>
        <v>0</v>
      </c>
      <c r="N16" s="114">
        <f t="shared" ca="1" si="3"/>
        <v>0</v>
      </c>
      <c r="O16" s="52"/>
      <c r="Q16" s="93" t="s">
        <v>151</v>
      </c>
      <c r="R16" s="27"/>
      <c r="S16" s="134">
        <f ca="1">SUBTOTAL(9,S$12:S$15)</f>
        <v>12863560.039999999</v>
      </c>
      <c r="T16" s="115">
        <f ca="1">IFERROR($S16/$S$13,0)</f>
        <v>1</v>
      </c>
      <c r="U16" s="134">
        <f ca="1">SUBTOTAL(9,U$12:U$15)</f>
        <v>0</v>
      </c>
      <c r="V16" s="115">
        <f ca="1">IFERROR($U16/$U$13,0)</f>
        <v>0</v>
      </c>
      <c r="W16" s="49"/>
      <c r="Y16" s="28">
        <v>45473</v>
      </c>
    </row>
    <row r="17" spans="2:25" ht="13.2" customHeight="1" x14ac:dyDescent="0.3">
      <c r="B17" s="55" t="s">
        <v>33</v>
      </c>
      <c r="C17" s="50" t="s">
        <v>41</v>
      </c>
      <c r="D17" s="147">
        <f ca="1">IF($F$2="",0,SUMIFS(INDIRECT("Tab_00.Trial["&amp;TEXT($F$2,"MMMM")&amp;"]"),Tab_00.Trial[DC],$C17))</f>
        <v>73865.38</v>
      </c>
      <c r="E17" s="114">
        <f t="shared" ca="1" si="0"/>
        <v>0</v>
      </c>
      <c r="F17" s="127">
        <f ca="1">IF($F$2="",0,SUMIFS(INDIRECT("Tab_99.Trial["&amp;TEXT($F$2,"MMMM")&amp;"]"),Tab_99.Trial[DC],$C17))</f>
        <v>0</v>
      </c>
      <c r="G17" s="114">
        <f t="shared" ca="1" si="1"/>
        <v>0</v>
      </c>
      <c r="H17" s="52"/>
      <c r="I17" s="63" t="s">
        <v>58</v>
      </c>
      <c r="J17" s="50" t="s">
        <v>53</v>
      </c>
      <c r="K17" s="147">
        <f ca="1">IF($F$2="",0,-SUMIFS(INDIRECT("Tab_00.Trial["&amp;TEXT($F$2,"MMMM")&amp;"]"),Tab_00.Trial[DC],$J17))</f>
        <v>8253.76</v>
      </c>
      <c r="L17" s="148">
        <f t="shared" ca="1" si="2"/>
        <v>0</v>
      </c>
      <c r="M17" s="147">
        <f ca="1">IF($F$2="",0,-SUMIFS(INDIRECT("Tab_99.Trial["&amp;TEXT($F$2,"MMMM")&amp;"]"),Tab_99.Trial[DC],$J17))</f>
        <v>0</v>
      </c>
      <c r="N17" s="114">
        <f t="shared" ca="1" si="3"/>
        <v>0</v>
      </c>
      <c r="O17" s="52"/>
      <c r="Q17" s="60"/>
      <c r="R17" s="27"/>
      <c r="S17" s="127"/>
      <c r="T17" s="54"/>
      <c r="U17" s="127"/>
      <c r="V17" s="54"/>
      <c r="W17" s="49"/>
      <c r="Y17" s="28">
        <v>45504</v>
      </c>
    </row>
    <row r="18" spans="2:25" ht="13.2" customHeight="1" x14ac:dyDescent="0.3">
      <c r="B18" s="55" t="s">
        <v>87</v>
      </c>
      <c r="C18" s="50" t="s">
        <v>42</v>
      </c>
      <c r="D18" s="127">
        <f ca="1">IF($F$2="",0,SUMIFS(INDIRECT("Tab_00.Trial["&amp;TEXT($F$2,"MMMM")&amp;"]"),Tab_00.Trial[DC],$C18))</f>
        <v>7927.27</v>
      </c>
      <c r="E18" s="114">
        <f t="shared" ca="1" si="0"/>
        <v>0</v>
      </c>
      <c r="F18" s="127">
        <f ca="1">IF($F$2="",0,SUMIFS(INDIRECT("Tab_99.Trial["&amp;TEXT($F$2,"MMMM")&amp;"]"),Tab_99.Trial[DC],$C18))</f>
        <v>0</v>
      </c>
      <c r="G18" s="114">
        <f t="shared" ca="1" si="1"/>
        <v>0</v>
      </c>
      <c r="H18" s="52"/>
      <c r="I18" s="63" t="s">
        <v>144</v>
      </c>
      <c r="J18" s="50" t="s">
        <v>54</v>
      </c>
      <c r="K18" s="147">
        <f ca="1">IF($F$2="",0,-SUMIFS(INDIRECT("Tab_00.Trial["&amp;TEXT($F$2,"MMMM")&amp;"]"),Tab_00.Trial[DC],$J18))</f>
        <v>3849.2</v>
      </c>
      <c r="L18" s="148">
        <f t="shared" ca="1" si="2"/>
        <v>0</v>
      </c>
      <c r="M18" s="147">
        <f ca="1">IF($F$2="",0,-SUMIFS(INDIRECT("Tab_99.Trial["&amp;TEXT($F$2,"MMMM")&amp;"]"),Tab_99.Trial[DC],$J18))</f>
        <v>0</v>
      </c>
      <c r="N18" s="114">
        <f t="shared" ca="1" si="3"/>
        <v>0</v>
      </c>
      <c r="O18" s="52"/>
      <c r="Q18" s="93" t="s">
        <v>152</v>
      </c>
      <c r="R18" s="27"/>
      <c r="S18" s="135">
        <f ca="1">SUBTOTAL(9,S$19:S$20)</f>
        <v>-8925977.7200000007</v>
      </c>
      <c r="T18" s="116">
        <f ca="1">IFERROR($S18/$S$13,0)</f>
        <v>-0.69</v>
      </c>
      <c r="U18" s="135">
        <f ca="1">SUBTOTAL(9,U$19:U$20)</f>
        <v>0</v>
      </c>
      <c r="V18" s="116">
        <f ca="1">IFERROR($U18/$U$13,0)</f>
        <v>0</v>
      </c>
      <c r="W18" s="59"/>
      <c r="Y18" s="28">
        <v>45535</v>
      </c>
    </row>
    <row r="19" spans="2:25" ht="13.2" customHeight="1" x14ac:dyDescent="0.3">
      <c r="B19" s="55" t="s">
        <v>139</v>
      </c>
      <c r="C19" s="50" t="s">
        <v>43</v>
      </c>
      <c r="D19" s="127">
        <f ca="1">IF($F$2="",0,SUMIFS(INDIRECT("Tab_00.Trial["&amp;TEXT($F$2,"MMMM")&amp;"]"),Tab_00.Trial[DC],$C19))</f>
        <v>0</v>
      </c>
      <c r="E19" s="114">
        <f t="shared" ca="1" si="0"/>
        <v>0</v>
      </c>
      <c r="F19" s="127">
        <f ca="1">IF($F$2="",0,SUMIFS(INDIRECT("Tab_99.Trial["&amp;TEXT($F$2,"MMMM")&amp;"]"),Tab_99.Trial[DC],$C19))</f>
        <v>0</v>
      </c>
      <c r="G19" s="114">
        <f t="shared" ca="1" si="1"/>
        <v>0</v>
      </c>
      <c r="H19" s="52"/>
      <c r="I19" s="63" t="s">
        <v>89</v>
      </c>
      <c r="J19" s="50" t="s">
        <v>55</v>
      </c>
      <c r="K19" s="147">
        <f ca="1">IF($F$2="",0,-SUMIFS(INDIRECT("Tab_00.Trial["&amp;TEXT($F$2,"MMMM")&amp;"]"),Tab_00.Trial[DC],$J19))</f>
        <v>3198.94</v>
      </c>
      <c r="L19" s="148">
        <f t="shared" ca="1" si="2"/>
        <v>0</v>
      </c>
      <c r="M19" s="147">
        <f ca="1">IF($F$2="",0,-SUMIFS(INDIRECT("Tab_99.Trial["&amp;TEXT($F$2,"MMMM")&amp;"]"),Tab_99.Trial[DC],$J19))</f>
        <v>0</v>
      </c>
      <c r="N19" s="114">
        <f t="shared" ca="1" si="3"/>
        <v>0</v>
      </c>
      <c r="O19" s="52"/>
      <c r="Q19" s="92" t="s">
        <v>757</v>
      </c>
      <c r="R19" s="50" t="s">
        <v>103</v>
      </c>
      <c r="S19" s="133">
        <f ca="1">IF($F$2="",0,-SUMIFS(INDIRECT("Tab_00.Trial["&amp;TEXT($F$2,"MMMM")&amp;"]"),Tab_00.Trial[DC],$R19))</f>
        <v>-8925977.7200000007</v>
      </c>
      <c r="T19" s="114">
        <f ca="1">IFERROR($S19/$S$13,0)</f>
        <v>-0.69</v>
      </c>
      <c r="U19" s="133">
        <f ca="1">IF($F$2="",0,-SUMIFS(INDIRECT("Tab_99.Trial["&amp;TEXT($F$2,"MMMM")&amp;"]"),Tab_99.Trial[DC],$R19))</f>
        <v>0</v>
      </c>
      <c r="V19" s="114">
        <f ca="1">IFERROR($U19/$U$13,0)</f>
        <v>0</v>
      </c>
      <c r="W19" s="56"/>
      <c r="Y19" s="28">
        <v>45565</v>
      </c>
    </row>
    <row r="20" spans="2:25" s="27" customFormat="1" ht="13.2" customHeight="1" x14ac:dyDescent="0.3">
      <c r="B20" s="55" t="s">
        <v>140</v>
      </c>
      <c r="C20" s="50" t="s">
        <v>141</v>
      </c>
      <c r="D20" s="127">
        <f ca="1">IF($F$2="",0,SUMIFS(INDIRECT("Tab_00.Trial["&amp;TEXT($F$2,"MMMM")&amp;"]"),Tab_00.Trial[DC],$C20))</f>
        <v>2625.86</v>
      </c>
      <c r="E20" s="114">
        <f t="shared" ca="1" si="0"/>
        <v>0</v>
      </c>
      <c r="F20" s="127">
        <f ca="1">IF($F$2="",0,SUMIFS(INDIRECT("Tab_99.Trial["&amp;TEXT($F$2,"MMMM")&amp;"]"),Tab_99.Trial[DC],$C20))</f>
        <v>0</v>
      </c>
      <c r="G20" s="114">
        <f t="shared" ca="1" si="1"/>
        <v>0</v>
      </c>
      <c r="H20" s="52"/>
      <c r="I20" s="149"/>
      <c r="J20" s="50"/>
      <c r="K20" s="150">
        <f ca="1">SUBTOTAL(9,K$13:K$19)</f>
        <v>649943.27</v>
      </c>
      <c r="L20" s="151">
        <f t="shared" ca="1" si="2"/>
        <v>0.01</v>
      </c>
      <c r="M20" s="150">
        <f ca="1">SUBTOTAL(9,M$13:M$19)</f>
        <v>0</v>
      </c>
      <c r="N20" s="120">
        <f t="shared" ca="1" si="3"/>
        <v>0</v>
      </c>
      <c r="O20" s="52"/>
      <c r="P20" s="23"/>
      <c r="Q20" s="91"/>
      <c r="R20" s="50"/>
      <c r="S20" s="127"/>
      <c r="T20" s="114"/>
      <c r="U20" s="127"/>
      <c r="V20" s="114"/>
      <c r="W20" s="56"/>
      <c r="Y20" s="28">
        <v>45596</v>
      </c>
    </row>
    <row r="21" spans="2:25" s="27" customFormat="1" ht="13.2" customHeight="1" x14ac:dyDescent="0.3">
      <c r="B21" s="63" t="s">
        <v>119</v>
      </c>
      <c r="C21" s="50" t="s">
        <v>142</v>
      </c>
      <c r="D21" s="127">
        <f ca="1">IF($F$2="",0,SUMIFS(INDIRECT("Tab_00.Trial["&amp;TEXT($F$2,"MMMM")&amp;"]"),Tab_00.Trial[DC],$C21))</f>
        <v>0</v>
      </c>
      <c r="E21" s="114">
        <f t="shared" ca="1" si="0"/>
        <v>0</v>
      </c>
      <c r="F21" s="127">
        <f ca="1">IF($F$2="",0,SUMIFS(INDIRECT("Tab_99.Trial["&amp;TEXT($F$2,"MMMM")&amp;"]"),Tab_99.Trial[DC],$C21))</f>
        <v>0</v>
      </c>
      <c r="G21" s="114">
        <f t="shared" ca="1" si="1"/>
        <v>0</v>
      </c>
      <c r="H21" s="52"/>
      <c r="K21" s="130"/>
      <c r="L21" s="152"/>
      <c r="M21" s="130"/>
      <c r="N21" s="118"/>
      <c r="O21" s="52"/>
      <c r="P21" s="23"/>
      <c r="Q21" s="93" t="s">
        <v>75</v>
      </c>
      <c r="R21" s="50"/>
      <c r="S21" s="134">
        <f ca="1">SUBTOTAL(9,S$12:S$20)</f>
        <v>3937582.32</v>
      </c>
      <c r="T21" s="115">
        <f ca="1">IFERROR($S21/$S$13,0)</f>
        <v>0.31</v>
      </c>
      <c r="U21" s="134">
        <f ca="1">SUBTOTAL(9,U$12:U$20)</f>
        <v>0</v>
      </c>
      <c r="V21" s="115">
        <f ca="1">IFERROR($U21/$U$13,0)</f>
        <v>0</v>
      </c>
      <c r="W21" s="49"/>
      <c r="Y21" s="28">
        <v>45626</v>
      </c>
    </row>
    <row r="22" spans="2:25" s="27" customFormat="1" ht="13.2" customHeight="1" x14ac:dyDescent="0.3">
      <c r="B22" s="55"/>
      <c r="C22" s="50"/>
      <c r="D22" s="128">
        <f ca="1">SUBTOTAL(9,D$13:D$21)</f>
        <v>11238759.699999999</v>
      </c>
      <c r="E22" s="120">
        <f t="shared" ca="1" si="0"/>
        <v>0.13</v>
      </c>
      <c r="F22" s="128">
        <f ca="1">SUBTOTAL(9,F$13:F$21)</f>
        <v>0</v>
      </c>
      <c r="G22" s="120">
        <f t="shared" ca="1" si="1"/>
        <v>0</v>
      </c>
      <c r="H22" s="52"/>
      <c r="I22" s="149"/>
      <c r="J22" s="50"/>
      <c r="K22" s="147"/>
      <c r="L22" s="152"/>
      <c r="M22" s="147"/>
      <c r="N22" s="118"/>
      <c r="O22" s="52"/>
      <c r="P22" s="23"/>
      <c r="Q22" s="92"/>
      <c r="R22" s="50"/>
      <c r="S22" s="127"/>
      <c r="T22" s="114"/>
      <c r="U22" s="127"/>
      <c r="V22" s="114"/>
      <c r="W22" s="56"/>
      <c r="Y22" s="28">
        <v>45657</v>
      </c>
    </row>
    <row r="23" spans="2:25" s="27" customFormat="1" ht="13.2" customHeight="1" x14ac:dyDescent="0.3">
      <c r="B23" s="60"/>
      <c r="D23" s="129"/>
      <c r="E23" s="118"/>
      <c r="F23" s="129"/>
      <c r="G23" s="118"/>
      <c r="H23" s="52"/>
      <c r="I23" s="149"/>
      <c r="J23" s="50"/>
      <c r="K23" s="147"/>
      <c r="L23" s="152"/>
      <c r="M23" s="147"/>
      <c r="N23" s="118"/>
      <c r="O23" s="52"/>
      <c r="P23" s="23"/>
      <c r="Q23" s="93" t="s">
        <v>86</v>
      </c>
      <c r="R23" s="50"/>
      <c r="S23" s="135">
        <f ca="1">SUBTOTAL(9,S$24:S$31)</f>
        <v>-4732996</v>
      </c>
      <c r="T23" s="116">
        <f t="shared" ref="T23:T30" ca="1" si="4">IFERROR($S23/$S$13,0)</f>
        <v>-0.37</v>
      </c>
      <c r="U23" s="135">
        <f ca="1">SUBTOTAL(9,U$24:U$31)</f>
        <v>0</v>
      </c>
      <c r="V23" s="116">
        <f t="shared" ref="V23:V30" ca="1" si="5">IFERROR($U23/$U$13,0)</f>
        <v>0</v>
      </c>
      <c r="W23" s="58"/>
      <c r="Y23" s="28"/>
    </row>
    <row r="24" spans="2:25" s="27" customFormat="1" ht="13.2" customHeight="1" x14ac:dyDescent="0.3">
      <c r="B24" s="60"/>
      <c r="D24" s="129"/>
      <c r="E24" s="118"/>
      <c r="F24" s="129"/>
      <c r="G24" s="118"/>
      <c r="H24" s="52"/>
      <c r="I24" s="149"/>
      <c r="J24" s="50"/>
      <c r="K24" s="147"/>
      <c r="L24" s="152"/>
      <c r="M24" s="147"/>
      <c r="N24" s="118"/>
      <c r="O24" s="52"/>
      <c r="P24" s="23"/>
      <c r="Q24" s="92" t="s">
        <v>146</v>
      </c>
      <c r="R24" s="50" t="s">
        <v>104</v>
      </c>
      <c r="S24" s="133">
        <f ca="1">IF($F$2="",0,-SUMIFS(INDIRECT("Tab_00.Trial["&amp;TEXT($F$2,"MMMM")&amp;"]"),Tab_00.Trial[DC],$R24))</f>
        <v>-2518388.17</v>
      </c>
      <c r="T24" s="117">
        <f t="shared" ca="1" si="4"/>
        <v>-0.2</v>
      </c>
      <c r="U24" s="133">
        <f ca="1">IF($F$2="",0,-SUMIFS(INDIRECT("Tab_99.Trial["&amp;TEXT($F$2,"MMMM")&amp;"]"),Tab_99.Trial[DC],$R24))</f>
        <v>0</v>
      </c>
      <c r="V24" s="117">
        <f t="shared" ca="1" si="5"/>
        <v>0</v>
      </c>
      <c r="W24" s="59"/>
      <c r="Y24" s="28"/>
    </row>
    <row r="25" spans="2:25" s="27" customFormat="1" ht="13.2" customHeight="1" x14ac:dyDescent="0.3">
      <c r="B25" s="51" t="s">
        <v>76</v>
      </c>
      <c r="D25" s="129"/>
      <c r="E25" s="118"/>
      <c r="F25" s="129"/>
      <c r="G25" s="118"/>
      <c r="H25" s="52"/>
      <c r="I25" s="62" t="s">
        <v>76</v>
      </c>
      <c r="K25" s="153"/>
      <c r="L25" s="152"/>
      <c r="M25" s="153"/>
      <c r="N25" s="118"/>
      <c r="O25" s="52"/>
      <c r="P25" s="23"/>
      <c r="Q25" s="92" t="s">
        <v>82</v>
      </c>
      <c r="R25" s="50" t="s">
        <v>105</v>
      </c>
      <c r="S25" s="133">
        <f ca="1">IF($F$2="",0,-SUMIFS(INDIRECT("Tab_00.Trial["&amp;TEXT($F$2,"MMMM")&amp;"]"),Tab_00.Trial[DC],$R25))</f>
        <v>-1347301.21</v>
      </c>
      <c r="T25" s="117">
        <f t="shared" ca="1" si="4"/>
        <v>-0.1</v>
      </c>
      <c r="U25" s="133">
        <f ca="1">IF($F$2="",0,-SUMIFS(INDIRECT("Tab_99.Trial["&amp;TEXT($F$2,"MMMM")&amp;"]"),Tab_99.Trial[DC],$R25))</f>
        <v>0</v>
      </c>
      <c r="V25" s="117">
        <f t="shared" ca="1" si="5"/>
        <v>0</v>
      </c>
      <c r="W25" s="59"/>
      <c r="Y25" s="28"/>
    </row>
    <row r="26" spans="2:25" s="27" customFormat="1" ht="13.2" customHeight="1" x14ac:dyDescent="0.3">
      <c r="B26" s="55" t="s">
        <v>138</v>
      </c>
      <c r="C26" s="50" t="s">
        <v>92</v>
      </c>
      <c r="D26" s="127">
        <f ca="1">IF($F$2="",0,SUMIFS(INDIRECT("Tab_00.Trial["&amp;TEXT($F$2,"MMMM")&amp;"]"),Tab_00.Trial[DC],$C26))</f>
        <v>26183193</v>
      </c>
      <c r="E26" s="114">
        <f t="shared" ref="E26:E32" ca="1" si="6">IFERROR($D26/$D$44,0)</f>
        <v>0.31</v>
      </c>
      <c r="F26" s="127">
        <f ca="1">IF($F$2="",0,SUMIFS(INDIRECT("Tab_99.Trial["&amp;TEXT($F$2,"MMMM")&amp;"]"),Tab_99.Trial[DC],$C26))</f>
        <v>0</v>
      </c>
      <c r="G26" s="114">
        <f t="shared" ref="G26:G32" ca="1" si="7">IFERROR($F26/$F$44,0)</f>
        <v>0</v>
      </c>
      <c r="H26" s="52"/>
      <c r="I26" s="63" t="s">
        <v>57</v>
      </c>
      <c r="J26" s="50" t="s">
        <v>95</v>
      </c>
      <c r="K26" s="147">
        <f ca="1">IF($F$2="",0,-SUMIFS(INDIRECT("Tab_00.Trial["&amp;TEXT($F$2,"MMMM")&amp;"]"),Tab_00.Trial[DC],$J26))</f>
        <v>0</v>
      </c>
      <c r="L26" s="148">
        <f t="shared" ref="L26:L31" ca="1" si="8">IFERROR($K26/$K$44,0)</f>
        <v>0</v>
      </c>
      <c r="M26" s="147">
        <f ca="1">IF($F$2="",0,-SUMIFS(INDIRECT("Tab_99.Trial["&amp;TEXT($F$2,"MMMM")&amp;"]"),Tab_99.Trial[DC],$J26))</f>
        <v>0</v>
      </c>
      <c r="N26" s="114">
        <f t="shared" ref="N26:N31" ca="1" si="9">IFERROR($M26/$M$44,0)</f>
        <v>0</v>
      </c>
      <c r="O26" s="58"/>
      <c r="P26" s="23"/>
      <c r="Q26" s="92" t="s">
        <v>147</v>
      </c>
      <c r="R26" s="50" t="s">
        <v>106</v>
      </c>
      <c r="S26" s="167">
        <f ca="1">IF($F$2="",0,-SUMIFS(INDIRECT("Tab_00.Trial["&amp;TEXT($F$2,"MMMM")&amp;"]"),Tab_00.Trial[DC],$R26))</f>
        <v>-802954.04</v>
      </c>
      <c r="T26" s="117">
        <f t="shared" ca="1" si="4"/>
        <v>-0.06</v>
      </c>
      <c r="U26" s="133">
        <f ca="1">IF($F$2="",0,-SUMIFS(INDIRECT("Tab_99.Trial["&amp;TEXT($F$2,"MMMM")&amp;"]"),Tab_99.Trial[DC],$R26))</f>
        <v>0</v>
      </c>
      <c r="V26" s="117">
        <f t="shared" ca="1" si="5"/>
        <v>0</v>
      </c>
      <c r="W26" s="59"/>
      <c r="Y26" s="28"/>
    </row>
    <row r="27" spans="2:25" s="27" customFormat="1" ht="13.2" customHeight="1" x14ac:dyDescent="0.3">
      <c r="B27" s="63" t="s">
        <v>90</v>
      </c>
      <c r="C27" s="50" t="s">
        <v>93</v>
      </c>
      <c r="D27" s="147">
        <f ca="1">IF($F$2="",0,SUMIFS(INDIRECT("Tab_00.Trial["&amp;TEXT($F$2,"MMMM")&amp;"]"),Tab_00.Trial[DC],$C27))</f>
        <v>256983.97</v>
      </c>
      <c r="E27" s="114">
        <f t="shared" ca="1" si="6"/>
        <v>0</v>
      </c>
      <c r="F27" s="127">
        <f ca="1">IF($F$2="",0,SUMIFS(INDIRECT("Tab_99.Trial["&amp;TEXT($F$2,"MMMM")&amp;"]"),Tab_99.Trial[DC],$C27))</f>
        <v>0</v>
      </c>
      <c r="G27" s="114">
        <f t="shared" ca="1" si="7"/>
        <v>0</v>
      </c>
      <c r="H27" s="52"/>
      <c r="I27" s="63" t="s">
        <v>58</v>
      </c>
      <c r="J27" s="50" t="s">
        <v>97</v>
      </c>
      <c r="K27" s="147">
        <f ca="1">IF($F$2="",0,-SUMIFS(INDIRECT("Tab_00.Trial["&amp;TEXT($F$2,"MMMM")&amp;"]"),Tab_00.Trial[DC],$J27))</f>
        <v>0</v>
      </c>
      <c r="L27" s="148">
        <f t="shared" ca="1" si="8"/>
        <v>0</v>
      </c>
      <c r="M27" s="147">
        <f ca="1">IF($F$2="",0,-SUMIFS(INDIRECT("Tab_99.Trial["&amp;TEXT($F$2,"MMMM")&amp;"]"),Tab_99.Trial[DC],$J27))</f>
        <v>0</v>
      </c>
      <c r="N27" s="114">
        <f t="shared" ca="1" si="9"/>
        <v>0</v>
      </c>
      <c r="O27" s="58"/>
      <c r="P27" s="23"/>
      <c r="Q27" s="92" t="s">
        <v>167</v>
      </c>
      <c r="R27" s="50" t="s">
        <v>107</v>
      </c>
      <c r="S27" s="133">
        <f ca="1">IF($F$2="",0,-SUMIFS(INDIRECT("Tab_00.Trial["&amp;TEXT($F$2,"MMMM")&amp;"]"),Tab_00.Trial[DC],$R27))</f>
        <v>0</v>
      </c>
      <c r="T27" s="117">
        <f t="shared" ca="1" si="4"/>
        <v>0</v>
      </c>
      <c r="U27" s="133">
        <f ca="1">IF($F$2="",0,-SUMIFS(INDIRECT("Tab_99.Trial["&amp;TEXT($F$2,"MMMM")&amp;"]"),Tab_99.Trial[DC],$R27))</f>
        <v>0</v>
      </c>
      <c r="V27" s="117">
        <f t="shared" ca="1" si="5"/>
        <v>0</v>
      </c>
      <c r="W27" s="59"/>
      <c r="Y27" s="28"/>
    </row>
    <row r="28" spans="2:25" s="27" customFormat="1" ht="13.2" customHeight="1" x14ac:dyDescent="0.3">
      <c r="B28" s="63" t="s">
        <v>119</v>
      </c>
      <c r="C28" s="50" t="s">
        <v>91</v>
      </c>
      <c r="D28" s="127">
        <f ca="1">IF($F$2="",0,SUMIFS(INDIRECT("Tab_00.Trial["&amp;TEXT($F$2,"MMMM")&amp;"]"),Tab_00.Trial[DC],$C28))</f>
        <v>0</v>
      </c>
      <c r="E28" s="114">
        <f t="shared" ca="1" si="6"/>
        <v>0</v>
      </c>
      <c r="F28" s="127">
        <f ca="1">IF($F$2="",0,SUMIFS(INDIRECT("Tab_99.Trial["&amp;TEXT($F$2,"MMMM")&amp;"]"),Tab_99.Trial[DC],$C28))</f>
        <v>0</v>
      </c>
      <c r="G28" s="114">
        <f t="shared" ca="1" si="7"/>
        <v>0</v>
      </c>
      <c r="H28" s="52"/>
      <c r="I28" s="63" t="s">
        <v>119</v>
      </c>
      <c r="J28" s="50" t="s">
        <v>96</v>
      </c>
      <c r="K28" s="147">
        <f ca="1">IF($F$2="",0,-SUMIFS(INDIRECT("Tab_00.Trial["&amp;TEXT($F$2,"MMMM")&amp;"]"),Tab_00.Trial[DC],$J28))</f>
        <v>0</v>
      </c>
      <c r="L28" s="148">
        <f t="shared" ca="1" si="8"/>
        <v>0</v>
      </c>
      <c r="M28" s="147">
        <f ca="1">IF($F$2="",0,-SUMIFS(INDIRECT("Tab_99.Trial["&amp;TEXT($F$2,"MMMM")&amp;"]"),Tab_99.Trial[DC],$J28))</f>
        <v>0</v>
      </c>
      <c r="N28" s="114">
        <f t="shared" ca="1" si="9"/>
        <v>0</v>
      </c>
      <c r="O28" s="52"/>
      <c r="P28" s="23"/>
      <c r="Q28" s="92" t="s">
        <v>170</v>
      </c>
      <c r="R28" s="50" t="s">
        <v>108</v>
      </c>
      <c r="S28" s="133">
        <f ca="1">IF($F$2="",0,-SUMIFS(INDIRECT("Tab_00.Trial["&amp;TEXT($F$2,"MMMM")&amp;"]"),Tab_00.Trial[DC],$R28))</f>
        <v>-16854.34</v>
      </c>
      <c r="T28" s="117">
        <f t="shared" ca="1" si="4"/>
        <v>0</v>
      </c>
      <c r="U28" s="133">
        <f ca="1">IF($F$2="",0,-SUMIFS(INDIRECT("Tab_99.Trial["&amp;TEXT($F$2,"MMMM")&amp;"]"),Tab_99.Trial[DC],$R28))</f>
        <v>0</v>
      </c>
      <c r="V28" s="117">
        <f t="shared" ca="1" si="5"/>
        <v>0</v>
      </c>
      <c r="W28" s="59"/>
      <c r="Y28" s="28"/>
    </row>
    <row r="29" spans="2:25" s="27" customFormat="1" ht="13.2" customHeight="1" x14ac:dyDescent="0.3">
      <c r="B29" s="55" t="s">
        <v>100</v>
      </c>
      <c r="C29" s="50" t="s">
        <v>117</v>
      </c>
      <c r="D29" s="127">
        <f ca="1">IF($F$2="",0,SUMIFS(INDIRECT("Tab_00.Trial["&amp;TEXT($F$2,"MMMM")&amp;"]"),Tab_00.Trial[DC],$C29))</f>
        <v>45348993.07</v>
      </c>
      <c r="E29" s="114">
        <f t="shared" ca="1" si="6"/>
        <v>0.53</v>
      </c>
      <c r="F29" s="127">
        <f ca="1">IF($F$2="",0,SUMIFS(INDIRECT("Tab_99.Trial["&amp;TEXT($F$2,"MMMM")&amp;"]"),Tab_99.Trial[DC],$C29))</f>
        <v>0</v>
      </c>
      <c r="G29" s="114">
        <f t="shared" ca="1" si="7"/>
        <v>0</v>
      </c>
      <c r="H29" s="52"/>
      <c r="I29" s="63" t="s">
        <v>120</v>
      </c>
      <c r="J29" s="50" t="s">
        <v>94</v>
      </c>
      <c r="K29" s="147">
        <f ca="1">IF($F$2="",0,-SUMIFS(INDIRECT("Tab_00.Trial["&amp;TEXT($F$2,"MMMM")&amp;"]"),Tab_00.Trial[DC],$J29))</f>
        <v>0</v>
      </c>
      <c r="L29" s="148">
        <f t="shared" ca="1" si="8"/>
        <v>0</v>
      </c>
      <c r="M29" s="147">
        <f ca="1">IF($F$2="",0,-SUMIFS(INDIRECT("Tab_99.Trial["&amp;TEXT($F$2,"MMMM")&amp;"]"),Tab_99.Trial[DC],$J29))</f>
        <v>0</v>
      </c>
      <c r="N29" s="114">
        <f t="shared" ca="1" si="9"/>
        <v>0</v>
      </c>
      <c r="O29" s="52"/>
      <c r="P29" s="23"/>
      <c r="Q29" s="92" t="s">
        <v>150</v>
      </c>
      <c r="R29" s="50" t="s">
        <v>109</v>
      </c>
      <c r="S29" s="133">
        <f ca="1">IF($F$2="",0,-SUMIFS(INDIRECT("Tab_00.Trial["&amp;TEXT($F$2,"MMMM")&amp;"]"),Tab_00.Trial[DC],$R29))</f>
        <v>-47282.239999999998</v>
      </c>
      <c r="T29" s="117">
        <f t="shared" ca="1" si="4"/>
        <v>0</v>
      </c>
      <c r="U29" s="133">
        <f ca="1">IF($F$2="",0,-SUMIFS(INDIRECT("Tab_99.Trial["&amp;TEXT($F$2,"MMMM")&amp;"]"),Tab_99.Trial[DC],$R29))</f>
        <v>0</v>
      </c>
      <c r="V29" s="117">
        <f t="shared" ca="1" si="5"/>
        <v>0</v>
      </c>
      <c r="W29" s="59"/>
      <c r="Y29" s="28"/>
    </row>
    <row r="30" spans="2:25" s="27" customFormat="1" ht="13.2" customHeight="1" x14ac:dyDescent="0.3">
      <c r="B30" s="55" t="s">
        <v>35</v>
      </c>
      <c r="C30" s="50" t="s">
        <v>118</v>
      </c>
      <c r="D30" s="127">
        <f ca="1">IF($F$2="",0,SUMIFS(INDIRECT("Tab_00.Trial["&amp;TEXT($F$2,"MMMM")&amp;"]"),Tab_00.Trial[DC],$C30))</f>
        <v>2355889.34</v>
      </c>
      <c r="E30" s="114">
        <f t="shared" ca="1" si="6"/>
        <v>0.03</v>
      </c>
      <c r="F30" s="127">
        <f ca="1">IF($F$2="",0,SUMIFS(INDIRECT("Tab_99.Trial["&amp;TEXT($F$2,"MMMM")&amp;"]"),Tab_99.Trial[DC],$C30))</f>
        <v>0</v>
      </c>
      <c r="G30" s="114">
        <f t="shared" ca="1" si="7"/>
        <v>0</v>
      </c>
      <c r="H30" s="52"/>
      <c r="I30" s="63" t="s">
        <v>89</v>
      </c>
      <c r="J30" s="50" t="s">
        <v>122</v>
      </c>
      <c r="K30" s="147">
        <f ca="1">IF($F$2="",0,-SUMIFS(INDIRECT("Tab_00.Trial["&amp;TEXT($F$2,"MMMM")&amp;"]"),Tab_00.Trial[DC],$J30))</f>
        <v>0</v>
      </c>
      <c r="L30" s="148">
        <f t="shared" ca="1" si="8"/>
        <v>0</v>
      </c>
      <c r="M30" s="147">
        <f ca="1">IF($F$2="",0,-SUMIFS(INDIRECT("Tab_99.Trial["&amp;TEXT($F$2,"MMMM")&amp;"]"),Tab_99.Trial[DC],$J30))</f>
        <v>0</v>
      </c>
      <c r="N30" s="114">
        <f t="shared" ca="1" si="9"/>
        <v>0</v>
      </c>
      <c r="O30" s="52"/>
      <c r="P30" s="23"/>
      <c r="Q30" s="92" t="s">
        <v>123</v>
      </c>
      <c r="R30" s="50" t="s">
        <v>66</v>
      </c>
      <c r="S30" s="133">
        <f ca="1">IF($F$2="",0,-SUMIFS(INDIRECT("Tab_00.Trial["&amp;TEXT($F$2,"MMMM")&amp;"]"),Tab_00.Trial[DC],$R30))</f>
        <v>-216</v>
      </c>
      <c r="T30" s="117">
        <f t="shared" ca="1" si="4"/>
        <v>0</v>
      </c>
      <c r="U30" s="133">
        <f ca="1">IF($F$2="",0,-SUMIFS(INDIRECT("Tab_99.Trial["&amp;TEXT($F$2,"MMMM")&amp;"]"),Tab_99.Trial[DC],$R30))</f>
        <v>0</v>
      </c>
      <c r="V30" s="117">
        <f t="shared" ca="1" si="5"/>
        <v>0</v>
      </c>
      <c r="W30" s="59"/>
      <c r="Y30" s="28"/>
    </row>
    <row r="31" spans="2:25" s="27" customFormat="1" ht="13.2" customHeight="1" x14ac:dyDescent="0.3">
      <c r="B31" s="55" t="s">
        <v>246</v>
      </c>
      <c r="C31" s="50" t="s">
        <v>143</v>
      </c>
      <c r="D31" s="127">
        <f ca="1">IF($F$2="",0,SUMIFS(INDIRECT("Tab_00.Trial["&amp;TEXT($F$2,"MMMM")&amp;"]"),Tab_00.Trial[DC],$C31))</f>
        <v>0</v>
      </c>
      <c r="E31" s="114">
        <f t="shared" ca="1" si="6"/>
        <v>0</v>
      </c>
      <c r="F31" s="127">
        <f ca="1">IF($F$2="",0,SUMIFS(INDIRECT("Tab_99.Trial["&amp;TEXT($F$2,"MMMM")&amp;"]"),Tab_99.Trial[DC],$C31))</f>
        <v>0</v>
      </c>
      <c r="G31" s="114">
        <f t="shared" ca="1" si="7"/>
        <v>0</v>
      </c>
      <c r="H31" s="52"/>
      <c r="I31" s="154"/>
      <c r="K31" s="150">
        <f ca="1">SUBTOTAL(9,K$25:K$30)</f>
        <v>0</v>
      </c>
      <c r="L31" s="151">
        <f t="shared" ca="1" si="8"/>
        <v>0</v>
      </c>
      <c r="M31" s="150">
        <f ca="1">SUBTOTAL(9,M$25:M$30)</f>
        <v>0</v>
      </c>
      <c r="N31" s="120">
        <f t="shared" ca="1" si="9"/>
        <v>0</v>
      </c>
      <c r="O31" s="52"/>
      <c r="P31" s="23"/>
      <c r="Q31" s="92"/>
      <c r="R31" s="50"/>
      <c r="S31" s="127"/>
      <c r="T31" s="114"/>
      <c r="U31" s="127"/>
      <c r="V31" s="114"/>
      <c r="W31" s="59"/>
      <c r="Y31" s="28"/>
    </row>
    <row r="32" spans="2:25" s="27" customFormat="1" ht="13.2" customHeight="1" x14ac:dyDescent="0.3">
      <c r="B32" s="60"/>
      <c r="D32" s="128">
        <f ca="1">SUBTOTAL(9,D$25:D$31)</f>
        <v>74145059.379999995</v>
      </c>
      <c r="E32" s="120">
        <f t="shared" ca="1" si="6"/>
        <v>0.87</v>
      </c>
      <c r="F32" s="128">
        <f ca="1">SUBTOTAL(9,F$25:F$31)</f>
        <v>0</v>
      </c>
      <c r="G32" s="120">
        <f t="shared" ca="1" si="7"/>
        <v>0</v>
      </c>
      <c r="H32" s="52"/>
      <c r="I32" s="154"/>
      <c r="K32" s="155"/>
      <c r="L32" s="121"/>
      <c r="M32" s="155"/>
      <c r="N32" s="121"/>
      <c r="O32" s="52"/>
      <c r="P32" s="23"/>
      <c r="Q32" s="93" t="s">
        <v>761</v>
      </c>
      <c r="R32" s="50"/>
      <c r="S32" s="134">
        <f ca="1">SUBTOTAL(9,S$12:S$31)</f>
        <v>-795413.68</v>
      </c>
      <c r="T32" s="115">
        <f ca="1">IFERROR($S32/$S$13,0)</f>
        <v>-0.06</v>
      </c>
      <c r="U32" s="134">
        <f ca="1">SUBTOTAL(9,U$12:U$31)</f>
        <v>0</v>
      </c>
      <c r="V32" s="115">
        <f ca="1">IFERROR($U32/$U$13,0)</f>
        <v>0</v>
      </c>
      <c r="W32" s="59"/>
      <c r="Y32" s="28"/>
    </row>
    <row r="33" spans="1:25" ht="13.2" customHeight="1" x14ac:dyDescent="0.3">
      <c r="A33" s="27"/>
      <c r="B33" s="60"/>
      <c r="C33" s="27"/>
      <c r="D33" s="130"/>
      <c r="E33" s="121"/>
      <c r="F33" s="130"/>
      <c r="G33" s="27"/>
      <c r="H33" s="52"/>
      <c r="I33" s="53" t="s">
        <v>60</v>
      </c>
      <c r="J33" s="27"/>
      <c r="K33" s="147"/>
      <c r="L33" s="121"/>
      <c r="M33" s="147"/>
      <c r="N33" s="121"/>
      <c r="O33" s="52"/>
      <c r="Q33" s="92"/>
      <c r="R33" s="50"/>
      <c r="S33" s="127"/>
      <c r="T33" s="114"/>
      <c r="U33" s="127"/>
      <c r="V33" s="114"/>
      <c r="W33" s="56"/>
    </row>
    <row r="34" spans="1:25" ht="13.2" customHeight="1" x14ac:dyDescent="0.3">
      <c r="A34" s="27"/>
      <c r="B34" s="60"/>
      <c r="C34" s="27"/>
      <c r="D34" s="130"/>
      <c r="E34" s="121"/>
      <c r="F34" s="130"/>
      <c r="G34" s="27"/>
      <c r="H34" s="27"/>
      <c r="I34" s="63" t="s">
        <v>758</v>
      </c>
      <c r="J34" s="50" t="s">
        <v>61</v>
      </c>
      <c r="K34" s="147">
        <f ca="1">IF($F$2="",0,-SUMIFS(INDIRECT("Tab_00.Trial["&amp;TEXT($F$2,"MMMM")&amp;"]"),Tab_00.Trial[DC],$J34))</f>
        <v>104784619.59999999</v>
      </c>
      <c r="L34" s="148">
        <f ca="1">IFERROR($K34/$K$44,0)</f>
        <v>1.23</v>
      </c>
      <c r="M34" s="147">
        <f ca="1">IF($F$2="",0,-SUMIFS(INDIRECT("Tab_99.Trial["&amp;TEXT($F$2,"MMMM")&amp;"]"),Tab_99.Trial[DC],$J34))</f>
        <v>0</v>
      </c>
      <c r="N34" s="114">
        <f ca="1">IFERROR($M34/$M$44,0)</f>
        <v>0</v>
      </c>
      <c r="O34" s="52"/>
      <c r="Q34" s="93" t="s">
        <v>85</v>
      </c>
      <c r="R34" s="50"/>
      <c r="S34" s="135">
        <f ca="1">SUBTOTAL(9,S$35:S$36)</f>
        <v>2635927.7599999998</v>
      </c>
      <c r="T34" s="116">
        <f ca="1">IFERROR($S34/$S$13,0)</f>
        <v>0.2</v>
      </c>
      <c r="U34" s="135">
        <f ca="1">SUBTOTAL(9,U$35:U$36)</f>
        <v>0</v>
      </c>
      <c r="V34" s="116">
        <f ca="1">IFERROR($U34/$U$13,0)</f>
        <v>0</v>
      </c>
      <c r="W34" s="59"/>
    </row>
    <row r="35" spans="1:25" ht="13.2" customHeight="1" x14ac:dyDescent="0.3">
      <c r="A35" s="27"/>
      <c r="B35" s="60"/>
      <c r="C35" s="27"/>
      <c r="D35" s="127"/>
      <c r="E35" s="114"/>
      <c r="F35" s="127"/>
      <c r="G35" s="54"/>
      <c r="H35" s="52"/>
      <c r="I35" s="63"/>
      <c r="J35" s="50"/>
      <c r="K35" s="147">
        <f ca="1">IF($F$2="",0,-SUMIFS(INDIRECT("Tab_00.Trial["&amp;TEXT($F$2,"MMMM")&amp;"]"),Tab_00.Trial[DC],$J35))</f>
        <v>0</v>
      </c>
      <c r="L35" s="148">
        <f ca="1">IFERROR($K35/$K$44,0)</f>
        <v>0</v>
      </c>
      <c r="M35" s="147">
        <f ca="1">IF($F$2="",0,-SUMIFS(INDIRECT("Tab_99.Trial["&amp;TEXT($F$2,"MMMM")&amp;"]"),Tab_99.Trial[DC],$J35))</f>
        <v>0</v>
      </c>
      <c r="N35" s="114">
        <f ca="1">IFERROR($M35/$M$44,0)</f>
        <v>0</v>
      </c>
      <c r="O35" s="52"/>
      <c r="Q35" s="92" t="s">
        <v>70</v>
      </c>
      <c r="R35" s="50" t="s">
        <v>67</v>
      </c>
      <c r="S35" s="133">
        <f ca="1">IF($F$2="",0,-SUMIFS(INDIRECT("Tab_00.Trial["&amp;TEXT($F$2,"MMMM")&amp;"]"),Tab_00.Trial[DC],$R35))</f>
        <v>-18976.77</v>
      </c>
      <c r="T35" s="114">
        <f ca="1">IFERROR($S35/$S$13,0)</f>
        <v>0</v>
      </c>
      <c r="U35" s="133">
        <f ca="1">IF($F$2="",0,-SUMIFS(INDIRECT("Tab_99.Trial["&amp;TEXT($F$2,"MMMM")&amp;"]"),Tab_99.Trial[DC],$R35))</f>
        <v>0</v>
      </c>
      <c r="V35" s="114">
        <f ca="1">IFERROR($U35/$U$13,0)</f>
        <v>0</v>
      </c>
      <c r="W35" s="56"/>
      <c r="Y35" s="144"/>
    </row>
    <row r="36" spans="1:25" ht="13.2" customHeight="1" x14ac:dyDescent="0.3">
      <c r="A36" s="27"/>
      <c r="B36" s="60"/>
      <c r="C36" s="27"/>
      <c r="D36" s="127"/>
      <c r="E36" s="114"/>
      <c r="F36" s="127"/>
      <c r="G36" s="54"/>
      <c r="H36" s="52"/>
      <c r="I36" s="63" t="s">
        <v>759</v>
      </c>
      <c r="J36" s="50" t="s">
        <v>163</v>
      </c>
      <c r="K36" s="147">
        <f ca="1">IF($F$2="",0,-SUMIFS(INDIRECT("Tab_00.Trial["&amp;TEXT($F$2,"MMMM")&amp;"]"),Tab_00.Trial[DC],$J36))</f>
        <v>-21891257.870000001</v>
      </c>
      <c r="L36" s="148">
        <f ca="1">IFERROR($K36/$K$44,0)</f>
        <v>-0.26</v>
      </c>
      <c r="M36" s="147">
        <f ca="1">IF($F$2="",0,-SUMIFS(INDIRECT("Tab_99.Trial["&amp;TEXT($F$2,"MMMM")&amp;"]"),Tab_99.Trial[DC],$J36))</f>
        <v>0</v>
      </c>
      <c r="N36" s="114">
        <f ca="1">IFERROR($M36/$M$44,0)</f>
        <v>0</v>
      </c>
      <c r="O36" s="52"/>
      <c r="Q36" s="92" t="s">
        <v>69</v>
      </c>
      <c r="R36" s="50" t="s">
        <v>71</v>
      </c>
      <c r="S36" s="133">
        <f ca="1">IF($F$2="",0,-SUMIFS(INDIRECT("Tab_00.Trial["&amp;TEXT($F$2,"MMMM")&amp;"]"),Tab_00.Trial[DC],$R36))</f>
        <v>2654904.5299999998</v>
      </c>
      <c r="T36" s="114">
        <f ca="1">IFERROR($S36/$S$13,0)</f>
        <v>0.21</v>
      </c>
      <c r="U36" s="133">
        <f ca="1">IF($F$2="",0,-SUMIFS(INDIRECT("Tab_99.Trial["&amp;TEXT($F$2,"MMMM")&amp;"]"),Tab_99.Trial[DC],$R36))</f>
        <v>0</v>
      </c>
      <c r="V36" s="114">
        <f ca="1">IFERROR($U36/$U$13,0)</f>
        <v>0</v>
      </c>
      <c r="W36" s="49"/>
    </row>
    <row r="37" spans="1:25" ht="13.2" customHeight="1" x14ac:dyDescent="0.3">
      <c r="A37" s="27"/>
      <c r="B37" s="60"/>
      <c r="C37" s="27"/>
      <c r="D37" s="127"/>
      <c r="E37" s="114"/>
      <c r="F37" s="127"/>
      <c r="G37" s="54"/>
      <c r="H37" s="52"/>
      <c r="I37" s="149" t="s">
        <v>760</v>
      </c>
      <c r="J37" s="50"/>
      <c r="K37" s="147">
        <f ca="1">$S$44</f>
        <v>1840514.08</v>
      </c>
      <c r="L37" s="148">
        <f ca="1">IFERROR($K37/$K$44,0)</f>
        <v>0.02</v>
      </c>
      <c r="M37" s="147">
        <f ca="1">$U$44</f>
        <v>0</v>
      </c>
      <c r="N37" s="114">
        <f ca="1">IFERROR($M37/$M$44,0)</f>
        <v>0</v>
      </c>
      <c r="O37" s="52"/>
      <c r="Q37" s="92"/>
      <c r="R37" s="50"/>
      <c r="S37" s="133"/>
      <c r="T37" s="114"/>
      <c r="U37" s="133"/>
      <c r="V37" s="114"/>
      <c r="W37" s="49"/>
    </row>
    <row r="38" spans="1:25" ht="13.2" customHeight="1" x14ac:dyDescent="0.3">
      <c r="A38" s="27"/>
      <c r="B38" s="60"/>
      <c r="C38" s="27"/>
      <c r="D38" s="129"/>
      <c r="E38" s="118"/>
      <c r="F38" s="129"/>
      <c r="G38" s="48"/>
      <c r="H38" s="52"/>
      <c r="I38" s="64"/>
      <c r="J38" s="27"/>
      <c r="K38" s="128">
        <f ca="1">SUBTOTAL(9,K$33:K$37)</f>
        <v>84733875.810000002</v>
      </c>
      <c r="L38" s="120">
        <f ca="1">IFERROR($K38/$K$44,0)</f>
        <v>0.99</v>
      </c>
      <c r="M38" s="128">
        <f ca="1">SUBTOTAL(9,M$33:M$37)</f>
        <v>0</v>
      </c>
      <c r="N38" s="120">
        <f ca="1">IFERROR($M38/$M$44,0)</f>
        <v>0</v>
      </c>
      <c r="O38" s="52"/>
      <c r="Q38" s="93"/>
      <c r="R38" s="50"/>
      <c r="S38" s="134">
        <f ca="1">SUBTOTAL(9,S$12:S$37)</f>
        <v>1840514.08</v>
      </c>
      <c r="T38" s="115">
        <f ca="1">IFERROR($S38/$S$13,0)</f>
        <v>0.14000000000000001</v>
      </c>
      <c r="U38" s="134">
        <f ca="1">SUBTOTAL(9,U$12:U$37)</f>
        <v>0</v>
      </c>
      <c r="V38" s="115">
        <f ca="1">IFERROR($U38/$U$13,0)</f>
        <v>0</v>
      </c>
      <c r="W38" s="59"/>
    </row>
    <row r="39" spans="1:25" ht="13.2" customHeight="1" x14ac:dyDescent="0.3">
      <c r="A39" s="27"/>
      <c r="B39" s="60"/>
      <c r="C39" s="27"/>
      <c r="D39" s="129"/>
      <c r="E39" s="118"/>
      <c r="F39" s="129"/>
      <c r="G39" s="48"/>
      <c r="H39" s="52"/>
      <c r="I39" s="64"/>
      <c r="J39" s="27"/>
      <c r="K39" s="127"/>
      <c r="L39" s="118"/>
      <c r="M39" s="127"/>
      <c r="N39" s="118"/>
      <c r="O39" s="52"/>
      <c r="Q39" s="91"/>
      <c r="R39" s="50"/>
      <c r="S39" s="129"/>
      <c r="T39" s="118"/>
      <c r="U39" s="129"/>
      <c r="V39" s="118"/>
      <c r="W39" s="56"/>
    </row>
    <row r="40" spans="1:25" ht="13.2" customHeight="1" x14ac:dyDescent="0.3">
      <c r="A40" s="27"/>
      <c r="B40" s="60"/>
      <c r="C40" s="27"/>
      <c r="D40" s="129"/>
      <c r="E40" s="118"/>
      <c r="F40" s="129"/>
      <c r="G40" s="48"/>
      <c r="H40" s="52"/>
      <c r="I40" s="64"/>
      <c r="J40" s="27"/>
      <c r="K40" s="127"/>
      <c r="L40" s="118"/>
      <c r="M40" s="127"/>
      <c r="N40" s="118"/>
      <c r="O40" s="52"/>
      <c r="Q40" s="93"/>
      <c r="R40" s="50"/>
      <c r="S40" s="174"/>
      <c r="T40" s="175"/>
      <c r="U40" s="174"/>
      <c r="V40" s="175"/>
      <c r="W40" s="59"/>
    </row>
    <row r="41" spans="1:25" ht="13.2" customHeight="1" x14ac:dyDescent="0.3">
      <c r="A41" s="27"/>
      <c r="B41" s="60"/>
      <c r="C41" s="27"/>
      <c r="D41" s="129"/>
      <c r="E41" s="118"/>
      <c r="F41" s="129"/>
      <c r="G41" s="48"/>
      <c r="H41" s="52"/>
      <c r="I41" s="64"/>
      <c r="J41" s="27"/>
      <c r="K41" s="127"/>
      <c r="L41" s="118"/>
      <c r="M41" s="127"/>
      <c r="N41" s="118"/>
      <c r="O41" s="52"/>
      <c r="Q41" s="92"/>
      <c r="R41" s="50"/>
      <c r="S41" s="133"/>
      <c r="T41" s="117"/>
      <c r="U41" s="133"/>
      <c r="V41" s="117"/>
      <c r="W41" s="56"/>
    </row>
    <row r="42" spans="1:25" ht="13.2" customHeight="1" x14ac:dyDescent="0.3">
      <c r="A42" s="27"/>
      <c r="B42" s="60"/>
      <c r="C42" s="27"/>
      <c r="D42" s="129"/>
      <c r="E42" s="118"/>
      <c r="F42" s="129"/>
      <c r="G42" s="48"/>
      <c r="H42" s="52"/>
      <c r="I42" s="64"/>
      <c r="J42" s="27"/>
      <c r="K42" s="127"/>
      <c r="L42" s="118"/>
      <c r="M42" s="127"/>
      <c r="N42" s="118"/>
      <c r="O42" s="52"/>
      <c r="Q42" s="92"/>
      <c r="R42" s="50"/>
      <c r="S42" s="133"/>
      <c r="T42" s="117"/>
      <c r="U42" s="133"/>
      <c r="V42" s="117"/>
      <c r="W42" s="49"/>
    </row>
    <row r="43" spans="1:25" ht="13.8" x14ac:dyDescent="0.3">
      <c r="A43" s="27"/>
      <c r="B43" s="60"/>
      <c r="C43" s="27"/>
      <c r="D43" s="131"/>
      <c r="E43" s="118"/>
      <c r="F43" s="131"/>
      <c r="G43" s="99"/>
      <c r="H43" s="52"/>
      <c r="I43" s="64"/>
      <c r="J43" s="27"/>
      <c r="K43" s="131"/>
      <c r="L43" s="118"/>
      <c r="M43" s="131"/>
      <c r="N43" s="118"/>
      <c r="O43" s="52"/>
      <c r="Q43" s="91"/>
      <c r="R43" s="50"/>
      <c r="S43" s="129"/>
      <c r="T43" s="118"/>
      <c r="U43" s="129"/>
      <c r="V43" s="118"/>
      <c r="W43" s="56"/>
    </row>
    <row r="44" spans="1:25" ht="20.100000000000001" customHeight="1" thickBot="1" x14ac:dyDescent="0.35">
      <c r="A44" s="27"/>
      <c r="B44" s="45" t="s">
        <v>77</v>
      </c>
      <c r="C44" s="27"/>
      <c r="D44" s="132">
        <f ca="1">SUBTOTAL(9,D$12:D$43)</f>
        <v>85383819.079999998</v>
      </c>
      <c r="E44" s="118"/>
      <c r="F44" s="132">
        <f ca="1">SUBTOTAL(9,F$12:F$43)</f>
        <v>0</v>
      </c>
      <c r="G44" s="98"/>
      <c r="H44" s="52"/>
      <c r="I44" s="65" t="s">
        <v>78</v>
      </c>
      <c r="J44" s="27"/>
      <c r="K44" s="132">
        <f ca="1">SUBTOTAL(9,K$12:K$43)</f>
        <v>85383819.079999998</v>
      </c>
      <c r="L44" s="118"/>
      <c r="M44" s="132">
        <f ca="1">SUBTOTAL(9,M$12:M$43)</f>
        <v>0</v>
      </c>
      <c r="N44" s="118"/>
      <c r="O44" s="52"/>
      <c r="Q44" s="93" t="s">
        <v>762</v>
      </c>
      <c r="R44" s="27"/>
      <c r="S44" s="136">
        <f ca="1">SUBTOTAL(9,S$12:S$43)</f>
        <v>1840514.08</v>
      </c>
      <c r="T44" s="119">
        <f ca="1">IFERROR($S44/$S$13,0)</f>
        <v>0.14000000000000001</v>
      </c>
      <c r="U44" s="136">
        <f ca="1">SUBTOTAL(9,U$12:U$43)</f>
        <v>0</v>
      </c>
      <c r="V44" s="119">
        <f ca="1">IFERROR($U44/$U$13,0)</f>
        <v>0</v>
      </c>
      <c r="W44" s="56"/>
      <c r="Y44" s="27"/>
    </row>
    <row r="45" spans="1:25" ht="13.2" customHeight="1" thickTop="1" x14ac:dyDescent="0.3">
      <c r="A45" s="27"/>
      <c r="B45" s="66"/>
      <c r="C45" s="68"/>
      <c r="D45" s="122"/>
      <c r="E45" s="122"/>
      <c r="F45" s="57"/>
      <c r="G45" s="57"/>
      <c r="H45" s="67"/>
      <c r="I45" s="68"/>
      <c r="J45" s="68"/>
      <c r="K45" s="122"/>
      <c r="L45" s="122"/>
      <c r="M45" s="69"/>
      <c r="N45" s="122"/>
      <c r="O45" s="67"/>
      <c r="Q45" s="66"/>
      <c r="R45" s="68"/>
      <c r="S45" s="122"/>
      <c r="T45" s="122"/>
      <c r="U45" s="69"/>
      <c r="V45" s="69"/>
      <c r="W45" s="67"/>
    </row>
    <row r="46" spans="1:25" ht="40.200000000000003" customHeight="1" x14ac:dyDescent="0.3">
      <c r="A46" s="27"/>
      <c r="H46" s="23"/>
      <c r="I46" s="143"/>
      <c r="O46" s="23"/>
      <c r="S46" s="143"/>
      <c r="W46" s="23"/>
      <c r="Y46" s="27"/>
    </row>
    <row r="47" spans="1:25" ht="40.200000000000003" customHeight="1" x14ac:dyDescent="0.3">
      <c r="A47" s="27"/>
      <c r="H47" s="23"/>
      <c r="I47" s="143"/>
      <c r="K47" s="185"/>
      <c r="O47" s="23"/>
      <c r="W47" s="23"/>
      <c r="Y47" s="27"/>
    </row>
    <row r="48" spans="1:25" ht="40.200000000000003" customHeight="1" x14ac:dyDescent="0.3">
      <c r="A48" s="27"/>
      <c r="H48" s="23"/>
      <c r="I48" s="143"/>
      <c r="O48" s="23"/>
      <c r="W48" s="23"/>
      <c r="Y48" s="27"/>
    </row>
    <row r="49" spans="1:25" ht="13.2" customHeight="1" x14ac:dyDescent="0.3">
      <c r="A49" s="27"/>
      <c r="H49" s="23"/>
      <c r="K49" s="47" t="s">
        <v>164</v>
      </c>
      <c r="O49" s="23"/>
      <c r="R49" s="47"/>
      <c r="S49" s="47"/>
      <c r="T49" s="47" t="s">
        <v>164</v>
      </c>
      <c r="W49" s="23"/>
    </row>
    <row r="50" spans="1:25" ht="13.2" customHeight="1" x14ac:dyDescent="0.3">
      <c r="A50" s="27"/>
      <c r="B50" s="70"/>
      <c r="C50" s="70"/>
      <c r="D50" s="70"/>
      <c r="E50" s="103"/>
      <c r="H50" s="23"/>
      <c r="K50" s="64" t="s">
        <v>165</v>
      </c>
      <c r="O50" s="23"/>
      <c r="R50" s="64"/>
      <c r="S50" s="64"/>
      <c r="T50" s="64" t="s">
        <v>165</v>
      </c>
      <c r="W50" s="23"/>
    </row>
    <row r="51" spans="1:25" ht="13.2" customHeight="1" x14ac:dyDescent="0.3">
      <c r="A51" s="27"/>
      <c r="H51" s="23"/>
      <c r="K51" s="64" t="s">
        <v>166</v>
      </c>
      <c r="O51" s="23"/>
      <c r="Q51" s="27"/>
      <c r="R51" s="64"/>
      <c r="S51" s="64"/>
      <c r="T51" s="64" t="s">
        <v>166</v>
      </c>
      <c r="W51" s="23"/>
    </row>
    <row r="52" spans="1:25" ht="13.2" customHeight="1" x14ac:dyDescent="0.3">
      <c r="A52" s="27"/>
      <c r="H52" s="23"/>
      <c r="K52" s="64"/>
      <c r="O52" s="23"/>
      <c r="Q52" s="27"/>
      <c r="R52" s="64"/>
      <c r="S52" s="64"/>
      <c r="T52" s="64"/>
      <c r="W52" s="23"/>
    </row>
    <row r="53" spans="1:25" ht="40.200000000000003" customHeight="1" x14ac:dyDescent="0.3">
      <c r="A53" s="27"/>
      <c r="H53" s="23"/>
      <c r="O53" s="23"/>
      <c r="Q53" s="145"/>
      <c r="W53" s="23"/>
      <c r="Y53" s="27"/>
    </row>
    <row r="54" spans="1:25" ht="13.2" customHeight="1" x14ac:dyDescent="0.3">
      <c r="A54" s="27"/>
      <c r="H54" s="23"/>
      <c r="K54" s="47" t="s">
        <v>171</v>
      </c>
      <c r="O54" s="23"/>
      <c r="Q54" s="27"/>
      <c r="R54" s="47"/>
      <c r="S54" s="47"/>
      <c r="T54" s="47" t="s">
        <v>171</v>
      </c>
      <c r="W54" s="23"/>
    </row>
    <row r="55" spans="1:25" ht="13.2" customHeight="1" x14ac:dyDescent="0.3">
      <c r="A55" s="27"/>
      <c r="B55" s="70"/>
      <c r="C55" s="70"/>
      <c r="D55" s="70"/>
      <c r="E55" s="103"/>
      <c r="H55" s="23"/>
      <c r="K55" s="64" t="s">
        <v>172</v>
      </c>
      <c r="O55" s="23"/>
      <c r="Q55" s="27"/>
      <c r="R55" s="64"/>
      <c r="S55" s="64"/>
      <c r="T55" s="64" t="s">
        <v>172</v>
      </c>
      <c r="W55" s="23"/>
    </row>
    <row r="56" spans="1:25" ht="13.2" customHeight="1" x14ac:dyDescent="0.3">
      <c r="A56" s="27"/>
      <c r="H56" s="23"/>
      <c r="K56" s="64" t="s">
        <v>173</v>
      </c>
      <c r="O56" s="23"/>
      <c r="Q56" s="27"/>
      <c r="R56" s="64"/>
      <c r="S56" s="64"/>
      <c r="T56" s="64" t="s">
        <v>173</v>
      </c>
      <c r="W56" s="23"/>
    </row>
    <row r="58" spans="1:25" ht="13.2" customHeight="1" x14ac:dyDescent="0.3">
      <c r="S58" s="24"/>
      <c r="T58" s="24"/>
    </row>
  </sheetData>
  <sheetProtection autoFilter="0"/>
  <phoneticPr fontId="9" type="noConversion"/>
  <conditionalFormatting sqref="Q1:Q2">
    <cfRule type="cellIs" dxfId="2" priority="1" operator="notEqual">
      <formula>""</formula>
    </cfRule>
  </conditionalFormatting>
  <dataValidations disablePrompts="1" count="1">
    <dataValidation type="list" allowBlank="1" showInputMessage="1" showErrorMessage="1" sqref="F2" xr:uid="{AF43AFB4-640B-4109-AF9B-155BFAD42D46}">
      <formula1>int_Data</formula1>
    </dataValidation>
  </dataValidations>
  <printOptions horizontalCentered="1"/>
  <pageMargins left="0.19685039370078741" right="0.19685039370078741" top="0.19685039370078741" bottom="0.19685039370078741" header="0.39370078740157483" footer="0.39370078740157483"/>
  <pageSetup paperSize="9" scale="69" orientation="landscape" r:id="rId1"/>
  <headerFooter alignWithMargins="0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0BF6F-5235-4CA6-959F-E46E60A83B2E}">
  <sheetPr codeName="Planilha19"/>
  <dimension ref="B1:O295"/>
  <sheetViews>
    <sheetView showGridLines="0" showRowColHeaders="0" zoomScale="85" zoomScaleNormal="85" workbookViewId="0">
      <pane xSplit="7" ySplit="14" topLeftCell="H15" activePane="bottomRight" state="frozen"/>
      <selection activeCell="I305" sqref="I305"/>
      <selection pane="topRight" activeCell="I305" sqref="I305"/>
      <selection pane="bottomLeft" activeCell="I305" sqref="I305"/>
      <selection pane="bottomRight" activeCell="J23" sqref="J23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SUMIFS(INDIRECT("Tab_09.Set["&amp;F$14&amp;"]"),Tab_09.Set[TP],$B2,Tab_09.Set[NV],"A")</f>
        <v>0</v>
      </c>
      <c r="G2" s="7">
        <f ca="1">SUMIFS(INDIRECT("Tab_09.Set["&amp;G$14&amp;"]"),Tab_09.Set[TP],$B2,Tab_09.Set[NV],"A")</f>
        <v>0</v>
      </c>
      <c r="H2" s="3"/>
      <c r="I2" s="3"/>
      <c r="J2" s="88" t="s">
        <v>15</v>
      </c>
      <c r="K2" s="7">
        <f ca="1">SUMIFS(INDIRECT("Tab_09.Set["&amp;K$14&amp;"]"),Tab_09.Set[TP],$B2,Tab_09.Set[S/A],"A")</f>
        <v>84897075.159999996</v>
      </c>
      <c r="L2" s="7">
        <f ca="1">SUMIFS(INDIRECT("Tab_09.Set["&amp;L$14&amp;"]"),Tab_09.Set[TP],$B2,Tab_09.Set[S/A],"A")</f>
        <v>1682554.97</v>
      </c>
      <c r="M2" s="7">
        <f ca="1">SUMIFS(INDIRECT("Tab_09.Set["&amp;M$14&amp;"]"),Tab_09.Set[TP],$B2,Tab_09.Set[S/A],"A")</f>
        <v>1631922.03</v>
      </c>
      <c r="N2" s="7">
        <f ca="1">SUMIFS(INDIRECT("Tab_09.Set["&amp;N$14&amp;"]"),Tab_09.Set[TP],$B2,Tab_09.Set[S/A],"A")</f>
        <v>84947708.099999994</v>
      </c>
      <c r="O2" s="7">
        <f ca="1">SUMIFS(INDIRECT("Tab_09.Set["&amp;O$14&amp;"]"),Tab_09.Set[TP],$B2,Tab_09.Set[S/A],"A")</f>
        <v>50632.94</v>
      </c>
    </row>
    <row r="3" spans="2:15" outlineLevel="1" x14ac:dyDescent="0.3">
      <c r="B3" s="2" t="s">
        <v>116</v>
      </c>
      <c r="F3" s="7">
        <f ca="1">SUMIFS(INDIRECT("Tab_09.Set["&amp;F$14&amp;"]"),Tab_09.Set[TP],$B3,Tab_09.Set[NV],"A")</f>
        <v>0</v>
      </c>
      <c r="G3" s="7">
        <f ca="1">SUMIFS(INDIRECT("Tab_09.Set["&amp;G$14&amp;"]"),Tab_09.Set[TP],$B3,Tab_09.Set[NV],"A")</f>
        <v>0</v>
      </c>
      <c r="H3" s="3"/>
      <c r="I3" s="3"/>
      <c r="J3" s="88" t="s">
        <v>110</v>
      </c>
      <c r="K3" s="7">
        <f ca="1">SUMIFS(INDIRECT("Tab_09.Set["&amp;K$14&amp;"]"),Tab_09.Set[TP],$B3,Tab_09.Set[S/A],"A")</f>
        <v>-83407593.780000001</v>
      </c>
      <c r="L3" s="7">
        <f ca="1">SUMIFS(INDIRECT("Tab_09.Set["&amp;L$14&amp;"]"),Tab_09.Set[TP],$B3,Tab_09.Set[S/A],"A")</f>
        <v>649591.49</v>
      </c>
      <c r="M3" s="7">
        <f ca="1">SUMIFS(INDIRECT("Tab_09.Set["&amp;M$14&amp;"]"),Tab_09.Set[TP],$B3,Tab_09.Set[S/A],"A")</f>
        <v>586886.37</v>
      </c>
      <c r="N3" s="7">
        <f ca="1">SUMIFS(INDIRECT("Tab_09.Set["&amp;N$14&amp;"]"),Tab_09.Set[TP],$B3,Tab_09.Set[S/A],"A")</f>
        <v>-83344888.659999996</v>
      </c>
      <c r="O3" s="7">
        <f ca="1">SUMIFS(INDIRECT("Tab_09.Set["&amp;O$14&amp;"]"),Tab_09.Set[TP],$B3,Tab_09.Set[S/A],"A")</f>
        <v>62705.120000000003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1489481.38</v>
      </c>
      <c r="L4" s="8">
        <f t="shared" ca="1" si="0"/>
        <v>2332146.46</v>
      </c>
      <c r="M4" s="8">
        <f t="shared" ca="1" si="0"/>
        <v>2218808.4</v>
      </c>
      <c r="N4" s="8">
        <f ca="1">SUM(N$2:N$3)</f>
        <v>1602819.44</v>
      </c>
      <c r="O4" s="8">
        <f t="shared" ca="1" si="0"/>
        <v>113338.06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SUMIFS(INDIRECT("Tab_09.Set["&amp;F$14&amp;"]"),Tab_09.Set[TP],$B6,Tab_09.Set[NV],"A")</f>
        <v>0</v>
      </c>
      <c r="G6" s="7">
        <f ca="1">SUMIFS(INDIRECT("Tab_09.Set["&amp;G$14&amp;"]"),Tab_09.Set[TP],$B6,Tab_09.Set[NV],"A")</f>
        <v>0</v>
      </c>
      <c r="H6" s="3"/>
      <c r="I6" s="3"/>
      <c r="J6" s="88" t="s">
        <v>18</v>
      </c>
      <c r="K6" s="7">
        <f ca="1">SUMIFS(INDIRECT("Tab_09.Set["&amp;K$14&amp;"]"),Tab_09.Set[TP],$B6,Tab_09.Set[S/A],"A")</f>
        <v>-10353839.51</v>
      </c>
      <c r="L6" s="7">
        <f ca="1">SUMIFS(INDIRECT("Tab_09.Set["&amp;L$14&amp;"]"),Tab_09.Set[TP],$B6,Tab_09.Set[S/A],"A")</f>
        <v>12078.33</v>
      </c>
      <c r="M6" s="7">
        <f ca="1">SUMIFS(INDIRECT("Tab_09.Set["&amp;M$14&amp;"]"),Tab_09.Set[TP],$B6,Tab_09.Set[S/A],"A")</f>
        <v>1122751.52</v>
      </c>
      <c r="N6" s="7">
        <f ca="1">SUMIFS(INDIRECT("Tab_09.Set["&amp;N$14&amp;"]"),Tab_09.Set[TP],$B6,Tab_09.Set[S/A],"A")</f>
        <v>-11464512.699999999</v>
      </c>
      <c r="O6" s="7">
        <f ca="1">SUMIFS(INDIRECT("Tab_09.Set["&amp;O$14&amp;"]"),Tab_09.Set[TP],$B6,Tab_09.Set[S/A],"A")</f>
        <v>-1110673.19</v>
      </c>
    </row>
    <row r="7" spans="2:15" outlineLevel="1" x14ac:dyDescent="0.3">
      <c r="B7" s="2" t="s">
        <v>20</v>
      </c>
      <c r="F7" s="7">
        <f ca="1">SUMIFS(INDIRECT("Tab_09.Set["&amp;F$14&amp;"]"),Tab_09.Set[TP],$B7,Tab_09.Set[NV],"A")</f>
        <v>0</v>
      </c>
      <c r="G7" s="7">
        <f ca="1">SUMIFS(INDIRECT("Tab_09.Set["&amp;G$14&amp;"]"),Tab_09.Set[TP],$B7,Tab_09.Set[NV],"A")</f>
        <v>0</v>
      </c>
      <c r="H7" s="3"/>
      <c r="I7" s="3"/>
      <c r="J7" s="88" t="s">
        <v>111</v>
      </c>
      <c r="K7" s="7">
        <f ca="1">SUMIFS(INDIRECT("Tab_09.Set["&amp;K$14&amp;"]"),Tab_09.Set[TP],$B7,Tab_09.Set[S/A],"A")</f>
        <v>8864358.1300000008</v>
      </c>
      <c r="L7" s="7">
        <f ca="1">SUMIFS(INDIRECT("Tab_09.Set["&amp;L$14&amp;"]"),Tab_09.Set[TP],$B7,Tab_09.Set[S/A],"A")</f>
        <v>1036490.64</v>
      </c>
      <c r="M7" s="7">
        <f ca="1">SUMIFS(INDIRECT("Tab_09.Set["&amp;M$14&amp;"]"),Tab_09.Set[TP],$B7,Tab_09.Set[S/A],"A")</f>
        <v>39155.51</v>
      </c>
      <c r="N7" s="7">
        <f ca="1">SUMIFS(INDIRECT("Tab_09.Set["&amp;N$14&amp;"]"),Tab_09.Set[TP],$B7,Tab_09.Set[S/A],"A")</f>
        <v>9861693.2599999998</v>
      </c>
      <c r="O7" s="7">
        <f ca="1">SUMIFS(INDIRECT("Tab_09.Set["&amp;O$14&amp;"]"),Tab_09.Set[TP],$B7,Tab_09.Set[S/A],"A")</f>
        <v>997335.13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-1489481.38</v>
      </c>
      <c r="L8" s="8">
        <f ca="1">SUM(L$6:L$7)</f>
        <v>1048568.97</v>
      </c>
      <c r="M8" s="8">
        <f ca="1">SUM(M$6:M$7)</f>
        <v>1161907.03</v>
      </c>
      <c r="N8" s="8">
        <f ca="1">SUM(N$6:N$7)</f>
        <v>-1602819.44</v>
      </c>
      <c r="O8" s="8">
        <f ca="1">SUM(O$6:O$7)</f>
        <v>-113338.06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3380715.43</v>
      </c>
      <c r="M10" s="11">
        <f t="shared" ca="1" si="1"/>
        <v>3380715.43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SUBTOTAL(9,Tab_09.Set[SALDO FINAL
ANTERIOR])</f>
        <v>0</v>
      </c>
      <c r="G12" s="7">
        <f>SUBTOTAL(9,Tab_09.Set[DIFERENÇA])</f>
        <v>0</v>
      </c>
      <c r="H12" s="3"/>
      <c r="I12" s="3"/>
      <c r="J12" s="3"/>
      <c r="K12" s="7">
        <f>SUBTOTAL(9,Tab_09.Set[SALDO
ANTERIOR])</f>
        <v>0</v>
      </c>
      <c r="L12" s="7">
        <f>SUBTOTAL(9,Tab_09.Set[DÉBITO])</f>
        <v>16903577.149999999</v>
      </c>
      <c r="M12" s="7">
        <f>SUBTOTAL(9,Tab_09.Set[CRÉDITO])</f>
        <v>16903577.149999999</v>
      </c>
      <c r="N12" s="7">
        <f>SUBTOTAL(9,Tab_09.Set[SALDO
ATUAL])</f>
        <v>0</v>
      </c>
      <c r="O12" s="7">
        <f>SUBTOTAL(9,Tab_09.Set[MOVIMENTO])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SUMIFS(Tab_08.Ago[SALDO
ATUAL],Tab_08.Ago[CONTA],$I15)</f>
        <v>84501333.019999996</v>
      </c>
      <c r="G15" s="4">
        <f>$F15-$K15</f>
        <v>-395742.14</v>
      </c>
      <c r="H15" s="3"/>
      <c r="I15" s="3">
        <v>1</v>
      </c>
      <c r="J15" s="3" t="s">
        <v>637</v>
      </c>
      <c r="K15" s="173">
        <v>84897075.159999996</v>
      </c>
      <c r="L15" s="173">
        <v>1682554.97</v>
      </c>
      <c r="M15" s="173">
        <v>1631922.03</v>
      </c>
      <c r="N15" s="173">
        <v>84947708.099999994</v>
      </c>
      <c r="O15" s="4">
        <f t="shared" ref="O15:O17" si="2">$L15-$M15</f>
        <v>50632.94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SUMIFS(Tab_08.Ago[SALDO
ATUAL],Tab_08.Ago[CONTA],$I16)</f>
        <v>10902560.52</v>
      </c>
      <c r="G16" s="4">
        <f>$F16-$K16</f>
        <v>-117133.89</v>
      </c>
      <c r="H16" s="3"/>
      <c r="I16" s="3" t="s">
        <v>197</v>
      </c>
      <c r="J16" s="3" t="s">
        <v>247</v>
      </c>
      <c r="K16" s="173">
        <v>11019694.41</v>
      </c>
      <c r="L16" s="173">
        <v>1620274.45</v>
      </c>
      <c r="M16" s="173">
        <v>1625655.28</v>
      </c>
      <c r="N16" s="173">
        <v>11014313.58</v>
      </c>
      <c r="O16" s="4">
        <f t="shared" si="2"/>
        <v>-5380.83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SUMIFS(Tab_08.Ago[SALDO
ATUAL],Tab_08.Ago[CONTA],$I17)</f>
        <v>10708727.35</v>
      </c>
      <c r="G17" s="4">
        <f>$F17-$K17</f>
        <v>-91239.55</v>
      </c>
      <c r="H17" s="3"/>
      <c r="I17" s="3" t="s">
        <v>199</v>
      </c>
      <c r="J17" s="3" t="s">
        <v>638</v>
      </c>
      <c r="K17" s="173">
        <v>10799966.9</v>
      </c>
      <c r="L17" s="173">
        <v>1609977.6</v>
      </c>
      <c r="M17" s="173">
        <v>1577184.33</v>
      </c>
      <c r="N17" s="173">
        <v>10832760.17</v>
      </c>
      <c r="O17" s="4">
        <f t="shared" si="2"/>
        <v>32793.269999999997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SUMIFS(Tab_08.Ago[SALDO
ATUAL],Tab_08.Ago[CONTA],$I18)</f>
        <v>1243.94</v>
      </c>
      <c r="G18" s="4">
        <f t="shared" ref="G18:G49" si="3">$F18-$K18</f>
        <v>-685.03</v>
      </c>
      <c r="I18" s="3" t="s">
        <v>201</v>
      </c>
      <c r="J18" s="3" t="s">
        <v>639</v>
      </c>
      <c r="K18" s="173">
        <v>1928.97</v>
      </c>
      <c r="L18" s="173">
        <v>0</v>
      </c>
      <c r="M18" s="173">
        <v>600.34</v>
      </c>
      <c r="N18" s="173">
        <v>1328.63</v>
      </c>
      <c r="O18" s="4">
        <f t="shared" ref="O18:O49" si="4">$L18-$M18</f>
        <v>-600.34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SUMIFS(Tab_08.Ago[SALDO
ATUAL],Tab_08.Ago[CONTA],$I19)</f>
        <v>1243.94</v>
      </c>
      <c r="G19" s="4">
        <f t="shared" si="3"/>
        <v>-685.03</v>
      </c>
      <c r="I19" s="3" t="s">
        <v>176</v>
      </c>
      <c r="J19" s="3" t="s">
        <v>274</v>
      </c>
      <c r="K19" s="1">
        <v>1928.97</v>
      </c>
      <c r="L19" s="173">
        <v>0</v>
      </c>
      <c r="M19" s="173">
        <v>600.34</v>
      </c>
      <c r="N19" s="1">
        <v>1328.63</v>
      </c>
      <c r="O19" s="4">
        <f t="shared" si="4"/>
        <v>-600.34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SUMIFS(Tab_08.Ago[SALDO
ATUAL],Tab_08.Ago[CONTA],$I20)</f>
        <v>22507.02</v>
      </c>
      <c r="G20" s="4">
        <f t="shared" si="3"/>
        <v>-15941.59</v>
      </c>
      <c r="I20" s="3" t="s">
        <v>202</v>
      </c>
      <c r="J20" s="3" t="s">
        <v>640</v>
      </c>
      <c r="K20" s="173">
        <v>38448.61</v>
      </c>
      <c r="L20" s="1">
        <v>1071425.67</v>
      </c>
      <c r="M20" s="1">
        <v>1063241.51</v>
      </c>
      <c r="N20" s="173">
        <v>46632.77</v>
      </c>
      <c r="O20" s="4">
        <f t="shared" si="4"/>
        <v>8184.16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SUMIFS(Tab_08.Ago[SALDO
ATUAL],Tab_08.Ago[CONTA],$I21)</f>
        <v>1.01</v>
      </c>
      <c r="G21" s="4">
        <f t="shared" si="3"/>
        <v>-0.01</v>
      </c>
      <c r="I21" s="3" t="s">
        <v>277</v>
      </c>
      <c r="J21" s="3" t="s">
        <v>278</v>
      </c>
      <c r="K21" s="173">
        <v>1.02</v>
      </c>
      <c r="L21" s="173">
        <v>1025745.4</v>
      </c>
      <c r="M21" s="173">
        <v>1025745.4</v>
      </c>
      <c r="N21" s="173">
        <v>1.02</v>
      </c>
      <c r="O21" s="4">
        <f t="shared" si="4"/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SUMIFS(Tab_08.Ago[SALDO
ATUAL],Tab_08.Ago[CONTA],$I22)</f>
        <v>18084.73</v>
      </c>
      <c r="G22" s="4">
        <f t="shared" si="3"/>
        <v>-16063</v>
      </c>
      <c r="I22" s="3" t="s">
        <v>177</v>
      </c>
      <c r="J22" s="3" t="s">
        <v>279</v>
      </c>
      <c r="K22" s="1">
        <v>34147.730000000003</v>
      </c>
      <c r="L22" s="173">
        <v>40680.269999999997</v>
      </c>
      <c r="M22" s="173">
        <v>37375.11</v>
      </c>
      <c r="N22" s="1">
        <v>37452.89</v>
      </c>
      <c r="O22" s="4">
        <f t="shared" si="4"/>
        <v>3305.16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SUMIFS(Tab_08.Ago[SALDO
ATUAL],Tab_08.Ago[CONTA],$I23)</f>
        <v>4421.28</v>
      </c>
      <c r="G23" s="4">
        <f t="shared" si="3"/>
        <v>121.42</v>
      </c>
      <c r="I23" s="3" t="s">
        <v>280</v>
      </c>
      <c r="J23" s="3" t="s">
        <v>281</v>
      </c>
      <c r="K23" s="173">
        <v>4299.8599999999997</v>
      </c>
      <c r="L23" s="173">
        <v>5000</v>
      </c>
      <c r="M23" s="173">
        <v>121</v>
      </c>
      <c r="N23" s="173">
        <v>9178.86</v>
      </c>
      <c r="O23" s="4">
        <f t="shared" si="4"/>
        <v>4879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SUMIFS(Tab_08.Ago[SALDO
ATUAL],Tab_08.Ago[CONTA],$I24)</f>
        <v>10684976.390000001</v>
      </c>
      <c r="G24" s="4">
        <f t="shared" si="3"/>
        <v>-74612.929999999993</v>
      </c>
      <c r="I24" s="3" t="s">
        <v>203</v>
      </c>
      <c r="J24" s="3" t="s">
        <v>641</v>
      </c>
      <c r="K24" s="173">
        <v>10759589.32</v>
      </c>
      <c r="L24" s="1">
        <v>538551.93000000005</v>
      </c>
      <c r="M24" s="1">
        <v>513342.48</v>
      </c>
      <c r="N24" s="173">
        <v>10784798.77</v>
      </c>
      <c r="O24" s="4">
        <f t="shared" si="4"/>
        <v>25209.45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SUMIFS(Tab_08.Ago[SALDO
ATUAL],Tab_08.Ago[CONTA],$I25)</f>
        <v>4933795.4400000004</v>
      </c>
      <c r="G25" s="4">
        <f t="shared" si="3"/>
        <v>-25174.29</v>
      </c>
      <c r="I25" s="3" t="s">
        <v>178</v>
      </c>
      <c r="J25" s="3" t="s">
        <v>284</v>
      </c>
      <c r="K25" s="173">
        <v>4958969.7300000004</v>
      </c>
      <c r="L25" s="1">
        <v>490869.01</v>
      </c>
      <c r="M25" s="1">
        <v>513342.48</v>
      </c>
      <c r="N25" s="173">
        <v>4936496.26</v>
      </c>
      <c r="O25" s="4">
        <f t="shared" si="4"/>
        <v>-22473.47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SUMIFS(Tab_08.Ago[SALDO
ATUAL],Tab_08.Ago[CONTA],$I26)</f>
        <v>5751180.9500000002</v>
      </c>
      <c r="G26" s="4">
        <f t="shared" si="3"/>
        <v>-49438.64</v>
      </c>
      <c r="I26" s="3" t="s">
        <v>287</v>
      </c>
      <c r="J26" s="3" t="s">
        <v>288</v>
      </c>
      <c r="K26" s="173">
        <v>5800619.5899999999</v>
      </c>
      <c r="L26" s="173">
        <v>47682.92</v>
      </c>
      <c r="M26" s="173">
        <v>0</v>
      </c>
      <c r="N26" s="173">
        <v>5848302.5099999998</v>
      </c>
      <c r="O26" s="4">
        <f t="shared" si="4"/>
        <v>47682.92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SUMIFS(Tab_08.Ago[SALDO
ATUAL],Tab_08.Ago[CONTA],$I27)</f>
        <v>99274.97</v>
      </c>
      <c r="G27" s="4">
        <f t="shared" si="3"/>
        <v>0</v>
      </c>
      <c r="I27" s="3" t="s">
        <v>204</v>
      </c>
      <c r="J27" s="3" t="s">
        <v>642</v>
      </c>
      <c r="K27" s="173">
        <v>99274.97</v>
      </c>
      <c r="L27" s="173">
        <v>5000</v>
      </c>
      <c r="M27" s="173">
        <v>5000</v>
      </c>
      <c r="N27" s="173">
        <v>99274.97</v>
      </c>
      <c r="O27" s="4">
        <f t="shared" si="4"/>
        <v>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SUMIFS(Tab_08.Ago[SALDO
ATUAL],Tab_08.Ago[CONTA],$I28)</f>
        <v>99274.97</v>
      </c>
      <c r="G28" s="4">
        <f t="shared" si="3"/>
        <v>0</v>
      </c>
      <c r="I28" s="3" t="s">
        <v>205</v>
      </c>
      <c r="J28" s="3" t="s">
        <v>643</v>
      </c>
      <c r="K28" s="173">
        <v>99274.97</v>
      </c>
      <c r="L28" s="173">
        <v>5000</v>
      </c>
      <c r="M28" s="1">
        <v>5000</v>
      </c>
      <c r="N28" s="173">
        <v>99274.97</v>
      </c>
      <c r="O28" s="4">
        <f t="shared" si="4"/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SUMIFS(Tab_08.Ago[SALDO
ATUAL],Tab_08.Ago[CONTA],$I29)</f>
        <v>99274.97</v>
      </c>
      <c r="G29" s="4">
        <f t="shared" si="3"/>
        <v>0</v>
      </c>
      <c r="I29" s="3" t="s">
        <v>291</v>
      </c>
      <c r="J29" s="3" t="s">
        <v>292</v>
      </c>
      <c r="K29" s="173">
        <v>99274.97</v>
      </c>
      <c r="L29" s="1">
        <v>5000</v>
      </c>
      <c r="M29" s="1">
        <v>5000</v>
      </c>
      <c r="N29" s="173">
        <v>99274.97</v>
      </c>
      <c r="O29" s="4">
        <f t="shared" si="4"/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SUMIFS(Tab_08.Ago[SALDO
ATUAL],Tab_08.Ago[CONTA],$I30)</f>
        <v>15213.77</v>
      </c>
      <c r="G30" s="4">
        <f t="shared" si="3"/>
        <v>-26108.09</v>
      </c>
      <c r="I30" s="3" t="s">
        <v>206</v>
      </c>
      <c r="J30" s="3" t="s">
        <v>644</v>
      </c>
      <c r="K30" s="173">
        <v>41321.86</v>
      </c>
      <c r="L30" s="1">
        <v>5296.85</v>
      </c>
      <c r="M30" s="1">
        <v>38205.65</v>
      </c>
      <c r="N30" s="173">
        <v>8413.06</v>
      </c>
      <c r="O30" s="4">
        <f t="shared" si="4"/>
        <v>-32908.800000000003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SUMIFS(Tab_08.Ago[SALDO
ATUAL],Tab_08.Ago[CONTA],$I31)</f>
        <v>0</v>
      </c>
      <c r="G31" s="4">
        <f t="shared" si="3"/>
        <v>-26127.32</v>
      </c>
      <c r="I31" s="3" t="s">
        <v>208</v>
      </c>
      <c r="J31" s="3" t="s">
        <v>139</v>
      </c>
      <c r="K31" s="173">
        <v>26127.32</v>
      </c>
      <c r="L31" s="1">
        <v>306.7</v>
      </c>
      <c r="M31" s="1">
        <v>26127.32</v>
      </c>
      <c r="N31" s="173">
        <v>306.7</v>
      </c>
      <c r="O31" s="4">
        <f t="shared" si="4"/>
        <v>-25820.62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SUMIFS(Tab_08.Ago[SALDO
ATUAL],Tab_08.Ago[CONTA],$I32)</f>
        <v>0</v>
      </c>
      <c r="G32" s="4">
        <f t="shared" si="3"/>
        <v>-26127.32</v>
      </c>
      <c r="I32" s="3" t="s">
        <v>294</v>
      </c>
      <c r="J32" s="3" t="s">
        <v>295</v>
      </c>
      <c r="K32" s="173">
        <v>26127.32</v>
      </c>
      <c r="L32" s="1">
        <v>306.7</v>
      </c>
      <c r="M32" s="1">
        <v>26127.32</v>
      </c>
      <c r="N32" s="173">
        <v>306.7</v>
      </c>
      <c r="O32" s="4">
        <f t="shared" si="4"/>
        <v>-25820.62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SUMIFS(Tab_08.Ago[SALDO
ATUAL],Tab_08.Ago[CONTA],$I33)</f>
        <v>15213.77</v>
      </c>
      <c r="G33" s="4">
        <f t="shared" si="3"/>
        <v>19.23</v>
      </c>
      <c r="I33" s="3" t="s">
        <v>551</v>
      </c>
      <c r="J33" s="3" t="s">
        <v>645</v>
      </c>
      <c r="K33" s="173">
        <v>15194.54</v>
      </c>
      <c r="L33" s="1">
        <v>4990.1499999999996</v>
      </c>
      <c r="M33" s="1">
        <v>12078.33</v>
      </c>
      <c r="N33" s="173">
        <v>8106.36</v>
      </c>
      <c r="O33" s="4">
        <f t="shared" si="4"/>
        <v>-7088.18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SUMIFS(Tab_08.Ago[SALDO
ATUAL],Tab_08.Ago[CONTA],$I34)</f>
        <v>15213.77</v>
      </c>
      <c r="G34" s="4">
        <f t="shared" si="3"/>
        <v>19.23</v>
      </c>
      <c r="I34" s="3" t="s">
        <v>837</v>
      </c>
      <c r="J34" s="3" t="s">
        <v>838</v>
      </c>
      <c r="K34" s="173">
        <v>15194.54</v>
      </c>
      <c r="L34" s="1">
        <v>4990.1499999999996</v>
      </c>
      <c r="M34" s="1">
        <v>12078.33</v>
      </c>
      <c r="N34" s="173">
        <v>8106.36</v>
      </c>
      <c r="O34" s="4">
        <f t="shared" si="4"/>
        <v>-7088.18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S</v>
      </c>
      <c r="E35" s="2">
        <f>IF($I35="","",COUNTIFS(Tab_00.Trial[CONTA],$I35))</f>
        <v>1</v>
      </c>
      <c r="F35" s="4">
        <f>SUMIFS(Tab_08.Ago[SALDO
ATUAL],Tab_08.Ago[CONTA],$I35)</f>
        <v>78781.539999999994</v>
      </c>
      <c r="G35" s="4">
        <f t="shared" si="3"/>
        <v>-73.989999999999995</v>
      </c>
      <c r="I35" s="3" t="s">
        <v>846</v>
      </c>
      <c r="J35" s="3" t="s">
        <v>847</v>
      </c>
      <c r="K35" s="173">
        <v>78855.53</v>
      </c>
      <c r="L35" s="1">
        <v>0</v>
      </c>
      <c r="M35" s="1">
        <v>4990.1499999999996</v>
      </c>
      <c r="N35" s="173">
        <v>73865.38</v>
      </c>
      <c r="O35" s="4">
        <f t="shared" si="4"/>
        <v>-4990.1499999999996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SUMIFS(Tab_08.Ago[SALDO
ATUAL],Tab_08.Ago[CONTA],$I36)</f>
        <v>78781.539999999994</v>
      </c>
      <c r="G36" s="4">
        <f t="shared" si="3"/>
        <v>-73.989999999999995</v>
      </c>
      <c r="I36" s="3" t="s">
        <v>848</v>
      </c>
      <c r="J36" s="3" t="s">
        <v>849</v>
      </c>
      <c r="K36" s="173">
        <v>78855.53</v>
      </c>
      <c r="L36" s="1">
        <v>0</v>
      </c>
      <c r="M36" s="1">
        <v>4990.1499999999996</v>
      </c>
      <c r="N36" s="173">
        <v>73865.38</v>
      </c>
      <c r="O36" s="4">
        <f t="shared" si="4"/>
        <v>-4990.1499999999996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SUMIFS(Tab_08.Ago[SALDO
ATUAL],Tab_08.Ago[CONTA],$I37)</f>
        <v>78781.539999999994</v>
      </c>
      <c r="G37" s="4">
        <f t="shared" si="3"/>
        <v>-73.989999999999995</v>
      </c>
      <c r="I37" s="3" t="s">
        <v>850</v>
      </c>
      <c r="J37" s="3" t="s">
        <v>849</v>
      </c>
      <c r="K37" s="1">
        <v>78855.53</v>
      </c>
      <c r="L37" s="1">
        <v>0</v>
      </c>
      <c r="M37" s="1">
        <v>4990.1499999999996</v>
      </c>
      <c r="N37" s="1">
        <v>73865.38</v>
      </c>
      <c r="O37" s="4">
        <f t="shared" si="4"/>
        <v>-4990.1499999999996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SUMIFS(Tab_08.Ago[SALDO
ATUAL],Tab_08.Ago[CONTA],$I38)</f>
        <v>562.89</v>
      </c>
      <c r="G38" s="4">
        <f t="shared" si="3"/>
        <v>287.74</v>
      </c>
      <c r="I38" s="3" t="s">
        <v>209</v>
      </c>
      <c r="J38" s="3" t="s">
        <v>646</v>
      </c>
      <c r="K38" s="1">
        <v>275.14999999999998</v>
      </c>
      <c r="L38" s="1">
        <v>0</v>
      </c>
      <c r="M38" s="1">
        <v>275.14999999999998</v>
      </c>
      <c r="N38" s="1">
        <v>0</v>
      </c>
      <c r="O38" s="4">
        <f t="shared" si="4"/>
        <v>-275.14999999999998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S</v>
      </c>
      <c r="E39" s="2">
        <f>IF($I39="","",COUNTIFS(Tab_00.Trial[CONTA],$I39))</f>
        <v>1</v>
      </c>
      <c r="F39" s="4">
        <f>SUMIFS(Tab_08.Ago[SALDO
ATUAL],Tab_08.Ago[CONTA],$I39)</f>
        <v>562.89</v>
      </c>
      <c r="G39" s="4">
        <f t="shared" si="3"/>
        <v>287.74</v>
      </c>
      <c r="I39" s="3" t="s">
        <v>210</v>
      </c>
      <c r="J39" s="3" t="s">
        <v>646</v>
      </c>
      <c r="K39" s="1">
        <v>275.14999999999998</v>
      </c>
      <c r="L39" s="1">
        <v>0</v>
      </c>
      <c r="M39" s="1">
        <v>275.14999999999998</v>
      </c>
      <c r="N39" s="1">
        <v>0</v>
      </c>
      <c r="O39" s="4">
        <f t="shared" si="4"/>
        <v>-275.14999999999998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A</v>
      </c>
      <c r="E40" s="2">
        <f>IF($I40="","",COUNTIFS(Tab_00.Trial[CONTA],$I40))</f>
        <v>1</v>
      </c>
      <c r="F40" s="4">
        <f>SUMIFS(Tab_08.Ago[SALDO
ATUAL],Tab_08.Ago[CONTA],$I40)</f>
        <v>562.89</v>
      </c>
      <c r="G40" s="4">
        <f t="shared" si="3"/>
        <v>287.74</v>
      </c>
      <c r="I40" s="3" t="s">
        <v>298</v>
      </c>
      <c r="J40" s="3" t="s">
        <v>299</v>
      </c>
      <c r="K40" s="173">
        <v>275.14999999999998</v>
      </c>
      <c r="L40" s="173">
        <v>0</v>
      </c>
      <c r="M40" s="173">
        <v>275.14999999999998</v>
      </c>
      <c r="N40" s="173">
        <v>0</v>
      </c>
      <c r="O40" s="4">
        <f t="shared" si="4"/>
        <v>-275.14999999999998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2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SUMIFS(Tab_08.Ago[SALDO
ATUAL],Tab_08.Ago[CONTA],$I41)</f>
        <v>73598772.5</v>
      </c>
      <c r="G41" s="4">
        <f t="shared" si="3"/>
        <v>-278608.25</v>
      </c>
      <c r="I41" s="3" t="s">
        <v>211</v>
      </c>
      <c r="J41" s="3" t="s">
        <v>76</v>
      </c>
      <c r="K41" s="173">
        <v>73877380.75</v>
      </c>
      <c r="L41" s="1">
        <v>62280.52</v>
      </c>
      <c r="M41" s="1">
        <v>6266.75</v>
      </c>
      <c r="N41" s="173">
        <v>73933394.519999996</v>
      </c>
      <c r="O41" s="4">
        <f t="shared" si="4"/>
        <v>56013.77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SUMIFS(Tab_08.Ago[SALDO
ATUAL],Tab_08.Ago[CONTA],$I42)</f>
        <v>255285.62</v>
      </c>
      <c r="G42" s="4">
        <f t="shared" si="3"/>
        <v>-283</v>
      </c>
      <c r="I42" s="3" t="s">
        <v>552</v>
      </c>
      <c r="J42" s="3" t="s">
        <v>647</v>
      </c>
      <c r="K42" s="173">
        <v>255568.62</v>
      </c>
      <c r="L42" s="1">
        <v>286.52</v>
      </c>
      <c r="M42" s="1">
        <v>0</v>
      </c>
      <c r="N42" s="173">
        <v>255855.14</v>
      </c>
      <c r="O42" s="4">
        <f t="shared" si="4"/>
        <v>286.52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SUMIFS(Tab_08.Ago[SALDO
ATUAL],Tab_08.Ago[CONTA],$I43)</f>
        <v>255285.62</v>
      </c>
      <c r="G43" s="4">
        <f t="shared" si="3"/>
        <v>-283</v>
      </c>
      <c r="I43" s="3" t="s">
        <v>553</v>
      </c>
      <c r="J43" s="3" t="s">
        <v>301</v>
      </c>
      <c r="K43" s="173">
        <v>255568.62</v>
      </c>
      <c r="L43" s="1">
        <v>286.52</v>
      </c>
      <c r="M43" s="1">
        <v>0</v>
      </c>
      <c r="N43" s="173">
        <v>255855.14</v>
      </c>
      <c r="O43" s="4">
        <f t="shared" si="4"/>
        <v>286.52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SUMIFS(Tab_08.Ago[SALDO
ATUAL],Tab_08.Ago[CONTA],$I44)</f>
        <v>255285.62</v>
      </c>
      <c r="G44" s="4">
        <f t="shared" si="3"/>
        <v>-283</v>
      </c>
      <c r="I44" s="3" t="s">
        <v>300</v>
      </c>
      <c r="J44" s="3" t="s">
        <v>301</v>
      </c>
      <c r="K44" s="173">
        <v>255568.62</v>
      </c>
      <c r="L44" s="173">
        <v>286.52</v>
      </c>
      <c r="M44" s="1">
        <v>0</v>
      </c>
      <c r="N44" s="173">
        <v>255855.14</v>
      </c>
      <c r="O44" s="4">
        <f t="shared" si="4"/>
        <v>286.52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SUMIFS(Tab_08.Ago[SALDO
ATUAL],Tab_08.Ago[CONTA],$I45)</f>
        <v>70977841.069999993</v>
      </c>
      <c r="G45" s="4">
        <f t="shared" si="3"/>
        <v>-279761</v>
      </c>
      <c r="I45" s="3" t="s">
        <v>554</v>
      </c>
      <c r="J45" s="3" t="s">
        <v>648</v>
      </c>
      <c r="K45" s="173">
        <v>71257602.069999993</v>
      </c>
      <c r="L45" s="1">
        <v>61994</v>
      </c>
      <c r="M45" s="1">
        <v>2600</v>
      </c>
      <c r="N45" s="173">
        <v>71316996.069999993</v>
      </c>
      <c r="O45" s="4">
        <f t="shared" si="4"/>
        <v>59394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SUMIFS(Tab_08.Ago[SALDO
ATUAL],Tab_08.Ago[CONTA],$I46)</f>
        <v>45344232.229999997</v>
      </c>
      <c r="G46" s="4">
        <f t="shared" si="3"/>
        <v>0</v>
      </c>
      <c r="I46" s="3" t="s">
        <v>555</v>
      </c>
      <c r="J46" s="3" t="s">
        <v>649</v>
      </c>
      <c r="K46" s="173">
        <v>45344232.229999997</v>
      </c>
      <c r="L46" s="1">
        <v>0</v>
      </c>
      <c r="M46" s="1">
        <v>0</v>
      </c>
      <c r="N46" s="173">
        <v>45344232.229999997</v>
      </c>
      <c r="O46" s="4">
        <f t="shared" si="4"/>
        <v>0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A</v>
      </c>
      <c r="E47" s="2">
        <f>IF($I47="","",COUNTIFS(Tab_00.Trial[CONTA],$I47))</f>
        <v>1</v>
      </c>
      <c r="F47" s="4">
        <f>SUMIFS(Tab_08.Ago[SALDO
ATUAL],Tab_08.Ago[CONTA],$I47)</f>
        <v>42477392.43</v>
      </c>
      <c r="G47" s="4">
        <f t="shared" si="3"/>
        <v>0</v>
      </c>
      <c r="I47" s="3" t="s">
        <v>302</v>
      </c>
      <c r="J47" s="3" t="s">
        <v>303</v>
      </c>
      <c r="K47" s="173">
        <v>42477392.43</v>
      </c>
      <c r="L47" s="1">
        <v>0</v>
      </c>
      <c r="M47" s="1">
        <v>0</v>
      </c>
      <c r="N47" s="173">
        <v>42477392.43</v>
      </c>
      <c r="O47" s="4">
        <f t="shared" si="4"/>
        <v>0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SUMIFS(Tab_08.Ago[SALDO
ATUAL],Tab_08.Ago[CONTA],$I48)</f>
        <v>2866839.8</v>
      </c>
      <c r="G48" s="4">
        <f t="shared" si="3"/>
        <v>0</v>
      </c>
      <c r="I48" s="3" t="s">
        <v>304</v>
      </c>
      <c r="J48" s="3" t="s">
        <v>305</v>
      </c>
      <c r="K48" s="173">
        <v>2866839.8</v>
      </c>
      <c r="L48" s="1">
        <v>0</v>
      </c>
      <c r="M48" s="1">
        <v>0</v>
      </c>
      <c r="N48" s="173">
        <v>2866839.8</v>
      </c>
      <c r="O48" s="4">
        <f t="shared" si="4"/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SUMIFS(Tab_08.Ago[SALDO
ATUAL],Tab_08.Ago[CONTA],$I49)</f>
        <v>4760.84</v>
      </c>
      <c r="G49" s="4">
        <f t="shared" si="3"/>
        <v>0</v>
      </c>
      <c r="I49" s="3" t="s">
        <v>556</v>
      </c>
      <c r="J49" s="3" t="s">
        <v>650</v>
      </c>
      <c r="K49" s="173">
        <v>4760.84</v>
      </c>
      <c r="L49" s="1">
        <v>0</v>
      </c>
      <c r="M49" s="1">
        <v>0</v>
      </c>
      <c r="N49" s="173">
        <v>4760.84</v>
      </c>
      <c r="O49" s="4">
        <f t="shared" si="4"/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SUMIFS(Tab_08.Ago[SALDO
ATUAL],Tab_08.Ago[CONTA],$I50)</f>
        <v>4760.84</v>
      </c>
      <c r="G50" s="4">
        <f t="shared" ref="G50:G81" si="5">$F50-$K50</f>
        <v>0</v>
      </c>
      <c r="I50" s="3" t="s">
        <v>306</v>
      </c>
      <c r="J50" s="3" t="s">
        <v>307</v>
      </c>
      <c r="K50" s="173">
        <v>4760.84</v>
      </c>
      <c r="L50" s="173">
        <v>0</v>
      </c>
      <c r="M50" s="1">
        <v>0</v>
      </c>
      <c r="N50" s="173">
        <v>4760.84</v>
      </c>
      <c r="O50" s="4">
        <f t="shared" ref="O50:O81" si="6">$L50-$M50</f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SUMIFS(Tab_08.Ago[SALDO
ATUAL],Tab_08.Ago[CONTA],$I51)</f>
        <v>25628848</v>
      </c>
      <c r="G51" s="4">
        <f t="shared" si="5"/>
        <v>-279761</v>
      </c>
      <c r="I51" s="3" t="s">
        <v>557</v>
      </c>
      <c r="J51" s="3" t="s">
        <v>309</v>
      </c>
      <c r="K51" s="173">
        <v>25908609</v>
      </c>
      <c r="L51" s="173">
        <v>61994</v>
      </c>
      <c r="M51" s="1">
        <v>2600</v>
      </c>
      <c r="N51" s="173">
        <v>25968003</v>
      </c>
      <c r="O51" s="4">
        <f t="shared" si="6"/>
        <v>59394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SUMIFS(Tab_08.Ago[SALDO
ATUAL],Tab_08.Ago[CONTA],$I52)</f>
        <v>25628848</v>
      </c>
      <c r="G52" s="4">
        <f t="shared" si="5"/>
        <v>-279761</v>
      </c>
      <c r="I52" s="3" t="s">
        <v>308</v>
      </c>
      <c r="J52" s="3" t="s">
        <v>309</v>
      </c>
      <c r="K52" s="173">
        <v>25908609</v>
      </c>
      <c r="L52" s="173">
        <v>61994</v>
      </c>
      <c r="M52" s="173">
        <v>2600</v>
      </c>
      <c r="N52" s="173">
        <v>25968003</v>
      </c>
      <c r="O52" s="4">
        <f t="shared" si="6"/>
        <v>59394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SUMIFS(Tab_08.Ago[SALDO
ATUAL],Tab_08.Ago[CONTA],$I53)</f>
        <v>2365645.81</v>
      </c>
      <c r="G53" s="4">
        <f t="shared" si="5"/>
        <v>1435.75</v>
      </c>
      <c r="I53" s="3" t="s">
        <v>213</v>
      </c>
      <c r="J53" s="3" t="s">
        <v>35</v>
      </c>
      <c r="K53" s="173">
        <v>2364210.06</v>
      </c>
      <c r="L53" s="173">
        <v>0</v>
      </c>
      <c r="M53" s="1">
        <v>3666.75</v>
      </c>
      <c r="N53" s="173">
        <v>2360543.31</v>
      </c>
      <c r="O53" s="4">
        <f t="shared" si="6"/>
        <v>-3666.75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S</v>
      </c>
      <c r="E54" s="2">
        <f>IF($I54="","",COUNTIFS(Tab_00.Trial[CONTA],$I54))</f>
        <v>1</v>
      </c>
      <c r="F54" s="4">
        <f>SUMIFS(Tab_08.Ago[SALDO
ATUAL],Tab_08.Ago[CONTA],$I54)</f>
        <v>3546368.31</v>
      </c>
      <c r="G54" s="4">
        <f t="shared" si="5"/>
        <v>-2231</v>
      </c>
      <c r="I54" s="3" t="s">
        <v>214</v>
      </c>
      <c r="J54" s="3" t="s">
        <v>651</v>
      </c>
      <c r="K54" s="173">
        <v>3548599.31</v>
      </c>
      <c r="L54" s="1">
        <v>0</v>
      </c>
      <c r="M54" s="1">
        <v>0</v>
      </c>
      <c r="N54" s="173">
        <v>3548599.31</v>
      </c>
      <c r="O54" s="4">
        <f t="shared" si="6"/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SUMIFS(Tab_08.Ago[SALDO
ATUAL],Tab_08.Ago[CONTA],$I55)</f>
        <v>1379260.84</v>
      </c>
      <c r="G55" s="4">
        <f t="shared" si="5"/>
        <v>0</v>
      </c>
      <c r="I55" s="3" t="s">
        <v>310</v>
      </c>
      <c r="J55" s="3" t="s">
        <v>311</v>
      </c>
      <c r="K55" s="173">
        <v>1379260.84</v>
      </c>
      <c r="L55" s="173">
        <v>0</v>
      </c>
      <c r="M55" s="1">
        <v>0</v>
      </c>
      <c r="N55" s="173">
        <v>1379260.84</v>
      </c>
      <c r="O55" s="4">
        <f t="shared" si="6"/>
        <v>0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SUMIFS(Tab_08.Ago[SALDO
ATUAL],Tab_08.Ago[CONTA],$I56)</f>
        <v>1291140.25</v>
      </c>
      <c r="G56" s="4">
        <f t="shared" si="5"/>
        <v>-2231</v>
      </c>
      <c r="I56" s="3" t="s">
        <v>312</v>
      </c>
      <c r="J56" s="3" t="s">
        <v>313</v>
      </c>
      <c r="K56" s="173">
        <v>1293371.25</v>
      </c>
      <c r="L56" s="1">
        <v>0</v>
      </c>
      <c r="M56" s="1">
        <v>0</v>
      </c>
      <c r="N56" s="173">
        <v>1293371.25</v>
      </c>
      <c r="O56" s="4">
        <f t="shared" si="6"/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SUMIFS(Tab_08.Ago[SALDO
ATUAL],Tab_08.Ago[CONTA],$I57)</f>
        <v>23000</v>
      </c>
      <c r="G57" s="4">
        <f t="shared" si="5"/>
        <v>0</v>
      </c>
      <c r="I57" s="3" t="s">
        <v>181</v>
      </c>
      <c r="J57" s="3" t="s">
        <v>314</v>
      </c>
      <c r="K57" s="173">
        <v>23000</v>
      </c>
      <c r="L57" s="1">
        <v>0</v>
      </c>
      <c r="M57" s="1">
        <v>0</v>
      </c>
      <c r="N57" s="173">
        <v>23000</v>
      </c>
      <c r="O57" s="4">
        <f t="shared" si="6"/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SUMIFS(Tab_08.Ago[SALDO
ATUAL],Tab_08.Ago[CONTA],$I58)</f>
        <v>12594</v>
      </c>
      <c r="G58" s="4">
        <f t="shared" si="5"/>
        <v>0</v>
      </c>
      <c r="I58" s="3" t="s">
        <v>182</v>
      </c>
      <c r="J58" s="3" t="s">
        <v>315</v>
      </c>
      <c r="K58" s="173">
        <v>12594</v>
      </c>
      <c r="L58" s="173">
        <v>0</v>
      </c>
      <c r="M58" s="1">
        <v>0</v>
      </c>
      <c r="N58" s="173">
        <v>12594</v>
      </c>
      <c r="O58" s="4">
        <f t="shared" si="6"/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SUMIFS(Tab_08.Ago[SALDO
ATUAL],Tab_08.Ago[CONTA],$I59)</f>
        <v>224642.85</v>
      </c>
      <c r="G59" s="4">
        <f t="shared" si="5"/>
        <v>0</v>
      </c>
      <c r="I59" s="3" t="s">
        <v>183</v>
      </c>
      <c r="J59" s="3" t="s">
        <v>316</v>
      </c>
      <c r="K59" s="173">
        <v>224642.85</v>
      </c>
      <c r="L59" s="1">
        <v>0</v>
      </c>
      <c r="M59" s="1">
        <v>0</v>
      </c>
      <c r="N59" s="173">
        <v>224642.85</v>
      </c>
      <c r="O59" s="4">
        <f t="shared" si="6"/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SUMIFS(Tab_08.Ago[SALDO
ATUAL],Tab_08.Ago[CONTA],$I60)</f>
        <v>7349.9</v>
      </c>
      <c r="G60" s="4">
        <f t="shared" si="5"/>
        <v>0</v>
      </c>
      <c r="I60" s="3" t="s">
        <v>317</v>
      </c>
      <c r="J60" s="3" t="s">
        <v>318</v>
      </c>
      <c r="K60" s="173">
        <v>7349.9</v>
      </c>
      <c r="L60" s="1">
        <v>0</v>
      </c>
      <c r="M60" s="1">
        <v>0</v>
      </c>
      <c r="N60" s="173">
        <v>7349.9</v>
      </c>
      <c r="O60" s="4">
        <f t="shared" si="6"/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SUMIFS(Tab_08.Ago[SALDO
ATUAL],Tab_08.Ago[CONTA],$I61)</f>
        <v>128697.03</v>
      </c>
      <c r="G61" s="4">
        <f t="shared" si="5"/>
        <v>0</v>
      </c>
      <c r="I61" s="3" t="s">
        <v>184</v>
      </c>
      <c r="J61" s="3" t="s">
        <v>319</v>
      </c>
      <c r="K61" s="173">
        <v>128697.03</v>
      </c>
      <c r="L61" s="1">
        <v>0</v>
      </c>
      <c r="M61" s="1">
        <v>0</v>
      </c>
      <c r="N61" s="173">
        <v>128697.03</v>
      </c>
      <c r="O61" s="4">
        <f t="shared" si="6"/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SUMIFS(Tab_08.Ago[SALDO
ATUAL],Tab_08.Ago[CONTA],$I62)</f>
        <v>15029.74</v>
      </c>
      <c r="G62" s="4">
        <f t="shared" si="5"/>
        <v>0</v>
      </c>
      <c r="I62" s="3" t="s">
        <v>185</v>
      </c>
      <c r="J62" s="3" t="s">
        <v>320</v>
      </c>
      <c r="K62" s="173">
        <v>15029.74</v>
      </c>
      <c r="L62" s="1">
        <v>0</v>
      </c>
      <c r="M62" s="1">
        <v>0</v>
      </c>
      <c r="N62" s="173">
        <v>15029.74</v>
      </c>
      <c r="O62" s="4">
        <f t="shared" si="6"/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SUMIFS(Tab_08.Ago[SALDO
ATUAL],Tab_08.Ago[CONTA],$I63)</f>
        <v>464653.7</v>
      </c>
      <c r="G63" s="4">
        <f t="shared" si="5"/>
        <v>0</v>
      </c>
      <c r="I63" s="3" t="s">
        <v>321</v>
      </c>
      <c r="J63" s="3" t="s">
        <v>322</v>
      </c>
      <c r="K63" s="173">
        <v>464653.7</v>
      </c>
      <c r="L63" s="1">
        <v>0</v>
      </c>
      <c r="M63" s="173">
        <v>0</v>
      </c>
      <c r="N63" s="173">
        <v>464653.7</v>
      </c>
      <c r="O63" s="4">
        <f t="shared" si="6"/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S</v>
      </c>
      <c r="E64" s="2">
        <f>IF($I64="","",COUNTIFS(Tab_00.Trial[CONTA],$I64))</f>
        <v>1</v>
      </c>
      <c r="F64" s="4">
        <f>SUMIFS(Tab_08.Ago[SALDO
ATUAL],Tab_08.Ago[CONTA],$I64)</f>
        <v>-1180722.5</v>
      </c>
      <c r="G64" s="4">
        <f t="shared" si="5"/>
        <v>3666.75</v>
      </c>
      <c r="I64" s="3" t="s">
        <v>215</v>
      </c>
      <c r="J64" s="3" t="s">
        <v>652</v>
      </c>
      <c r="K64" s="173">
        <v>-1184389.25</v>
      </c>
      <c r="L64" s="1">
        <v>0</v>
      </c>
      <c r="M64" s="173">
        <v>3666.75</v>
      </c>
      <c r="N64" s="173">
        <v>-1188056</v>
      </c>
      <c r="O64" s="4">
        <f t="shared" si="6"/>
        <v>-3666.75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SUMIFS(Tab_08.Ago[SALDO
ATUAL],Tab_08.Ago[CONTA],$I65)</f>
        <v>-667864.55000000005</v>
      </c>
      <c r="G65" s="4">
        <f t="shared" si="5"/>
        <v>0</v>
      </c>
      <c r="I65" s="3" t="s">
        <v>186</v>
      </c>
      <c r="J65" s="3" t="s">
        <v>313</v>
      </c>
      <c r="K65" s="173">
        <v>-667864.55000000005</v>
      </c>
      <c r="L65" s="1">
        <v>0</v>
      </c>
      <c r="M65" s="1">
        <v>2997.93</v>
      </c>
      <c r="N65" s="173">
        <v>-670862.48</v>
      </c>
      <c r="O65" s="4">
        <f t="shared" si="6"/>
        <v>-2997.93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SUMIFS(Tab_08.Ago[SALDO
ATUAL],Tab_08.Ago[CONTA],$I66)</f>
        <v>-18208.62</v>
      </c>
      <c r="G66" s="4">
        <f t="shared" si="5"/>
        <v>3189.6</v>
      </c>
      <c r="I66" s="3" t="s">
        <v>187</v>
      </c>
      <c r="J66" s="3" t="s">
        <v>314</v>
      </c>
      <c r="K66" s="173">
        <v>-21398.22</v>
      </c>
      <c r="L66" s="1">
        <v>0</v>
      </c>
      <c r="M66" s="1">
        <v>191.67</v>
      </c>
      <c r="N66" s="173">
        <v>-21589.89</v>
      </c>
      <c r="O66" s="4">
        <f t="shared" si="6"/>
        <v>-191.67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SUMIFS(Tab_08.Ago[SALDO
ATUAL],Tab_08.Ago[CONTA],$I67)</f>
        <v>-6788.76</v>
      </c>
      <c r="G67" s="4">
        <f t="shared" si="5"/>
        <v>104.95</v>
      </c>
      <c r="I67" s="3" t="s">
        <v>188</v>
      </c>
      <c r="J67" s="3" t="s">
        <v>315</v>
      </c>
      <c r="K67" s="173">
        <v>-6893.71</v>
      </c>
      <c r="L67" s="1">
        <v>0</v>
      </c>
      <c r="M67" s="173">
        <v>104.95</v>
      </c>
      <c r="N67" s="173">
        <v>-6998.66</v>
      </c>
      <c r="O67" s="4">
        <f t="shared" si="6"/>
        <v>-104.95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SUMIFS(Tab_08.Ago[SALDO
ATUAL],Tab_08.Ago[CONTA],$I68)</f>
        <v>-224642.85</v>
      </c>
      <c r="G68" s="4">
        <f t="shared" si="5"/>
        <v>0</v>
      </c>
      <c r="I68" s="3" t="s">
        <v>189</v>
      </c>
      <c r="J68" s="3" t="s">
        <v>316</v>
      </c>
      <c r="K68" s="173">
        <v>-224642.85</v>
      </c>
      <c r="L68" s="1">
        <v>0</v>
      </c>
      <c r="M68" s="1">
        <v>0</v>
      </c>
      <c r="N68" s="173">
        <v>-224642.85</v>
      </c>
      <c r="O68" s="4">
        <f t="shared" si="6"/>
        <v>0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SUMIFS(Tab_08.Ago[SALDO
ATUAL],Tab_08.Ago[CONTA],$I69)</f>
        <v>-4309.24</v>
      </c>
      <c r="G69" s="4">
        <f t="shared" si="5"/>
        <v>122.2</v>
      </c>
      <c r="I69" s="3" t="s">
        <v>190</v>
      </c>
      <c r="J69" s="3" t="s">
        <v>318</v>
      </c>
      <c r="K69" s="173">
        <v>-4431.4399999999996</v>
      </c>
      <c r="L69" s="1">
        <v>0</v>
      </c>
      <c r="M69" s="173">
        <v>122.2</v>
      </c>
      <c r="N69" s="173">
        <v>-4553.6400000000003</v>
      </c>
      <c r="O69" s="4">
        <f t="shared" si="6"/>
        <v>-122.2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SUMIFS(Tab_08.Ago[SALDO
ATUAL],Tab_08.Ago[CONTA],$I70)</f>
        <v>-128697.03</v>
      </c>
      <c r="G70" s="4">
        <f t="shared" si="5"/>
        <v>0</v>
      </c>
      <c r="I70" s="3" t="s">
        <v>323</v>
      </c>
      <c r="J70" s="3" t="s">
        <v>319</v>
      </c>
      <c r="K70" s="173">
        <v>-128697.03</v>
      </c>
      <c r="L70" s="1">
        <v>0</v>
      </c>
      <c r="M70" s="1">
        <v>0</v>
      </c>
      <c r="N70" s="173">
        <v>-128697.03</v>
      </c>
      <c r="O70" s="4">
        <f t="shared" si="6"/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SUMIFS(Tab_08.Ago[SALDO
ATUAL],Tab_08.Ago[CONTA],$I71)</f>
        <v>-15029.74</v>
      </c>
      <c r="G71" s="4">
        <f t="shared" si="5"/>
        <v>0</v>
      </c>
      <c r="I71" s="3" t="s">
        <v>324</v>
      </c>
      <c r="J71" s="3" t="s">
        <v>320</v>
      </c>
      <c r="K71" s="173">
        <v>-15029.74</v>
      </c>
      <c r="L71" s="1">
        <v>0</v>
      </c>
      <c r="M71" s="1">
        <v>0</v>
      </c>
      <c r="N71" s="173">
        <v>-15029.74</v>
      </c>
      <c r="O71" s="4">
        <f t="shared" si="6"/>
        <v>0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SUMIFS(Tab_08.Ago[SALDO
ATUAL],Tab_08.Ago[CONTA],$I72)</f>
        <v>-115181.71</v>
      </c>
      <c r="G72" s="4">
        <f t="shared" si="5"/>
        <v>250</v>
      </c>
      <c r="I72" s="3" t="s">
        <v>325</v>
      </c>
      <c r="J72" s="3" t="s">
        <v>322</v>
      </c>
      <c r="K72" s="173">
        <v>-115431.71</v>
      </c>
      <c r="L72" s="173">
        <v>0</v>
      </c>
      <c r="M72" s="173">
        <v>250</v>
      </c>
      <c r="N72" s="173">
        <v>-115681.71</v>
      </c>
      <c r="O72" s="4">
        <f t="shared" si="6"/>
        <v>-250</v>
      </c>
    </row>
    <row r="73" spans="2:15" x14ac:dyDescent="0.3">
      <c r="B73" s="2" t="str">
        <f>_xlfn.XLOOKUP($I73,Tab_00.Trial[CONTA],Tab_00.Trial[TP],"",0,1)</f>
        <v>P</v>
      </c>
      <c r="C73" s="2">
        <f>_xlfn.XLOOKUP($I73,Tab_00.Trial[CONTA],Tab_00.Trial[NV],"",0,1)</f>
        <v>1</v>
      </c>
      <c r="D73" s="2" t="str">
        <f>_xlfn.XLOOKUP($I73,Tab_00.Trial[CONTA],Tab_00.Trial[S/A],"",0,1)</f>
        <v>S</v>
      </c>
      <c r="E73" s="2">
        <f>IF($I73="","",COUNTIFS(Tab_00.Trial[CONTA],$I73))</f>
        <v>1</v>
      </c>
      <c r="F73" s="4">
        <f>SUMIFS(Tab_08.Ago[SALDO
ATUAL],Tab_08.Ago[CONTA],$I73)</f>
        <v>-83348237.590000004</v>
      </c>
      <c r="G73" s="4">
        <f t="shared" si="5"/>
        <v>59356.19</v>
      </c>
      <c r="I73" s="3">
        <v>2</v>
      </c>
      <c r="J73" s="3" t="s">
        <v>653</v>
      </c>
      <c r="K73" s="173">
        <v>-83407593.780000001</v>
      </c>
      <c r="L73" s="173">
        <v>649591.49</v>
      </c>
      <c r="M73" s="173">
        <v>586886.37</v>
      </c>
      <c r="N73" s="173">
        <v>-83344888.659999996</v>
      </c>
      <c r="O73" s="4">
        <f t="shared" si="6"/>
        <v>62705.120000000003</v>
      </c>
    </row>
    <row r="74" spans="2:15" x14ac:dyDescent="0.3">
      <c r="B74" s="2" t="str">
        <f>_xlfn.XLOOKUP($I74,Tab_00.Trial[CONTA],Tab_00.Trial[TP],"",0,1)</f>
        <v>P</v>
      </c>
      <c r="C74" s="2">
        <f>_xlfn.XLOOKUP($I74,Tab_00.Trial[CONTA],Tab_00.Trial[NV],"",0,1)</f>
        <v>2</v>
      </c>
      <c r="D74" s="2" t="str">
        <f>_xlfn.XLOOKUP($I74,Tab_00.Trial[CONTA],Tab_00.Trial[S/A],"",0,1)</f>
        <v>S</v>
      </c>
      <c r="E74" s="2">
        <f>IF($I74="","",COUNTIFS(Tab_00.Trial[CONTA],$I74))</f>
        <v>1</v>
      </c>
      <c r="F74" s="4">
        <f>SUMIFS(Tab_08.Ago[SALDO
ATUAL],Tab_08.Ago[CONTA],$I74)</f>
        <v>-1445773.06</v>
      </c>
      <c r="G74" s="4">
        <f t="shared" si="5"/>
        <v>59356.19</v>
      </c>
      <c r="I74" s="3" t="s">
        <v>216</v>
      </c>
      <c r="J74" s="3" t="s">
        <v>31</v>
      </c>
      <c r="K74" s="173">
        <v>-1505129.25</v>
      </c>
      <c r="L74" s="173">
        <v>649591.49</v>
      </c>
      <c r="M74" s="173">
        <v>586886.37</v>
      </c>
      <c r="N74" s="173">
        <v>-1442424.13</v>
      </c>
      <c r="O74" s="4">
        <f t="shared" si="6"/>
        <v>62705.120000000003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5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SUMIFS(Tab_08.Ago[SALDO
ATUAL],Tab_08.Ago[CONTA],$I75)</f>
        <v>-349578.4</v>
      </c>
      <c r="G75" s="4">
        <f t="shared" si="5"/>
        <v>14400.46</v>
      </c>
      <c r="I75" s="3" t="s">
        <v>558</v>
      </c>
      <c r="J75" s="3" t="s">
        <v>654</v>
      </c>
      <c r="K75" s="1">
        <v>-363978.86</v>
      </c>
      <c r="L75" s="173">
        <v>173822.74</v>
      </c>
      <c r="M75" s="173">
        <v>161450.46</v>
      </c>
      <c r="N75" s="1">
        <v>-351606.58</v>
      </c>
      <c r="O75" s="4">
        <f t="shared" si="6"/>
        <v>12372.28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5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SUMIFS(Tab_08.Ago[SALDO
ATUAL],Tab_08.Ago[CONTA],$I76)</f>
        <v>0</v>
      </c>
      <c r="G76" s="4">
        <f t="shared" si="5"/>
        <v>0</v>
      </c>
      <c r="I76" s="3" t="s">
        <v>559</v>
      </c>
      <c r="J76" s="3" t="s">
        <v>655</v>
      </c>
      <c r="K76" s="1">
        <v>0</v>
      </c>
      <c r="L76" s="173">
        <v>81200.479999999996</v>
      </c>
      <c r="M76" s="173">
        <v>81200.479999999996</v>
      </c>
      <c r="N76" s="1">
        <v>0</v>
      </c>
      <c r="O76" s="4">
        <f t="shared" si="6"/>
        <v>0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A</v>
      </c>
      <c r="E77" s="2">
        <f>IF($I77="","",COUNTIFS(Tab_00.Trial[CONTA],$I77))</f>
        <v>1</v>
      </c>
      <c r="F77" s="4">
        <f>SUMIFS(Tab_08.Ago[SALDO
ATUAL],Tab_08.Ago[CONTA],$I77)</f>
        <v>0</v>
      </c>
      <c r="G77" s="4">
        <f t="shared" si="5"/>
        <v>0</v>
      </c>
      <c r="I77" s="3" t="s">
        <v>326</v>
      </c>
      <c r="J77" s="3" t="s">
        <v>327</v>
      </c>
      <c r="K77" s="1">
        <v>0</v>
      </c>
      <c r="L77" s="173">
        <v>78068.479999999996</v>
      </c>
      <c r="M77" s="173">
        <v>78068.479999999996</v>
      </c>
      <c r="N77" s="1">
        <v>0</v>
      </c>
      <c r="O77" s="4">
        <f t="shared" si="6"/>
        <v>0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A</v>
      </c>
      <c r="E78" s="2">
        <f>IF($I78="","",COUNTIFS(Tab_00.Trial[CONTA],$I78))</f>
        <v>1</v>
      </c>
      <c r="F78" s="4">
        <f>SUMIFS(Tab_08.Ago[SALDO
ATUAL],Tab_08.Ago[CONTA],$I78)</f>
        <v>0</v>
      </c>
      <c r="G78" s="4">
        <f t="shared" si="5"/>
        <v>0</v>
      </c>
      <c r="I78" s="3" t="s">
        <v>330</v>
      </c>
      <c r="J78" s="3" t="s">
        <v>331</v>
      </c>
      <c r="K78" s="173">
        <v>0</v>
      </c>
      <c r="L78" s="1">
        <v>3132</v>
      </c>
      <c r="M78" s="173">
        <v>3132</v>
      </c>
      <c r="N78" s="173">
        <v>0</v>
      </c>
      <c r="O78" s="4">
        <f t="shared" si="6"/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SUMIFS(Tab_08.Ago[SALDO
ATUAL],Tab_08.Ago[CONTA],$I79)</f>
        <v>-79827.03</v>
      </c>
      <c r="G79" s="4">
        <f t="shared" si="5"/>
        <v>10456.6</v>
      </c>
      <c r="I79" s="3" t="s">
        <v>560</v>
      </c>
      <c r="J79" s="3" t="s">
        <v>656</v>
      </c>
      <c r="K79" s="173">
        <v>-90283.63</v>
      </c>
      <c r="L79" s="1">
        <v>1007.59</v>
      </c>
      <c r="M79" s="173">
        <v>14343.28</v>
      </c>
      <c r="N79" s="173">
        <v>-103619.32</v>
      </c>
      <c r="O79" s="4">
        <f t="shared" si="6"/>
        <v>-13335.69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A</v>
      </c>
      <c r="E80" s="2">
        <f>IF($I80="","",COUNTIFS(Tab_00.Trial[CONTA],$I80))</f>
        <v>1</v>
      </c>
      <c r="F80" s="4">
        <f>SUMIFS(Tab_08.Ago[SALDO
ATUAL],Tab_08.Ago[CONTA],$I80)</f>
        <v>-58783.59</v>
      </c>
      <c r="G80" s="4">
        <f t="shared" si="5"/>
        <v>7289.93</v>
      </c>
      <c r="I80" s="3" t="s">
        <v>332</v>
      </c>
      <c r="J80" s="3" t="s">
        <v>333</v>
      </c>
      <c r="K80" s="173">
        <v>-66073.52</v>
      </c>
      <c r="L80" s="1">
        <v>742.69</v>
      </c>
      <c r="M80" s="173">
        <v>10839.36</v>
      </c>
      <c r="N80" s="173">
        <v>-76170.19</v>
      </c>
      <c r="O80" s="4">
        <f t="shared" si="6"/>
        <v>-10096.67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SUMIFS(Tab_08.Ago[SALDO
ATUAL],Tab_08.Ago[CONTA],$I81)</f>
        <v>-4702.63</v>
      </c>
      <c r="G81" s="4">
        <f t="shared" si="5"/>
        <v>583.17999999999995</v>
      </c>
      <c r="I81" s="3" t="s">
        <v>784</v>
      </c>
      <c r="J81" s="3" t="s">
        <v>785</v>
      </c>
      <c r="K81" s="173">
        <v>-5285.81</v>
      </c>
      <c r="L81" s="1">
        <v>59.41</v>
      </c>
      <c r="M81" s="173">
        <v>867.15</v>
      </c>
      <c r="N81" s="173">
        <v>-6093.55</v>
      </c>
      <c r="O81" s="4">
        <f t="shared" si="6"/>
        <v>-807.74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SUMIFS(Tab_08.Ago[SALDO
ATUAL],Tab_08.Ago[CONTA],$I82)</f>
        <v>-587.80999999999995</v>
      </c>
      <c r="G82" s="4">
        <f t="shared" ref="G82:G113" si="7">$F82-$K82</f>
        <v>92.98</v>
      </c>
      <c r="I82" s="3" t="s">
        <v>786</v>
      </c>
      <c r="J82" s="3" t="s">
        <v>787</v>
      </c>
      <c r="K82" s="173">
        <v>-680.79</v>
      </c>
      <c r="L82" s="173">
        <v>7.43</v>
      </c>
      <c r="M82" s="173">
        <v>94.82</v>
      </c>
      <c r="N82" s="173">
        <v>-768.18</v>
      </c>
      <c r="O82" s="4">
        <f t="shared" ref="O82:O113" si="8">$L82-$M82</f>
        <v>-87.39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SUMIFS(Tab_08.Ago[SALDO
ATUAL],Tab_08.Ago[CONTA],$I83)</f>
        <v>-15753</v>
      </c>
      <c r="G83" s="4">
        <f t="shared" si="7"/>
        <v>2490.5100000000002</v>
      </c>
      <c r="I83" s="3" t="s">
        <v>788</v>
      </c>
      <c r="J83" s="3" t="s">
        <v>789</v>
      </c>
      <c r="K83" s="173">
        <v>-18243.509999999998</v>
      </c>
      <c r="L83" s="173">
        <v>198.06</v>
      </c>
      <c r="M83" s="173">
        <v>2541.9499999999998</v>
      </c>
      <c r="N83" s="173">
        <v>-20587.400000000001</v>
      </c>
      <c r="O83" s="4">
        <f t="shared" si="8"/>
        <v>-2343.89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S</v>
      </c>
      <c r="E84" s="2">
        <f>IF($I84="","",COUNTIFS(Tab_00.Trial[CONTA],$I84))</f>
        <v>1</v>
      </c>
      <c r="F84" s="4">
        <f>SUMIFS(Tab_08.Ago[SALDO
ATUAL],Tab_08.Ago[CONTA],$I84)</f>
        <v>-226256.29</v>
      </c>
      <c r="G84" s="4">
        <f t="shared" si="7"/>
        <v>-318.83999999999997</v>
      </c>
      <c r="I84" s="3" t="s">
        <v>561</v>
      </c>
      <c r="J84" s="3" t="s">
        <v>657</v>
      </c>
      <c r="K84" s="1">
        <v>-225937.45</v>
      </c>
      <c r="L84" s="1">
        <v>43293.85</v>
      </c>
      <c r="M84" s="1">
        <v>19508.8</v>
      </c>
      <c r="N84" s="1">
        <v>-202152.4</v>
      </c>
      <c r="O84" s="4">
        <f t="shared" si="8"/>
        <v>23785.05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SUMIFS(Tab_08.Ago[SALDO
ATUAL],Tab_08.Ago[CONTA],$I85)</f>
        <v>-166422.66</v>
      </c>
      <c r="G85" s="4">
        <f t="shared" si="7"/>
        <v>-168.6</v>
      </c>
      <c r="I85" s="3" t="s">
        <v>334</v>
      </c>
      <c r="J85" s="3" t="s">
        <v>335</v>
      </c>
      <c r="K85" s="173">
        <v>-166254.06</v>
      </c>
      <c r="L85" s="173">
        <v>31978.55</v>
      </c>
      <c r="M85" s="173">
        <v>14395.62</v>
      </c>
      <c r="N85" s="173">
        <v>-148671.13</v>
      </c>
      <c r="O85" s="4">
        <f t="shared" si="8"/>
        <v>17582.93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SUMIFS(Tab_08.Ago[SALDO
ATUAL],Tab_08.Ago[CONTA],$I86)</f>
        <v>-13313.66</v>
      </c>
      <c r="G86" s="4">
        <f t="shared" si="7"/>
        <v>-20.81</v>
      </c>
      <c r="I86" s="3" t="s">
        <v>790</v>
      </c>
      <c r="J86" s="3" t="s">
        <v>791</v>
      </c>
      <c r="K86" s="173">
        <v>-13292.85</v>
      </c>
      <c r="L86" s="173">
        <v>2556.58</v>
      </c>
      <c r="M86" s="173">
        <v>1142.5999999999999</v>
      </c>
      <c r="N86" s="173">
        <v>-11878.87</v>
      </c>
      <c r="O86" s="4">
        <f t="shared" si="8"/>
        <v>1413.98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SUMIFS(Tab_08.Ago[SALDO
ATUAL],Tab_08.Ago[CONTA],$I87)</f>
        <v>-1918.65</v>
      </c>
      <c r="G87" s="4">
        <f t="shared" si="7"/>
        <v>-59.65</v>
      </c>
      <c r="I87" s="3" t="s">
        <v>792</v>
      </c>
      <c r="J87" s="3" t="s">
        <v>793</v>
      </c>
      <c r="K87" s="173">
        <v>-1859</v>
      </c>
      <c r="L87" s="173">
        <v>194.15</v>
      </c>
      <c r="M87" s="173">
        <v>142.82</v>
      </c>
      <c r="N87" s="173">
        <v>-1807.67</v>
      </c>
      <c r="O87" s="4">
        <f t="shared" si="8"/>
        <v>51.33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SUMIFS(Tab_08.Ago[SALDO
ATUAL],Tab_08.Ago[CONTA],$I88)</f>
        <v>-44601.32</v>
      </c>
      <c r="G88" s="4">
        <f t="shared" si="7"/>
        <v>-69.78</v>
      </c>
      <c r="I88" s="3" t="s">
        <v>794</v>
      </c>
      <c r="J88" s="3" t="s">
        <v>795</v>
      </c>
      <c r="K88" s="173">
        <v>-44531.54</v>
      </c>
      <c r="L88" s="173">
        <v>8564.57</v>
      </c>
      <c r="M88" s="173">
        <v>3827.76</v>
      </c>
      <c r="N88" s="173">
        <v>-39794.730000000003</v>
      </c>
      <c r="O88" s="4">
        <f t="shared" si="8"/>
        <v>4736.8100000000004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S</v>
      </c>
      <c r="E89" s="2">
        <f>IF($I89="","",COUNTIFS(Tab_00.Trial[CONTA],$I89))</f>
        <v>1</v>
      </c>
      <c r="F89" s="4">
        <f>SUMIFS(Tab_08.Ago[SALDO
ATUAL],Tab_08.Ago[CONTA],$I89)</f>
        <v>-33202.51</v>
      </c>
      <c r="G89" s="4">
        <f t="shared" si="7"/>
        <v>4385.2700000000004</v>
      </c>
      <c r="I89" s="3" t="s">
        <v>562</v>
      </c>
      <c r="J89" s="3" t="s">
        <v>658</v>
      </c>
      <c r="K89" s="173">
        <v>-37587.78</v>
      </c>
      <c r="L89" s="173">
        <v>38223.97</v>
      </c>
      <c r="M89" s="173">
        <v>36631.97</v>
      </c>
      <c r="N89" s="173">
        <v>-35995.78</v>
      </c>
      <c r="O89" s="4">
        <f t="shared" si="8"/>
        <v>1592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SUMIFS(Tab_08.Ago[SALDO
ATUAL],Tab_08.Ago[CONTA],$I90)</f>
        <v>-32618.43</v>
      </c>
      <c r="G90" s="4">
        <f t="shared" si="7"/>
        <v>4385.2700000000004</v>
      </c>
      <c r="I90" s="3" t="s">
        <v>336</v>
      </c>
      <c r="J90" s="3" t="s">
        <v>337</v>
      </c>
      <c r="K90" s="173">
        <v>-37003.699999999997</v>
      </c>
      <c r="L90" s="173">
        <v>37639.89</v>
      </c>
      <c r="M90" s="173">
        <v>36631.97</v>
      </c>
      <c r="N90" s="173">
        <v>-35995.78</v>
      </c>
      <c r="O90" s="4">
        <f t="shared" si="8"/>
        <v>1007.92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SUMIFS(Tab_08.Ago[SALDO
ATUAL],Tab_08.Ago[CONTA],$I91)</f>
        <v>-584.08000000000004</v>
      </c>
      <c r="G91" s="4">
        <f t="shared" si="7"/>
        <v>0</v>
      </c>
      <c r="I91" s="3" t="s">
        <v>338</v>
      </c>
      <c r="J91" s="3" t="s">
        <v>339</v>
      </c>
      <c r="K91" s="173">
        <v>-584.08000000000004</v>
      </c>
      <c r="L91" s="173">
        <v>584.08000000000004</v>
      </c>
      <c r="M91" s="173">
        <v>0</v>
      </c>
      <c r="N91" s="173">
        <v>0</v>
      </c>
      <c r="O91" s="4">
        <f t="shared" si="8"/>
        <v>584.08000000000004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S</v>
      </c>
      <c r="E92" s="2">
        <f>IF($I92="","",COUNTIFS(Tab_00.Trial[CONTA],$I92))</f>
        <v>1</v>
      </c>
      <c r="F92" s="4">
        <f>SUMIFS(Tab_08.Ago[SALDO
ATUAL],Tab_08.Ago[CONTA],$I92)</f>
        <v>-10292.57</v>
      </c>
      <c r="G92" s="4">
        <f t="shared" si="7"/>
        <v>-122.57</v>
      </c>
      <c r="I92" s="3" t="s">
        <v>563</v>
      </c>
      <c r="J92" s="3" t="s">
        <v>659</v>
      </c>
      <c r="K92" s="173">
        <v>-10170</v>
      </c>
      <c r="L92" s="173">
        <v>10096.85</v>
      </c>
      <c r="M92" s="173">
        <v>9765.93</v>
      </c>
      <c r="N92" s="173">
        <v>-9839.08</v>
      </c>
      <c r="O92" s="4">
        <f t="shared" si="8"/>
        <v>330.92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SUMIFS(Tab_08.Ago[SALDO
ATUAL],Tab_08.Ago[CONTA],$I93)</f>
        <v>-9187.0499999999993</v>
      </c>
      <c r="G93" s="4">
        <f t="shared" si="7"/>
        <v>-194.27</v>
      </c>
      <c r="I93" s="3" t="s">
        <v>340</v>
      </c>
      <c r="J93" s="3" t="s">
        <v>341</v>
      </c>
      <c r="K93" s="173">
        <v>-8992.7800000000007</v>
      </c>
      <c r="L93" s="173">
        <v>8992.7800000000007</v>
      </c>
      <c r="M93" s="173">
        <v>8680.81</v>
      </c>
      <c r="N93" s="173">
        <v>-8680.81</v>
      </c>
      <c r="O93" s="4">
        <f t="shared" si="8"/>
        <v>311.97000000000003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SUMIFS(Tab_08.Ago[SALDO
ATUAL],Tab_08.Ago[CONTA],$I94)</f>
        <v>-1105.52</v>
      </c>
      <c r="G94" s="4">
        <f t="shared" si="7"/>
        <v>71.7</v>
      </c>
      <c r="I94" s="3" t="s">
        <v>342</v>
      </c>
      <c r="J94" s="3" t="s">
        <v>343</v>
      </c>
      <c r="K94" s="173">
        <v>-1177.22</v>
      </c>
      <c r="L94" s="173">
        <v>1104.07</v>
      </c>
      <c r="M94" s="173">
        <v>1085.1199999999999</v>
      </c>
      <c r="N94" s="173">
        <v>-1158.27</v>
      </c>
      <c r="O94" s="4">
        <f t="shared" si="8"/>
        <v>18.95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S</v>
      </c>
      <c r="E95" s="2">
        <f>IF($I95="","",COUNTIFS(Tab_00.Trial[CONTA],$I95))</f>
        <v>1</v>
      </c>
      <c r="F95" s="4">
        <f>SUMIFS(Tab_08.Ago[SALDO
ATUAL],Tab_08.Ago[CONTA],$I95)</f>
        <v>-1054727.3500000001</v>
      </c>
      <c r="G95" s="4">
        <f t="shared" si="7"/>
        <v>40990.36</v>
      </c>
      <c r="I95" s="3" t="s">
        <v>218</v>
      </c>
      <c r="J95" s="3" t="s">
        <v>660</v>
      </c>
      <c r="K95" s="1">
        <v>-1095717.71</v>
      </c>
      <c r="L95" s="173">
        <v>438885.9</v>
      </c>
      <c r="M95" s="1">
        <v>392368.99</v>
      </c>
      <c r="N95" s="1">
        <v>-1049200.8</v>
      </c>
      <c r="O95" s="4">
        <f t="shared" si="8"/>
        <v>46516.91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SUMIFS(Tab_08.Ago[SALDO
ATUAL],Tab_08.Ago[CONTA],$I96)</f>
        <v>-60413.4</v>
      </c>
      <c r="G96" s="4">
        <f t="shared" si="7"/>
        <v>-1095.8399999999999</v>
      </c>
      <c r="I96" s="3" t="s">
        <v>219</v>
      </c>
      <c r="J96" s="3" t="s">
        <v>56</v>
      </c>
      <c r="K96" s="173">
        <v>-59317.56</v>
      </c>
      <c r="L96" s="173">
        <v>151834.34</v>
      </c>
      <c r="M96" s="173">
        <v>147983</v>
      </c>
      <c r="N96" s="173">
        <v>-55466.22</v>
      </c>
      <c r="O96" s="4">
        <f t="shared" si="8"/>
        <v>3851.34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SUMIFS(Tab_08.Ago[SALDO
ATUAL],Tab_08.Ago[CONTA],$I97)</f>
        <v>-60413.4</v>
      </c>
      <c r="G97" s="4">
        <f t="shared" si="7"/>
        <v>-1095.8399999999999</v>
      </c>
      <c r="I97" s="3" t="s">
        <v>344</v>
      </c>
      <c r="J97" s="3" t="s">
        <v>56</v>
      </c>
      <c r="K97" s="1">
        <v>-59317.56</v>
      </c>
      <c r="L97" s="1">
        <v>151834.34</v>
      </c>
      <c r="M97" s="1">
        <v>147983</v>
      </c>
      <c r="N97" s="1">
        <v>-55466.22</v>
      </c>
      <c r="O97" s="4">
        <f t="shared" si="8"/>
        <v>3851.34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SUMIFS(Tab_08.Ago[SALDO
ATUAL],Tab_08.Ago[CONTA],$I98)</f>
        <v>-994313.95</v>
      </c>
      <c r="G98" s="4">
        <f t="shared" si="7"/>
        <v>42086.2</v>
      </c>
      <c r="I98" s="3" t="s">
        <v>220</v>
      </c>
      <c r="J98" s="3" t="s">
        <v>346</v>
      </c>
      <c r="K98" s="173">
        <v>-1036400.15</v>
      </c>
      <c r="L98" s="173">
        <v>287051.56</v>
      </c>
      <c r="M98" s="173">
        <v>244385.99</v>
      </c>
      <c r="N98" s="173">
        <v>-993734.58</v>
      </c>
      <c r="O98" s="4">
        <f t="shared" si="8"/>
        <v>42665.57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A</v>
      </c>
      <c r="E99" s="2">
        <f>IF($I99="","",COUNTIFS(Tab_00.Trial[CONTA],$I99))</f>
        <v>1</v>
      </c>
      <c r="F99" s="4">
        <f>SUMIFS(Tab_08.Ago[SALDO
ATUAL],Tab_08.Ago[CONTA],$I99)</f>
        <v>-994313.95</v>
      </c>
      <c r="G99" s="4">
        <f t="shared" si="7"/>
        <v>42086.2</v>
      </c>
      <c r="I99" s="3" t="s">
        <v>345</v>
      </c>
      <c r="J99" s="3" t="s">
        <v>346</v>
      </c>
      <c r="K99" s="1">
        <v>-1036400.15</v>
      </c>
      <c r="L99" s="1">
        <v>287051.56</v>
      </c>
      <c r="M99" s="1">
        <v>244385.99</v>
      </c>
      <c r="N99" s="1">
        <v>-993734.58</v>
      </c>
      <c r="O99" s="4">
        <f t="shared" si="8"/>
        <v>42665.57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SUMIFS(Tab_08.Ago[SALDO
ATUAL],Tab_08.Ago[CONTA],$I100)</f>
        <v>-15262.55</v>
      </c>
      <c r="G100" s="4">
        <f t="shared" si="7"/>
        <v>3919.66</v>
      </c>
      <c r="I100" s="3" t="s">
        <v>221</v>
      </c>
      <c r="J100" s="3" t="s">
        <v>661</v>
      </c>
      <c r="K100" s="1">
        <v>-19182.21</v>
      </c>
      <c r="L100" s="1">
        <v>36317.949999999997</v>
      </c>
      <c r="M100" s="1">
        <v>32455.58</v>
      </c>
      <c r="N100" s="1">
        <v>-15319.84</v>
      </c>
      <c r="O100" s="4">
        <f t="shared" si="8"/>
        <v>3862.37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SUMIFS(Tab_08.Ago[SALDO
ATUAL],Tab_08.Ago[CONTA],$I101)</f>
        <v>-15262.55</v>
      </c>
      <c r="G101" s="4">
        <f t="shared" si="7"/>
        <v>3919.66</v>
      </c>
      <c r="I101" s="3" t="s">
        <v>222</v>
      </c>
      <c r="J101" s="3" t="s">
        <v>662</v>
      </c>
      <c r="K101" s="1">
        <v>-19182.21</v>
      </c>
      <c r="L101" s="1">
        <v>24239.62</v>
      </c>
      <c r="M101" s="1">
        <v>20377.25</v>
      </c>
      <c r="N101" s="1">
        <v>-15319.84</v>
      </c>
      <c r="O101" s="4">
        <f t="shared" si="8"/>
        <v>3862.37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SUMIFS(Tab_08.Ago[SALDO
ATUAL],Tab_08.Ago[CONTA],$I102)</f>
        <v>-884.23</v>
      </c>
      <c r="G102" s="4">
        <f t="shared" si="7"/>
        <v>41.51</v>
      </c>
      <c r="I102" s="3" t="s">
        <v>191</v>
      </c>
      <c r="J102" s="3" t="s">
        <v>347</v>
      </c>
      <c r="K102" s="173">
        <v>-925.74</v>
      </c>
      <c r="L102" s="1">
        <v>1092</v>
      </c>
      <c r="M102" s="1">
        <v>1000.27</v>
      </c>
      <c r="N102" s="173">
        <v>-834.01</v>
      </c>
      <c r="O102" s="4">
        <f t="shared" si="8"/>
        <v>91.73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SUMIFS(Tab_08.Ago[SALDO
ATUAL],Tab_08.Ago[CONTA],$I103)</f>
        <v>-10986.12</v>
      </c>
      <c r="G103" s="4">
        <f t="shared" si="7"/>
        <v>4753.71</v>
      </c>
      <c r="I103" s="3" t="s">
        <v>192</v>
      </c>
      <c r="J103" s="3" t="s">
        <v>348</v>
      </c>
      <c r="K103" s="173">
        <v>-15739.83</v>
      </c>
      <c r="L103" s="1">
        <v>19429.55</v>
      </c>
      <c r="M103" s="1">
        <v>16179.66</v>
      </c>
      <c r="N103" s="173">
        <v>-12489.94</v>
      </c>
      <c r="O103" s="4">
        <f t="shared" si="8"/>
        <v>3249.89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SUMIFS(Tab_08.Ago[SALDO
ATUAL],Tab_08.Ago[CONTA],$I104)</f>
        <v>-3369.75</v>
      </c>
      <c r="G104" s="4">
        <f t="shared" si="7"/>
        <v>-875.56</v>
      </c>
      <c r="I104" s="3" t="s">
        <v>350</v>
      </c>
      <c r="J104" s="3" t="s">
        <v>351</v>
      </c>
      <c r="K104" s="173">
        <v>-2494.19</v>
      </c>
      <c r="L104" s="1">
        <v>3706.9</v>
      </c>
      <c r="M104" s="1">
        <v>3197.32</v>
      </c>
      <c r="N104" s="173">
        <v>-1984.61</v>
      </c>
      <c r="O104" s="4">
        <f t="shared" si="8"/>
        <v>509.58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SUMIFS(Tab_08.Ago[SALDO
ATUAL],Tab_08.Ago[CONTA],$I105)</f>
        <v>-22.45</v>
      </c>
      <c r="G105" s="4">
        <f t="shared" si="7"/>
        <v>0</v>
      </c>
      <c r="I105" s="3" t="s">
        <v>352</v>
      </c>
      <c r="J105" s="3" t="s">
        <v>353</v>
      </c>
      <c r="K105" s="173">
        <v>-22.45</v>
      </c>
      <c r="L105" s="1">
        <v>11.17</v>
      </c>
      <c r="M105" s="1">
        <v>0</v>
      </c>
      <c r="N105" s="173">
        <v>-11.28</v>
      </c>
      <c r="O105" s="4">
        <f t="shared" si="8"/>
        <v>11.17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S</v>
      </c>
      <c r="E106" s="2">
        <f>IF($I106="","",COUNTIFS(Tab_00.Trial[CONTA],$I106))</f>
        <v>1</v>
      </c>
      <c r="F106" s="4">
        <f>SUMIFS(Tab_08.Ago[SALDO
ATUAL],Tab_08.Ago[CONTA],$I106)</f>
        <v>0</v>
      </c>
      <c r="G106" s="4">
        <f t="shared" si="7"/>
        <v>0</v>
      </c>
      <c r="I106" s="3" t="s">
        <v>223</v>
      </c>
      <c r="J106" s="3" t="s">
        <v>663</v>
      </c>
      <c r="K106" s="173">
        <v>0</v>
      </c>
      <c r="L106" s="1">
        <v>12078.33</v>
      </c>
      <c r="M106" s="1">
        <v>12078.33</v>
      </c>
      <c r="N106" s="173">
        <v>0</v>
      </c>
      <c r="O106" s="4">
        <f t="shared" si="8"/>
        <v>0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SUMIFS(Tab_08.Ago[SALDO
ATUAL],Tab_08.Ago[CONTA],$I107)</f>
        <v>0</v>
      </c>
      <c r="G107" s="4">
        <f t="shared" si="7"/>
        <v>0</v>
      </c>
      <c r="I107" s="3" t="s">
        <v>354</v>
      </c>
      <c r="J107" s="3" t="s">
        <v>355</v>
      </c>
      <c r="K107" s="173">
        <v>0</v>
      </c>
      <c r="L107" s="1">
        <v>12078.33</v>
      </c>
      <c r="M107" s="1">
        <v>12078.33</v>
      </c>
      <c r="N107" s="173">
        <v>0</v>
      </c>
      <c r="O107" s="4">
        <f t="shared" si="8"/>
        <v>0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S</v>
      </c>
      <c r="E108" s="2">
        <f>IF($I108="","",COUNTIFS(Tab_00.Trial[CONTA],$I108))</f>
        <v>1</v>
      </c>
      <c r="F108" s="4">
        <f>SUMIFS(Tab_08.Ago[SALDO
ATUAL],Tab_08.Ago[CONTA],$I108)</f>
        <v>-22355.56</v>
      </c>
      <c r="G108" s="4">
        <f t="shared" si="7"/>
        <v>45.71</v>
      </c>
      <c r="I108" s="3" t="s">
        <v>224</v>
      </c>
      <c r="J108" s="3" t="s">
        <v>664</v>
      </c>
      <c r="K108" s="173">
        <v>-22401.27</v>
      </c>
      <c r="L108" s="1">
        <v>564.9</v>
      </c>
      <c r="M108" s="1">
        <v>611.34</v>
      </c>
      <c r="N108" s="173">
        <v>-22447.71</v>
      </c>
      <c r="O108" s="4">
        <f t="shared" si="8"/>
        <v>-46.44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SUMIFS(Tab_08.Ago[SALDO
ATUAL],Tab_08.Ago[CONTA],$I109)</f>
        <v>-22355.56</v>
      </c>
      <c r="G109" s="4">
        <f t="shared" si="7"/>
        <v>45.71</v>
      </c>
      <c r="I109" s="3" t="s">
        <v>225</v>
      </c>
      <c r="J109" s="3" t="s">
        <v>665</v>
      </c>
      <c r="K109" s="173">
        <v>-22401.27</v>
      </c>
      <c r="L109" s="1">
        <v>564.9</v>
      </c>
      <c r="M109" s="1">
        <v>611.34</v>
      </c>
      <c r="N109" s="173">
        <v>-22447.71</v>
      </c>
      <c r="O109" s="4">
        <f t="shared" si="8"/>
        <v>-46.44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SUMIFS(Tab_08.Ago[SALDO
ATUAL],Tab_08.Ago[CONTA],$I110)</f>
        <v>-22355.56</v>
      </c>
      <c r="G110" s="4">
        <f t="shared" si="7"/>
        <v>45.71</v>
      </c>
      <c r="I110" s="3" t="s">
        <v>356</v>
      </c>
      <c r="J110" s="3" t="s">
        <v>357</v>
      </c>
      <c r="K110" s="173">
        <v>-22401.27</v>
      </c>
      <c r="L110" s="1">
        <v>564.9</v>
      </c>
      <c r="M110" s="1">
        <v>611.34</v>
      </c>
      <c r="N110" s="173">
        <v>-22447.71</v>
      </c>
      <c r="O110" s="4">
        <f t="shared" si="8"/>
        <v>-46.44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SUMIFS(Tab_08.Ago[SALDO
ATUAL],Tab_08.Ago[CONTA],$I111)</f>
        <v>-3849.2</v>
      </c>
      <c r="G111" s="4">
        <f t="shared" si="7"/>
        <v>0</v>
      </c>
      <c r="I111" s="3" t="s">
        <v>564</v>
      </c>
      <c r="J111" s="3" t="s">
        <v>666</v>
      </c>
      <c r="K111" s="173">
        <v>-3849.2</v>
      </c>
      <c r="L111" s="1">
        <v>0</v>
      </c>
      <c r="M111" s="1">
        <v>0</v>
      </c>
      <c r="N111" s="173">
        <v>-3849.2</v>
      </c>
      <c r="O111" s="4">
        <f t="shared" si="8"/>
        <v>0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SUMIFS(Tab_08.Ago[SALDO
ATUAL],Tab_08.Ago[CONTA],$I112)</f>
        <v>-3849.2</v>
      </c>
      <c r="G112" s="4">
        <f t="shared" si="7"/>
        <v>0</v>
      </c>
      <c r="I112" s="3" t="s">
        <v>565</v>
      </c>
      <c r="J112" s="3" t="s">
        <v>667</v>
      </c>
      <c r="K112" s="173">
        <v>-3849.2</v>
      </c>
      <c r="L112" s="1">
        <v>0</v>
      </c>
      <c r="M112" s="1">
        <v>0</v>
      </c>
      <c r="N112" s="173">
        <v>-3849.2</v>
      </c>
      <c r="O112" s="4">
        <f t="shared" si="8"/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SUMIFS(Tab_08.Ago[SALDO
ATUAL],Tab_08.Ago[CONTA],$I113)</f>
        <v>-3849.2</v>
      </c>
      <c r="G113" s="4">
        <f t="shared" si="7"/>
        <v>0</v>
      </c>
      <c r="I113" s="3" t="s">
        <v>358</v>
      </c>
      <c r="J113" s="3" t="s">
        <v>359</v>
      </c>
      <c r="K113" s="173">
        <v>-3849.2</v>
      </c>
      <c r="L113" s="1">
        <v>0</v>
      </c>
      <c r="M113" s="1">
        <v>0</v>
      </c>
      <c r="N113" s="173">
        <v>-3849.2</v>
      </c>
      <c r="O113" s="4">
        <f t="shared" si="8"/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2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SUMIFS(Tab_08.Ago[SALDO
ATUAL],Tab_08.Ago[CONTA],$I114)</f>
        <v>-46934.04</v>
      </c>
      <c r="G114" s="4">
        <f t="shared" ref="G114:G145" si="9">$F114-$K114</f>
        <v>0</v>
      </c>
      <c r="I114" s="3" t="s">
        <v>226</v>
      </c>
      <c r="J114" s="3" t="s">
        <v>76</v>
      </c>
      <c r="K114" s="173">
        <v>-46934.04</v>
      </c>
      <c r="L114" s="1">
        <v>0</v>
      </c>
      <c r="M114" s="1">
        <v>0</v>
      </c>
      <c r="N114" s="173">
        <v>-46934.04</v>
      </c>
      <c r="O114" s="4">
        <f t="shared" ref="O114:O145" si="10">$L114-$M114</f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SUMIFS(Tab_08.Ago[SALDO
ATUAL],Tab_08.Ago[CONTA],$I115)</f>
        <v>-46934.04</v>
      </c>
      <c r="G115" s="4">
        <f t="shared" si="9"/>
        <v>0</v>
      </c>
      <c r="I115" s="3" t="s">
        <v>566</v>
      </c>
      <c r="J115" s="3" t="s">
        <v>668</v>
      </c>
      <c r="K115" s="173">
        <v>-46934.04</v>
      </c>
      <c r="L115" s="1">
        <v>0</v>
      </c>
      <c r="M115" s="1">
        <v>0</v>
      </c>
      <c r="N115" s="173">
        <v>-46934.04</v>
      </c>
      <c r="O115" s="4">
        <f t="shared" si="10"/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SUMIFS(Tab_08.Ago[SALDO
ATUAL],Tab_08.Ago[CONTA],$I116)</f>
        <v>-46934.04</v>
      </c>
      <c r="G116" s="4">
        <f t="shared" si="9"/>
        <v>0</v>
      </c>
      <c r="I116" s="3" t="s">
        <v>567</v>
      </c>
      <c r="J116" s="3" t="s">
        <v>669</v>
      </c>
      <c r="K116" s="173">
        <v>-46934.04</v>
      </c>
      <c r="L116" s="1">
        <v>0</v>
      </c>
      <c r="M116" s="1">
        <v>0</v>
      </c>
      <c r="N116" s="173">
        <v>-46934.04</v>
      </c>
      <c r="O116" s="4">
        <f t="shared" si="10"/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A</v>
      </c>
      <c r="E117" s="2">
        <f>IF($I117="","",COUNTIFS(Tab_00.Trial[CONTA],$I117))</f>
        <v>1</v>
      </c>
      <c r="F117" s="4">
        <f>SUMIFS(Tab_08.Ago[SALDO
ATUAL],Tab_08.Ago[CONTA],$I117)</f>
        <v>-31934.04</v>
      </c>
      <c r="G117" s="4">
        <f t="shared" si="9"/>
        <v>0</v>
      </c>
      <c r="I117" s="3" t="s">
        <v>360</v>
      </c>
      <c r="J117" s="3" t="s">
        <v>361</v>
      </c>
      <c r="K117" s="173">
        <v>-31934.04</v>
      </c>
      <c r="L117" s="1">
        <v>0</v>
      </c>
      <c r="M117" s="1">
        <v>0</v>
      </c>
      <c r="N117" s="173">
        <v>-31934.04</v>
      </c>
      <c r="O117" s="4">
        <f t="shared" si="10"/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SUMIFS(Tab_08.Ago[SALDO
ATUAL],Tab_08.Ago[CONTA],$I118)</f>
        <v>-15000</v>
      </c>
      <c r="G118" s="4">
        <f t="shared" si="9"/>
        <v>0</v>
      </c>
      <c r="I118" s="3" t="s">
        <v>362</v>
      </c>
      <c r="J118" s="3" t="s">
        <v>363</v>
      </c>
      <c r="K118" s="173">
        <v>-15000</v>
      </c>
      <c r="L118" s="1">
        <v>0</v>
      </c>
      <c r="M118" s="1">
        <v>0</v>
      </c>
      <c r="N118" s="173">
        <v>-15000</v>
      </c>
      <c r="O118" s="4">
        <f t="shared" si="10"/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2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SUMIFS(Tab_08.Ago[SALDO
ATUAL],Tab_08.Ago[CONTA],$I119)</f>
        <v>-81855530.489999995</v>
      </c>
      <c r="G119" s="4">
        <f t="shared" si="9"/>
        <v>0</v>
      </c>
      <c r="I119" s="3" t="s">
        <v>228</v>
      </c>
      <c r="J119" s="3" t="s">
        <v>670</v>
      </c>
      <c r="K119" s="173">
        <v>-81855530.489999995</v>
      </c>
      <c r="L119" s="173">
        <v>0</v>
      </c>
      <c r="M119" s="173">
        <v>0</v>
      </c>
      <c r="N119" s="173">
        <v>-81855530.489999995</v>
      </c>
      <c r="O119" s="4">
        <f t="shared" si="10"/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SUMIFS(Tab_08.Ago[SALDO
ATUAL],Tab_08.Ago[CONTA],$I120)</f>
        <v>-81855530.489999995</v>
      </c>
      <c r="G120" s="4">
        <f t="shared" si="9"/>
        <v>0</v>
      </c>
      <c r="I120" s="3" t="s">
        <v>229</v>
      </c>
      <c r="J120" s="3" t="s">
        <v>670</v>
      </c>
      <c r="K120" s="173">
        <v>-81855530.489999995</v>
      </c>
      <c r="L120" s="173">
        <v>0</v>
      </c>
      <c r="M120" s="173">
        <v>0</v>
      </c>
      <c r="N120" s="173">
        <v>-81855530.489999995</v>
      </c>
      <c r="O120" s="4">
        <f t="shared" si="10"/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SUMIFS(Tab_08.Ago[SALDO
ATUAL],Tab_08.Ago[CONTA],$I121)</f>
        <v>-104784619.59999999</v>
      </c>
      <c r="G121" s="4">
        <f t="shared" si="9"/>
        <v>0</v>
      </c>
      <c r="I121" s="3" t="s">
        <v>230</v>
      </c>
      <c r="J121" s="3" t="s">
        <v>364</v>
      </c>
      <c r="K121" s="173">
        <v>-104784619.59999999</v>
      </c>
      <c r="L121" s="1">
        <v>0</v>
      </c>
      <c r="M121" s="1">
        <v>0</v>
      </c>
      <c r="N121" s="173">
        <v>-104784619.59999999</v>
      </c>
      <c r="O121" s="4">
        <f t="shared" si="10"/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A</v>
      </c>
      <c r="E122" s="2">
        <f>IF($I122="","",COUNTIFS(Tab_00.Trial[CONTA],$I122))</f>
        <v>1</v>
      </c>
      <c r="F122" s="4">
        <f>SUMIFS(Tab_08.Ago[SALDO
ATUAL],Tab_08.Ago[CONTA],$I122)</f>
        <v>-104784619.59999999</v>
      </c>
      <c r="G122" s="4">
        <f t="shared" si="9"/>
        <v>0</v>
      </c>
      <c r="I122" s="3" t="s">
        <v>193</v>
      </c>
      <c r="J122" s="3" t="s">
        <v>364</v>
      </c>
      <c r="K122" s="173">
        <v>-104784619.59999999</v>
      </c>
      <c r="L122" s="1">
        <v>0</v>
      </c>
      <c r="M122" s="1">
        <v>0</v>
      </c>
      <c r="N122" s="173">
        <v>-104784619.59999999</v>
      </c>
      <c r="O122" s="4">
        <f t="shared" si="10"/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SUMIFS(Tab_08.Ago[SALDO
ATUAL],Tab_08.Ago[CONTA],$I123)</f>
        <v>32587250.850000001</v>
      </c>
      <c r="G123" s="4">
        <f t="shared" si="9"/>
        <v>0</v>
      </c>
      <c r="I123" s="3" t="s">
        <v>568</v>
      </c>
      <c r="J123" s="3" t="s">
        <v>671</v>
      </c>
      <c r="K123" s="173">
        <v>32587250.850000001</v>
      </c>
      <c r="L123" s="1">
        <v>0</v>
      </c>
      <c r="M123" s="1">
        <v>0</v>
      </c>
      <c r="N123" s="173">
        <v>32587250.850000001</v>
      </c>
      <c r="O123" s="4">
        <f t="shared" si="10"/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A</v>
      </c>
      <c r="E124" s="2">
        <f>IF($I124="","",COUNTIFS(Tab_00.Trial[CONTA],$I124))</f>
        <v>1</v>
      </c>
      <c r="F124" s="4">
        <f>SUMIFS(Tab_08.Ago[SALDO
ATUAL],Tab_08.Ago[CONTA],$I124)</f>
        <v>-827719.82</v>
      </c>
      <c r="G124" s="4">
        <f t="shared" si="9"/>
        <v>0</v>
      </c>
      <c r="I124" s="3" t="s">
        <v>743</v>
      </c>
      <c r="J124" s="3" t="s">
        <v>744</v>
      </c>
      <c r="K124" s="173">
        <v>-827719.82</v>
      </c>
      <c r="L124" s="173">
        <v>0</v>
      </c>
      <c r="M124" s="173">
        <v>0</v>
      </c>
      <c r="N124" s="173">
        <v>-827719.82</v>
      </c>
      <c r="O124" s="4">
        <f t="shared" si="10"/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SUMIFS(Tab_08.Ago[SALDO
ATUAL],Tab_08.Ago[CONTA],$I125)</f>
        <v>33414970.670000002</v>
      </c>
      <c r="G125" s="4">
        <f t="shared" si="9"/>
        <v>0</v>
      </c>
      <c r="I125" s="3" t="s">
        <v>365</v>
      </c>
      <c r="J125" s="3" t="s">
        <v>366</v>
      </c>
      <c r="K125" s="173">
        <v>33414970.670000002</v>
      </c>
      <c r="L125" s="173">
        <v>0</v>
      </c>
      <c r="M125" s="173">
        <v>0</v>
      </c>
      <c r="N125" s="173">
        <v>33414970.670000002</v>
      </c>
      <c r="O125" s="4">
        <f t="shared" si="10"/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SUMIFS(Tab_08.Ago[SALDO
ATUAL],Tab_08.Ago[CONTA],$I126)</f>
        <v>-9658161.7400000002</v>
      </c>
      <c r="G126" s="4">
        <f t="shared" si="9"/>
        <v>0</v>
      </c>
      <c r="I126" s="3" t="s">
        <v>745</v>
      </c>
      <c r="J126" s="3" t="s">
        <v>746</v>
      </c>
      <c r="K126" s="173">
        <v>-9658161.7400000002</v>
      </c>
      <c r="L126" s="1">
        <v>0</v>
      </c>
      <c r="M126" s="173">
        <v>0</v>
      </c>
      <c r="N126" s="173">
        <v>-9658161.7400000002</v>
      </c>
      <c r="O126" s="4">
        <f t="shared" si="10"/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SUMIFS(Tab_08.Ago[SALDO
ATUAL],Tab_08.Ago[CONTA],$I127)</f>
        <v>-9658161.7400000002</v>
      </c>
      <c r="G127" s="4">
        <f t="shared" si="9"/>
        <v>0</v>
      </c>
      <c r="I127" s="3" t="s">
        <v>747</v>
      </c>
      <c r="J127" s="3" t="s">
        <v>746</v>
      </c>
      <c r="K127" s="173">
        <v>-9658161.7400000002</v>
      </c>
      <c r="L127" s="173">
        <v>0</v>
      </c>
      <c r="M127" s="173">
        <v>0</v>
      </c>
      <c r="N127" s="173">
        <v>-9658161.7400000002</v>
      </c>
      <c r="O127" s="4">
        <f t="shared" si="10"/>
        <v>0</v>
      </c>
    </row>
    <row r="128" spans="2:15" x14ac:dyDescent="0.3">
      <c r="B128" s="2" t="str">
        <f>_xlfn.XLOOKUP($I128,Tab_00.Trial[CONTA],Tab_00.Trial[TP],"",0,1)</f>
        <v>R</v>
      </c>
      <c r="C128" s="2">
        <f>_xlfn.XLOOKUP($I128,Tab_00.Trial[CONTA],Tab_00.Trial[NV],"",0,1)</f>
        <v>1</v>
      </c>
      <c r="D128" s="2" t="str">
        <f>_xlfn.XLOOKUP($I128,Tab_00.Trial[CONTA],Tab_00.Trial[S/A],"",0,1)</f>
        <v>S</v>
      </c>
      <c r="E128" s="2">
        <f>IF($I128="","",COUNTIFS(Tab_00.Trial[CONTA],$I128))</f>
        <v>1</v>
      </c>
      <c r="F128" s="4">
        <f>SUMIFS(Tab_08.Ago[SALDO
ATUAL],Tab_08.Ago[CONTA],$I128)</f>
        <v>-8945453.5600000005</v>
      </c>
      <c r="G128" s="4">
        <f t="shared" si="9"/>
        <v>1408385.95</v>
      </c>
      <c r="I128" s="3">
        <v>3</v>
      </c>
      <c r="J128" s="3" t="s">
        <v>672</v>
      </c>
      <c r="K128" s="173">
        <v>-10353839.51</v>
      </c>
      <c r="L128" s="1">
        <v>12078.33</v>
      </c>
      <c r="M128" s="1">
        <v>1122751.52</v>
      </c>
      <c r="N128" s="173">
        <v>-11464512.699999999</v>
      </c>
      <c r="O128" s="4">
        <f t="shared" si="10"/>
        <v>-1110673.19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2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SUMIFS(Tab_08.Ago[SALDO
ATUAL],Tab_08.Ago[CONTA],$I129)</f>
        <v>-4191056.22</v>
      </c>
      <c r="G129" s="4">
        <f t="shared" si="9"/>
        <v>583526.41</v>
      </c>
      <c r="I129" s="3" t="s">
        <v>231</v>
      </c>
      <c r="J129" s="3" t="s">
        <v>673</v>
      </c>
      <c r="K129" s="173">
        <v>-4774582.63</v>
      </c>
      <c r="L129" s="1">
        <v>0</v>
      </c>
      <c r="M129" s="1">
        <v>509455.47</v>
      </c>
      <c r="N129" s="173">
        <v>-5284038.0999999996</v>
      </c>
      <c r="O129" s="4">
        <f t="shared" si="10"/>
        <v>-509455.47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5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SUMIFS(Tab_08.Ago[SALDO
ATUAL],Tab_08.Ago[CONTA],$I130)</f>
        <v>-2618544.58</v>
      </c>
      <c r="G130" s="4">
        <f t="shared" si="9"/>
        <v>364789.51</v>
      </c>
      <c r="I130" s="3" t="s">
        <v>232</v>
      </c>
      <c r="J130" s="3" t="s">
        <v>674</v>
      </c>
      <c r="K130" s="173">
        <v>-2983334.09</v>
      </c>
      <c r="L130" s="1">
        <v>0</v>
      </c>
      <c r="M130" s="173">
        <v>326915.51</v>
      </c>
      <c r="N130" s="173">
        <v>-3310249.6</v>
      </c>
      <c r="O130" s="4">
        <f t="shared" si="10"/>
        <v>-326915.51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SUMIFS(Tab_08.Ago[SALDO
ATUAL],Tab_08.Ago[CONTA],$I131)</f>
        <v>-916108.28</v>
      </c>
      <c r="G131" s="4">
        <f t="shared" si="9"/>
        <v>140098.56</v>
      </c>
      <c r="I131" s="3" t="s">
        <v>233</v>
      </c>
      <c r="J131" s="3" t="s">
        <v>675</v>
      </c>
      <c r="K131" s="173">
        <v>-1056206.8400000001</v>
      </c>
      <c r="L131" s="1">
        <v>0</v>
      </c>
      <c r="M131" s="173">
        <v>128578.44</v>
      </c>
      <c r="N131" s="173">
        <v>-1184785.28</v>
      </c>
      <c r="O131" s="4">
        <f t="shared" si="10"/>
        <v>-128578.44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A</v>
      </c>
      <c r="E132" s="2">
        <f>IF($I132="","",COUNTIFS(Tab_00.Trial[CONTA],$I132))</f>
        <v>1</v>
      </c>
      <c r="F132" s="4">
        <f>SUMIFS(Tab_08.Ago[SALDO
ATUAL],Tab_08.Ago[CONTA],$I132)</f>
        <v>-916108.28</v>
      </c>
      <c r="G132" s="4">
        <f t="shared" si="9"/>
        <v>140098.56</v>
      </c>
      <c r="I132" s="3" t="s">
        <v>194</v>
      </c>
      <c r="J132" s="3" t="s">
        <v>367</v>
      </c>
      <c r="K132" s="173">
        <v>-1056206.8400000001</v>
      </c>
      <c r="L132" s="1">
        <v>0</v>
      </c>
      <c r="M132" s="173">
        <v>128578.44</v>
      </c>
      <c r="N132" s="173">
        <v>-1184785.28</v>
      </c>
      <c r="O132" s="4">
        <f t="shared" si="10"/>
        <v>-128578.44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SUMIFS(Tab_08.Ago[SALDO
ATUAL],Tab_08.Ago[CONTA],$I133)</f>
        <v>-1702436.3</v>
      </c>
      <c r="G133" s="4">
        <f t="shared" si="9"/>
        <v>224690.95</v>
      </c>
      <c r="I133" s="3" t="s">
        <v>735</v>
      </c>
      <c r="J133" s="3" t="s">
        <v>736</v>
      </c>
      <c r="K133" s="173">
        <v>-1927127.25</v>
      </c>
      <c r="L133" s="1">
        <v>0</v>
      </c>
      <c r="M133" s="173">
        <v>198337.07</v>
      </c>
      <c r="N133" s="173">
        <v>-2125464.3199999998</v>
      </c>
      <c r="O133" s="4">
        <f t="shared" si="10"/>
        <v>-198337.07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A</v>
      </c>
      <c r="E134" s="2">
        <f>IF($I134="","",COUNTIFS(Tab_00.Trial[CONTA],$I134))</f>
        <v>1</v>
      </c>
      <c r="F134" s="4">
        <f>SUMIFS(Tab_08.Ago[SALDO
ATUAL],Tab_08.Ago[CONTA],$I134)</f>
        <v>-1702436.3</v>
      </c>
      <c r="G134" s="4">
        <f t="shared" si="9"/>
        <v>224690.95</v>
      </c>
      <c r="I134" s="3" t="s">
        <v>737</v>
      </c>
      <c r="J134" s="3" t="s">
        <v>820</v>
      </c>
      <c r="K134" s="173">
        <v>-1927127.25</v>
      </c>
      <c r="L134" s="1">
        <v>0</v>
      </c>
      <c r="M134" s="173">
        <v>198337.07</v>
      </c>
      <c r="N134" s="173">
        <v>-2125464.3199999998</v>
      </c>
      <c r="O134" s="4">
        <f t="shared" si="10"/>
        <v>-198337.07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SUMIFS(Tab_08.Ago[SALDO
ATUAL],Tab_08.Ago[CONTA],$I135)</f>
        <v>-1572511.64</v>
      </c>
      <c r="G135" s="4">
        <f t="shared" si="9"/>
        <v>218736.9</v>
      </c>
      <c r="I135" s="3" t="s">
        <v>569</v>
      </c>
      <c r="J135" s="3" t="s">
        <v>676</v>
      </c>
      <c r="K135" s="173">
        <v>-1791248.54</v>
      </c>
      <c r="L135" s="1">
        <v>0</v>
      </c>
      <c r="M135" s="1">
        <v>182539.96</v>
      </c>
      <c r="N135" s="173">
        <v>-1973788.5</v>
      </c>
      <c r="O135" s="4">
        <f t="shared" si="10"/>
        <v>-182539.96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SUMIFS(Tab_08.Ago[SALDO
ATUAL],Tab_08.Ago[CONTA],$I136)</f>
        <v>-991749.08</v>
      </c>
      <c r="G136" s="4">
        <f t="shared" si="9"/>
        <v>135770.82</v>
      </c>
      <c r="I136" s="3" t="s">
        <v>570</v>
      </c>
      <c r="J136" s="3" t="s">
        <v>677</v>
      </c>
      <c r="K136" s="173">
        <v>-1127519.8999999999</v>
      </c>
      <c r="L136" s="1">
        <v>0</v>
      </c>
      <c r="M136" s="173">
        <v>99573.87</v>
      </c>
      <c r="N136" s="173">
        <v>-1227093.77</v>
      </c>
      <c r="O136" s="4">
        <f t="shared" si="10"/>
        <v>-99573.87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SUMIFS(Tab_08.Ago[SALDO
ATUAL],Tab_08.Ago[CONTA],$I137)</f>
        <v>-488798.45</v>
      </c>
      <c r="G137" s="4">
        <f t="shared" si="9"/>
        <v>3900</v>
      </c>
      <c r="I137" s="3" t="s">
        <v>368</v>
      </c>
      <c r="J137" s="3" t="s">
        <v>369</v>
      </c>
      <c r="K137" s="173">
        <v>-492698.45</v>
      </c>
      <c r="L137" s="1">
        <v>0</v>
      </c>
      <c r="M137" s="1">
        <v>3800</v>
      </c>
      <c r="N137" s="173">
        <v>-496498.45</v>
      </c>
      <c r="O137" s="4">
        <f t="shared" si="10"/>
        <v>-3800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SUMIFS(Tab_08.Ago[SALDO
ATUAL],Tab_08.Ago[CONTA],$I138)</f>
        <v>-406878.7</v>
      </c>
      <c r="G138" s="4">
        <f t="shared" si="9"/>
        <v>131778.32999999999</v>
      </c>
      <c r="I138" s="3" t="s">
        <v>370</v>
      </c>
      <c r="J138" s="3" t="s">
        <v>371</v>
      </c>
      <c r="K138" s="173">
        <v>-538657.03</v>
      </c>
      <c r="L138" s="1">
        <v>0</v>
      </c>
      <c r="M138" s="1">
        <v>95773.87</v>
      </c>
      <c r="N138" s="173">
        <v>-634430.9</v>
      </c>
      <c r="O138" s="4">
        <f t="shared" si="10"/>
        <v>-95773.87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SUMIFS(Tab_08.Ago[SALDO
ATUAL],Tab_08.Ago[CONTA],$I139)</f>
        <v>-6547.36</v>
      </c>
      <c r="G139" s="4">
        <f t="shared" si="9"/>
        <v>0</v>
      </c>
      <c r="I139" s="3" t="s">
        <v>372</v>
      </c>
      <c r="J139" s="3" t="s">
        <v>373</v>
      </c>
      <c r="K139" s="173">
        <v>-6547.36</v>
      </c>
      <c r="L139" s="1">
        <v>0</v>
      </c>
      <c r="M139" s="1">
        <v>0</v>
      </c>
      <c r="N139" s="173">
        <v>-6547.36</v>
      </c>
      <c r="O139" s="4">
        <f t="shared" si="10"/>
        <v>0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SUMIFS(Tab_08.Ago[SALDO
ATUAL],Tab_08.Ago[CONTA],$I140)</f>
        <v>-89524.57</v>
      </c>
      <c r="G140" s="4">
        <f t="shared" si="9"/>
        <v>92.49</v>
      </c>
      <c r="I140" s="3" t="s">
        <v>851</v>
      </c>
      <c r="J140" s="3" t="s">
        <v>852</v>
      </c>
      <c r="K140" s="1">
        <v>-89617.06</v>
      </c>
      <c r="L140" s="1">
        <v>0</v>
      </c>
      <c r="M140" s="1">
        <v>0</v>
      </c>
      <c r="N140" s="1">
        <v>-89617.06</v>
      </c>
      <c r="O140" s="4">
        <f t="shared" si="10"/>
        <v>0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S</v>
      </c>
      <c r="E141" s="2">
        <f>IF($I141="","",COUNTIFS(Tab_00.Trial[CONTA],$I141))</f>
        <v>1</v>
      </c>
      <c r="F141" s="4">
        <f>SUMIFS(Tab_08.Ago[SALDO
ATUAL],Tab_08.Ago[CONTA],$I141)</f>
        <v>-580762.56000000006</v>
      </c>
      <c r="G141" s="4">
        <f t="shared" si="9"/>
        <v>82966.080000000002</v>
      </c>
      <c r="I141" s="3" t="s">
        <v>571</v>
      </c>
      <c r="J141" s="3" t="s">
        <v>377</v>
      </c>
      <c r="K141" s="1">
        <v>-663728.64000000001</v>
      </c>
      <c r="L141" s="1">
        <v>0</v>
      </c>
      <c r="M141" s="1">
        <v>82966.09</v>
      </c>
      <c r="N141" s="1">
        <v>-746694.73</v>
      </c>
      <c r="O141" s="4">
        <f t="shared" si="10"/>
        <v>-82966.09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SUMIFS(Tab_08.Ago[SALDO
ATUAL],Tab_08.Ago[CONTA],$I142)</f>
        <v>-580762.56000000006</v>
      </c>
      <c r="G142" s="4">
        <f t="shared" si="9"/>
        <v>82966.080000000002</v>
      </c>
      <c r="I142" s="3" t="s">
        <v>376</v>
      </c>
      <c r="J142" s="3" t="s">
        <v>377</v>
      </c>
      <c r="K142" s="1">
        <v>-663728.64000000001</v>
      </c>
      <c r="L142" s="1">
        <v>0</v>
      </c>
      <c r="M142" s="1">
        <v>82966.09</v>
      </c>
      <c r="N142" s="1">
        <v>-746694.73</v>
      </c>
      <c r="O142" s="4">
        <f t="shared" si="10"/>
        <v>-82966.09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2</v>
      </c>
      <c r="D143" s="2" t="str">
        <f>_xlfn.XLOOKUP($I143,Tab_00.Trial[CONTA],Tab_00.Trial[S/A],"",0,1)</f>
        <v>S</v>
      </c>
      <c r="E143" s="2">
        <f>IF($I143="","",COUNTIFS(Tab_00.Trial[CONTA],$I143))</f>
        <v>1</v>
      </c>
      <c r="F143" s="4">
        <f>SUMIFS(Tab_08.Ago[SALDO
ATUAL],Tab_08.Ago[CONTA],$I143)</f>
        <v>-3078453.5</v>
      </c>
      <c r="G143" s="4">
        <f t="shared" si="9"/>
        <v>446898.11</v>
      </c>
      <c r="I143" s="3" t="s">
        <v>574</v>
      </c>
      <c r="J143" s="3" t="s">
        <v>680</v>
      </c>
      <c r="K143" s="1">
        <v>-3525351.61</v>
      </c>
      <c r="L143" s="1">
        <v>12078.33</v>
      </c>
      <c r="M143" s="1">
        <v>458450.1</v>
      </c>
      <c r="N143" s="1">
        <v>-3971723.38</v>
      </c>
      <c r="O143" s="4">
        <f t="shared" si="10"/>
        <v>-446371.77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SUMIFS(Tab_08.Ago[SALDO
ATUAL],Tab_08.Ago[CONTA],$I144)</f>
        <v>-50</v>
      </c>
      <c r="G144" s="4">
        <f t="shared" si="9"/>
        <v>0</v>
      </c>
      <c r="I144" s="3" t="s">
        <v>575</v>
      </c>
      <c r="J144" s="3" t="s">
        <v>681</v>
      </c>
      <c r="K144" s="1">
        <v>-50</v>
      </c>
      <c r="L144" s="1">
        <v>0</v>
      </c>
      <c r="M144" s="1">
        <v>5000</v>
      </c>
      <c r="N144" s="1">
        <v>-5050</v>
      </c>
      <c r="O144" s="4">
        <f t="shared" si="10"/>
        <v>-5000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SUMIFS(Tab_08.Ago[SALDO
ATUAL],Tab_08.Ago[CONTA],$I145)</f>
        <v>-50</v>
      </c>
      <c r="G145" s="4">
        <f t="shared" si="9"/>
        <v>0</v>
      </c>
      <c r="I145" s="3" t="s">
        <v>576</v>
      </c>
      <c r="J145" s="3" t="s">
        <v>821</v>
      </c>
      <c r="K145" s="173">
        <v>-50</v>
      </c>
      <c r="L145" s="1">
        <v>0</v>
      </c>
      <c r="M145" s="173">
        <v>5000</v>
      </c>
      <c r="N145" s="173">
        <v>-5050</v>
      </c>
      <c r="O145" s="4">
        <f t="shared" si="10"/>
        <v>-5000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SUMIFS(Tab_08.Ago[SALDO
ATUAL],Tab_08.Ago[CONTA],$I146)</f>
        <v>-50</v>
      </c>
      <c r="G146" s="4">
        <f t="shared" ref="G146:G177" si="11">$F146-$K146</f>
        <v>0</v>
      </c>
      <c r="I146" s="3" t="s">
        <v>382</v>
      </c>
      <c r="J146" s="3" t="s">
        <v>292</v>
      </c>
      <c r="K146" s="173">
        <v>-50</v>
      </c>
      <c r="L146" s="1">
        <v>0</v>
      </c>
      <c r="M146" s="173">
        <v>5000</v>
      </c>
      <c r="N146" s="173">
        <v>-5050</v>
      </c>
      <c r="O146" s="4">
        <f t="shared" ref="O146:O177" si="12">$L146-$M146</f>
        <v>-5000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SUMIFS(Tab_08.Ago[SALDO
ATUAL],Tab_08.Ago[CONTA],$I147)</f>
        <v>11</v>
      </c>
      <c r="G147" s="4">
        <f t="shared" si="11"/>
        <v>-37.729999999999997</v>
      </c>
      <c r="I147" s="3" t="s">
        <v>577</v>
      </c>
      <c r="J147" s="3" t="s">
        <v>683</v>
      </c>
      <c r="K147" s="173">
        <v>48.73</v>
      </c>
      <c r="L147" s="1">
        <v>12078.33</v>
      </c>
      <c r="M147" s="173">
        <v>0</v>
      </c>
      <c r="N147" s="173">
        <v>12127.06</v>
      </c>
      <c r="O147" s="4">
        <f t="shared" si="12"/>
        <v>12078.33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SUMIFS(Tab_08.Ago[SALDO
ATUAL],Tab_08.Ago[CONTA],$I148)</f>
        <v>11</v>
      </c>
      <c r="G148" s="4">
        <f t="shared" si="11"/>
        <v>-37.729999999999997</v>
      </c>
      <c r="I148" s="3" t="s">
        <v>853</v>
      </c>
      <c r="J148" s="3" t="s">
        <v>854</v>
      </c>
      <c r="K148" s="173">
        <v>48.73</v>
      </c>
      <c r="L148" s="1">
        <v>12078.33</v>
      </c>
      <c r="M148" s="173">
        <v>0</v>
      </c>
      <c r="N148" s="173">
        <v>12127.06</v>
      </c>
      <c r="O148" s="4">
        <f t="shared" si="12"/>
        <v>12078.33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A</v>
      </c>
      <c r="E149" s="2">
        <f>IF($I149="","",COUNTIFS(Tab_00.Trial[CONTA],$I149))</f>
        <v>1</v>
      </c>
      <c r="F149" s="4">
        <f>SUMIFS(Tab_08.Ago[SALDO
ATUAL],Tab_08.Ago[CONTA],$I149)</f>
        <v>11</v>
      </c>
      <c r="G149" s="4">
        <f t="shared" si="11"/>
        <v>-37.729999999999997</v>
      </c>
      <c r="I149" s="3" t="s">
        <v>855</v>
      </c>
      <c r="J149" s="3" t="s">
        <v>856</v>
      </c>
      <c r="K149" s="173">
        <v>48.73</v>
      </c>
      <c r="L149" s="1">
        <v>12078.33</v>
      </c>
      <c r="M149" s="173">
        <v>0</v>
      </c>
      <c r="N149" s="173">
        <v>12127.06</v>
      </c>
      <c r="O149" s="4">
        <f t="shared" si="12"/>
        <v>12078.33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SUMIFS(Tab_08.Ago[SALDO
ATUAL],Tab_08.Ago[CONTA],$I150)</f>
        <v>-3078414.5</v>
      </c>
      <c r="G150" s="4">
        <f t="shared" si="11"/>
        <v>446935.84</v>
      </c>
      <c r="I150" s="3" t="s">
        <v>580</v>
      </c>
      <c r="J150" s="3" t="s">
        <v>822</v>
      </c>
      <c r="K150" s="1">
        <v>-3525350.34</v>
      </c>
      <c r="L150" s="1">
        <v>0</v>
      </c>
      <c r="M150" s="173">
        <v>453450.1</v>
      </c>
      <c r="N150" s="173">
        <v>-3978800.44</v>
      </c>
      <c r="O150" s="4">
        <f t="shared" si="12"/>
        <v>-453450.1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SUMIFS(Tab_08.Ago[SALDO
ATUAL],Tab_08.Ago[CONTA],$I151)</f>
        <v>-3078414.5</v>
      </c>
      <c r="G151" s="4">
        <f t="shared" si="11"/>
        <v>446935.84</v>
      </c>
      <c r="I151" s="3" t="s">
        <v>581</v>
      </c>
      <c r="J151" s="3" t="s">
        <v>687</v>
      </c>
      <c r="K151" s="1">
        <v>-3525350.34</v>
      </c>
      <c r="L151" s="1">
        <v>0</v>
      </c>
      <c r="M151" s="173">
        <v>453450.1</v>
      </c>
      <c r="N151" s="173">
        <v>-3978800.44</v>
      </c>
      <c r="O151" s="4">
        <f t="shared" si="12"/>
        <v>-453450.1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SUMIFS(Tab_08.Ago[SALDO
ATUAL],Tab_08.Ago[CONTA],$I152)</f>
        <v>-3026099.26</v>
      </c>
      <c r="G152" s="4">
        <f t="shared" si="11"/>
        <v>440421.58</v>
      </c>
      <c r="I152" s="3" t="s">
        <v>387</v>
      </c>
      <c r="J152" s="3" t="s">
        <v>388</v>
      </c>
      <c r="K152" s="1">
        <v>-3466520.84</v>
      </c>
      <c r="L152" s="1">
        <v>0</v>
      </c>
      <c r="M152" s="173">
        <v>440421.58</v>
      </c>
      <c r="N152" s="173">
        <v>-3906942.42</v>
      </c>
      <c r="O152" s="4">
        <f t="shared" si="12"/>
        <v>-440421.58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SUMIFS(Tab_08.Ago[SALDO
ATUAL],Tab_08.Ago[CONTA],$I153)</f>
        <v>-52315.24</v>
      </c>
      <c r="G153" s="4">
        <f t="shared" si="11"/>
        <v>6514.26</v>
      </c>
      <c r="I153" s="3" t="s">
        <v>389</v>
      </c>
      <c r="J153" s="3" t="s">
        <v>390</v>
      </c>
      <c r="K153" s="173">
        <v>-58829.5</v>
      </c>
      <c r="L153" s="1">
        <v>0</v>
      </c>
      <c r="M153" s="173">
        <v>13028.52</v>
      </c>
      <c r="N153" s="173">
        <v>-71858.02</v>
      </c>
      <c r="O153" s="4">
        <f t="shared" si="12"/>
        <v>-13028.52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2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SUMIFS(Tab_08.Ago[SALDO
ATUAL],Tab_08.Ago[CONTA],$I154)</f>
        <v>-1668493.84</v>
      </c>
      <c r="G154" s="4">
        <f t="shared" si="11"/>
        <v>377961.43</v>
      </c>
      <c r="I154" s="3" t="s">
        <v>582</v>
      </c>
      <c r="J154" s="3" t="s">
        <v>688</v>
      </c>
      <c r="K154" s="173">
        <v>-2046455.27</v>
      </c>
      <c r="L154" s="1">
        <v>0</v>
      </c>
      <c r="M154" s="173">
        <v>154845.95000000001</v>
      </c>
      <c r="N154" s="173">
        <v>-2201301.2200000002</v>
      </c>
      <c r="O154" s="4">
        <f t="shared" si="12"/>
        <v>-154845.95000000001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SUMIFS(Tab_08.Ago[SALDO
ATUAL],Tab_08.Ago[CONTA],$I155)</f>
        <v>-73.459999999999994</v>
      </c>
      <c r="G155" s="4">
        <f t="shared" si="11"/>
        <v>300.06</v>
      </c>
      <c r="I155" s="3" t="s">
        <v>583</v>
      </c>
      <c r="J155" s="3" t="s">
        <v>689</v>
      </c>
      <c r="K155" s="173">
        <v>-373.52</v>
      </c>
      <c r="L155" s="1">
        <v>0</v>
      </c>
      <c r="M155" s="173">
        <v>300.02</v>
      </c>
      <c r="N155" s="173">
        <v>-673.54</v>
      </c>
      <c r="O155" s="4">
        <f t="shared" si="12"/>
        <v>-300.02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SUMIFS(Tab_08.Ago[SALDO
ATUAL],Tab_08.Ago[CONTA],$I156)</f>
        <v>-73.459999999999994</v>
      </c>
      <c r="G156" s="4">
        <f t="shared" si="11"/>
        <v>300.06</v>
      </c>
      <c r="I156" s="3" t="s">
        <v>584</v>
      </c>
      <c r="J156" s="3" t="s">
        <v>689</v>
      </c>
      <c r="K156" s="1">
        <v>-373.52</v>
      </c>
      <c r="L156" s="1">
        <v>0</v>
      </c>
      <c r="M156" s="1">
        <v>300.02</v>
      </c>
      <c r="N156" s="1">
        <v>-673.54</v>
      </c>
      <c r="O156" s="4">
        <f t="shared" si="12"/>
        <v>-300.02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A</v>
      </c>
      <c r="E157" s="2">
        <f>IF($I157="","",COUNTIFS(Tab_00.Trial[CONTA],$I157))</f>
        <v>1</v>
      </c>
      <c r="F157" s="4">
        <f>SUMIFS(Tab_08.Ago[SALDO
ATUAL],Tab_08.Ago[CONTA],$I157)</f>
        <v>-73.459999999999994</v>
      </c>
      <c r="G157" s="4">
        <f t="shared" si="11"/>
        <v>300.06</v>
      </c>
      <c r="I157" s="3" t="s">
        <v>391</v>
      </c>
      <c r="J157" s="3" t="s">
        <v>392</v>
      </c>
      <c r="K157" s="1">
        <v>-373.52</v>
      </c>
      <c r="L157" s="1">
        <v>0</v>
      </c>
      <c r="M157" s="1">
        <v>300.02</v>
      </c>
      <c r="N157" s="1">
        <v>-673.54</v>
      </c>
      <c r="O157" s="4">
        <f t="shared" si="12"/>
        <v>-300.02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SUMIFS(Tab_08.Ago[SALDO
ATUAL],Tab_08.Ago[CONTA],$I158)</f>
        <v>-1668420.38</v>
      </c>
      <c r="G158" s="4">
        <f t="shared" si="11"/>
        <v>377661.37</v>
      </c>
      <c r="I158" s="3" t="s">
        <v>585</v>
      </c>
      <c r="J158" s="3" t="s">
        <v>690</v>
      </c>
      <c r="K158" s="1">
        <v>-2046081.75</v>
      </c>
      <c r="L158" s="1">
        <v>0</v>
      </c>
      <c r="M158" s="1">
        <v>154545.93</v>
      </c>
      <c r="N158" s="1">
        <v>-2200627.6800000002</v>
      </c>
      <c r="O158" s="4">
        <f t="shared" si="12"/>
        <v>-154545.93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SUMIFS(Tab_08.Ago[SALDO
ATUAL],Tab_08.Ago[CONTA],$I159)</f>
        <v>-1668420.38</v>
      </c>
      <c r="G159" s="4">
        <f t="shared" si="11"/>
        <v>377661.37</v>
      </c>
      <c r="I159" s="3" t="s">
        <v>586</v>
      </c>
      <c r="J159" s="3" t="s">
        <v>394</v>
      </c>
      <c r="K159" s="1">
        <v>-2046081.75</v>
      </c>
      <c r="L159" s="1">
        <v>0</v>
      </c>
      <c r="M159" s="1">
        <v>154545.93</v>
      </c>
      <c r="N159" s="1">
        <v>-2200627.6800000002</v>
      </c>
      <c r="O159" s="4">
        <f t="shared" si="12"/>
        <v>-154545.93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A</v>
      </c>
      <c r="E160" s="2">
        <f>IF($I160="","",COUNTIFS(Tab_00.Trial[CONTA],$I160))</f>
        <v>1</v>
      </c>
      <c r="F160" s="4">
        <f>SUMIFS(Tab_08.Ago[SALDO
ATUAL],Tab_08.Ago[CONTA],$I160)</f>
        <v>-1668420.38</v>
      </c>
      <c r="G160" s="4">
        <f t="shared" si="11"/>
        <v>377661.37</v>
      </c>
      <c r="I160" s="3" t="s">
        <v>393</v>
      </c>
      <c r="J160" s="3" t="s">
        <v>394</v>
      </c>
      <c r="K160" s="173">
        <v>-2046081.75</v>
      </c>
      <c r="L160" s="173">
        <v>0</v>
      </c>
      <c r="M160" s="173">
        <v>154545.93</v>
      </c>
      <c r="N160" s="173">
        <v>-2200627.6800000002</v>
      </c>
      <c r="O160" s="4">
        <f t="shared" si="12"/>
        <v>-154545.93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2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SUMIFS(Tab_08.Ago[SALDO
ATUAL],Tab_08.Ago[CONTA],$I161)</f>
        <v>-7450</v>
      </c>
      <c r="G161" s="4">
        <f t="shared" si="11"/>
        <v>0</v>
      </c>
      <c r="I161" s="3" t="s">
        <v>587</v>
      </c>
      <c r="J161" s="3" t="s">
        <v>691</v>
      </c>
      <c r="K161" s="173">
        <v>-7450</v>
      </c>
      <c r="L161" s="173">
        <v>0</v>
      </c>
      <c r="M161" s="173">
        <v>0</v>
      </c>
      <c r="N161" s="173">
        <v>-7450</v>
      </c>
      <c r="O161" s="4">
        <f t="shared" si="12"/>
        <v>0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SUMIFS(Tab_08.Ago[SALDO
ATUAL],Tab_08.Ago[CONTA],$I162)</f>
        <v>-7450</v>
      </c>
      <c r="G162" s="4">
        <f t="shared" si="11"/>
        <v>0</v>
      </c>
      <c r="I162" s="3" t="s">
        <v>588</v>
      </c>
      <c r="J162" s="3" t="s">
        <v>692</v>
      </c>
      <c r="K162" s="173">
        <v>-7450</v>
      </c>
      <c r="L162" s="173">
        <v>0</v>
      </c>
      <c r="M162" s="173">
        <v>0</v>
      </c>
      <c r="N162" s="173">
        <v>-7450</v>
      </c>
      <c r="O162" s="4">
        <f t="shared" si="12"/>
        <v>0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SUMIFS(Tab_08.Ago[SALDO
ATUAL],Tab_08.Ago[CONTA],$I163)</f>
        <v>-7450</v>
      </c>
      <c r="G163" s="4">
        <f t="shared" si="11"/>
        <v>0</v>
      </c>
      <c r="I163" s="3" t="s">
        <v>589</v>
      </c>
      <c r="J163" s="3" t="s">
        <v>692</v>
      </c>
      <c r="K163" s="173">
        <v>-7450</v>
      </c>
      <c r="L163" s="173">
        <v>0</v>
      </c>
      <c r="M163" s="173">
        <v>0</v>
      </c>
      <c r="N163" s="173">
        <v>-7450</v>
      </c>
      <c r="O163" s="4">
        <f t="shared" si="12"/>
        <v>0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SUMIFS(Tab_08.Ago[SALDO
ATUAL],Tab_08.Ago[CONTA],$I164)</f>
        <v>-7450</v>
      </c>
      <c r="G164" s="4">
        <f t="shared" si="11"/>
        <v>0</v>
      </c>
      <c r="I164" s="3" t="s">
        <v>395</v>
      </c>
      <c r="J164" s="3" t="s">
        <v>396</v>
      </c>
      <c r="K164" s="173">
        <v>-7450</v>
      </c>
      <c r="L164" s="173">
        <v>0</v>
      </c>
      <c r="M164" s="173">
        <v>0</v>
      </c>
      <c r="N164" s="173">
        <v>-7450</v>
      </c>
      <c r="O164" s="4">
        <f t="shared" si="12"/>
        <v>0</v>
      </c>
    </row>
    <row r="165" spans="2:15" x14ac:dyDescent="0.3">
      <c r="B165" s="2" t="str">
        <f>_xlfn.XLOOKUP($I165,Tab_00.Trial[CONTA],Tab_00.Trial[TP],"",0,1)</f>
        <v>C</v>
      </c>
      <c r="C165" s="2">
        <f>_xlfn.XLOOKUP($I165,Tab_00.Trial[CONTA],Tab_00.Trial[NV],"",0,1)</f>
        <v>1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SUMIFS(Tab_08.Ago[SALDO
ATUAL],Tab_08.Ago[CONTA],$I165)</f>
        <v>5754644.9500000002</v>
      </c>
      <c r="G165" s="4">
        <f t="shared" si="11"/>
        <v>-805410.91</v>
      </c>
      <c r="I165" s="3">
        <v>4</v>
      </c>
      <c r="J165" s="3" t="s">
        <v>693</v>
      </c>
      <c r="K165" s="173">
        <v>6560055.8600000003</v>
      </c>
      <c r="L165" s="1">
        <v>766303.17</v>
      </c>
      <c r="M165" s="1">
        <v>26336.959999999999</v>
      </c>
      <c r="N165" s="173">
        <v>7300022.0700000003</v>
      </c>
      <c r="O165" s="4">
        <f t="shared" si="12"/>
        <v>739966.21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2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SUMIFS(Tab_08.Ago[SALDO
ATUAL],Tab_08.Ago[CONTA],$I166)</f>
        <v>5754644.9500000002</v>
      </c>
      <c r="G166" s="4">
        <f t="shared" si="11"/>
        <v>-805410.91</v>
      </c>
      <c r="I166" s="3" t="s">
        <v>234</v>
      </c>
      <c r="J166" s="3" t="s">
        <v>823</v>
      </c>
      <c r="K166" s="173">
        <v>6560055.8600000003</v>
      </c>
      <c r="L166" s="173">
        <v>766303.17</v>
      </c>
      <c r="M166" s="1">
        <v>26336.959999999999</v>
      </c>
      <c r="N166" s="173">
        <v>7300022.0700000003</v>
      </c>
      <c r="O166" s="4">
        <f t="shared" si="12"/>
        <v>739966.21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5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SUMIFS(Tab_08.Ago[SALDO
ATUAL],Tab_08.Ago[CONTA],$I167)</f>
        <v>1065211.75</v>
      </c>
      <c r="G167" s="4">
        <f t="shared" si="11"/>
        <v>-153569.84</v>
      </c>
      <c r="I167" s="3" t="s">
        <v>235</v>
      </c>
      <c r="J167" s="3" t="s">
        <v>824</v>
      </c>
      <c r="K167" s="173">
        <v>1218781.5900000001</v>
      </c>
      <c r="L167" s="173">
        <v>195001.67</v>
      </c>
      <c r="M167" s="1">
        <v>26336.959999999999</v>
      </c>
      <c r="N167" s="173">
        <v>1387446.3</v>
      </c>
      <c r="O167" s="4">
        <f t="shared" si="12"/>
        <v>168664.71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SUMIFS(Tab_08.Ago[SALDO
ATUAL],Tab_08.Ago[CONTA],$I168)</f>
        <v>477244.49</v>
      </c>
      <c r="G168" s="4">
        <f t="shared" si="11"/>
        <v>-70890.899999999994</v>
      </c>
      <c r="I168" s="3" t="s">
        <v>236</v>
      </c>
      <c r="J168" s="3" t="s">
        <v>696</v>
      </c>
      <c r="K168" s="173">
        <v>548135.39</v>
      </c>
      <c r="L168" s="173">
        <v>97124.17</v>
      </c>
      <c r="M168" s="1">
        <v>24155.23</v>
      </c>
      <c r="N168" s="173">
        <v>621104.32999999996</v>
      </c>
      <c r="O168" s="4">
        <f t="shared" si="12"/>
        <v>72968.94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A</v>
      </c>
      <c r="E169" s="2">
        <f>IF($I169="","",COUNTIFS(Tab_00.Trial[CONTA],$I169))</f>
        <v>1</v>
      </c>
      <c r="F169" s="4">
        <f>SUMIFS(Tab_08.Ago[SALDO
ATUAL],Tab_08.Ago[CONTA],$I169)</f>
        <v>326968.65999999997</v>
      </c>
      <c r="G169" s="4">
        <f t="shared" si="11"/>
        <v>-54904.87</v>
      </c>
      <c r="I169" s="3" t="s">
        <v>195</v>
      </c>
      <c r="J169" s="3" t="s">
        <v>427</v>
      </c>
      <c r="K169" s="173">
        <v>381873.53</v>
      </c>
      <c r="L169" s="173">
        <v>73650.710000000006</v>
      </c>
      <c r="M169" s="1">
        <v>11147.59</v>
      </c>
      <c r="N169" s="173">
        <v>444376.65</v>
      </c>
      <c r="O169" s="4">
        <f t="shared" si="12"/>
        <v>62503.12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SUMIFS(Tab_08.Ago[SALDO
ATUAL],Tab_08.Ago[CONTA],$I170)</f>
        <v>53472.45</v>
      </c>
      <c r="G170" s="4">
        <f t="shared" si="11"/>
        <v>-6726.71</v>
      </c>
      <c r="I170" s="3" t="s">
        <v>430</v>
      </c>
      <c r="J170" s="3" t="s">
        <v>431</v>
      </c>
      <c r="K170" s="173">
        <v>60199.16</v>
      </c>
      <c r="L170" s="173">
        <v>9582.26</v>
      </c>
      <c r="M170" s="1">
        <v>1149.4000000000001</v>
      </c>
      <c r="N170" s="173">
        <v>68632.02</v>
      </c>
      <c r="O170" s="4">
        <f t="shared" si="12"/>
        <v>8432.86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SUMIFS(Tab_08.Ago[SALDO
ATUAL],Tab_08.Ago[CONTA],$I171)</f>
        <v>36600.269999999997</v>
      </c>
      <c r="G171" s="4">
        <f t="shared" si="11"/>
        <v>-5045.03</v>
      </c>
      <c r="I171" s="3" t="s">
        <v>432</v>
      </c>
      <c r="J171" s="3" t="s">
        <v>433</v>
      </c>
      <c r="K171" s="173">
        <v>41645.300000000003</v>
      </c>
      <c r="L171" s="173">
        <v>8010.14</v>
      </c>
      <c r="M171" s="1">
        <v>742.69</v>
      </c>
      <c r="N171" s="173">
        <v>48912.75</v>
      </c>
      <c r="O171" s="4">
        <f t="shared" si="12"/>
        <v>7267.45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SUMIFS(Tab_08.Ago[SALDO
ATUAL],Tab_08.Ago[CONTA],$I172)</f>
        <v>43660.94</v>
      </c>
      <c r="G172" s="4">
        <f t="shared" si="11"/>
        <v>-1802.75</v>
      </c>
      <c r="I172" s="3" t="s">
        <v>796</v>
      </c>
      <c r="J172" s="3" t="s">
        <v>797</v>
      </c>
      <c r="K172" s="173">
        <v>45463.69</v>
      </c>
      <c r="L172" s="173">
        <v>2537.77</v>
      </c>
      <c r="M172" s="1">
        <v>8206.73</v>
      </c>
      <c r="N172" s="173">
        <v>39794.730000000003</v>
      </c>
      <c r="O172" s="4">
        <f t="shared" si="12"/>
        <v>-5668.96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SUMIFS(Tab_08.Ago[SALDO
ATUAL],Tab_08.Ago[CONTA],$I173)</f>
        <v>3055.4</v>
      </c>
      <c r="G173" s="4">
        <f t="shared" si="11"/>
        <v>-538.14</v>
      </c>
      <c r="I173" s="3" t="s">
        <v>798</v>
      </c>
      <c r="J173" s="3" t="s">
        <v>799</v>
      </c>
      <c r="K173" s="173">
        <v>3593.54</v>
      </c>
      <c r="L173" s="173">
        <v>757.54</v>
      </c>
      <c r="M173" s="1">
        <v>2449.77</v>
      </c>
      <c r="N173" s="173">
        <v>1901.31</v>
      </c>
      <c r="O173" s="4">
        <f t="shared" si="12"/>
        <v>-1692.23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SUMIFS(Tab_08.Ago[SALDO
ATUAL],Tab_08.Ago[CONTA],$I174)</f>
        <v>397.77</v>
      </c>
      <c r="G174" s="4">
        <f t="shared" si="11"/>
        <v>-67.260000000000005</v>
      </c>
      <c r="I174" s="3" t="s">
        <v>800</v>
      </c>
      <c r="J174" s="3" t="s">
        <v>801</v>
      </c>
      <c r="K174" s="173">
        <v>465.03</v>
      </c>
      <c r="L174" s="1">
        <v>94.68</v>
      </c>
      <c r="M174" s="1">
        <v>194.15</v>
      </c>
      <c r="N174" s="173">
        <v>365.56</v>
      </c>
      <c r="O174" s="4">
        <f t="shared" si="12"/>
        <v>-99.47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SUMIFS(Tab_08.Ago[SALDO
ATUAL],Tab_08.Ago[CONTA],$I175)</f>
        <v>9807.86</v>
      </c>
      <c r="G175" s="4">
        <f t="shared" si="11"/>
        <v>-1352.07</v>
      </c>
      <c r="I175" s="3" t="s">
        <v>802</v>
      </c>
      <c r="J175" s="3" t="s">
        <v>803</v>
      </c>
      <c r="K175" s="173">
        <v>11159.93</v>
      </c>
      <c r="L175" s="1">
        <v>1783.72</v>
      </c>
      <c r="M175" s="1">
        <v>0</v>
      </c>
      <c r="N175" s="173">
        <v>12943.65</v>
      </c>
      <c r="O175" s="4">
        <f t="shared" si="12"/>
        <v>1783.72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SUMIFS(Tab_08.Ago[SALDO
ATUAL],Tab_08.Ago[CONTA],$I176)</f>
        <v>2928</v>
      </c>
      <c r="G176" s="4">
        <f t="shared" si="11"/>
        <v>-403.59</v>
      </c>
      <c r="I176" s="3" t="s">
        <v>804</v>
      </c>
      <c r="J176" s="3" t="s">
        <v>805</v>
      </c>
      <c r="K176" s="173">
        <v>3331.59</v>
      </c>
      <c r="L176" s="1">
        <v>640.82000000000005</v>
      </c>
      <c r="M176" s="1">
        <v>59.41</v>
      </c>
      <c r="N176" s="173">
        <v>3913</v>
      </c>
      <c r="O176" s="4">
        <f t="shared" si="12"/>
        <v>581.41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SUMIFS(Tab_08.Ago[SALDO
ATUAL],Tab_08.Ago[CONTA],$I177)</f>
        <v>353.14</v>
      </c>
      <c r="G177" s="4">
        <f t="shared" si="11"/>
        <v>-50.48</v>
      </c>
      <c r="I177" s="3" t="s">
        <v>806</v>
      </c>
      <c r="J177" s="3" t="s">
        <v>807</v>
      </c>
      <c r="K177" s="1">
        <v>403.62</v>
      </c>
      <c r="L177" s="1">
        <v>66.53</v>
      </c>
      <c r="M177" s="1">
        <v>205.49</v>
      </c>
      <c r="N177" s="1">
        <v>264.66000000000003</v>
      </c>
      <c r="O177" s="4">
        <f t="shared" si="12"/>
        <v>-138.96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S</v>
      </c>
      <c r="E178" s="2">
        <f>IF($I178="","",COUNTIFS(Tab_00.Trial[CONTA],$I178))</f>
        <v>1</v>
      </c>
      <c r="F178" s="4">
        <f>SUMIFS(Tab_08.Ago[SALDO
ATUAL],Tab_08.Ago[CONTA],$I178)</f>
        <v>178894.39</v>
      </c>
      <c r="G178" s="4">
        <f t="shared" ref="G178:G201" si="13">$F178-$K178</f>
        <v>-25049.62</v>
      </c>
      <c r="I178" s="3" t="s">
        <v>590</v>
      </c>
      <c r="J178" s="3" t="s">
        <v>697</v>
      </c>
      <c r="K178" s="173">
        <v>203944.01</v>
      </c>
      <c r="L178" s="173">
        <v>29042.57</v>
      </c>
      <c r="M178" s="1">
        <v>2181.73</v>
      </c>
      <c r="N178" s="173">
        <v>230804.85</v>
      </c>
      <c r="O178" s="4">
        <f t="shared" ref="O178:O201" si="14">$L178-$M178</f>
        <v>26860.84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SUMIFS(Tab_08.Ago[SALDO
ATUAL],Tab_08.Ago[CONTA],$I179)</f>
        <v>174412.34</v>
      </c>
      <c r="G179" s="4">
        <f t="shared" si="13"/>
        <v>-23792.38</v>
      </c>
      <c r="I179" s="3" t="s">
        <v>434</v>
      </c>
      <c r="J179" s="3" t="s">
        <v>435</v>
      </c>
      <c r="K179" s="173">
        <v>198204.72</v>
      </c>
      <c r="L179" s="1">
        <v>25971.57</v>
      </c>
      <c r="M179" s="1">
        <v>1325.63</v>
      </c>
      <c r="N179" s="173">
        <v>222850.66</v>
      </c>
      <c r="O179" s="4">
        <f t="shared" si="14"/>
        <v>24645.94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SUMIFS(Tab_08.Ago[SALDO
ATUAL],Tab_08.Ago[CONTA],$I180)</f>
        <v>4482.05</v>
      </c>
      <c r="G180" s="4">
        <f t="shared" si="13"/>
        <v>-1257.24</v>
      </c>
      <c r="I180" s="3" t="s">
        <v>750</v>
      </c>
      <c r="J180" s="3" t="s">
        <v>751</v>
      </c>
      <c r="K180" s="173">
        <v>5739.29</v>
      </c>
      <c r="L180" s="173">
        <v>3071</v>
      </c>
      <c r="M180" s="1">
        <v>856.1</v>
      </c>
      <c r="N180" s="173">
        <v>7954.19</v>
      </c>
      <c r="O180" s="4">
        <f t="shared" si="14"/>
        <v>2214.9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S</v>
      </c>
      <c r="E181" s="2">
        <f>IF($I181="","",COUNTIFS(Tab_00.Trial[CONTA],$I181))</f>
        <v>1</v>
      </c>
      <c r="F181" s="4">
        <f>SUMIFS(Tab_08.Ago[SALDO
ATUAL],Tab_08.Ago[CONTA],$I181)</f>
        <v>143762.09</v>
      </c>
      <c r="G181" s="4">
        <f t="shared" si="13"/>
        <v>-17806.22</v>
      </c>
      <c r="I181" s="3" t="s">
        <v>591</v>
      </c>
      <c r="J181" s="3" t="s">
        <v>698</v>
      </c>
      <c r="K181" s="173">
        <v>161568.31</v>
      </c>
      <c r="L181" s="173">
        <v>29019.18</v>
      </c>
      <c r="M181" s="1">
        <v>0</v>
      </c>
      <c r="N181" s="173">
        <v>190587.49</v>
      </c>
      <c r="O181" s="4">
        <f t="shared" si="14"/>
        <v>29019.18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SUMIFS(Tab_08.Ago[SALDO
ATUAL],Tab_08.Ago[CONTA],$I182)</f>
        <v>114927.93</v>
      </c>
      <c r="G182" s="4">
        <f t="shared" si="13"/>
        <v>-12957.11</v>
      </c>
      <c r="I182" s="3" t="s">
        <v>436</v>
      </c>
      <c r="J182" s="3" t="s">
        <v>437</v>
      </c>
      <c r="K182" s="173">
        <v>127885.04</v>
      </c>
      <c r="L182" s="1">
        <v>21881.74</v>
      </c>
      <c r="M182" s="1">
        <v>0</v>
      </c>
      <c r="N182" s="173">
        <v>149766.78</v>
      </c>
      <c r="O182" s="4">
        <f t="shared" si="14"/>
        <v>21881.74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SUMIFS(Tab_08.Ago[SALDO
ATUAL],Tab_08.Ago[CONTA],$I183)</f>
        <v>24854.71</v>
      </c>
      <c r="G183" s="4">
        <f t="shared" si="13"/>
        <v>-4245.33</v>
      </c>
      <c r="I183" s="3" t="s">
        <v>438</v>
      </c>
      <c r="J183" s="3" t="s">
        <v>196</v>
      </c>
      <c r="K183" s="173">
        <v>29100.04</v>
      </c>
      <c r="L183" s="1">
        <v>6484.71</v>
      </c>
      <c r="M183" s="1">
        <v>0</v>
      </c>
      <c r="N183" s="173">
        <v>35584.75</v>
      </c>
      <c r="O183" s="4">
        <f t="shared" si="14"/>
        <v>6484.71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SUMIFS(Tab_08.Ago[SALDO
ATUAL],Tab_08.Ago[CONTA],$I184)</f>
        <v>3979.45</v>
      </c>
      <c r="G184" s="4">
        <f t="shared" si="13"/>
        <v>-603.78</v>
      </c>
      <c r="I184" s="3" t="s">
        <v>439</v>
      </c>
      <c r="J184" s="3" t="s">
        <v>440</v>
      </c>
      <c r="K184" s="173">
        <v>4583.2299999999996</v>
      </c>
      <c r="L184" s="1">
        <v>652.73</v>
      </c>
      <c r="M184" s="1">
        <v>0</v>
      </c>
      <c r="N184" s="173">
        <v>5235.96</v>
      </c>
      <c r="O184" s="4">
        <f t="shared" si="14"/>
        <v>652.73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S</v>
      </c>
      <c r="E185" s="2">
        <f>IF($I185="","",COUNTIFS(Tab_00.Trial[CONTA],$I185))</f>
        <v>1</v>
      </c>
      <c r="F185" s="4">
        <f>SUMIFS(Tab_08.Ago[SALDO
ATUAL],Tab_08.Ago[CONTA],$I185)</f>
        <v>9743.5</v>
      </c>
      <c r="G185" s="4">
        <f t="shared" si="13"/>
        <v>0</v>
      </c>
      <c r="I185" s="3" t="s">
        <v>592</v>
      </c>
      <c r="J185" s="3" t="s">
        <v>699</v>
      </c>
      <c r="K185" s="1">
        <v>9743.5</v>
      </c>
      <c r="L185" s="1">
        <v>619.32000000000005</v>
      </c>
      <c r="M185" s="1">
        <v>0</v>
      </c>
      <c r="N185" s="1">
        <v>10362.82</v>
      </c>
      <c r="O185" s="4">
        <f t="shared" si="14"/>
        <v>619.32000000000005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SUMIFS(Tab_08.Ago[SALDO
ATUAL],Tab_08.Ago[CONTA],$I186)</f>
        <v>9743.5</v>
      </c>
      <c r="G186" s="4">
        <f t="shared" si="13"/>
        <v>0</v>
      </c>
      <c r="I186" s="3" t="s">
        <v>397</v>
      </c>
      <c r="J186" s="3" t="s">
        <v>398</v>
      </c>
      <c r="K186" s="173">
        <v>9743.5</v>
      </c>
      <c r="L186" s="1">
        <v>25.49</v>
      </c>
      <c r="M186" s="1">
        <v>0</v>
      </c>
      <c r="N186" s="173">
        <v>9768.99</v>
      </c>
      <c r="O186" s="4">
        <f t="shared" si="14"/>
        <v>25.49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SUMIFS(Tab_08.Ago[SALDO
ATUAL],Tab_08.Ago[CONTA],$I187)</f>
        <v>0</v>
      </c>
      <c r="G187" s="4">
        <f t="shared" si="13"/>
        <v>0</v>
      </c>
      <c r="I187" s="3" t="s">
        <v>399</v>
      </c>
      <c r="J187" s="3" t="s">
        <v>400</v>
      </c>
      <c r="K187" s="173">
        <v>0</v>
      </c>
      <c r="L187" s="1">
        <v>593.83000000000004</v>
      </c>
      <c r="M187" s="1">
        <v>0</v>
      </c>
      <c r="N187" s="173">
        <v>593.83000000000004</v>
      </c>
      <c r="O187" s="4">
        <f t="shared" si="14"/>
        <v>593.83000000000004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SUMIFS(Tab_08.Ago[SALDO
ATUAL],Tab_08.Ago[CONTA],$I188)</f>
        <v>245698.97</v>
      </c>
      <c r="G188" s="4">
        <f t="shared" si="13"/>
        <v>-38060.959999999999</v>
      </c>
      <c r="I188" s="3" t="s">
        <v>593</v>
      </c>
      <c r="J188" s="3" t="s">
        <v>711</v>
      </c>
      <c r="K188" s="173">
        <v>283759.93</v>
      </c>
      <c r="L188" s="1">
        <v>37460.76</v>
      </c>
      <c r="M188" s="1">
        <v>0</v>
      </c>
      <c r="N188" s="173">
        <v>321220.69</v>
      </c>
      <c r="O188" s="4">
        <f t="shared" si="14"/>
        <v>37460.76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SUMIFS(Tab_08.Ago[SALDO
ATUAL],Tab_08.Ago[CONTA],$I189)</f>
        <v>28951.72</v>
      </c>
      <c r="G189" s="4">
        <f t="shared" si="13"/>
        <v>-4940.96</v>
      </c>
      <c r="I189" s="3" t="s">
        <v>403</v>
      </c>
      <c r="J189" s="3" t="s">
        <v>404</v>
      </c>
      <c r="K189" s="173">
        <v>33892.68</v>
      </c>
      <c r="L189" s="173">
        <v>5400.76</v>
      </c>
      <c r="M189" s="1">
        <v>0</v>
      </c>
      <c r="N189" s="173">
        <v>39293.440000000002</v>
      </c>
      <c r="O189" s="4">
        <f t="shared" si="14"/>
        <v>5400.76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SUMIFS(Tab_08.Ago[SALDO
ATUAL],Tab_08.Ago[CONTA],$I190)</f>
        <v>196382</v>
      </c>
      <c r="G190" s="4">
        <f t="shared" si="13"/>
        <v>-33120</v>
      </c>
      <c r="I190" s="3" t="s">
        <v>405</v>
      </c>
      <c r="J190" s="3" t="s">
        <v>406</v>
      </c>
      <c r="K190" s="173">
        <v>229502</v>
      </c>
      <c r="L190" s="173">
        <v>32060</v>
      </c>
      <c r="M190" s="1">
        <v>0</v>
      </c>
      <c r="N190" s="173">
        <v>261562</v>
      </c>
      <c r="O190" s="4">
        <f t="shared" si="14"/>
        <v>32060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SUMIFS(Tab_08.Ago[SALDO
ATUAL],Tab_08.Ago[CONTA],$I191)</f>
        <v>20365.25</v>
      </c>
      <c r="G191" s="4">
        <f t="shared" si="13"/>
        <v>0</v>
      </c>
      <c r="I191" s="3" t="s">
        <v>407</v>
      </c>
      <c r="J191" s="3" t="s">
        <v>408</v>
      </c>
      <c r="K191" s="173">
        <v>20365.25</v>
      </c>
      <c r="L191" s="1">
        <v>0</v>
      </c>
      <c r="M191" s="1">
        <v>0</v>
      </c>
      <c r="N191" s="173">
        <v>20365.25</v>
      </c>
      <c r="O191" s="4">
        <f t="shared" si="14"/>
        <v>0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SUMIFS(Tab_08.Ago[SALDO
ATUAL],Tab_08.Ago[CONTA],$I192)</f>
        <v>5738.17</v>
      </c>
      <c r="G192" s="4">
        <f t="shared" si="13"/>
        <v>-1334.88</v>
      </c>
      <c r="I192" s="3" t="s">
        <v>594</v>
      </c>
      <c r="J192" s="3" t="s">
        <v>825</v>
      </c>
      <c r="K192" s="173">
        <v>7073.05</v>
      </c>
      <c r="L192" s="173">
        <v>52.46</v>
      </c>
      <c r="M192" s="1">
        <v>0</v>
      </c>
      <c r="N192" s="173">
        <v>7125.51</v>
      </c>
      <c r="O192" s="4">
        <f t="shared" si="14"/>
        <v>52.46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SUMIFS(Tab_08.Ago[SALDO
ATUAL],Tab_08.Ago[CONTA],$I193)</f>
        <v>300</v>
      </c>
      <c r="G193" s="4">
        <f t="shared" si="13"/>
        <v>0</v>
      </c>
      <c r="I193" s="3" t="s">
        <v>411</v>
      </c>
      <c r="J193" s="3" t="s">
        <v>412</v>
      </c>
      <c r="K193" s="173">
        <v>300</v>
      </c>
      <c r="L193" s="1">
        <v>0</v>
      </c>
      <c r="M193" s="1">
        <v>0</v>
      </c>
      <c r="N193" s="173">
        <v>300</v>
      </c>
      <c r="O193" s="4">
        <f t="shared" si="14"/>
        <v>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SUMIFS(Tab_08.Ago[SALDO
ATUAL],Tab_08.Ago[CONTA],$I194)</f>
        <v>5438.17</v>
      </c>
      <c r="G194" s="4">
        <f t="shared" si="13"/>
        <v>-1334.88</v>
      </c>
      <c r="I194" s="3" t="s">
        <v>413</v>
      </c>
      <c r="J194" s="3" t="s">
        <v>414</v>
      </c>
      <c r="K194" s="173">
        <v>6773.05</v>
      </c>
      <c r="L194" s="1">
        <v>0</v>
      </c>
      <c r="M194" s="1">
        <v>0</v>
      </c>
      <c r="N194" s="173">
        <v>6773.05</v>
      </c>
      <c r="O194" s="4">
        <f t="shared" si="14"/>
        <v>0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SUMIFS(Tab_08.Ago[SALDO
ATUAL],Tab_08.Ago[CONTA],$I195)</f>
        <v>0</v>
      </c>
      <c r="G195" s="4">
        <f t="shared" si="13"/>
        <v>0</v>
      </c>
      <c r="I195" s="3" t="s">
        <v>417</v>
      </c>
      <c r="J195" s="3" t="s">
        <v>418</v>
      </c>
      <c r="K195" s="173">
        <v>0</v>
      </c>
      <c r="L195" s="1">
        <v>52.46</v>
      </c>
      <c r="M195" s="1">
        <v>0</v>
      </c>
      <c r="N195" s="173">
        <v>52.46</v>
      </c>
      <c r="O195" s="4">
        <f t="shared" si="14"/>
        <v>52.46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S</v>
      </c>
      <c r="E196" s="2">
        <f>IF($I196="","",COUNTIFS(Tab_00.Trial[CONTA],$I196))</f>
        <v>1</v>
      </c>
      <c r="F196" s="4">
        <f>SUMIFS(Tab_08.Ago[SALDO
ATUAL],Tab_08.Ago[CONTA],$I196)</f>
        <v>4130.1400000000003</v>
      </c>
      <c r="G196" s="4">
        <f t="shared" si="13"/>
        <v>-427.26</v>
      </c>
      <c r="I196" s="3" t="s">
        <v>595</v>
      </c>
      <c r="J196" s="3" t="s">
        <v>420</v>
      </c>
      <c r="K196" s="173">
        <v>4557.3999999999996</v>
      </c>
      <c r="L196" s="1">
        <v>1683.21</v>
      </c>
      <c r="M196" s="1">
        <v>0</v>
      </c>
      <c r="N196" s="173">
        <v>6240.61</v>
      </c>
      <c r="O196" s="4">
        <f t="shared" si="14"/>
        <v>1683.21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SUMIFS(Tab_08.Ago[SALDO
ATUAL],Tab_08.Ago[CONTA],$I197)</f>
        <v>4130.1400000000003</v>
      </c>
      <c r="G197" s="4">
        <f t="shared" si="13"/>
        <v>-427.26</v>
      </c>
      <c r="I197" s="3" t="s">
        <v>419</v>
      </c>
      <c r="J197" s="3" t="s">
        <v>420</v>
      </c>
      <c r="K197" s="173">
        <v>4557.3999999999996</v>
      </c>
      <c r="L197" s="173">
        <v>1683.21</v>
      </c>
      <c r="M197" s="1">
        <v>0</v>
      </c>
      <c r="N197" s="173">
        <v>6240.61</v>
      </c>
      <c r="O197" s="4">
        <f t="shared" si="14"/>
        <v>1683.21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S</v>
      </c>
      <c r="E198" s="2">
        <f>IF($I198="","",COUNTIFS(Tab_00.Trial[CONTA],$I198))</f>
        <v>1</v>
      </c>
      <c r="F198" s="4">
        <f>SUMIFS(Tab_08.Ago[SALDO
ATUAL],Tab_08.Ago[CONTA],$I198)</f>
        <v>4689433.2</v>
      </c>
      <c r="G198" s="4">
        <f t="shared" si="13"/>
        <v>-651841.06999999995</v>
      </c>
      <c r="I198" s="3" t="s">
        <v>237</v>
      </c>
      <c r="J198" s="3" t="s">
        <v>702</v>
      </c>
      <c r="K198" s="173">
        <v>5341274.2699999996</v>
      </c>
      <c r="L198" s="173">
        <v>571301.5</v>
      </c>
      <c r="M198" s="1">
        <v>0</v>
      </c>
      <c r="N198" s="173">
        <v>5912575.7699999996</v>
      </c>
      <c r="O198" s="4">
        <f t="shared" si="14"/>
        <v>571301.5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SUMIFS(Tab_08.Ago[SALDO
ATUAL],Tab_08.Ago[CONTA],$I199)</f>
        <v>4689433.2</v>
      </c>
      <c r="G199" s="4">
        <f t="shared" si="13"/>
        <v>-651841.06999999995</v>
      </c>
      <c r="I199" s="3" t="s">
        <v>238</v>
      </c>
      <c r="J199" s="3" t="s">
        <v>826</v>
      </c>
      <c r="K199" s="173">
        <v>5341274.2699999996</v>
      </c>
      <c r="L199" s="173">
        <v>571301.5</v>
      </c>
      <c r="M199" s="1">
        <v>0</v>
      </c>
      <c r="N199" s="173">
        <v>5912575.7699999996</v>
      </c>
      <c r="O199" s="4">
        <f t="shared" si="14"/>
        <v>571301.5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SUMIFS(Tab_08.Ago[SALDO
ATUAL],Tab_08.Ago[CONTA],$I200)</f>
        <v>1702436.3</v>
      </c>
      <c r="G200" s="4">
        <f t="shared" si="13"/>
        <v>-224690.95</v>
      </c>
      <c r="I200" s="3" t="s">
        <v>421</v>
      </c>
      <c r="J200" s="3" t="s">
        <v>422</v>
      </c>
      <c r="K200" s="173">
        <v>1927127.25</v>
      </c>
      <c r="L200" s="1">
        <v>198337.07</v>
      </c>
      <c r="M200" s="1">
        <v>0</v>
      </c>
      <c r="N200" s="173">
        <v>2125464.3199999998</v>
      </c>
      <c r="O200" s="4">
        <f t="shared" si="14"/>
        <v>198337.07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SUMIFS(Tab_08.Ago[SALDO
ATUAL],Tab_08.Ago[CONTA],$I201)</f>
        <v>916108.28</v>
      </c>
      <c r="G201" s="4">
        <f t="shared" si="13"/>
        <v>-140098.56</v>
      </c>
      <c r="I201" s="3" t="s">
        <v>738</v>
      </c>
      <c r="J201" s="3" t="s">
        <v>367</v>
      </c>
      <c r="K201" s="173">
        <v>1056206.8400000001</v>
      </c>
      <c r="L201" s="1">
        <v>128578.44</v>
      </c>
      <c r="M201" s="1">
        <v>0</v>
      </c>
      <c r="N201" s="173">
        <v>1184785.28</v>
      </c>
      <c r="O201" s="4">
        <f t="shared" si="14"/>
        <v>128578.44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SUMIFS(Tab_08.Ago[SALDO
ATUAL],Tab_08.Ago[CONTA],$I202)</f>
        <v>2070888.62</v>
      </c>
      <c r="G202" s="4">
        <f t="shared" ref="G202:G233" si="15">$F202-$K202</f>
        <v>-287051.56</v>
      </c>
      <c r="I202" s="3" t="s">
        <v>423</v>
      </c>
      <c r="J202" s="3" t="s">
        <v>424</v>
      </c>
      <c r="K202" s="173">
        <v>2357940.1800000002</v>
      </c>
      <c r="L202" s="1">
        <v>244385.99</v>
      </c>
      <c r="M202" s="1">
        <v>0</v>
      </c>
      <c r="N202" s="173">
        <v>2602326.17</v>
      </c>
      <c r="O202" s="4">
        <f t="shared" ref="O202:O233" si="16">$L202-$M202</f>
        <v>244385.99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1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SUMIFS(Tab_08.Ago[SALDO
ATUAL],Tab_08.Ago[CONTA],$I203)</f>
        <v>2037713.18</v>
      </c>
      <c r="G203" s="4">
        <f t="shared" si="15"/>
        <v>-266589.09000000003</v>
      </c>
      <c r="I203" s="3">
        <v>5</v>
      </c>
      <c r="J203" s="3" t="s">
        <v>705</v>
      </c>
      <c r="K203" s="173">
        <v>2304302.27</v>
      </c>
      <c r="L203" s="1">
        <v>270187.46999999997</v>
      </c>
      <c r="M203" s="1">
        <v>12818.55</v>
      </c>
      <c r="N203" s="173">
        <v>2561671.19</v>
      </c>
      <c r="O203" s="4">
        <f t="shared" si="16"/>
        <v>257368.92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2</v>
      </c>
      <c r="D204" s="2" t="str">
        <f>_xlfn.XLOOKUP($I204,Tab_00.Trial[CONTA],Tab_00.Trial[S/A],"",0,1)</f>
        <v>S</v>
      </c>
      <c r="E204" s="2">
        <f>IF($I204="","",COUNTIFS(Tab_00.Trial[CONTA],$I204))</f>
        <v>1</v>
      </c>
      <c r="F204" s="4">
        <f>SUMIFS(Tab_08.Ago[SALDO
ATUAL],Tab_08.Ago[CONTA],$I204)</f>
        <v>2037497.18</v>
      </c>
      <c r="G204" s="4">
        <f t="shared" si="15"/>
        <v>-266589.09000000003</v>
      </c>
      <c r="I204" s="3" t="s">
        <v>599</v>
      </c>
      <c r="J204" s="3" t="s">
        <v>827</v>
      </c>
      <c r="K204" s="173">
        <v>2304086.27</v>
      </c>
      <c r="L204" s="1">
        <v>270187.46999999997</v>
      </c>
      <c r="M204" s="1">
        <v>12818.55</v>
      </c>
      <c r="N204" s="173">
        <v>2561455.19</v>
      </c>
      <c r="O204" s="4">
        <f t="shared" si="16"/>
        <v>257368.92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SUMIFS(Tab_08.Ago[SALDO
ATUAL],Tab_08.Ago[CONTA],$I205)</f>
        <v>804141.97</v>
      </c>
      <c r="G205" s="4">
        <f t="shared" si="15"/>
        <v>-77946.320000000007</v>
      </c>
      <c r="I205" s="3" t="s">
        <v>600</v>
      </c>
      <c r="J205" s="3" t="s">
        <v>706</v>
      </c>
      <c r="K205" s="1">
        <v>882088.29</v>
      </c>
      <c r="L205" s="1">
        <v>72715.27</v>
      </c>
      <c r="M205" s="1">
        <v>12818.55</v>
      </c>
      <c r="N205" s="1">
        <v>941985.01</v>
      </c>
      <c r="O205" s="4">
        <f t="shared" si="16"/>
        <v>59896.72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S</v>
      </c>
      <c r="E206" s="2">
        <f>IF($I206="","",COUNTIFS(Tab_00.Trial[CONTA],$I206))</f>
        <v>1</v>
      </c>
      <c r="F206" s="4">
        <f>SUMIFS(Tab_08.Ago[SALDO
ATUAL],Tab_08.Ago[CONTA],$I206)</f>
        <v>504393.81</v>
      </c>
      <c r="G206" s="4">
        <f t="shared" si="15"/>
        <v>-61386.7</v>
      </c>
      <c r="I206" s="3" t="s">
        <v>601</v>
      </c>
      <c r="J206" s="3" t="s">
        <v>707</v>
      </c>
      <c r="K206" s="173">
        <v>565780.51</v>
      </c>
      <c r="L206" s="1">
        <v>61162.46</v>
      </c>
      <c r="M206" s="1">
        <v>11897.13</v>
      </c>
      <c r="N206" s="173">
        <v>615045.84</v>
      </c>
      <c r="O206" s="4">
        <f t="shared" si="16"/>
        <v>49265.33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A</v>
      </c>
      <c r="E207" s="2">
        <f>IF($I207="","",COUNTIFS(Tab_00.Trial[CONTA],$I207))</f>
        <v>1</v>
      </c>
      <c r="F207" s="4">
        <f>SUMIFS(Tab_08.Ago[SALDO
ATUAL],Tab_08.Ago[CONTA],$I207)</f>
        <v>313429.03000000003</v>
      </c>
      <c r="G207" s="4">
        <f t="shared" si="15"/>
        <v>-46557.27</v>
      </c>
      <c r="I207" s="3" t="s">
        <v>441</v>
      </c>
      <c r="J207" s="3" t="s">
        <v>427</v>
      </c>
      <c r="K207" s="1">
        <v>359986.3</v>
      </c>
      <c r="L207" s="1">
        <v>49683.839999999997</v>
      </c>
      <c r="M207" s="1">
        <v>11432.48</v>
      </c>
      <c r="N207" s="1">
        <v>398237.66</v>
      </c>
      <c r="O207" s="4">
        <f t="shared" si="16"/>
        <v>38251.360000000001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SUMIFS(Tab_08.Ago[SALDO
ATUAL],Tab_08.Ago[CONTA],$I208)</f>
        <v>43165.37</v>
      </c>
      <c r="G208" s="4">
        <f t="shared" si="15"/>
        <v>-7090.46</v>
      </c>
      <c r="I208" s="3" t="s">
        <v>443</v>
      </c>
      <c r="J208" s="3" t="s">
        <v>431</v>
      </c>
      <c r="K208" s="173">
        <v>50255.83</v>
      </c>
      <c r="L208" s="1">
        <v>4813.3599999999997</v>
      </c>
      <c r="M208" s="1">
        <v>0</v>
      </c>
      <c r="N208" s="173">
        <v>55069.19</v>
      </c>
      <c r="O208" s="4">
        <f t="shared" si="16"/>
        <v>4813.3599999999997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SUMIFS(Tab_08.Ago[SALDO
ATUAL],Tab_08.Ago[CONTA],$I209)</f>
        <v>34122.18</v>
      </c>
      <c r="G209" s="4">
        <f t="shared" si="15"/>
        <v>-4247.7</v>
      </c>
      <c r="I209" s="3" t="s">
        <v>444</v>
      </c>
      <c r="J209" s="3" t="s">
        <v>433</v>
      </c>
      <c r="K209" s="173">
        <v>38369.879999999997</v>
      </c>
      <c r="L209" s="1">
        <v>2829.22</v>
      </c>
      <c r="M209" s="1">
        <v>0</v>
      </c>
      <c r="N209" s="173">
        <v>41199.1</v>
      </c>
      <c r="O209" s="4">
        <f t="shared" si="16"/>
        <v>2829.22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SUMIFS(Tab_08.Ago[SALDO
ATUAL],Tab_08.Ago[CONTA],$I210)</f>
        <v>85959.77</v>
      </c>
      <c r="G210" s="4">
        <f t="shared" si="15"/>
        <v>0</v>
      </c>
      <c r="I210" s="3" t="s">
        <v>777</v>
      </c>
      <c r="J210" s="3" t="s">
        <v>749</v>
      </c>
      <c r="K210" s="173">
        <v>85959.77</v>
      </c>
      <c r="L210" s="1">
        <v>0</v>
      </c>
      <c r="M210" s="1">
        <v>0</v>
      </c>
      <c r="N210" s="173">
        <v>85959.77</v>
      </c>
      <c r="O210" s="4">
        <f t="shared" si="16"/>
        <v>0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SUMIFS(Tab_08.Ago[SALDO
ATUAL],Tab_08.Ago[CONTA],$I211)</f>
        <v>476.67</v>
      </c>
      <c r="G211" s="4">
        <f t="shared" si="15"/>
        <v>0</v>
      </c>
      <c r="I211" s="3" t="s">
        <v>447</v>
      </c>
      <c r="J211" s="3" t="s">
        <v>448</v>
      </c>
      <c r="K211" s="173">
        <v>476.67</v>
      </c>
      <c r="L211" s="1">
        <v>1100</v>
      </c>
      <c r="M211" s="1">
        <v>0</v>
      </c>
      <c r="N211" s="173">
        <v>1576.67</v>
      </c>
      <c r="O211" s="4">
        <f t="shared" si="16"/>
        <v>1100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SUMIFS(Tab_08.Ago[SALDO
ATUAL],Tab_08.Ago[CONTA],$I212)</f>
        <v>5777.27</v>
      </c>
      <c r="G212" s="4">
        <f t="shared" si="15"/>
        <v>-1517.83</v>
      </c>
      <c r="I212" s="3" t="s">
        <v>808</v>
      </c>
      <c r="J212" s="3" t="s">
        <v>797</v>
      </c>
      <c r="K212" s="173">
        <v>7295.1</v>
      </c>
      <c r="L212" s="173">
        <v>1289.99</v>
      </c>
      <c r="M212" s="1">
        <v>357.84</v>
      </c>
      <c r="N212" s="173">
        <v>8227.25</v>
      </c>
      <c r="O212" s="4">
        <f t="shared" si="16"/>
        <v>932.15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SUMIFS(Tab_08.Ago[SALDO
ATUAL],Tab_08.Ago[CONTA],$I213)</f>
        <v>11147.53</v>
      </c>
      <c r="G213" s="4">
        <f t="shared" si="15"/>
        <v>-453.09</v>
      </c>
      <c r="I213" s="3" t="s">
        <v>809</v>
      </c>
      <c r="J213" s="3" t="s">
        <v>799</v>
      </c>
      <c r="K213" s="173">
        <v>11600.62</v>
      </c>
      <c r="L213" s="173">
        <v>385.06</v>
      </c>
      <c r="M213" s="1">
        <v>106.81</v>
      </c>
      <c r="N213" s="173">
        <v>11878.87</v>
      </c>
      <c r="O213" s="4">
        <f t="shared" si="16"/>
        <v>278.25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SUMIFS(Tab_08.Ago[SALDO
ATUAL],Tab_08.Ago[CONTA],$I214)</f>
        <v>224.51</v>
      </c>
      <c r="G214" s="4">
        <f t="shared" si="15"/>
        <v>0.4</v>
      </c>
      <c r="I214" s="3" t="s">
        <v>810</v>
      </c>
      <c r="J214" s="3" t="s">
        <v>801</v>
      </c>
      <c r="K214" s="173">
        <v>224.11</v>
      </c>
      <c r="L214" s="173">
        <v>48.14</v>
      </c>
      <c r="M214" s="1">
        <v>0</v>
      </c>
      <c r="N214" s="173">
        <v>272.25</v>
      </c>
      <c r="O214" s="4">
        <f t="shared" si="16"/>
        <v>48.14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SUMIFS(Tab_08.Ago[SALDO
ATUAL],Tab_08.Ago[CONTA],$I215)</f>
        <v>7544.94</v>
      </c>
      <c r="G215" s="4">
        <f t="shared" si="15"/>
        <v>-1138.44</v>
      </c>
      <c r="I215" s="3" t="s">
        <v>811</v>
      </c>
      <c r="J215" s="3" t="s">
        <v>803</v>
      </c>
      <c r="K215" s="173">
        <v>8683.3799999999992</v>
      </c>
      <c r="L215" s="173">
        <v>758.23</v>
      </c>
      <c r="M215" s="1">
        <v>0</v>
      </c>
      <c r="N215" s="173">
        <v>9441.61</v>
      </c>
      <c r="O215" s="4">
        <f t="shared" si="16"/>
        <v>758.23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SUMIFS(Tab_08.Ago[SALDO
ATUAL],Tab_08.Ago[CONTA],$I216)</f>
        <v>2252.1799999999998</v>
      </c>
      <c r="G216" s="4">
        <f t="shared" si="15"/>
        <v>-339.81</v>
      </c>
      <c r="I216" s="3" t="s">
        <v>812</v>
      </c>
      <c r="J216" s="3" t="s">
        <v>805</v>
      </c>
      <c r="K216" s="173">
        <v>2591.9899999999998</v>
      </c>
      <c r="L216" s="173">
        <v>226.33</v>
      </c>
      <c r="M216" s="1">
        <v>0</v>
      </c>
      <c r="N216" s="173">
        <v>2818.32</v>
      </c>
      <c r="O216" s="4">
        <f t="shared" si="16"/>
        <v>226.33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SUMIFS(Tab_08.Ago[SALDO
ATUAL],Tab_08.Ago[CONTA],$I217)</f>
        <v>294.36</v>
      </c>
      <c r="G217" s="4">
        <f t="shared" si="15"/>
        <v>-42.5</v>
      </c>
      <c r="I217" s="3" t="s">
        <v>813</v>
      </c>
      <c r="J217" s="3" t="s">
        <v>807</v>
      </c>
      <c r="K217" s="173">
        <v>336.86</v>
      </c>
      <c r="L217" s="173">
        <v>28.29</v>
      </c>
      <c r="M217" s="1">
        <v>0</v>
      </c>
      <c r="N217" s="173">
        <v>365.15</v>
      </c>
      <c r="O217" s="4">
        <f t="shared" si="16"/>
        <v>28.29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S</v>
      </c>
      <c r="E218" s="2">
        <f>IF($I218="","",COUNTIFS(Tab_00.Trial[CONTA],$I218))</f>
        <v>1</v>
      </c>
      <c r="F218" s="4">
        <f>SUMIFS(Tab_08.Ago[SALDO
ATUAL],Tab_08.Ago[CONTA],$I218)</f>
        <v>1014</v>
      </c>
      <c r="G218" s="4">
        <f t="shared" si="15"/>
        <v>-386.16</v>
      </c>
      <c r="I218" s="3" t="s">
        <v>602</v>
      </c>
      <c r="J218" s="3" t="s">
        <v>708</v>
      </c>
      <c r="K218" s="173">
        <v>1400.16</v>
      </c>
      <c r="L218" s="1">
        <v>535.26</v>
      </c>
      <c r="M218" s="1">
        <v>921.42</v>
      </c>
      <c r="N218" s="173">
        <v>1014</v>
      </c>
      <c r="O218" s="4">
        <f t="shared" si="16"/>
        <v>-386.16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SUMIFS(Tab_08.Ago[SALDO
ATUAL],Tab_08.Ago[CONTA],$I219)</f>
        <v>0</v>
      </c>
      <c r="G219" s="4">
        <f t="shared" si="15"/>
        <v>0</v>
      </c>
      <c r="I219" s="3" t="s">
        <v>774</v>
      </c>
      <c r="J219" s="3" t="s">
        <v>435</v>
      </c>
      <c r="K219" s="173">
        <v>0</v>
      </c>
      <c r="L219" s="173">
        <v>535.26</v>
      </c>
      <c r="M219" s="1">
        <v>535.26</v>
      </c>
      <c r="N219" s="173">
        <v>0</v>
      </c>
      <c r="O219" s="4">
        <f t="shared" si="16"/>
        <v>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SUMIFS(Tab_08.Ago[SALDO
ATUAL],Tab_08.Ago[CONTA],$I220)</f>
        <v>0</v>
      </c>
      <c r="G220" s="4">
        <f t="shared" si="15"/>
        <v>-386.16</v>
      </c>
      <c r="I220" s="3" t="s">
        <v>775</v>
      </c>
      <c r="J220" s="3" t="s">
        <v>751</v>
      </c>
      <c r="K220" s="173">
        <v>386.16</v>
      </c>
      <c r="L220" s="173">
        <v>0</v>
      </c>
      <c r="M220" s="1">
        <v>386.16</v>
      </c>
      <c r="N220" s="173">
        <v>0</v>
      </c>
      <c r="O220" s="4">
        <f t="shared" si="16"/>
        <v>-386.16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SUMIFS(Tab_08.Ago[SALDO
ATUAL],Tab_08.Ago[CONTA],$I221)</f>
        <v>1014</v>
      </c>
      <c r="G221" s="4">
        <f t="shared" si="15"/>
        <v>0</v>
      </c>
      <c r="I221" s="3" t="s">
        <v>455</v>
      </c>
      <c r="J221" s="3" t="s">
        <v>456</v>
      </c>
      <c r="K221" s="173">
        <v>1014</v>
      </c>
      <c r="L221" s="1">
        <v>0</v>
      </c>
      <c r="M221" s="1">
        <v>0</v>
      </c>
      <c r="N221" s="173">
        <v>1014</v>
      </c>
      <c r="O221" s="4">
        <f t="shared" si="16"/>
        <v>0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S</v>
      </c>
      <c r="E222" s="2">
        <f>IF($I222="","",COUNTIFS(Tab_00.Trial[CONTA],$I222))</f>
        <v>1</v>
      </c>
      <c r="F222" s="4">
        <f>SUMIFS(Tab_08.Ago[SALDO
ATUAL],Tab_08.Ago[CONTA],$I222)</f>
        <v>297189.15999999997</v>
      </c>
      <c r="G222" s="4">
        <f t="shared" si="15"/>
        <v>-15983.46</v>
      </c>
      <c r="I222" s="3" t="s">
        <v>603</v>
      </c>
      <c r="J222" s="3" t="s">
        <v>709</v>
      </c>
      <c r="K222" s="173">
        <v>313172.62</v>
      </c>
      <c r="L222" s="173">
        <v>9827.5499999999993</v>
      </c>
      <c r="M222" s="1">
        <v>0</v>
      </c>
      <c r="N222" s="173">
        <v>323000.17</v>
      </c>
      <c r="O222" s="4">
        <f t="shared" si="16"/>
        <v>9827.5499999999993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SUMIFS(Tab_08.Ago[SALDO
ATUAL],Tab_08.Ago[CONTA],$I223)</f>
        <v>84624.5</v>
      </c>
      <c r="G223" s="4">
        <f t="shared" si="15"/>
        <v>-11961.36</v>
      </c>
      <c r="I223" s="3" t="s">
        <v>451</v>
      </c>
      <c r="J223" s="3" t="s">
        <v>437</v>
      </c>
      <c r="K223" s="173">
        <v>96585.86</v>
      </c>
      <c r="L223" s="173">
        <v>7356.94</v>
      </c>
      <c r="M223" s="1">
        <v>0</v>
      </c>
      <c r="N223" s="173">
        <v>103942.8</v>
      </c>
      <c r="O223" s="4">
        <f t="shared" si="16"/>
        <v>7356.94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SUMIFS(Tab_08.Ago[SALDO
ATUAL],Tab_08.Ago[CONTA],$I224)</f>
        <v>209407.02</v>
      </c>
      <c r="G224" s="4">
        <f t="shared" si="15"/>
        <v>-3575.19</v>
      </c>
      <c r="I224" s="3" t="s">
        <v>452</v>
      </c>
      <c r="J224" s="3" t="s">
        <v>196</v>
      </c>
      <c r="K224" s="173">
        <v>212982.21</v>
      </c>
      <c r="L224" s="1">
        <v>2196.1</v>
      </c>
      <c r="M224" s="1">
        <v>0</v>
      </c>
      <c r="N224" s="173">
        <v>215178.31</v>
      </c>
      <c r="O224" s="4">
        <f t="shared" si="16"/>
        <v>2196.1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SUMIFS(Tab_08.Ago[SALDO
ATUAL],Tab_08.Ago[CONTA],$I225)</f>
        <v>3157.64</v>
      </c>
      <c r="G225" s="4">
        <f t="shared" si="15"/>
        <v>-446.91</v>
      </c>
      <c r="I225" s="3" t="s">
        <v>453</v>
      </c>
      <c r="J225" s="3" t="s">
        <v>454</v>
      </c>
      <c r="K225" s="173">
        <v>3604.55</v>
      </c>
      <c r="L225" s="1">
        <v>274.51</v>
      </c>
      <c r="M225" s="1">
        <v>0</v>
      </c>
      <c r="N225" s="173">
        <v>3879.06</v>
      </c>
      <c r="O225" s="4">
        <f t="shared" si="16"/>
        <v>274.51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S</v>
      </c>
      <c r="E226" s="2">
        <f>IF($I226="","",COUNTIFS(Tab_00.Trial[CONTA],$I226))</f>
        <v>1</v>
      </c>
      <c r="F226" s="4">
        <f>SUMIFS(Tab_08.Ago[SALDO
ATUAL],Tab_08.Ago[CONTA],$I226)</f>
        <v>1545</v>
      </c>
      <c r="G226" s="4">
        <f t="shared" si="15"/>
        <v>-190</v>
      </c>
      <c r="I226" s="3" t="s">
        <v>604</v>
      </c>
      <c r="J226" s="3" t="s">
        <v>710</v>
      </c>
      <c r="K226" s="173">
        <v>1735</v>
      </c>
      <c r="L226" s="1">
        <v>1190</v>
      </c>
      <c r="M226" s="1">
        <v>0</v>
      </c>
      <c r="N226" s="173">
        <v>2925</v>
      </c>
      <c r="O226" s="4">
        <f t="shared" si="16"/>
        <v>1190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SUMIFS(Tab_08.Ago[SALDO
ATUAL],Tab_08.Ago[CONTA],$I227)</f>
        <v>1545</v>
      </c>
      <c r="G227" s="4">
        <f t="shared" si="15"/>
        <v>-190</v>
      </c>
      <c r="I227" s="3" t="s">
        <v>457</v>
      </c>
      <c r="J227" s="3" t="s">
        <v>458</v>
      </c>
      <c r="K227" s="173">
        <v>1735</v>
      </c>
      <c r="L227" s="173">
        <v>1190</v>
      </c>
      <c r="M227" s="1">
        <v>0</v>
      </c>
      <c r="N227" s="173">
        <v>2925</v>
      </c>
      <c r="O227" s="4">
        <f t="shared" si="16"/>
        <v>1190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SUMIFS(Tab_08.Ago[SALDO
ATUAL],Tab_08.Ago[CONTA],$I228)</f>
        <v>1031244.39</v>
      </c>
      <c r="G228" s="4">
        <f t="shared" si="15"/>
        <v>-164660.78</v>
      </c>
      <c r="I228" s="3" t="s">
        <v>605</v>
      </c>
      <c r="J228" s="3" t="s">
        <v>711</v>
      </c>
      <c r="K228" s="173">
        <v>1195905.17</v>
      </c>
      <c r="L228" s="173">
        <v>162984.39000000001</v>
      </c>
      <c r="M228" s="1">
        <v>0</v>
      </c>
      <c r="N228" s="173">
        <v>1358889.56</v>
      </c>
      <c r="O228" s="4">
        <f t="shared" si="16"/>
        <v>162984.39000000001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S</v>
      </c>
      <c r="E229" s="2">
        <f>IF($I229="","",COUNTIFS(Tab_00.Trial[CONTA],$I229))</f>
        <v>1</v>
      </c>
      <c r="F229" s="4">
        <f>SUMIFS(Tab_08.Ago[SALDO
ATUAL],Tab_08.Ago[CONTA],$I229)</f>
        <v>450481.83</v>
      </c>
      <c r="G229" s="4">
        <f t="shared" si="15"/>
        <v>-81694.7</v>
      </c>
      <c r="I229" s="3" t="s">
        <v>606</v>
      </c>
      <c r="J229" s="3" t="s">
        <v>712</v>
      </c>
      <c r="K229" s="173">
        <v>532176.53</v>
      </c>
      <c r="L229" s="173">
        <v>80018.3</v>
      </c>
      <c r="M229" s="1">
        <v>0</v>
      </c>
      <c r="N229" s="173">
        <v>612194.82999999996</v>
      </c>
      <c r="O229" s="4">
        <f t="shared" si="16"/>
        <v>80018.3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SUMIFS(Tab_08.Ago[SALDO
ATUAL],Tab_08.Ago[CONTA],$I230)</f>
        <v>53486.44</v>
      </c>
      <c r="G230" s="4">
        <f t="shared" si="15"/>
        <v>-7957.56</v>
      </c>
      <c r="I230" s="3" t="s">
        <v>459</v>
      </c>
      <c r="J230" s="3" t="s">
        <v>460</v>
      </c>
      <c r="K230" s="173">
        <v>61444</v>
      </c>
      <c r="L230" s="173">
        <v>9157.56</v>
      </c>
      <c r="M230" s="1">
        <v>0</v>
      </c>
      <c r="N230" s="173">
        <v>70601.56</v>
      </c>
      <c r="O230" s="4">
        <f t="shared" si="16"/>
        <v>9157.56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SUMIFS(Tab_08.Ago[SALDO
ATUAL],Tab_08.Ago[CONTA],$I231)</f>
        <v>105046.48</v>
      </c>
      <c r="G231" s="4">
        <f t="shared" si="15"/>
        <v>-14225.62</v>
      </c>
      <c r="I231" s="3" t="s">
        <v>461</v>
      </c>
      <c r="J231" s="3" t="s">
        <v>462</v>
      </c>
      <c r="K231" s="173">
        <v>119272.1</v>
      </c>
      <c r="L231" s="173">
        <v>12350</v>
      </c>
      <c r="M231" s="1">
        <v>0</v>
      </c>
      <c r="N231" s="173">
        <v>131622.1</v>
      </c>
      <c r="O231" s="4">
        <f t="shared" si="16"/>
        <v>12350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SUMIFS(Tab_08.Ago[SALDO
ATUAL],Tab_08.Ago[CONTA],$I232)</f>
        <v>21500.01</v>
      </c>
      <c r="G232" s="4">
        <f t="shared" si="15"/>
        <v>0</v>
      </c>
      <c r="I232" s="3" t="s">
        <v>463</v>
      </c>
      <c r="J232" s="3" t="s">
        <v>464</v>
      </c>
      <c r="K232" s="173">
        <v>21500.01</v>
      </c>
      <c r="L232" s="1">
        <v>0</v>
      </c>
      <c r="M232" s="1">
        <v>0</v>
      </c>
      <c r="N232" s="173">
        <v>21500.01</v>
      </c>
      <c r="O232" s="4">
        <f t="shared" si="16"/>
        <v>0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SUMIFS(Tab_08.Ago[SALDO
ATUAL],Tab_08.Ago[CONTA],$I233)</f>
        <v>157895.04000000001</v>
      </c>
      <c r="G233" s="4">
        <f t="shared" si="15"/>
        <v>-44528.22</v>
      </c>
      <c r="I233" s="3" t="s">
        <v>465</v>
      </c>
      <c r="J233" s="3" t="s">
        <v>466</v>
      </c>
      <c r="K233" s="1">
        <v>202423.26</v>
      </c>
      <c r="L233" s="1">
        <v>43896.77</v>
      </c>
      <c r="M233" s="1">
        <v>0</v>
      </c>
      <c r="N233" s="1">
        <v>246320.03</v>
      </c>
      <c r="O233" s="4">
        <f t="shared" si="16"/>
        <v>43896.77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SUMIFS(Tab_08.Ago[SALDO
ATUAL],Tab_08.Ago[CONTA],$I234)</f>
        <v>31500</v>
      </c>
      <c r="G234" s="4">
        <f t="shared" ref="G234:G265" si="17">$F234-$K234</f>
        <v>-4500</v>
      </c>
      <c r="I234" s="3" t="s">
        <v>473</v>
      </c>
      <c r="J234" s="3" t="s">
        <v>474</v>
      </c>
      <c r="K234" s="173">
        <v>36000</v>
      </c>
      <c r="L234" s="1">
        <v>4500</v>
      </c>
      <c r="M234" s="1">
        <v>0</v>
      </c>
      <c r="N234" s="173">
        <v>40500</v>
      </c>
      <c r="O234" s="4">
        <f t="shared" ref="O234:O265" si="18">$L234-$M234</f>
        <v>4500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SUMIFS(Tab_08.Ago[SALDO
ATUAL],Tab_08.Ago[CONTA],$I235)</f>
        <v>1564.92</v>
      </c>
      <c r="G235" s="4">
        <f t="shared" si="17"/>
        <v>-223.56</v>
      </c>
      <c r="I235" s="3" t="s">
        <v>467</v>
      </c>
      <c r="J235" s="3" t="s">
        <v>468</v>
      </c>
      <c r="K235" s="173">
        <v>1788.48</v>
      </c>
      <c r="L235" s="1">
        <v>223.56</v>
      </c>
      <c r="M235" s="1">
        <v>0</v>
      </c>
      <c r="N235" s="173">
        <v>2012.04</v>
      </c>
      <c r="O235" s="4">
        <f t="shared" si="18"/>
        <v>223.56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SUMIFS(Tab_08.Ago[SALDO
ATUAL],Tab_08.Ago[CONTA],$I236)</f>
        <v>46198.74</v>
      </c>
      <c r="G236" s="4">
        <f t="shared" si="17"/>
        <v>-4950</v>
      </c>
      <c r="I236" s="3" t="s">
        <v>469</v>
      </c>
      <c r="J236" s="3" t="s">
        <v>470</v>
      </c>
      <c r="K236" s="173">
        <v>51148.74</v>
      </c>
      <c r="L236" s="1">
        <v>4950</v>
      </c>
      <c r="M236" s="1">
        <v>0</v>
      </c>
      <c r="N236" s="173">
        <v>56098.74</v>
      </c>
      <c r="O236" s="4">
        <f t="shared" si="18"/>
        <v>4950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SUMIFS(Tab_08.Ago[SALDO
ATUAL],Tab_08.Ago[CONTA],$I237)</f>
        <v>33290.199999999997</v>
      </c>
      <c r="G237" s="4">
        <f t="shared" si="17"/>
        <v>-5309.74</v>
      </c>
      <c r="I237" s="3" t="s">
        <v>471</v>
      </c>
      <c r="J237" s="3" t="s">
        <v>472</v>
      </c>
      <c r="K237" s="173">
        <v>38599.94</v>
      </c>
      <c r="L237" s="173">
        <v>4940.41</v>
      </c>
      <c r="M237" s="1">
        <v>0</v>
      </c>
      <c r="N237" s="173">
        <v>43540.35</v>
      </c>
      <c r="O237" s="4">
        <f t="shared" si="18"/>
        <v>4940.41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S</v>
      </c>
      <c r="E238" s="2">
        <f>IF($I238="","",COUNTIFS(Tab_00.Trial[CONTA],$I238))</f>
        <v>1</v>
      </c>
      <c r="F238" s="4">
        <f>SUMIFS(Tab_08.Ago[SALDO
ATUAL],Tab_08.Ago[CONTA],$I238)</f>
        <v>580762.56000000006</v>
      </c>
      <c r="G238" s="4">
        <f t="shared" si="17"/>
        <v>-82966.080000000002</v>
      </c>
      <c r="I238" s="3" t="s">
        <v>608</v>
      </c>
      <c r="J238" s="3" t="s">
        <v>713</v>
      </c>
      <c r="K238" s="173">
        <v>663728.64000000001</v>
      </c>
      <c r="L238" s="173">
        <v>82966.09</v>
      </c>
      <c r="M238" s="1">
        <v>0</v>
      </c>
      <c r="N238" s="173">
        <v>746694.73</v>
      </c>
      <c r="O238" s="4">
        <f t="shared" si="18"/>
        <v>82966.09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SUMIFS(Tab_08.Ago[SALDO
ATUAL],Tab_08.Ago[CONTA],$I239)</f>
        <v>125860.56</v>
      </c>
      <c r="G239" s="4">
        <f t="shared" si="17"/>
        <v>-17980.080000000002</v>
      </c>
      <c r="I239" s="3" t="s">
        <v>741</v>
      </c>
      <c r="J239" s="3" t="s">
        <v>742</v>
      </c>
      <c r="K239" s="173">
        <v>143840.64000000001</v>
      </c>
      <c r="L239" s="173">
        <v>17980.09</v>
      </c>
      <c r="M239" s="1">
        <v>0</v>
      </c>
      <c r="N239" s="173">
        <v>161820.73000000001</v>
      </c>
      <c r="O239" s="4">
        <f t="shared" si="18"/>
        <v>17980.09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SUMIFS(Tab_08.Ago[SALDO
ATUAL],Tab_08.Ago[CONTA],$I240)</f>
        <v>52500</v>
      </c>
      <c r="G240" s="4">
        <f t="shared" si="17"/>
        <v>-7500</v>
      </c>
      <c r="I240" s="3" t="s">
        <v>839</v>
      </c>
      <c r="J240" s="3" t="s">
        <v>840</v>
      </c>
      <c r="K240" s="173">
        <v>60000</v>
      </c>
      <c r="L240" s="173">
        <v>7500</v>
      </c>
      <c r="M240" s="1">
        <v>0</v>
      </c>
      <c r="N240" s="173">
        <v>67500</v>
      </c>
      <c r="O240" s="4">
        <f t="shared" si="18"/>
        <v>7500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SUMIFS(Tab_08.Ago[SALDO
ATUAL],Tab_08.Ago[CONTA],$I241)</f>
        <v>402402</v>
      </c>
      <c r="G241" s="4">
        <f t="shared" si="17"/>
        <v>-57486</v>
      </c>
      <c r="I241" s="3" t="s">
        <v>480</v>
      </c>
      <c r="J241" s="3" t="s">
        <v>481</v>
      </c>
      <c r="K241" s="173">
        <v>459888</v>
      </c>
      <c r="L241" s="173">
        <v>57486</v>
      </c>
      <c r="M241" s="1">
        <v>0</v>
      </c>
      <c r="N241" s="173">
        <v>517374</v>
      </c>
      <c r="O241" s="4">
        <f t="shared" si="18"/>
        <v>57486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S</v>
      </c>
      <c r="E242" s="2">
        <f>IF($I242="","",COUNTIFS(Tab_00.Trial[CONTA],$I242))</f>
        <v>1</v>
      </c>
      <c r="F242" s="4">
        <f>SUMIFS(Tab_08.Ago[SALDO
ATUAL],Tab_08.Ago[CONTA],$I242)</f>
        <v>15305.65</v>
      </c>
      <c r="G242" s="4">
        <f t="shared" si="17"/>
        <v>-1403.43</v>
      </c>
      <c r="I242" s="3" t="s">
        <v>609</v>
      </c>
      <c r="J242" s="3" t="s">
        <v>714</v>
      </c>
      <c r="K242" s="173">
        <v>16709.080000000002</v>
      </c>
      <c r="L242" s="1">
        <v>1087.81</v>
      </c>
      <c r="M242" s="1">
        <v>0</v>
      </c>
      <c r="N242" s="173">
        <v>17796.89</v>
      </c>
      <c r="O242" s="4">
        <f t="shared" si="18"/>
        <v>1087.81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S</v>
      </c>
      <c r="E243" s="2">
        <f>IF($I243="","",COUNTIFS(Tab_00.Trial[CONTA],$I243))</f>
        <v>1</v>
      </c>
      <c r="F243" s="4">
        <f>SUMIFS(Tab_08.Ago[SALDO
ATUAL],Tab_08.Ago[CONTA],$I243)</f>
        <v>15305.65</v>
      </c>
      <c r="G243" s="4">
        <f t="shared" si="17"/>
        <v>-1403.43</v>
      </c>
      <c r="I243" s="3" t="s">
        <v>610</v>
      </c>
      <c r="J243" s="3" t="s">
        <v>714</v>
      </c>
      <c r="K243" s="1">
        <v>16709.080000000002</v>
      </c>
      <c r="L243" s="1">
        <v>859.81</v>
      </c>
      <c r="M243" s="1">
        <v>0</v>
      </c>
      <c r="N243" s="1">
        <v>17568.89</v>
      </c>
      <c r="O243" s="4">
        <f t="shared" si="18"/>
        <v>859.81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SUMIFS(Tab_08.Ago[SALDO
ATUAL],Tab_08.Ago[CONTA],$I244)</f>
        <v>5005.3100000000004</v>
      </c>
      <c r="G244" s="4">
        <f t="shared" si="17"/>
        <v>-115.2</v>
      </c>
      <c r="I244" s="3" t="s">
        <v>482</v>
      </c>
      <c r="J244" s="3" t="s">
        <v>483</v>
      </c>
      <c r="K244" s="173">
        <v>5120.51</v>
      </c>
      <c r="L244" s="1">
        <v>316.10000000000002</v>
      </c>
      <c r="M244" s="1">
        <v>0</v>
      </c>
      <c r="N244" s="173">
        <v>5436.61</v>
      </c>
      <c r="O244" s="4">
        <f t="shared" si="18"/>
        <v>316.10000000000002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SUMIFS(Tab_08.Ago[SALDO
ATUAL],Tab_08.Ago[CONTA],$I245)</f>
        <v>5000</v>
      </c>
      <c r="G245" s="4">
        <f t="shared" si="17"/>
        <v>0</v>
      </c>
      <c r="I245" s="3" t="s">
        <v>752</v>
      </c>
      <c r="J245" s="3" t="s">
        <v>753</v>
      </c>
      <c r="K245" s="173">
        <v>5000</v>
      </c>
      <c r="L245" s="1">
        <v>0</v>
      </c>
      <c r="M245" s="1">
        <v>0</v>
      </c>
      <c r="N245" s="173">
        <v>5000</v>
      </c>
      <c r="O245" s="4">
        <f t="shared" si="18"/>
        <v>0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SUMIFS(Tab_08.Ago[SALDO
ATUAL],Tab_08.Ago[CONTA],$I246)</f>
        <v>5300.34</v>
      </c>
      <c r="G246" s="4">
        <f t="shared" si="17"/>
        <v>-1288.23</v>
      </c>
      <c r="I246" s="3" t="s">
        <v>484</v>
      </c>
      <c r="J246" s="3" t="s">
        <v>485</v>
      </c>
      <c r="K246" s="173">
        <v>6588.57</v>
      </c>
      <c r="L246" s="1">
        <v>543.71</v>
      </c>
      <c r="M246" s="1">
        <v>0</v>
      </c>
      <c r="N246" s="173">
        <v>7132.28</v>
      </c>
      <c r="O246" s="4">
        <f t="shared" si="18"/>
        <v>543.71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S</v>
      </c>
      <c r="E247" s="2">
        <f>IF($I247="","",COUNTIFS(Tab_00.Trial[CONTA],$I247))</f>
        <v>1</v>
      </c>
      <c r="F247" s="4">
        <f>SUMIFS(Tab_08.Ago[SALDO
ATUAL],Tab_08.Ago[CONTA],$I247)</f>
        <v>0</v>
      </c>
      <c r="G247" s="4">
        <f t="shared" si="17"/>
        <v>0</v>
      </c>
      <c r="I247" s="3" t="s">
        <v>611</v>
      </c>
      <c r="J247" s="3" t="s">
        <v>715</v>
      </c>
      <c r="K247" s="173">
        <v>0</v>
      </c>
      <c r="L247" s="1">
        <v>228</v>
      </c>
      <c r="M247" s="1">
        <v>0</v>
      </c>
      <c r="N247" s="173">
        <v>228</v>
      </c>
      <c r="O247" s="4">
        <f t="shared" si="18"/>
        <v>228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SUMIFS(Tab_08.Ago[SALDO
ATUAL],Tab_08.Ago[CONTA],$I248)</f>
        <v>0</v>
      </c>
      <c r="G248" s="4">
        <f t="shared" si="17"/>
        <v>0</v>
      </c>
      <c r="I248" s="3" t="s">
        <v>489</v>
      </c>
      <c r="J248" s="3" t="s">
        <v>490</v>
      </c>
      <c r="K248" s="173">
        <v>0</v>
      </c>
      <c r="L248" s="173">
        <v>228</v>
      </c>
      <c r="M248" s="1">
        <v>0</v>
      </c>
      <c r="N248" s="173">
        <v>228</v>
      </c>
      <c r="O248" s="4">
        <f t="shared" si="18"/>
        <v>228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S</v>
      </c>
      <c r="E249" s="2">
        <f>IF($I249="","",COUNTIFS(Tab_00.Trial[CONTA],$I249))</f>
        <v>1</v>
      </c>
      <c r="F249" s="4">
        <f>SUMIFS(Tab_08.Ago[SALDO
ATUAL],Tab_08.Ago[CONTA],$I249)</f>
        <v>65659.31</v>
      </c>
      <c r="G249" s="4">
        <f t="shared" si="17"/>
        <v>-9493.27</v>
      </c>
      <c r="I249" s="3" t="s">
        <v>612</v>
      </c>
      <c r="J249" s="3" t="s">
        <v>716</v>
      </c>
      <c r="K249" s="173">
        <v>75152.58</v>
      </c>
      <c r="L249" s="1">
        <v>20252.41</v>
      </c>
      <c r="M249" s="1">
        <v>0</v>
      </c>
      <c r="N249" s="173">
        <v>95404.99</v>
      </c>
      <c r="O249" s="4">
        <f t="shared" si="18"/>
        <v>20252.41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S</v>
      </c>
      <c r="E250" s="2">
        <f>IF($I250="","",COUNTIFS(Tab_00.Trial[CONTA],$I250))</f>
        <v>1</v>
      </c>
      <c r="F250" s="4">
        <f>SUMIFS(Tab_08.Ago[SALDO
ATUAL],Tab_08.Ago[CONTA],$I250)</f>
        <v>42421.55</v>
      </c>
      <c r="G250" s="4">
        <f t="shared" si="17"/>
        <v>-4631.12</v>
      </c>
      <c r="I250" s="3" t="s">
        <v>613</v>
      </c>
      <c r="J250" s="3" t="s">
        <v>717</v>
      </c>
      <c r="K250" s="173">
        <v>47052.67</v>
      </c>
      <c r="L250" s="1">
        <v>2901.92</v>
      </c>
      <c r="M250" s="1">
        <v>0</v>
      </c>
      <c r="N250" s="173">
        <v>49954.59</v>
      </c>
      <c r="O250" s="4">
        <f t="shared" si="18"/>
        <v>2901.92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SUMIFS(Tab_08.Ago[SALDO
ATUAL],Tab_08.Ago[CONTA],$I251)</f>
        <v>20558.62</v>
      </c>
      <c r="G251" s="4">
        <f t="shared" si="17"/>
        <v>-1817.16</v>
      </c>
      <c r="I251" s="3" t="s">
        <v>491</v>
      </c>
      <c r="J251" s="3" t="s">
        <v>492</v>
      </c>
      <c r="K251" s="173">
        <v>22375.78</v>
      </c>
      <c r="L251" s="1">
        <v>0</v>
      </c>
      <c r="M251" s="1">
        <v>0</v>
      </c>
      <c r="N251" s="173">
        <v>22375.78</v>
      </c>
      <c r="O251" s="4">
        <f t="shared" si="18"/>
        <v>0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SUMIFS(Tab_08.Ago[SALDO
ATUAL],Tab_08.Ago[CONTA],$I252)</f>
        <v>11886.68</v>
      </c>
      <c r="G252" s="4">
        <f t="shared" si="17"/>
        <v>-1374.07</v>
      </c>
      <c r="I252" s="3" t="s">
        <v>493</v>
      </c>
      <c r="J252" s="3" t="s">
        <v>494</v>
      </c>
      <c r="K252" s="173">
        <v>13260.75</v>
      </c>
      <c r="L252" s="1">
        <v>1598.69</v>
      </c>
      <c r="M252" s="1">
        <v>0</v>
      </c>
      <c r="N252" s="173">
        <v>14859.44</v>
      </c>
      <c r="O252" s="4">
        <f t="shared" si="18"/>
        <v>1598.69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SUMIFS(Tab_08.Ago[SALDO
ATUAL],Tab_08.Ago[CONTA],$I253)</f>
        <v>9976.25</v>
      </c>
      <c r="G253" s="4">
        <f t="shared" si="17"/>
        <v>-1439.89</v>
      </c>
      <c r="I253" s="3" t="s">
        <v>495</v>
      </c>
      <c r="J253" s="3" t="s">
        <v>496</v>
      </c>
      <c r="K253" s="173">
        <v>11416.14</v>
      </c>
      <c r="L253" s="173">
        <v>1303.23</v>
      </c>
      <c r="M253" s="1">
        <v>0</v>
      </c>
      <c r="N253" s="173">
        <v>12719.37</v>
      </c>
      <c r="O253" s="4">
        <f t="shared" si="18"/>
        <v>1303.23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S</v>
      </c>
      <c r="E254" s="2">
        <f>IF($I254="","",COUNTIFS(Tab_00.Trial[CONTA],$I254))</f>
        <v>1</v>
      </c>
      <c r="F254" s="4">
        <f>SUMIFS(Tab_08.Ago[SALDO
ATUAL],Tab_08.Ago[CONTA],$I254)</f>
        <v>23237.759999999998</v>
      </c>
      <c r="G254" s="4">
        <f t="shared" si="17"/>
        <v>-4862.1499999999996</v>
      </c>
      <c r="I254" s="3" t="s">
        <v>614</v>
      </c>
      <c r="J254" s="3" t="s">
        <v>718</v>
      </c>
      <c r="K254" s="173">
        <v>28099.91</v>
      </c>
      <c r="L254" s="173">
        <v>17350.490000000002</v>
      </c>
      <c r="M254" s="1">
        <v>0</v>
      </c>
      <c r="N254" s="173">
        <v>45450.400000000001</v>
      </c>
      <c r="O254" s="4">
        <f t="shared" si="18"/>
        <v>17350.490000000002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SUMIFS(Tab_08.Ago[SALDO
ATUAL],Tab_08.Ago[CONTA],$I255)</f>
        <v>95</v>
      </c>
      <c r="G255" s="4">
        <f t="shared" si="17"/>
        <v>0</v>
      </c>
      <c r="I255" s="3" t="s">
        <v>497</v>
      </c>
      <c r="J255" s="3" t="s">
        <v>498</v>
      </c>
      <c r="K255" s="1">
        <v>95</v>
      </c>
      <c r="L255" s="1">
        <v>0</v>
      </c>
      <c r="M255" s="1">
        <v>0</v>
      </c>
      <c r="N255" s="1">
        <v>95</v>
      </c>
      <c r="O255" s="4">
        <f t="shared" si="18"/>
        <v>0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SUMIFS(Tab_08.Ago[SALDO
ATUAL],Tab_08.Ago[CONTA],$I256)</f>
        <v>9794.14</v>
      </c>
      <c r="G256" s="4">
        <f t="shared" si="17"/>
        <v>-1127.4000000000001</v>
      </c>
      <c r="I256" s="3" t="s">
        <v>499</v>
      </c>
      <c r="J256" s="3" t="s">
        <v>500</v>
      </c>
      <c r="K256" s="173">
        <v>10921.54</v>
      </c>
      <c r="L256" s="173">
        <v>10487.9</v>
      </c>
      <c r="M256" s="1">
        <v>0</v>
      </c>
      <c r="N256" s="173">
        <v>21409.439999999999</v>
      </c>
      <c r="O256" s="4">
        <f t="shared" si="18"/>
        <v>10487.9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SUMIFS(Tab_08.Ago[SALDO
ATUAL],Tab_08.Ago[CONTA],$I257)</f>
        <v>9664.69</v>
      </c>
      <c r="G257" s="4">
        <f t="shared" si="17"/>
        <v>-755.33</v>
      </c>
      <c r="I257" s="3" t="s">
        <v>501</v>
      </c>
      <c r="J257" s="3" t="s">
        <v>502</v>
      </c>
      <c r="K257" s="173">
        <v>10420.02</v>
      </c>
      <c r="L257" s="173">
        <v>3976</v>
      </c>
      <c r="M257" s="1">
        <v>0</v>
      </c>
      <c r="N257" s="173">
        <v>14396.02</v>
      </c>
      <c r="O257" s="4">
        <f t="shared" si="18"/>
        <v>3976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SUMIFS(Tab_08.Ago[SALDO
ATUAL],Tab_08.Ago[CONTA],$I258)</f>
        <v>3683.93</v>
      </c>
      <c r="G258" s="4">
        <f t="shared" si="17"/>
        <v>-2959.26</v>
      </c>
      <c r="I258" s="3" t="s">
        <v>503</v>
      </c>
      <c r="J258" s="3" t="s">
        <v>504</v>
      </c>
      <c r="K258" s="1">
        <v>6643.19</v>
      </c>
      <c r="L258" s="173">
        <v>2886.59</v>
      </c>
      <c r="M258" s="1">
        <v>0</v>
      </c>
      <c r="N258" s="173">
        <v>9529.7800000000007</v>
      </c>
      <c r="O258" s="4">
        <f t="shared" si="18"/>
        <v>2886.59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SUMIFS(Tab_08.Ago[SALDO
ATUAL],Tab_08.Ago[CONTA],$I259)</f>
        <v>0</v>
      </c>
      <c r="G259" s="4">
        <f t="shared" si="17"/>
        <v>-20.16</v>
      </c>
      <c r="I259" s="3" t="s">
        <v>505</v>
      </c>
      <c r="J259" s="3" t="s">
        <v>506</v>
      </c>
      <c r="K259" s="1">
        <v>20.16</v>
      </c>
      <c r="L259" s="173">
        <v>0</v>
      </c>
      <c r="M259" s="1">
        <v>0</v>
      </c>
      <c r="N259" s="173">
        <v>20.16</v>
      </c>
      <c r="O259" s="4">
        <f t="shared" si="18"/>
        <v>0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S</v>
      </c>
      <c r="E260" s="2">
        <f>IF($I260="","",COUNTIFS(Tab_00.Trial[CONTA],$I260))</f>
        <v>1</v>
      </c>
      <c r="F260" s="4">
        <f>SUMIFS(Tab_08.Ago[SALDO
ATUAL],Tab_08.Ago[CONTA],$I260)</f>
        <v>42759.32</v>
      </c>
      <c r="G260" s="4">
        <f t="shared" si="17"/>
        <v>-4827.3999999999996</v>
      </c>
      <c r="I260" s="3" t="s">
        <v>615</v>
      </c>
      <c r="J260" s="3" t="s">
        <v>719</v>
      </c>
      <c r="K260" s="173">
        <v>47586.720000000001</v>
      </c>
      <c r="L260" s="173">
        <v>4701.1400000000003</v>
      </c>
      <c r="M260" s="1">
        <v>0</v>
      </c>
      <c r="N260" s="173">
        <v>52287.86</v>
      </c>
      <c r="O260" s="4">
        <f t="shared" si="18"/>
        <v>4701.1400000000003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SUMIFS(Tab_08.Ago[SALDO
ATUAL],Tab_08.Ago[CONTA],$I261)</f>
        <v>2014.18</v>
      </c>
      <c r="G261" s="4">
        <f t="shared" si="17"/>
        <v>-287.74</v>
      </c>
      <c r="I261" s="3" t="s">
        <v>617</v>
      </c>
      <c r="J261" s="3" t="s">
        <v>721</v>
      </c>
      <c r="K261" s="173">
        <v>2301.92</v>
      </c>
      <c r="L261" s="173">
        <v>275.14999999999998</v>
      </c>
      <c r="M261" s="1">
        <v>0</v>
      </c>
      <c r="N261" s="173">
        <v>2577.0700000000002</v>
      </c>
      <c r="O261" s="4">
        <f t="shared" si="18"/>
        <v>275.14999999999998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A</v>
      </c>
      <c r="E262" s="2">
        <f>IF($I262="","",COUNTIFS(Tab_00.Trial[CONTA],$I262))</f>
        <v>1</v>
      </c>
      <c r="F262" s="4">
        <f>SUMIFS(Tab_08.Ago[SALDO
ATUAL],Tab_08.Ago[CONTA],$I262)</f>
        <v>2014.18</v>
      </c>
      <c r="G262" s="4">
        <f t="shared" si="17"/>
        <v>-287.74</v>
      </c>
      <c r="I262" s="3" t="s">
        <v>739</v>
      </c>
      <c r="J262" s="3" t="s">
        <v>740</v>
      </c>
      <c r="K262" s="173">
        <v>2301.92</v>
      </c>
      <c r="L262" s="173">
        <v>275.14999999999998</v>
      </c>
      <c r="M262" s="1">
        <v>0</v>
      </c>
      <c r="N262" s="173">
        <v>2577.0700000000002</v>
      </c>
      <c r="O262" s="4">
        <f t="shared" si="18"/>
        <v>275.14999999999998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SUMIFS(Tab_08.Ago[SALDO
ATUAL],Tab_08.Ago[CONTA],$I263)</f>
        <v>18055.939999999999</v>
      </c>
      <c r="G263" s="4">
        <f t="shared" si="17"/>
        <v>-2906.29</v>
      </c>
      <c r="I263" s="3" t="s">
        <v>618</v>
      </c>
      <c r="J263" s="3" t="s">
        <v>722</v>
      </c>
      <c r="K263" s="173">
        <v>20962.23</v>
      </c>
      <c r="L263" s="173">
        <v>2752.18</v>
      </c>
      <c r="M263" s="1">
        <v>0</v>
      </c>
      <c r="N263" s="173">
        <v>23714.41</v>
      </c>
      <c r="O263" s="4">
        <f t="shared" si="18"/>
        <v>2752.18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A</v>
      </c>
      <c r="E264" s="2">
        <f>IF($I264="","",COUNTIFS(Tab_00.Trial[CONTA],$I264))</f>
        <v>1</v>
      </c>
      <c r="F264" s="4">
        <f>SUMIFS(Tab_08.Ago[SALDO
ATUAL],Tab_08.Ago[CONTA],$I264)</f>
        <v>18055.939999999999</v>
      </c>
      <c r="G264" s="4">
        <f t="shared" si="17"/>
        <v>-2906.29</v>
      </c>
      <c r="I264" s="3" t="s">
        <v>511</v>
      </c>
      <c r="J264" s="3" t="s">
        <v>512</v>
      </c>
      <c r="K264" s="173">
        <v>20962.23</v>
      </c>
      <c r="L264" s="173">
        <v>2752.18</v>
      </c>
      <c r="M264" s="1">
        <v>0</v>
      </c>
      <c r="N264" s="173">
        <v>23714.41</v>
      </c>
      <c r="O264" s="4">
        <f t="shared" si="18"/>
        <v>2752.18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S</v>
      </c>
      <c r="E265" s="2">
        <f>IF($I265="","",COUNTIFS(Tab_00.Trial[CONTA],$I265))</f>
        <v>1</v>
      </c>
      <c r="F265" s="4">
        <f>SUMIFS(Tab_08.Ago[SALDO
ATUAL],Tab_08.Ago[CONTA],$I265)</f>
        <v>22689.200000000001</v>
      </c>
      <c r="G265" s="4">
        <f t="shared" si="17"/>
        <v>-1633.37</v>
      </c>
      <c r="I265" s="3" t="s">
        <v>619</v>
      </c>
      <c r="J265" s="3" t="s">
        <v>420</v>
      </c>
      <c r="K265" s="173">
        <v>24322.57</v>
      </c>
      <c r="L265" s="173">
        <v>1673.81</v>
      </c>
      <c r="M265" s="1">
        <v>0</v>
      </c>
      <c r="N265" s="173">
        <v>25996.38</v>
      </c>
      <c r="O265" s="4">
        <f t="shared" si="18"/>
        <v>1673.81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SUMIFS(Tab_08.Ago[SALDO
ATUAL],Tab_08.Ago[CONTA],$I266)</f>
        <v>22689.200000000001</v>
      </c>
      <c r="G266" s="4">
        <f t="shared" ref="G266:G295" si="19">$F266-$K266</f>
        <v>-1633.37</v>
      </c>
      <c r="I266" s="3" t="s">
        <v>515</v>
      </c>
      <c r="J266" s="3" t="s">
        <v>420</v>
      </c>
      <c r="K266" s="173">
        <v>24322.57</v>
      </c>
      <c r="L266" s="173">
        <v>1673.81</v>
      </c>
      <c r="M266" s="1">
        <v>0</v>
      </c>
      <c r="N266" s="173">
        <v>25996.38</v>
      </c>
      <c r="O266" s="4">
        <f t="shared" ref="O266:O295" si="20">$L266-$M266</f>
        <v>1673.81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SUMIFS(Tab_08.Ago[SALDO
ATUAL],Tab_08.Ago[CONTA],$I267)</f>
        <v>11741.31</v>
      </c>
      <c r="G267" s="4">
        <f t="shared" si="19"/>
        <v>-1309.06</v>
      </c>
      <c r="I267" s="3" t="s">
        <v>621</v>
      </c>
      <c r="J267" s="3" t="s">
        <v>723</v>
      </c>
      <c r="K267" s="173">
        <v>13050.37</v>
      </c>
      <c r="L267" s="1">
        <v>1263.6300000000001</v>
      </c>
      <c r="M267" s="1">
        <v>0</v>
      </c>
      <c r="N267" s="173">
        <v>14314</v>
      </c>
      <c r="O267" s="4">
        <f t="shared" si="20"/>
        <v>1263.6300000000001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SUMIFS(Tab_08.Ago[SALDO
ATUAL],Tab_08.Ago[CONTA],$I268)</f>
        <v>11741.31</v>
      </c>
      <c r="G268" s="4">
        <f t="shared" si="19"/>
        <v>-1309.06</v>
      </c>
      <c r="I268" s="3" t="s">
        <v>622</v>
      </c>
      <c r="J268" s="3" t="s">
        <v>723</v>
      </c>
      <c r="K268" s="173">
        <v>13050.37</v>
      </c>
      <c r="L268" s="1">
        <v>1263.6300000000001</v>
      </c>
      <c r="M268" s="1">
        <v>0</v>
      </c>
      <c r="N268" s="173">
        <v>14314</v>
      </c>
      <c r="O268" s="4">
        <f t="shared" si="20"/>
        <v>1263.6300000000001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A</v>
      </c>
      <c r="E269" s="2">
        <f>IF($I269="","",COUNTIFS(Tab_00.Trial[CONTA],$I269))</f>
        <v>1</v>
      </c>
      <c r="F269" s="4">
        <f>SUMIFS(Tab_08.Ago[SALDO
ATUAL],Tab_08.Ago[CONTA],$I269)</f>
        <v>11741.31</v>
      </c>
      <c r="G269" s="4">
        <f t="shared" si="19"/>
        <v>-1309.06</v>
      </c>
      <c r="I269" s="3" t="s">
        <v>518</v>
      </c>
      <c r="J269" s="3" t="s">
        <v>519</v>
      </c>
      <c r="K269" s="1">
        <v>13050.37</v>
      </c>
      <c r="L269" s="1">
        <v>1263.6300000000001</v>
      </c>
      <c r="M269" s="1">
        <v>0</v>
      </c>
      <c r="N269" s="1">
        <v>14314</v>
      </c>
      <c r="O269" s="4">
        <f t="shared" si="20"/>
        <v>1263.6300000000001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SUMIFS(Tab_08.Ago[SALDO
ATUAL],Tab_08.Ago[CONTA],$I270)</f>
        <v>28948.49</v>
      </c>
      <c r="G270" s="4">
        <f t="shared" si="19"/>
        <v>-3666.75</v>
      </c>
      <c r="I270" s="3" t="s">
        <v>623</v>
      </c>
      <c r="J270" s="3" t="s">
        <v>724</v>
      </c>
      <c r="K270" s="173">
        <v>32615.24</v>
      </c>
      <c r="L270" s="1">
        <v>3666.75</v>
      </c>
      <c r="M270" s="1">
        <v>0</v>
      </c>
      <c r="N270" s="173">
        <v>36281.99</v>
      </c>
      <c r="O270" s="4">
        <f t="shared" si="20"/>
        <v>3666.75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S</v>
      </c>
      <c r="E271" s="2">
        <f>IF($I271="","",COUNTIFS(Tab_00.Trial[CONTA],$I271))</f>
        <v>1</v>
      </c>
      <c r="F271" s="4">
        <f>SUMIFS(Tab_08.Ago[SALDO
ATUAL],Tab_08.Ago[CONTA],$I271)</f>
        <v>28948.49</v>
      </c>
      <c r="G271" s="4">
        <f t="shared" si="19"/>
        <v>-3666.75</v>
      </c>
      <c r="I271" s="3" t="s">
        <v>624</v>
      </c>
      <c r="J271" s="3" t="s">
        <v>724</v>
      </c>
      <c r="K271" s="173">
        <v>32615.24</v>
      </c>
      <c r="L271" s="173">
        <v>3666.75</v>
      </c>
      <c r="M271" s="1">
        <v>0</v>
      </c>
      <c r="N271" s="173">
        <v>36281.99</v>
      </c>
      <c r="O271" s="4">
        <f t="shared" si="20"/>
        <v>3666.75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A</v>
      </c>
      <c r="E272" s="2">
        <f>IF($I272="","",COUNTIFS(Tab_00.Trial[CONTA],$I272))</f>
        <v>1</v>
      </c>
      <c r="F272" s="4">
        <f>SUMIFS(Tab_08.Ago[SALDO
ATUAL],Tab_08.Ago[CONTA],$I272)</f>
        <v>28948.49</v>
      </c>
      <c r="G272" s="4">
        <f t="shared" si="19"/>
        <v>-3666.75</v>
      </c>
      <c r="I272" s="3" t="s">
        <v>520</v>
      </c>
      <c r="J272" s="3" t="s">
        <v>521</v>
      </c>
      <c r="K272" s="173">
        <v>32615.24</v>
      </c>
      <c r="L272" s="173">
        <v>3666.75</v>
      </c>
      <c r="M272" s="1">
        <v>0</v>
      </c>
      <c r="N272" s="173">
        <v>36281.99</v>
      </c>
      <c r="O272" s="4">
        <f t="shared" si="20"/>
        <v>3666.75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SUMIFS(Tab_08.Ago[SALDO
ATUAL],Tab_08.Ago[CONTA],$I273)</f>
        <v>37696.74</v>
      </c>
      <c r="G273" s="4">
        <f t="shared" si="19"/>
        <v>-3282.08</v>
      </c>
      <c r="I273" s="3" t="s">
        <v>625</v>
      </c>
      <c r="J273" s="3" t="s">
        <v>542</v>
      </c>
      <c r="K273" s="173">
        <v>40978.82</v>
      </c>
      <c r="L273" s="1">
        <v>3516.07</v>
      </c>
      <c r="M273" s="1">
        <v>0</v>
      </c>
      <c r="N273" s="173">
        <v>44494.89</v>
      </c>
      <c r="O273" s="4">
        <f t="shared" si="20"/>
        <v>3516.07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S</v>
      </c>
      <c r="E274" s="2">
        <f>IF($I274="","",COUNTIFS(Tab_00.Trial[CONTA],$I274))</f>
        <v>1</v>
      </c>
      <c r="F274" s="4">
        <f>SUMIFS(Tab_08.Ago[SALDO
ATUAL],Tab_08.Ago[CONTA],$I274)</f>
        <v>16096.81</v>
      </c>
      <c r="G274" s="4">
        <f t="shared" si="19"/>
        <v>-87.96</v>
      </c>
      <c r="I274" s="3" t="s">
        <v>626</v>
      </c>
      <c r="J274" s="3" t="s">
        <v>725</v>
      </c>
      <c r="K274" s="173">
        <v>16184.77</v>
      </c>
      <c r="L274" s="1">
        <v>13.14</v>
      </c>
      <c r="M274" s="1">
        <v>0</v>
      </c>
      <c r="N274" s="173">
        <v>16197.91</v>
      </c>
      <c r="O274" s="4">
        <f t="shared" si="20"/>
        <v>13.14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SUMIFS(Tab_08.Ago[SALDO
ATUAL],Tab_08.Ago[CONTA],$I275)</f>
        <v>15527.74</v>
      </c>
      <c r="G275" s="4">
        <f t="shared" si="19"/>
        <v>0</v>
      </c>
      <c r="I275" s="3" t="s">
        <v>522</v>
      </c>
      <c r="J275" s="3" t="s">
        <v>523</v>
      </c>
      <c r="K275" s="173">
        <v>15527.74</v>
      </c>
      <c r="L275" s="173">
        <v>0</v>
      </c>
      <c r="M275" s="1">
        <v>0</v>
      </c>
      <c r="N275" s="173">
        <v>15527.74</v>
      </c>
      <c r="O275" s="4">
        <f t="shared" si="20"/>
        <v>0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A</v>
      </c>
      <c r="E276" s="2">
        <f>IF($I276="","",COUNTIFS(Tab_00.Trial[CONTA],$I276))</f>
        <v>1</v>
      </c>
      <c r="F276" s="4">
        <f>SUMIFS(Tab_08.Ago[SALDO
ATUAL],Tab_08.Ago[CONTA],$I276)</f>
        <v>569.07000000000005</v>
      </c>
      <c r="G276" s="4">
        <f t="shared" si="19"/>
        <v>-87.96</v>
      </c>
      <c r="I276" s="3" t="s">
        <v>524</v>
      </c>
      <c r="J276" s="3" t="s">
        <v>525</v>
      </c>
      <c r="K276" s="173">
        <v>657.03</v>
      </c>
      <c r="L276" s="173">
        <v>13.14</v>
      </c>
      <c r="M276" s="1">
        <v>0</v>
      </c>
      <c r="N276" s="173">
        <v>670.17</v>
      </c>
      <c r="O276" s="4">
        <f t="shared" si="20"/>
        <v>13.14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S</v>
      </c>
      <c r="E277" s="2">
        <f>IF($I277="","",COUNTIFS(Tab_00.Trial[CONTA],$I277))</f>
        <v>1</v>
      </c>
      <c r="F277" s="4">
        <f>SUMIFS(Tab_08.Ago[SALDO
ATUAL],Tab_08.Ago[CONTA],$I277)</f>
        <v>21599.93</v>
      </c>
      <c r="G277" s="4">
        <f t="shared" si="19"/>
        <v>-3194.12</v>
      </c>
      <c r="I277" s="3" t="s">
        <v>627</v>
      </c>
      <c r="J277" s="3" t="s">
        <v>542</v>
      </c>
      <c r="K277" s="1">
        <v>24794.05</v>
      </c>
      <c r="L277" s="1">
        <v>3502.93</v>
      </c>
      <c r="M277" s="1">
        <v>0</v>
      </c>
      <c r="N277" s="1">
        <v>28296.98</v>
      </c>
      <c r="O277" s="4">
        <f t="shared" si="20"/>
        <v>3502.93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SUMIFS(Tab_08.Ago[SALDO
ATUAL],Tab_08.Ago[CONTA],$I278)</f>
        <v>750.01</v>
      </c>
      <c r="G278" s="4">
        <f t="shared" si="19"/>
        <v>-645.41</v>
      </c>
      <c r="I278" s="3" t="s">
        <v>528</v>
      </c>
      <c r="J278" s="3" t="s">
        <v>416</v>
      </c>
      <c r="K278" s="173">
        <v>1395.42</v>
      </c>
      <c r="L278" s="173">
        <v>282</v>
      </c>
      <c r="M278" s="1">
        <v>0</v>
      </c>
      <c r="N278" s="173">
        <v>1677.42</v>
      </c>
      <c r="O278" s="4">
        <f t="shared" si="20"/>
        <v>282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SUMIFS(Tab_08.Ago[SALDO
ATUAL],Tab_08.Ago[CONTA],$I279)</f>
        <v>258</v>
      </c>
      <c r="G279" s="4">
        <f t="shared" si="19"/>
        <v>0</v>
      </c>
      <c r="I279" s="3" t="s">
        <v>529</v>
      </c>
      <c r="J279" s="3" t="s">
        <v>530</v>
      </c>
      <c r="K279" s="173">
        <v>258</v>
      </c>
      <c r="L279" s="1">
        <v>91.32</v>
      </c>
      <c r="M279" s="1">
        <v>0</v>
      </c>
      <c r="N279" s="173">
        <v>349.32</v>
      </c>
      <c r="O279" s="4">
        <f t="shared" si="20"/>
        <v>91.32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SUMIFS(Tab_08.Ago[SALDO
ATUAL],Tab_08.Ago[CONTA],$I280)</f>
        <v>1090.6300000000001</v>
      </c>
      <c r="G280" s="4">
        <f t="shared" si="19"/>
        <v>-170.37</v>
      </c>
      <c r="I280" s="3" t="s">
        <v>531</v>
      </c>
      <c r="J280" s="3" t="s">
        <v>532</v>
      </c>
      <c r="K280" s="1">
        <v>1261</v>
      </c>
      <c r="L280" s="1">
        <v>176.92</v>
      </c>
      <c r="M280" s="1">
        <v>0</v>
      </c>
      <c r="N280" s="1">
        <v>1437.92</v>
      </c>
      <c r="O280" s="4">
        <f t="shared" si="20"/>
        <v>176.92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SUMIFS(Tab_08.Ago[SALDO
ATUAL],Tab_08.Ago[CONTA],$I281)</f>
        <v>2100</v>
      </c>
      <c r="G281" s="4">
        <f t="shared" si="19"/>
        <v>-600</v>
      </c>
      <c r="I281" s="3" t="s">
        <v>533</v>
      </c>
      <c r="J281" s="3" t="s">
        <v>534</v>
      </c>
      <c r="K281" s="1">
        <v>2700</v>
      </c>
      <c r="L281" s="1">
        <v>1098.9100000000001</v>
      </c>
      <c r="M281" s="1">
        <v>0</v>
      </c>
      <c r="N281" s="1">
        <v>3798.91</v>
      </c>
      <c r="O281" s="4">
        <f t="shared" si="20"/>
        <v>1098.9100000000001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SUMIFS(Tab_08.Ago[SALDO
ATUAL],Tab_08.Ago[CONTA],$I282)</f>
        <v>4749.8900000000003</v>
      </c>
      <c r="G282" s="4">
        <f t="shared" si="19"/>
        <v>0</v>
      </c>
      <c r="I282" s="3" t="s">
        <v>537</v>
      </c>
      <c r="J282" s="3" t="s">
        <v>538</v>
      </c>
      <c r="K282" s="1">
        <v>4749.8900000000003</v>
      </c>
      <c r="L282" s="1">
        <v>0</v>
      </c>
      <c r="M282" s="1">
        <v>0</v>
      </c>
      <c r="N282" s="1">
        <v>4749.8900000000003</v>
      </c>
      <c r="O282" s="4">
        <f t="shared" si="20"/>
        <v>0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A</v>
      </c>
      <c r="E283" s="2">
        <f>IF($I283="","",COUNTIFS(Tab_00.Trial[CONTA],$I283))</f>
        <v>1</v>
      </c>
      <c r="F283" s="4">
        <f>SUMIFS(Tab_08.Ago[SALDO
ATUAL],Tab_08.Ago[CONTA],$I283)</f>
        <v>10965.13</v>
      </c>
      <c r="G283" s="4">
        <f t="shared" si="19"/>
        <v>-1175.6500000000001</v>
      </c>
      <c r="I283" s="3" t="s">
        <v>539</v>
      </c>
      <c r="J283" s="3" t="s">
        <v>540</v>
      </c>
      <c r="K283" s="1">
        <v>12140.78</v>
      </c>
      <c r="L283" s="1">
        <v>1456.02</v>
      </c>
      <c r="M283" s="1">
        <v>0</v>
      </c>
      <c r="N283" s="1">
        <v>13596.8</v>
      </c>
      <c r="O283" s="4">
        <f t="shared" si="20"/>
        <v>1456.02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SUMIFS(Tab_08.Ago[SALDO
ATUAL],Tab_08.Ago[CONTA],$I284)</f>
        <v>1686.27</v>
      </c>
      <c r="G284" s="4">
        <f t="shared" si="19"/>
        <v>-602.69000000000005</v>
      </c>
      <c r="I284" s="3" t="s">
        <v>541</v>
      </c>
      <c r="J284" s="3" t="s">
        <v>542</v>
      </c>
      <c r="K284" s="1">
        <v>2288.96</v>
      </c>
      <c r="L284" s="1">
        <v>397.76</v>
      </c>
      <c r="M284" s="1">
        <v>0</v>
      </c>
      <c r="N284" s="1">
        <v>2686.72</v>
      </c>
      <c r="O284" s="4">
        <f t="shared" si="20"/>
        <v>397.76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2</v>
      </c>
      <c r="D285" s="2" t="str">
        <f>_xlfn.XLOOKUP($I285,Tab_00.Trial[CONTA],Tab_00.Trial[S/A],"",0,1)</f>
        <v>S</v>
      </c>
      <c r="E285" s="2">
        <f>IF($I285="","",COUNTIFS(Tab_00.Trial[CONTA],$I285))</f>
        <v>1</v>
      </c>
      <c r="F285" s="4">
        <f>SUMIFS(Tab_08.Ago[SALDO
ATUAL],Tab_08.Ago[CONTA],$I285)</f>
        <v>405</v>
      </c>
      <c r="G285" s="4">
        <f t="shared" si="19"/>
        <v>0</v>
      </c>
      <c r="I285" s="3" t="s">
        <v>630</v>
      </c>
      <c r="J285" s="3" t="s">
        <v>728</v>
      </c>
      <c r="K285" s="1">
        <v>405</v>
      </c>
      <c r="L285" s="1">
        <v>0</v>
      </c>
      <c r="M285" s="1">
        <v>0</v>
      </c>
      <c r="N285" s="1">
        <v>405</v>
      </c>
      <c r="O285" s="4">
        <f t="shared" si="20"/>
        <v>0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S</v>
      </c>
      <c r="E286" s="2">
        <f>IF($I286="","",COUNTIFS(Tab_00.Trial[CONTA],$I286))</f>
        <v>1</v>
      </c>
      <c r="F286" s="4">
        <f>SUMIFS(Tab_08.Ago[SALDO
ATUAL],Tab_08.Ago[CONTA],$I286)</f>
        <v>405</v>
      </c>
      <c r="G286" s="4">
        <f t="shared" si="19"/>
        <v>0</v>
      </c>
      <c r="I286" s="3" t="s">
        <v>631</v>
      </c>
      <c r="J286" s="3" t="s">
        <v>728</v>
      </c>
      <c r="K286" s="1">
        <v>405</v>
      </c>
      <c r="L286" s="1">
        <v>0</v>
      </c>
      <c r="M286" s="1">
        <v>0</v>
      </c>
      <c r="N286" s="1">
        <v>405</v>
      </c>
      <c r="O286" s="4">
        <f t="shared" si="20"/>
        <v>0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S</v>
      </c>
      <c r="E287" s="2">
        <f>IF($I287="","",COUNTIFS(Tab_00.Trial[CONTA],$I287))</f>
        <v>1</v>
      </c>
      <c r="F287" s="4">
        <f>SUMIFS(Tab_08.Ago[SALDO
ATUAL],Tab_08.Ago[CONTA],$I287)</f>
        <v>405</v>
      </c>
      <c r="G287" s="4">
        <f t="shared" si="19"/>
        <v>0</v>
      </c>
      <c r="I287" s="3" t="s">
        <v>633</v>
      </c>
      <c r="J287" s="3" t="s">
        <v>548</v>
      </c>
      <c r="K287" s="1">
        <v>405</v>
      </c>
      <c r="L287" s="1">
        <v>0</v>
      </c>
      <c r="M287" s="1">
        <v>0</v>
      </c>
      <c r="N287" s="1">
        <v>405</v>
      </c>
      <c r="O287" s="4">
        <f t="shared" si="20"/>
        <v>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A</v>
      </c>
      <c r="E288" s="2">
        <f>IF($I288="","",COUNTIFS(Tab_00.Trial[CONTA],$I288))</f>
        <v>1</v>
      </c>
      <c r="F288" s="4">
        <f>SUMIFS(Tab_08.Ago[SALDO
ATUAL],Tab_08.Ago[CONTA],$I288)</f>
        <v>405</v>
      </c>
      <c r="G288" s="4">
        <f t="shared" si="19"/>
        <v>0</v>
      </c>
      <c r="I288" s="3" t="s">
        <v>547</v>
      </c>
      <c r="J288" s="3" t="s">
        <v>548</v>
      </c>
      <c r="K288" s="1">
        <v>405</v>
      </c>
      <c r="L288" s="1">
        <v>0</v>
      </c>
      <c r="M288" s="1">
        <v>0</v>
      </c>
      <c r="N288" s="1">
        <v>405</v>
      </c>
      <c r="O288" s="4">
        <f t="shared" si="20"/>
        <v>0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2</v>
      </c>
      <c r="D289" s="2" t="str">
        <f>_xlfn.XLOOKUP($I289,Tab_00.Trial[CONTA],Tab_00.Trial[S/A],"",0,1)</f>
        <v>S</v>
      </c>
      <c r="E289" s="2">
        <f>IF($I289="","",COUNTIFS(Tab_00.Trial[CONTA],$I289))</f>
        <v>1</v>
      </c>
      <c r="F289" s="4">
        <f>SUMIFS(Tab_08.Ago[SALDO
ATUAL],Tab_08.Ago[CONTA],$I289)</f>
        <v>-189</v>
      </c>
      <c r="G289" s="4">
        <f t="shared" si="19"/>
        <v>0</v>
      </c>
      <c r="I289" s="3" t="s">
        <v>634</v>
      </c>
      <c r="J289" s="3" t="s">
        <v>730</v>
      </c>
      <c r="K289" s="173">
        <v>-189</v>
      </c>
      <c r="L289" s="1">
        <v>0</v>
      </c>
      <c r="M289" s="1">
        <v>0</v>
      </c>
      <c r="N289" s="173">
        <v>-189</v>
      </c>
      <c r="O289" s="4">
        <f t="shared" si="20"/>
        <v>0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5</v>
      </c>
      <c r="D290" s="2" t="str">
        <f>_xlfn.XLOOKUP($I290,Tab_00.Trial[CONTA],Tab_00.Trial[S/A],"",0,1)</f>
        <v>S</v>
      </c>
      <c r="E290" s="2">
        <f>IF($I290="","",COUNTIFS(Tab_00.Trial[CONTA],$I290))</f>
        <v>1</v>
      </c>
      <c r="F290" s="4">
        <f>SUMIFS(Tab_08.Ago[SALDO
ATUAL],Tab_08.Ago[CONTA],$I290)</f>
        <v>-189</v>
      </c>
      <c r="G290" s="4">
        <f t="shared" si="19"/>
        <v>0</v>
      </c>
      <c r="I290" s="3" t="s">
        <v>831</v>
      </c>
      <c r="J290" s="3" t="s">
        <v>832</v>
      </c>
      <c r="K290" s="173">
        <v>-189</v>
      </c>
      <c r="L290" s="1">
        <v>0</v>
      </c>
      <c r="M290" s="1">
        <v>0</v>
      </c>
      <c r="N290" s="173">
        <v>-189</v>
      </c>
      <c r="O290" s="4">
        <f t="shared" si="20"/>
        <v>0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5</v>
      </c>
      <c r="D291" s="2" t="str">
        <f>_xlfn.XLOOKUP($I291,Tab_00.Trial[CONTA],Tab_00.Trial[S/A],"",0,1)</f>
        <v>S</v>
      </c>
      <c r="E291" s="2">
        <f>IF($I291="","",COUNTIFS(Tab_00.Trial[CONTA],$I291))</f>
        <v>1</v>
      </c>
      <c r="F291" s="4">
        <f>SUMIFS(Tab_08.Ago[SALDO
ATUAL],Tab_08.Ago[CONTA],$I291)</f>
        <v>-189</v>
      </c>
      <c r="G291" s="4">
        <f t="shared" si="19"/>
        <v>0</v>
      </c>
      <c r="I291" s="3" t="s">
        <v>833</v>
      </c>
      <c r="J291" s="3" t="s">
        <v>832</v>
      </c>
      <c r="K291" s="173">
        <v>-189</v>
      </c>
      <c r="L291" s="1">
        <v>0</v>
      </c>
      <c r="M291" s="1">
        <v>0</v>
      </c>
      <c r="N291" s="173">
        <v>-189</v>
      </c>
      <c r="O291" s="4">
        <f t="shared" si="20"/>
        <v>0</v>
      </c>
    </row>
    <row r="292" spans="2:15" x14ac:dyDescent="0.3">
      <c r="B292" s="2" t="str">
        <f>_xlfn.XLOOKUP($I292,Tab_00.Trial[CONTA],Tab_00.Trial[TP],"",0,1)</f>
        <v>C</v>
      </c>
      <c r="C292" s="2">
        <f>_xlfn.XLOOKUP($I292,Tab_00.Trial[CONTA],Tab_00.Trial[NV],"",0,1)</f>
        <v>5</v>
      </c>
      <c r="D292" s="2" t="str">
        <f>_xlfn.XLOOKUP($I292,Tab_00.Trial[CONTA],Tab_00.Trial[S/A],"",0,1)</f>
        <v>A</v>
      </c>
      <c r="E292" s="2">
        <f>IF($I292="","",COUNTIFS(Tab_00.Trial[CONTA],$I292))</f>
        <v>1</v>
      </c>
      <c r="F292" s="4">
        <f>SUMIFS(Tab_08.Ago[SALDO
ATUAL],Tab_08.Ago[CONTA],$I292)</f>
        <v>-189</v>
      </c>
      <c r="G292" s="4">
        <f t="shared" si="19"/>
        <v>0</v>
      </c>
      <c r="I292" s="3" t="s">
        <v>834</v>
      </c>
      <c r="J292" s="3" t="s">
        <v>835</v>
      </c>
      <c r="K292" s="173">
        <v>-189</v>
      </c>
      <c r="L292" s="1">
        <v>0</v>
      </c>
      <c r="M292" s="1">
        <v>0</v>
      </c>
      <c r="N292" s="173">
        <v>-189</v>
      </c>
      <c r="O292" s="4">
        <f t="shared" si="20"/>
        <v>0</v>
      </c>
    </row>
    <row r="293" spans="2:15" x14ac:dyDescent="0.3">
      <c r="B293" s="2" t="str">
        <f>_xlfn.XLOOKUP($I293,Tab_00.Trial[CONTA],Tab_00.Trial[TP],"",0,1)</f>
        <v/>
      </c>
      <c r="C293" s="2" t="str">
        <f>_xlfn.XLOOKUP($I293,Tab_00.Trial[CONTA],Tab_00.Trial[NV],"",0,1)</f>
        <v/>
      </c>
      <c r="D293" s="2" t="str">
        <f>_xlfn.XLOOKUP($I293,Tab_00.Trial[CONTA],Tab_00.Trial[S/A],"",0,1)</f>
        <v/>
      </c>
      <c r="E293" s="2" t="str">
        <f>IF($I293="","",COUNTIFS(Tab_00.Trial[CONTA],$I293))</f>
        <v/>
      </c>
      <c r="F293" s="4">
        <f>SUMIFS(Tab_08.Ago[SALDO
ATUAL],Tab_08.Ago[CONTA],$I293)</f>
        <v>0</v>
      </c>
      <c r="G293" s="4">
        <f t="shared" si="19"/>
        <v>0</v>
      </c>
      <c r="I293" s="3"/>
      <c r="J293" s="3"/>
      <c r="K293" s="4"/>
      <c r="L293" s="4"/>
      <c r="M293" s="4"/>
      <c r="O293" s="4">
        <f t="shared" si="20"/>
        <v>0</v>
      </c>
    </row>
    <row r="294" spans="2:15" x14ac:dyDescent="0.3">
      <c r="B294" s="2" t="str">
        <f>_xlfn.XLOOKUP($I294,Tab_00.Trial[CONTA],Tab_00.Trial[TP],"",0,1)</f>
        <v/>
      </c>
      <c r="C294" s="2" t="str">
        <f>_xlfn.XLOOKUP($I294,Tab_00.Trial[CONTA],Tab_00.Trial[NV],"",0,1)</f>
        <v/>
      </c>
      <c r="D294" s="2" t="str">
        <f>_xlfn.XLOOKUP($I294,Tab_00.Trial[CONTA],Tab_00.Trial[S/A],"",0,1)</f>
        <v/>
      </c>
      <c r="E294" s="2" t="str">
        <f>IF($I294="","",COUNTIFS(Tab_00.Trial[CONTA],$I294))</f>
        <v/>
      </c>
      <c r="F294" s="4">
        <f>SUMIFS(Tab_08.Ago[SALDO
ATUAL],Tab_08.Ago[CONTA],$I294)</f>
        <v>0</v>
      </c>
      <c r="G294" s="4">
        <f t="shared" si="19"/>
        <v>0</v>
      </c>
      <c r="I294" s="3"/>
      <c r="J294" s="3"/>
      <c r="K294" s="4"/>
      <c r="L294" s="4"/>
      <c r="M294" s="4"/>
      <c r="O294" s="4">
        <f t="shared" si="20"/>
        <v>0</v>
      </c>
    </row>
    <row r="295" spans="2:15" x14ac:dyDescent="0.3">
      <c r="B295" s="2" t="str">
        <f>_xlfn.XLOOKUP($I295,Tab_00.Trial[CONTA],Tab_00.Trial[TP],"",0,1)</f>
        <v/>
      </c>
      <c r="C295" s="2" t="str">
        <f>_xlfn.XLOOKUP($I295,Tab_00.Trial[CONTA],Tab_00.Trial[NV],"",0,1)</f>
        <v/>
      </c>
      <c r="D295" s="2" t="str">
        <f>_xlfn.XLOOKUP($I295,Tab_00.Trial[CONTA],Tab_00.Trial[S/A],"",0,1)</f>
        <v/>
      </c>
      <c r="E295" s="2" t="str">
        <f>IF($I295="","",COUNTIFS(Tab_00.Trial[CONTA],$I295))</f>
        <v/>
      </c>
      <c r="F295" s="4">
        <f>SUMIFS(Tab_08.Ago[SALDO
ATUAL],Tab_08.Ago[CONTA],$I295)</f>
        <v>0</v>
      </c>
      <c r="G295" s="4">
        <f t="shared" si="19"/>
        <v>0</v>
      </c>
      <c r="I295" s="3"/>
      <c r="J295" s="3"/>
      <c r="K295" s="4"/>
      <c r="L295" s="4"/>
      <c r="M295" s="4"/>
      <c r="O295" s="4">
        <f t="shared" si="20"/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739B2-1E3E-4869-A693-78021FBC4B3B}">
  <sheetPr codeName="Planilha20"/>
  <dimension ref="B1:Q298"/>
  <sheetViews>
    <sheetView showGridLines="0" showRowColHeaders="0" zoomScale="85" zoomScaleNormal="85" workbookViewId="0">
      <pane xSplit="7" ySplit="14" topLeftCell="J15" activePane="bottomRight" state="frozen"/>
      <selection activeCell="J282" sqref="J282"/>
      <selection pane="topRight" activeCell="J282" sqref="J282"/>
      <selection pane="bottomLeft" activeCell="J282" sqref="J282"/>
      <selection pane="bottomRight" activeCell="P43" sqref="P43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" width="8.88671875" style="1"/>
    <col min="17" max="17" width="10" style="1" bestFit="1" customWidth="1"/>
    <col min="18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SUMIFS(INDIRECT("Tab_10.Out["&amp;F$14&amp;"]"),Tab_10.Out[TP],$B2,Tab_10.Out[NV],"A")</f>
        <v>0</v>
      </c>
      <c r="G2" s="7">
        <f ca="1">SUMIFS(INDIRECT("Tab_10.Out["&amp;G$14&amp;"]"),Tab_10.Out[TP],$B2,Tab_10.Out[NV],"A")</f>
        <v>0</v>
      </c>
      <c r="H2" s="3"/>
      <c r="I2" s="3"/>
      <c r="J2" s="88" t="s">
        <v>15</v>
      </c>
      <c r="K2" s="7">
        <f ca="1">SUMIFS(INDIRECT("Tab_10.Out["&amp;K$14&amp;"]"),Tab_10.Out[TP],$B2,Tab_10.Out[S/A],"A")</f>
        <v>84947708.099999994</v>
      </c>
      <c r="L2" s="7">
        <f ca="1">SUMIFS(INDIRECT("Tab_10.Out["&amp;L$14&amp;"]"),Tab_10.Out[TP],$B2,Tab_10.Out[S/A],"A")</f>
        <v>1766464.36</v>
      </c>
      <c r="M2" s="7">
        <f ca="1">SUMIFS(INDIRECT("Tab_10.Out["&amp;M$14&amp;"]"),Tab_10.Out[TP],$B2,Tab_10.Out[S/A],"A")</f>
        <v>1540690.83</v>
      </c>
      <c r="N2" s="7">
        <f ca="1">SUMIFS(INDIRECT("Tab_10.Out["&amp;N$14&amp;"]"),Tab_10.Out[TP],$B2,Tab_10.Out[S/A],"A")</f>
        <v>85173481.629999995</v>
      </c>
      <c r="O2" s="7">
        <f ca="1">SUMIFS(INDIRECT("Tab_10.Out["&amp;O$14&amp;"]"),Tab_10.Out[TP],$B2,Tab_10.Out[S/A],"A")</f>
        <v>225773.53</v>
      </c>
    </row>
    <row r="3" spans="2:15" outlineLevel="1" x14ac:dyDescent="0.3">
      <c r="B3" s="2" t="s">
        <v>116</v>
      </c>
      <c r="F3" s="7">
        <f ca="1">SUMIFS(INDIRECT("Tab_10.Out["&amp;F$14&amp;"]"),Tab_10.Out[TP],$B3,Tab_10.Out[NV],"A")</f>
        <v>0</v>
      </c>
      <c r="G3" s="7">
        <f ca="1">SUMIFS(INDIRECT("Tab_10.Out["&amp;G$14&amp;"]"),Tab_10.Out[TP],$B3,Tab_10.Out[NV],"A")</f>
        <v>0</v>
      </c>
      <c r="H3" s="3"/>
      <c r="I3" s="3"/>
      <c r="J3" s="88" t="s">
        <v>110</v>
      </c>
      <c r="K3" s="7">
        <f ca="1">SUMIFS(INDIRECT("Tab_10.Out["&amp;K$14&amp;"]"),Tab_10.Out[TP],$B3,Tab_10.Out[S/A],"A")</f>
        <v>-83344888.659999996</v>
      </c>
      <c r="L3" s="7">
        <f ca="1">SUMIFS(INDIRECT("Tab_10.Out["&amp;L$14&amp;"]"),Tab_10.Out[TP],$B3,Tab_10.Out[S/A],"A")</f>
        <v>1013323.01</v>
      </c>
      <c r="M3" s="7">
        <f ca="1">SUMIFS(INDIRECT("Tab_10.Out["&amp;M$14&amp;"]"),Tab_10.Out[TP],$B3,Tab_10.Out[S/A],"A")</f>
        <v>1012149.19</v>
      </c>
      <c r="N3" s="7">
        <f ca="1">SUMIFS(INDIRECT("Tab_10.Out["&amp;N$14&amp;"]"),Tab_10.Out[TP],$B3,Tab_10.Out[S/A],"A")</f>
        <v>-83343714.840000004</v>
      </c>
      <c r="O3" s="7">
        <f ca="1">SUMIFS(INDIRECT("Tab_10.Out["&amp;O$14&amp;"]"),Tab_10.Out[TP],$B3,Tab_10.Out[S/A],"A")</f>
        <v>1173.82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1602819.44</v>
      </c>
      <c r="L4" s="8">
        <f t="shared" ca="1" si="0"/>
        <v>2779787.37</v>
      </c>
      <c r="M4" s="8">
        <f t="shared" ca="1" si="0"/>
        <v>2552840.02</v>
      </c>
      <c r="N4" s="8">
        <f ca="1">SUM(N$2:N$3)</f>
        <v>1829766.79</v>
      </c>
      <c r="O4" s="8">
        <f t="shared" ca="1" si="0"/>
        <v>226947.35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SUMIFS(INDIRECT("Tab_10.Out["&amp;F$14&amp;"]"),Tab_10.Out[TP],$B6,Tab_10.Out[NV],"A")</f>
        <v>0</v>
      </c>
      <c r="G6" s="7">
        <f ca="1">SUMIFS(INDIRECT("Tab_10.Out["&amp;G$14&amp;"]"),Tab_10.Out[TP],$B6,Tab_10.Out[NV],"A")</f>
        <v>0</v>
      </c>
      <c r="H6" s="3"/>
      <c r="I6" s="3"/>
      <c r="J6" s="88" t="s">
        <v>18</v>
      </c>
      <c r="K6" s="7">
        <f ca="1">SUMIFS(INDIRECT("Tab_10.Out["&amp;K$14&amp;"]"),Tab_10.Out[TP],$B6,Tab_10.Out[S/A],"A")</f>
        <v>-11464512.699999999</v>
      </c>
      <c r="L6" s="7">
        <f ca="1">SUMIFS(INDIRECT("Tab_10.Out["&amp;L$14&amp;"]"),Tab_10.Out[TP],$B6,Tab_10.Out[S/A],"A")</f>
        <v>12.1</v>
      </c>
      <c r="M6" s="7">
        <f ca="1">SUMIFS(INDIRECT("Tab_10.Out["&amp;M$14&amp;"]"),Tab_10.Out[TP],$B6,Tab_10.Out[S/A],"A")</f>
        <v>1438451.73</v>
      </c>
      <c r="N6" s="7">
        <f ca="1">SUMIFS(INDIRECT("Tab_10.Out["&amp;N$14&amp;"]"),Tab_10.Out[TP],$B6,Tab_10.Out[S/A],"A")</f>
        <v>-12902952.33</v>
      </c>
      <c r="O6" s="7">
        <f ca="1">SUMIFS(INDIRECT("Tab_10.Out["&amp;O$14&amp;"]"),Tab_10.Out[TP],$B6,Tab_10.Out[S/A],"A")</f>
        <v>-1438439.63</v>
      </c>
    </row>
    <row r="7" spans="2:15" outlineLevel="1" x14ac:dyDescent="0.3">
      <c r="B7" s="2" t="s">
        <v>20</v>
      </c>
      <c r="F7" s="7">
        <f ca="1">SUMIFS(INDIRECT("Tab_10.Out["&amp;F$14&amp;"]"),Tab_10.Out[TP],$B7,Tab_10.Out[NV],"A")</f>
        <v>0</v>
      </c>
      <c r="G7" s="7">
        <f ca="1">SUMIFS(INDIRECT("Tab_10.Out["&amp;G$14&amp;"]"),Tab_10.Out[TP],$B7,Tab_10.Out[NV],"A")</f>
        <v>0</v>
      </c>
      <c r="H7" s="3"/>
      <c r="I7" s="3"/>
      <c r="J7" s="88" t="s">
        <v>111</v>
      </c>
      <c r="K7" s="7">
        <f ca="1">SUMIFS(INDIRECT("Tab_10.Out["&amp;K$14&amp;"]"),Tab_10.Out[TP],$B7,Tab_10.Out[S/A],"A")</f>
        <v>9861693.2599999998</v>
      </c>
      <c r="L7" s="7">
        <f ca="1">SUMIFS(INDIRECT("Tab_10.Out["&amp;L$14&amp;"]"),Tab_10.Out[TP],$B7,Tab_10.Out[S/A],"A")</f>
        <v>1235306.3600000001</v>
      </c>
      <c r="M7" s="7">
        <f ca="1">SUMIFS(INDIRECT("Tab_10.Out["&amp;M$14&amp;"]"),Tab_10.Out[TP],$B7,Tab_10.Out[S/A],"A")</f>
        <v>23814.080000000002</v>
      </c>
      <c r="N7" s="7">
        <f ca="1">SUMIFS(INDIRECT("Tab_10.Out["&amp;N$14&amp;"]"),Tab_10.Out[TP],$B7,Tab_10.Out[S/A],"A")</f>
        <v>11073185.539999999</v>
      </c>
      <c r="O7" s="7">
        <f ca="1">SUMIFS(INDIRECT("Tab_10.Out["&amp;O$14&amp;"]"),Tab_10.Out[TP],$B7,Tab_10.Out[S/A],"A")</f>
        <v>1211492.28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-1602819.44</v>
      </c>
      <c r="L8" s="8">
        <f ca="1">SUM(L$6:L$7)</f>
        <v>1235318.46</v>
      </c>
      <c r="M8" s="8">
        <f ca="1">SUM(M$6:M$7)</f>
        <v>1462265.81</v>
      </c>
      <c r="N8" s="8">
        <f ca="1">SUM(N$6:N$7)</f>
        <v>-1829766.79</v>
      </c>
      <c r="O8" s="8">
        <f ca="1">SUM(O$6:O$7)</f>
        <v>-226947.35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4015105.83</v>
      </c>
      <c r="M10" s="11">
        <f t="shared" ca="1" si="1"/>
        <v>4015105.83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SUBTOTAL(9,Tab_10.Out[SALDO FINAL
ANTERIOR])</f>
        <v>0</v>
      </c>
      <c r="G12" s="7">
        <f>SUBTOTAL(9,Tab_10.Out[DIFERENÇA])</f>
        <v>0</v>
      </c>
      <c r="H12" s="3"/>
      <c r="I12" s="3"/>
      <c r="J12" s="3"/>
      <c r="K12" s="7">
        <f>SUBTOTAL(9,Tab_10.Out[SALDO
ANTERIOR])</f>
        <v>0</v>
      </c>
      <c r="L12" s="7">
        <f>SUBTOTAL(9,Tab_10.Out[DÉBITO])</f>
        <v>20075529.149999999</v>
      </c>
      <c r="M12" s="7">
        <f>SUBTOTAL(9,Tab_10.Out[CRÉDITO])</f>
        <v>20075529.149999999</v>
      </c>
      <c r="N12" s="7">
        <f>SUBTOTAL(9,Tab_10.Out[SALDO
ATUAL])</f>
        <v>0</v>
      </c>
      <c r="O12" s="7">
        <f>SUBTOTAL(9,Tab_10.Out[MOVIMENTO])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SUMIFS(Tab_09.Set[SALDO
ATUAL],Tab_09.Set[CONTA],$I15)</f>
        <v>84947708.099999994</v>
      </c>
      <c r="G15" s="4">
        <f t="shared" ref="G15:G78" si="2">$F15-$K15</f>
        <v>0</v>
      </c>
      <c r="H15" s="137"/>
      <c r="I15" s="3">
        <v>1</v>
      </c>
      <c r="J15" s="3" t="s">
        <v>637</v>
      </c>
      <c r="K15" s="4">
        <v>84947708.099999994</v>
      </c>
      <c r="L15" s="4">
        <v>1766464.36</v>
      </c>
      <c r="M15" s="4">
        <v>1540690.83</v>
      </c>
      <c r="N15" s="4">
        <v>85173481.629999995</v>
      </c>
      <c r="O15" s="4">
        <f t="shared" ref="O15:O78" si="3">$L15-$M15</f>
        <v>225773.53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SUMIFS(Tab_09.Set[SALDO
ATUAL],Tab_09.Set[CONTA],$I16)</f>
        <v>11014313.58</v>
      </c>
      <c r="G16" s="4">
        <f t="shared" si="2"/>
        <v>0</v>
      </c>
      <c r="H16" s="137"/>
      <c r="I16" s="3" t="s">
        <v>197</v>
      </c>
      <c r="J16" s="3" t="s">
        <v>247</v>
      </c>
      <c r="K16" s="4">
        <v>11014313.58</v>
      </c>
      <c r="L16" s="4">
        <v>1653033.95</v>
      </c>
      <c r="M16" s="4">
        <v>1534310.08</v>
      </c>
      <c r="N16" s="4">
        <v>11133037.449999999</v>
      </c>
      <c r="O16" s="4">
        <f t="shared" si="3"/>
        <v>118723.87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SUMIFS(Tab_09.Set[SALDO
ATUAL],Tab_09.Set[CONTA],$I17)</f>
        <v>10832760.17</v>
      </c>
      <c r="G17" s="4">
        <f t="shared" si="2"/>
        <v>0</v>
      </c>
      <c r="H17" s="137"/>
      <c r="I17" s="3" t="s">
        <v>199</v>
      </c>
      <c r="J17" s="3" t="s">
        <v>638</v>
      </c>
      <c r="K17" s="4">
        <v>10832760.17</v>
      </c>
      <c r="L17" s="4">
        <v>1627686.24</v>
      </c>
      <c r="M17" s="4">
        <v>1518861.93</v>
      </c>
      <c r="N17" s="4">
        <v>10941584.48</v>
      </c>
      <c r="O17" s="4">
        <f t="shared" si="3"/>
        <v>108824.31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SUMIFS(Tab_09.Set[SALDO
ATUAL],Tab_09.Set[CONTA],$I18)</f>
        <v>1328.63</v>
      </c>
      <c r="G18" s="4">
        <f t="shared" si="2"/>
        <v>0</v>
      </c>
      <c r="H18" s="1"/>
      <c r="I18" s="3" t="s">
        <v>201</v>
      </c>
      <c r="J18" s="3" t="s">
        <v>639</v>
      </c>
      <c r="K18" s="4">
        <v>1328.63</v>
      </c>
      <c r="L18" s="4">
        <v>1500</v>
      </c>
      <c r="M18" s="4">
        <v>2280.9</v>
      </c>
      <c r="N18" s="4">
        <v>547.73</v>
      </c>
      <c r="O18" s="4">
        <f t="shared" si="3"/>
        <v>-780.9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SUMIFS(Tab_09.Set[SALDO
ATUAL],Tab_09.Set[CONTA],$I19)</f>
        <v>1328.63</v>
      </c>
      <c r="G19" s="4">
        <f t="shared" si="2"/>
        <v>0</v>
      </c>
      <c r="H19" s="1"/>
      <c r="I19" s="3" t="s">
        <v>176</v>
      </c>
      <c r="J19" s="3" t="s">
        <v>274</v>
      </c>
      <c r="K19" s="4">
        <v>1328.63</v>
      </c>
      <c r="L19" s="4">
        <v>1500</v>
      </c>
      <c r="M19" s="4">
        <v>2280.9</v>
      </c>
      <c r="N19" s="4">
        <v>547.73</v>
      </c>
      <c r="O19" s="4">
        <f t="shared" si="3"/>
        <v>-780.9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SUMIFS(Tab_09.Set[SALDO
ATUAL],Tab_09.Set[CONTA],$I20)</f>
        <v>46632.77</v>
      </c>
      <c r="G20" s="4">
        <f t="shared" si="2"/>
        <v>0</v>
      </c>
      <c r="H20" s="1"/>
      <c r="I20" s="3" t="s">
        <v>202</v>
      </c>
      <c r="J20" s="3" t="s">
        <v>640</v>
      </c>
      <c r="K20" s="4">
        <v>46632.77</v>
      </c>
      <c r="L20" s="4">
        <v>1030675.48</v>
      </c>
      <c r="M20" s="4">
        <v>1049020.76</v>
      </c>
      <c r="N20" s="4">
        <v>28287.49</v>
      </c>
      <c r="O20" s="4">
        <f t="shared" si="3"/>
        <v>-18345.28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SUMIFS(Tab_09.Set[SALDO
ATUAL],Tab_09.Set[CONTA],$I21)</f>
        <v>1.02</v>
      </c>
      <c r="G21" s="4">
        <f t="shared" si="2"/>
        <v>0</v>
      </c>
      <c r="H21" s="1"/>
      <c r="I21" s="3" t="s">
        <v>277</v>
      </c>
      <c r="J21" s="3" t="s">
        <v>278</v>
      </c>
      <c r="K21" s="4">
        <v>1.02</v>
      </c>
      <c r="L21" s="4">
        <v>1019071.19</v>
      </c>
      <c r="M21" s="4">
        <v>1019071.19</v>
      </c>
      <c r="N21" s="4">
        <v>1.02</v>
      </c>
      <c r="O21" s="4">
        <f t="shared" si="3"/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SUMIFS(Tab_09.Set[SALDO
ATUAL],Tab_09.Set[CONTA],$I22)</f>
        <v>37452.89</v>
      </c>
      <c r="G22" s="4">
        <f t="shared" si="2"/>
        <v>0</v>
      </c>
      <c r="H22" s="1"/>
      <c r="I22" s="3" t="s">
        <v>177</v>
      </c>
      <c r="J22" s="3" t="s">
        <v>279</v>
      </c>
      <c r="K22" s="4">
        <v>37452.89</v>
      </c>
      <c r="L22" s="4">
        <v>9390.83</v>
      </c>
      <c r="M22" s="4">
        <v>29742.04</v>
      </c>
      <c r="N22" s="4">
        <v>17101.68</v>
      </c>
      <c r="O22" s="4">
        <f t="shared" si="3"/>
        <v>-20351.21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SUMIFS(Tab_09.Set[SALDO
ATUAL],Tab_09.Set[CONTA],$I23)</f>
        <v>9178.86</v>
      </c>
      <c r="G23" s="4">
        <f t="shared" si="2"/>
        <v>0</v>
      </c>
      <c r="H23" s="1"/>
      <c r="I23" s="3" t="s">
        <v>280</v>
      </c>
      <c r="J23" s="3" t="s">
        <v>281</v>
      </c>
      <c r="K23" s="4">
        <v>9178.86</v>
      </c>
      <c r="L23" s="4">
        <v>2213.46</v>
      </c>
      <c r="M23" s="4">
        <v>207.53</v>
      </c>
      <c r="N23" s="4">
        <v>11184.79</v>
      </c>
      <c r="O23" s="4">
        <f t="shared" si="3"/>
        <v>2005.93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SUMIFS(Tab_09.Set[SALDO
ATUAL],Tab_09.Set[CONTA],$I24)</f>
        <v>10784798.77</v>
      </c>
      <c r="G24" s="4">
        <f t="shared" si="2"/>
        <v>0</v>
      </c>
      <c r="H24" s="1"/>
      <c r="I24" s="3" t="s">
        <v>203</v>
      </c>
      <c r="J24" s="3" t="s">
        <v>641</v>
      </c>
      <c r="K24" s="4">
        <v>10784798.77</v>
      </c>
      <c r="L24" s="4">
        <v>595510.76</v>
      </c>
      <c r="M24" s="4">
        <v>467560.27</v>
      </c>
      <c r="N24" s="4">
        <v>10912749.26</v>
      </c>
      <c r="O24" s="4">
        <f t="shared" si="3"/>
        <v>127950.49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SUMIFS(Tab_09.Set[SALDO
ATUAL],Tab_09.Set[CONTA],$I25)</f>
        <v>4936496.26</v>
      </c>
      <c r="G25" s="4">
        <f t="shared" si="2"/>
        <v>0</v>
      </c>
      <c r="H25" s="1"/>
      <c r="I25" s="3" t="s">
        <v>178</v>
      </c>
      <c r="J25" s="3" t="s">
        <v>284</v>
      </c>
      <c r="K25" s="4">
        <v>4936496.26</v>
      </c>
      <c r="L25" s="4">
        <v>542001.85</v>
      </c>
      <c r="M25" s="4">
        <v>467560.27</v>
      </c>
      <c r="N25" s="4">
        <v>5010937.84</v>
      </c>
      <c r="O25" s="4">
        <f t="shared" si="3"/>
        <v>74441.58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SUMIFS(Tab_09.Set[SALDO
ATUAL],Tab_09.Set[CONTA],$I26)</f>
        <v>5848302.5099999998</v>
      </c>
      <c r="G26" s="4">
        <f t="shared" si="2"/>
        <v>0</v>
      </c>
      <c r="H26" s="1"/>
      <c r="I26" s="3" t="s">
        <v>287</v>
      </c>
      <c r="J26" s="3" t="s">
        <v>288</v>
      </c>
      <c r="K26" s="4">
        <v>5848302.5099999998</v>
      </c>
      <c r="L26" s="4">
        <v>53508.91</v>
      </c>
      <c r="M26" s="4">
        <v>0</v>
      </c>
      <c r="N26" s="4">
        <v>5901811.4199999999</v>
      </c>
      <c r="O26" s="4">
        <f t="shared" si="3"/>
        <v>53508.91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SUMIFS(Tab_09.Set[SALDO
ATUAL],Tab_09.Set[CONTA],$I27)</f>
        <v>99274.97</v>
      </c>
      <c r="G27" s="4">
        <f t="shared" si="2"/>
        <v>0</v>
      </c>
      <c r="H27" s="1"/>
      <c r="I27" s="3" t="s">
        <v>204</v>
      </c>
      <c r="J27" s="3" t="s">
        <v>642</v>
      </c>
      <c r="K27" s="4">
        <v>99274.97</v>
      </c>
      <c r="L27" s="4">
        <v>50</v>
      </c>
      <c r="M27" s="4">
        <v>0</v>
      </c>
      <c r="N27" s="4">
        <v>99324.97</v>
      </c>
      <c r="O27" s="4">
        <f t="shared" si="3"/>
        <v>50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SUMIFS(Tab_09.Set[SALDO
ATUAL],Tab_09.Set[CONTA],$I28)</f>
        <v>99274.97</v>
      </c>
      <c r="G28" s="4">
        <f t="shared" si="2"/>
        <v>0</v>
      </c>
      <c r="H28" s="1"/>
      <c r="I28" s="3" t="s">
        <v>205</v>
      </c>
      <c r="J28" s="3" t="s">
        <v>643</v>
      </c>
      <c r="K28" s="4">
        <v>99274.97</v>
      </c>
      <c r="L28" s="4">
        <v>50</v>
      </c>
      <c r="M28" s="4">
        <v>0</v>
      </c>
      <c r="N28" s="4">
        <v>99324.97</v>
      </c>
      <c r="O28" s="4">
        <f t="shared" si="3"/>
        <v>50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SUMIFS(Tab_09.Set[SALDO
ATUAL],Tab_09.Set[CONTA],$I29)</f>
        <v>99274.97</v>
      </c>
      <c r="G29" s="4">
        <f t="shared" si="2"/>
        <v>0</v>
      </c>
      <c r="H29" s="1"/>
      <c r="I29" s="3" t="s">
        <v>291</v>
      </c>
      <c r="J29" s="3" t="s">
        <v>292</v>
      </c>
      <c r="K29" s="4">
        <v>99274.97</v>
      </c>
      <c r="L29" s="4">
        <v>50</v>
      </c>
      <c r="M29" s="4">
        <v>0</v>
      </c>
      <c r="N29" s="4">
        <v>99324.97</v>
      </c>
      <c r="O29" s="4">
        <f t="shared" si="3"/>
        <v>50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SUMIFS(Tab_09.Set[SALDO
ATUAL],Tab_09.Set[CONTA],$I30)</f>
        <v>8413.06</v>
      </c>
      <c r="G30" s="4">
        <f t="shared" si="2"/>
        <v>0</v>
      </c>
      <c r="H30" s="1"/>
      <c r="I30" s="3" t="s">
        <v>206</v>
      </c>
      <c r="J30" s="3" t="s">
        <v>644</v>
      </c>
      <c r="K30" s="4">
        <v>8413.06</v>
      </c>
      <c r="L30" s="4">
        <v>21796.57</v>
      </c>
      <c r="M30" s="4">
        <v>15156.39</v>
      </c>
      <c r="N30" s="4">
        <v>15053.24</v>
      </c>
      <c r="O30" s="4">
        <f t="shared" si="3"/>
        <v>6640.18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SUMIFS(Tab_09.Set[SALDO
ATUAL],Tab_09.Set[CONTA],$I31)</f>
        <v>306.7</v>
      </c>
      <c r="G31" s="4">
        <f t="shared" si="2"/>
        <v>0</v>
      </c>
      <c r="H31" s="1"/>
      <c r="I31" s="3" t="s">
        <v>208</v>
      </c>
      <c r="J31" s="3" t="s">
        <v>139</v>
      </c>
      <c r="K31" s="4">
        <v>306.7</v>
      </c>
      <c r="L31" s="4">
        <v>21710.04</v>
      </c>
      <c r="M31" s="4">
        <v>15144.29</v>
      </c>
      <c r="N31" s="4">
        <v>6872.45</v>
      </c>
      <c r="O31" s="4">
        <f t="shared" si="3"/>
        <v>6565.75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SUMIFS(Tab_09.Set[SALDO
ATUAL],Tab_09.Set[CONTA],$I32)</f>
        <v>0</v>
      </c>
      <c r="G32" s="4">
        <f t="shared" si="2"/>
        <v>0</v>
      </c>
      <c r="H32" s="1"/>
      <c r="I32" s="3" t="s">
        <v>818</v>
      </c>
      <c r="J32" s="3" t="s">
        <v>819</v>
      </c>
      <c r="K32" s="4">
        <v>0</v>
      </c>
      <c r="L32" s="4">
        <v>2779.68</v>
      </c>
      <c r="M32" s="4">
        <v>0</v>
      </c>
      <c r="N32" s="4">
        <v>2779.68</v>
      </c>
      <c r="O32" s="4">
        <f t="shared" si="3"/>
        <v>2779.68</v>
      </c>
    </row>
    <row r="33" spans="2:17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A</v>
      </c>
      <c r="E33" s="2">
        <f>IF($I33="","",COUNTIFS(Tab_00.Trial[CONTA],$I33))</f>
        <v>1</v>
      </c>
      <c r="F33" s="4">
        <f>SUMIFS(Tab_09.Set[SALDO
ATUAL],Tab_09.Set[CONTA],$I33)</f>
        <v>306.7</v>
      </c>
      <c r="G33" s="4">
        <f t="shared" si="2"/>
        <v>0</v>
      </c>
      <c r="H33" s="1"/>
      <c r="I33" s="3" t="s">
        <v>294</v>
      </c>
      <c r="J33" s="3" t="s">
        <v>295</v>
      </c>
      <c r="K33" s="4">
        <v>306.7</v>
      </c>
      <c r="L33" s="4">
        <v>18930.36</v>
      </c>
      <c r="M33" s="4">
        <v>15144.29</v>
      </c>
      <c r="N33" s="4">
        <v>4092.77</v>
      </c>
      <c r="O33" s="4">
        <f t="shared" si="3"/>
        <v>3786.07</v>
      </c>
    </row>
    <row r="34" spans="2:17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S</v>
      </c>
      <c r="E34" s="2">
        <f>IF($I34="","",COUNTIFS(Tab_00.Trial[CONTA],$I34))</f>
        <v>1</v>
      </c>
      <c r="F34" s="4">
        <f>SUMIFS(Tab_09.Set[SALDO
ATUAL],Tab_09.Set[CONTA],$I34)</f>
        <v>8106.36</v>
      </c>
      <c r="G34" s="4">
        <f t="shared" si="2"/>
        <v>0</v>
      </c>
      <c r="H34" s="1"/>
      <c r="I34" s="3" t="s">
        <v>551</v>
      </c>
      <c r="J34" s="3" t="s">
        <v>645</v>
      </c>
      <c r="K34" s="4">
        <v>8106.36</v>
      </c>
      <c r="L34" s="4">
        <v>86.53</v>
      </c>
      <c r="M34" s="4">
        <v>12.1</v>
      </c>
      <c r="N34" s="4">
        <v>8180.79</v>
      </c>
      <c r="O34" s="4">
        <f t="shared" si="3"/>
        <v>74.430000000000007</v>
      </c>
    </row>
    <row r="35" spans="2:17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A</v>
      </c>
      <c r="E35" s="2">
        <f>IF($I35="","",COUNTIFS(Tab_00.Trial[CONTA],$I35))</f>
        <v>1</v>
      </c>
      <c r="F35" s="4">
        <f>SUMIFS(Tab_09.Set[SALDO
ATUAL],Tab_09.Set[CONTA],$I35)</f>
        <v>0</v>
      </c>
      <c r="G35" s="4">
        <f t="shared" si="2"/>
        <v>0</v>
      </c>
      <c r="H35" s="1"/>
      <c r="I35" s="3" t="s">
        <v>844</v>
      </c>
      <c r="J35" s="3" t="s">
        <v>845</v>
      </c>
      <c r="K35" s="4">
        <v>0</v>
      </c>
      <c r="L35" s="4">
        <v>86.53</v>
      </c>
      <c r="M35" s="4">
        <v>0</v>
      </c>
      <c r="N35" s="4">
        <v>86.53</v>
      </c>
      <c r="O35" s="4">
        <f t="shared" si="3"/>
        <v>86.53</v>
      </c>
    </row>
    <row r="36" spans="2:17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SUMIFS(Tab_09.Set[SALDO
ATUAL],Tab_09.Set[CONTA],$I36)</f>
        <v>8106.36</v>
      </c>
      <c r="G36" s="4">
        <f t="shared" si="2"/>
        <v>0</v>
      </c>
      <c r="H36" s="1"/>
      <c r="I36" s="3" t="s">
        <v>837</v>
      </c>
      <c r="J36" s="3" t="s">
        <v>838</v>
      </c>
      <c r="K36" s="4">
        <v>8106.36</v>
      </c>
      <c r="L36" s="4">
        <v>0</v>
      </c>
      <c r="M36" s="4">
        <v>12.1</v>
      </c>
      <c r="N36" s="4">
        <v>8094.26</v>
      </c>
      <c r="O36" s="4">
        <f t="shared" si="3"/>
        <v>-12.1</v>
      </c>
      <c r="Q36" s="4"/>
    </row>
    <row r="37" spans="2:17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SUMIFS(Tab_09.Set[SALDO
ATUAL],Tab_09.Set[CONTA],$I37)</f>
        <v>73865.38</v>
      </c>
      <c r="G37" s="4">
        <f t="shared" si="2"/>
        <v>0</v>
      </c>
      <c r="H37" s="1"/>
      <c r="I37" s="3" t="s">
        <v>846</v>
      </c>
      <c r="J37" s="3" t="s">
        <v>847</v>
      </c>
      <c r="K37" s="4">
        <v>73865.38</v>
      </c>
      <c r="L37" s="4">
        <v>0</v>
      </c>
      <c r="M37" s="4">
        <v>0</v>
      </c>
      <c r="N37" s="4">
        <v>73865.38</v>
      </c>
      <c r="O37" s="4">
        <f t="shared" si="3"/>
        <v>0</v>
      </c>
    </row>
    <row r="38" spans="2:17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S</v>
      </c>
      <c r="E38" s="2">
        <f>IF($I38="","",COUNTIFS(Tab_00.Trial[CONTA],$I38))</f>
        <v>1</v>
      </c>
      <c r="F38" s="4">
        <f>SUMIFS(Tab_09.Set[SALDO
ATUAL],Tab_09.Set[CONTA],$I38)</f>
        <v>73865.38</v>
      </c>
      <c r="G38" s="4">
        <f t="shared" si="2"/>
        <v>0</v>
      </c>
      <c r="H38" s="1"/>
      <c r="I38" s="3" t="s">
        <v>848</v>
      </c>
      <c r="J38" s="3" t="s">
        <v>849</v>
      </c>
      <c r="K38" s="4">
        <v>73865.38</v>
      </c>
      <c r="L38" s="4">
        <v>0</v>
      </c>
      <c r="M38" s="4">
        <v>0</v>
      </c>
      <c r="N38" s="4">
        <v>73865.38</v>
      </c>
      <c r="O38" s="4">
        <f t="shared" si="3"/>
        <v>0</v>
      </c>
    </row>
    <row r="39" spans="2:17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SUMIFS(Tab_09.Set[SALDO
ATUAL],Tab_09.Set[CONTA],$I39)</f>
        <v>73865.38</v>
      </c>
      <c r="G39" s="4">
        <f t="shared" si="2"/>
        <v>0</v>
      </c>
      <c r="H39" s="1"/>
      <c r="I39" s="3" t="s">
        <v>850</v>
      </c>
      <c r="J39" s="3" t="s">
        <v>849</v>
      </c>
      <c r="K39" s="4">
        <v>73865.38</v>
      </c>
      <c r="L39" s="4">
        <v>0</v>
      </c>
      <c r="M39" s="4">
        <v>0</v>
      </c>
      <c r="N39" s="4">
        <v>73865.38</v>
      </c>
      <c r="O39" s="4">
        <f t="shared" si="3"/>
        <v>0</v>
      </c>
    </row>
    <row r="40" spans="2:17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SUMIFS(Tab_09.Set[SALDO
ATUAL],Tab_09.Set[CONTA],$I40)</f>
        <v>0</v>
      </c>
      <c r="G40" s="4">
        <f t="shared" si="2"/>
        <v>0</v>
      </c>
      <c r="H40" s="1"/>
      <c r="I40" s="3" t="s">
        <v>209</v>
      </c>
      <c r="J40" s="3" t="s">
        <v>646</v>
      </c>
      <c r="K40" s="4">
        <v>0</v>
      </c>
      <c r="L40" s="4">
        <v>3501.14</v>
      </c>
      <c r="M40" s="4">
        <v>291.76</v>
      </c>
      <c r="N40" s="4">
        <v>3209.38</v>
      </c>
      <c r="O40" s="4">
        <f t="shared" si="3"/>
        <v>3209.38</v>
      </c>
      <c r="Q40" s="4"/>
    </row>
    <row r="41" spans="2:17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SUMIFS(Tab_09.Set[SALDO
ATUAL],Tab_09.Set[CONTA],$I41)</f>
        <v>0</v>
      </c>
      <c r="G41" s="4">
        <f t="shared" si="2"/>
        <v>0</v>
      </c>
      <c r="H41" s="1"/>
      <c r="I41" s="3" t="s">
        <v>210</v>
      </c>
      <c r="J41" s="3" t="s">
        <v>646</v>
      </c>
      <c r="K41" s="4">
        <v>0</v>
      </c>
      <c r="L41" s="4">
        <v>3501.14</v>
      </c>
      <c r="M41" s="4">
        <v>291.76</v>
      </c>
      <c r="N41" s="4">
        <v>3209.38</v>
      </c>
      <c r="O41" s="4">
        <f t="shared" si="3"/>
        <v>3209.38</v>
      </c>
    </row>
    <row r="42" spans="2:17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A</v>
      </c>
      <c r="E42" s="2">
        <f>IF($I42="","",COUNTIFS(Tab_00.Trial[CONTA],$I42))</f>
        <v>1</v>
      </c>
      <c r="F42" s="4">
        <f>SUMIFS(Tab_09.Set[SALDO
ATUAL],Tab_09.Set[CONTA],$I42)</f>
        <v>0</v>
      </c>
      <c r="G42" s="4">
        <f t="shared" si="2"/>
        <v>0</v>
      </c>
      <c r="H42" s="1"/>
      <c r="I42" s="3" t="s">
        <v>298</v>
      </c>
      <c r="J42" s="3" t="s">
        <v>299</v>
      </c>
      <c r="K42" s="4">
        <v>0</v>
      </c>
      <c r="L42" s="4">
        <v>3501.14</v>
      </c>
      <c r="M42" s="4">
        <v>291.76</v>
      </c>
      <c r="N42" s="4">
        <v>3209.38</v>
      </c>
      <c r="O42" s="4">
        <f t="shared" si="3"/>
        <v>3209.38</v>
      </c>
      <c r="Q42" s="4"/>
    </row>
    <row r="43" spans="2:17" x14ac:dyDescent="0.3">
      <c r="B43" s="2" t="str">
        <f>_xlfn.XLOOKUP($I43,Tab_00.Trial[CONTA],Tab_00.Trial[TP],"",0,1)</f>
        <v>A</v>
      </c>
      <c r="C43" s="2">
        <f>_xlfn.XLOOKUP($I43,Tab_00.Trial[CONTA],Tab_00.Trial[NV],"",0,1)</f>
        <v>2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SUMIFS(Tab_09.Set[SALDO
ATUAL],Tab_09.Set[CONTA],$I43)</f>
        <v>73933394.519999996</v>
      </c>
      <c r="G43" s="4">
        <f t="shared" si="2"/>
        <v>0</v>
      </c>
      <c r="H43" s="1"/>
      <c r="I43" s="3" t="s">
        <v>211</v>
      </c>
      <c r="J43" s="3" t="s">
        <v>76</v>
      </c>
      <c r="K43" s="4">
        <v>73933394.519999996</v>
      </c>
      <c r="L43" s="4">
        <v>113430.41</v>
      </c>
      <c r="M43" s="4">
        <v>6380.75</v>
      </c>
      <c r="N43" s="4">
        <v>74040444.180000007</v>
      </c>
      <c r="O43" s="4">
        <f t="shared" si="3"/>
        <v>107049.66</v>
      </c>
    </row>
    <row r="44" spans="2:17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SUMIFS(Tab_09.Set[SALDO
ATUAL],Tab_09.Set[CONTA],$I44)</f>
        <v>255855.14</v>
      </c>
      <c r="G44" s="4">
        <f t="shared" si="2"/>
        <v>0</v>
      </c>
      <c r="H44" s="1"/>
      <c r="I44" s="3" t="s">
        <v>552</v>
      </c>
      <c r="J44" s="3" t="s">
        <v>647</v>
      </c>
      <c r="K44" s="4">
        <v>255855.14</v>
      </c>
      <c r="L44" s="4">
        <v>314.41000000000003</v>
      </c>
      <c r="M44" s="4">
        <v>0</v>
      </c>
      <c r="N44" s="4">
        <v>256169.55</v>
      </c>
      <c r="O44" s="4">
        <f t="shared" si="3"/>
        <v>314.41000000000003</v>
      </c>
    </row>
    <row r="45" spans="2:17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SUMIFS(Tab_09.Set[SALDO
ATUAL],Tab_09.Set[CONTA],$I45)</f>
        <v>255855.14</v>
      </c>
      <c r="G45" s="4">
        <f t="shared" si="2"/>
        <v>0</v>
      </c>
      <c r="H45" s="1"/>
      <c r="I45" s="3" t="s">
        <v>553</v>
      </c>
      <c r="J45" s="3" t="s">
        <v>301</v>
      </c>
      <c r="K45" s="4">
        <v>255855.14</v>
      </c>
      <c r="L45" s="4">
        <v>314.41000000000003</v>
      </c>
      <c r="M45" s="4">
        <v>0</v>
      </c>
      <c r="N45" s="4">
        <v>256169.55</v>
      </c>
      <c r="O45" s="4">
        <f t="shared" si="3"/>
        <v>314.41000000000003</v>
      </c>
    </row>
    <row r="46" spans="2:17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A</v>
      </c>
      <c r="E46" s="2">
        <f>IF($I46="","",COUNTIFS(Tab_00.Trial[CONTA],$I46))</f>
        <v>1</v>
      </c>
      <c r="F46" s="4">
        <f>SUMIFS(Tab_09.Set[SALDO
ATUAL],Tab_09.Set[CONTA],$I46)</f>
        <v>255855.14</v>
      </c>
      <c r="G46" s="4">
        <f t="shared" si="2"/>
        <v>0</v>
      </c>
      <c r="H46" s="1"/>
      <c r="I46" s="3" t="s">
        <v>300</v>
      </c>
      <c r="J46" s="3" t="s">
        <v>301</v>
      </c>
      <c r="K46" s="4">
        <v>255855.14</v>
      </c>
      <c r="L46" s="4">
        <v>314.41000000000003</v>
      </c>
      <c r="M46" s="4">
        <v>0</v>
      </c>
      <c r="N46" s="4">
        <v>256169.55</v>
      </c>
      <c r="O46" s="4">
        <f t="shared" si="3"/>
        <v>314.41000000000003</v>
      </c>
    </row>
    <row r="47" spans="2:17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SUMIFS(Tab_09.Set[SALDO
ATUAL],Tab_09.Set[CONTA],$I47)</f>
        <v>71316996.069999993</v>
      </c>
      <c r="G47" s="4">
        <f t="shared" si="2"/>
        <v>0</v>
      </c>
      <c r="H47" s="1"/>
      <c r="I47" s="3" t="s">
        <v>554</v>
      </c>
      <c r="J47" s="3" t="s">
        <v>648</v>
      </c>
      <c r="K47" s="4">
        <v>71316996.069999993</v>
      </c>
      <c r="L47" s="4">
        <v>113116</v>
      </c>
      <c r="M47" s="4">
        <v>2714</v>
      </c>
      <c r="N47" s="4">
        <v>71427398.069999993</v>
      </c>
      <c r="O47" s="4">
        <f t="shared" si="3"/>
        <v>110402</v>
      </c>
    </row>
    <row r="48" spans="2:17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SUMIFS(Tab_09.Set[SALDO
ATUAL],Tab_09.Set[CONTA],$I48)</f>
        <v>45344232.229999997</v>
      </c>
      <c r="G48" s="4">
        <f t="shared" si="2"/>
        <v>0</v>
      </c>
      <c r="H48" s="1"/>
      <c r="I48" s="3" t="s">
        <v>555</v>
      </c>
      <c r="J48" s="3" t="s">
        <v>649</v>
      </c>
      <c r="K48" s="4">
        <v>45344232.229999997</v>
      </c>
      <c r="L48" s="4">
        <v>0</v>
      </c>
      <c r="M48" s="4">
        <v>0</v>
      </c>
      <c r="N48" s="4">
        <v>45344232.229999997</v>
      </c>
      <c r="O48" s="4">
        <f t="shared" si="3"/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SUMIFS(Tab_09.Set[SALDO
ATUAL],Tab_09.Set[CONTA],$I49)</f>
        <v>42477392.43</v>
      </c>
      <c r="G49" s="4">
        <f t="shared" si="2"/>
        <v>0</v>
      </c>
      <c r="H49" s="1"/>
      <c r="I49" s="3" t="s">
        <v>302</v>
      </c>
      <c r="J49" s="3" t="s">
        <v>303</v>
      </c>
      <c r="K49" s="4">
        <v>42477392.43</v>
      </c>
      <c r="L49" s="4">
        <v>0</v>
      </c>
      <c r="M49" s="4">
        <v>0</v>
      </c>
      <c r="N49" s="4">
        <v>42477392.43</v>
      </c>
      <c r="O49" s="4">
        <f t="shared" si="3"/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A</v>
      </c>
      <c r="E50" s="2">
        <f>IF($I50="","",COUNTIFS(Tab_00.Trial[CONTA],$I50))</f>
        <v>1</v>
      </c>
      <c r="F50" s="4">
        <f>SUMIFS(Tab_09.Set[SALDO
ATUAL],Tab_09.Set[CONTA],$I50)</f>
        <v>2866839.8</v>
      </c>
      <c r="G50" s="4">
        <f t="shared" si="2"/>
        <v>0</v>
      </c>
      <c r="H50" s="1"/>
      <c r="I50" s="3" t="s">
        <v>304</v>
      </c>
      <c r="J50" s="3" t="s">
        <v>305</v>
      </c>
      <c r="K50" s="4">
        <v>2866839.8</v>
      </c>
      <c r="L50" s="4">
        <v>0</v>
      </c>
      <c r="M50" s="4">
        <v>0</v>
      </c>
      <c r="N50" s="4">
        <v>2866839.8</v>
      </c>
      <c r="O50" s="4">
        <f t="shared" si="3"/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SUMIFS(Tab_09.Set[SALDO
ATUAL],Tab_09.Set[CONTA],$I51)</f>
        <v>4760.84</v>
      </c>
      <c r="G51" s="4">
        <f t="shared" si="2"/>
        <v>0</v>
      </c>
      <c r="H51" s="1"/>
      <c r="I51" s="3" t="s">
        <v>556</v>
      </c>
      <c r="J51" s="3" t="s">
        <v>650</v>
      </c>
      <c r="K51" s="4">
        <v>4760.84</v>
      </c>
      <c r="L51" s="4">
        <v>0</v>
      </c>
      <c r="M51" s="4">
        <v>0</v>
      </c>
      <c r="N51" s="4">
        <v>4760.84</v>
      </c>
      <c r="O51" s="4">
        <f t="shared" si="3"/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SUMIFS(Tab_09.Set[SALDO
ATUAL],Tab_09.Set[CONTA],$I52)</f>
        <v>4760.84</v>
      </c>
      <c r="G52" s="4">
        <f t="shared" si="2"/>
        <v>0</v>
      </c>
      <c r="H52" s="1"/>
      <c r="I52" s="3" t="s">
        <v>306</v>
      </c>
      <c r="J52" s="3" t="s">
        <v>307</v>
      </c>
      <c r="K52" s="4">
        <v>4760.84</v>
      </c>
      <c r="L52" s="4">
        <v>0</v>
      </c>
      <c r="M52" s="4">
        <v>0</v>
      </c>
      <c r="N52" s="4">
        <v>4760.84</v>
      </c>
      <c r="O52" s="4">
        <f t="shared" si="3"/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SUMIFS(Tab_09.Set[SALDO
ATUAL],Tab_09.Set[CONTA],$I53)</f>
        <v>25968003</v>
      </c>
      <c r="G53" s="4">
        <f t="shared" si="2"/>
        <v>0</v>
      </c>
      <c r="H53" s="1"/>
      <c r="I53" s="3" t="s">
        <v>557</v>
      </c>
      <c r="J53" s="3" t="s">
        <v>309</v>
      </c>
      <c r="K53" s="4">
        <v>25968003</v>
      </c>
      <c r="L53" s="4">
        <v>113116</v>
      </c>
      <c r="M53" s="4">
        <v>2714</v>
      </c>
      <c r="N53" s="4">
        <v>26078405</v>
      </c>
      <c r="O53" s="4">
        <f t="shared" si="3"/>
        <v>110402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SUMIFS(Tab_09.Set[SALDO
ATUAL],Tab_09.Set[CONTA],$I54)</f>
        <v>25968003</v>
      </c>
      <c r="G54" s="4">
        <f t="shared" si="2"/>
        <v>0</v>
      </c>
      <c r="H54" s="1"/>
      <c r="I54" s="3" t="s">
        <v>308</v>
      </c>
      <c r="J54" s="3" t="s">
        <v>309</v>
      </c>
      <c r="K54" s="4">
        <v>25968003</v>
      </c>
      <c r="L54" s="4">
        <v>113116</v>
      </c>
      <c r="M54" s="4">
        <v>2714</v>
      </c>
      <c r="N54" s="4">
        <v>26078405</v>
      </c>
      <c r="O54" s="4">
        <f t="shared" si="3"/>
        <v>110402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SUMIFS(Tab_09.Set[SALDO
ATUAL],Tab_09.Set[CONTA],$I55)</f>
        <v>2360543.31</v>
      </c>
      <c r="G55" s="4">
        <f t="shared" si="2"/>
        <v>0</v>
      </c>
      <c r="H55" s="1"/>
      <c r="I55" s="3" t="s">
        <v>213</v>
      </c>
      <c r="J55" s="3" t="s">
        <v>35</v>
      </c>
      <c r="K55" s="4">
        <v>2360543.31</v>
      </c>
      <c r="L55" s="4">
        <v>0</v>
      </c>
      <c r="M55" s="4">
        <v>3666.75</v>
      </c>
      <c r="N55" s="4">
        <v>2356876.56</v>
      </c>
      <c r="O55" s="4">
        <f t="shared" si="3"/>
        <v>-3666.75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S</v>
      </c>
      <c r="E56" s="2">
        <f>IF($I56="","",COUNTIFS(Tab_00.Trial[CONTA],$I56))</f>
        <v>1</v>
      </c>
      <c r="F56" s="4">
        <f>SUMIFS(Tab_09.Set[SALDO
ATUAL],Tab_09.Set[CONTA],$I56)</f>
        <v>3548599.31</v>
      </c>
      <c r="G56" s="4">
        <f t="shared" si="2"/>
        <v>0</v>
      </c>
      <c r="H56" s="1"/>
      <c r="I56" s="3" t="s">
        <v>214</v>
      </c>
      <c r="J56" s="3" t="s">
        <v>651</v>
      </c>
      <c r="K56" s="4">
        <v>3548599.31</v>
      </c>
      <c r="L56" s="4">
        <v>0</v>
      </c>
      <c r="M56" s="4">
        <v>0</v>
      </c>
      <c r="N56" s="4">
        <v>3548599.31</v>
      </c>
      <c r="O56" s="4">
        <f t="shared" si="3"/>
        <v>0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SUMIFS(Tab_09.Set[SALDO
ATUAL],Tab_09.Set[CONTA],$I57)</f>
        <v>1379260.84</v>
      </c>
      <c r="G57" s="4">
        <f t="shared" si="2"/>
        <v>0</v>
      </c>
      <c r="H57" s="1"/>
      <c r="I57" s="3" t="s">
        <v>310</v>
      </c>
      <c r="J57" s="3" t="s">
        <v>311</v>
      </c>
      <c r="K57" s="4">
        <v>1379260.84</v>
      </c>
      <c r="L57" s="4">
        <v>0</v>
      </c>
      <c r="M57" s="4">
        <v>0</v>
      </c>
      <c r="N57" s="4">
        <v>1379260.84</v>
      </c>
      <c r="O57" s="4">
        <f t="shared" si="3"/>
        <v>0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A</v>
      </c>
      <c r="E58" s="2">
        <f>IF($I58="","",COUNTIFS(Tab_00.Trial[CONTA],$I58))</f>
        <v>1</v>
      </c>
      <c r="F58" s="4">
        <f>SUMIFS(Tab_09.Set[SALDO
ATUAL],Tab_09.Set[CONTA],$I58)</f>
        <v>1293371.25</v>
      </c>
      <c r="G58" s="4">
        <f t="shared" si="2"/>
        <v>0</v>
      </c>
      <c r="H58" s="1"/>
      <c r="I58" s="3" t="s">
        <v>312</v>
      </c>
      <c r="J58" s="3" t="s">
        <v>313</v>
      </c>
      <c r="K58" s="4">
        <v>1293371.25</v>
      </c>
      <c r="L58" s="4">
        <v>0</v>
      </c>
      <c r="M58" s="4">
        <v>0</v>
      </c>
      <c r="N58" s="4">
        <v>1293371.25</v>
      </c>
      <c r="O58" s="4">
        <f t="shared" si="3"/>
        <v>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SUMIFS(Tab_09.Set[SALDO
ATUAL],Tab_09.Set[CONTA],$I59)</f>
        <v>23000</v>
      </c>
      <c r="G59" s="4">
        <f t="shared" si="2"/>
        <v>0</v>
      </c>
      <c r="H59" s="1"/>
      <c r="I59" s="3" t="s">
        <v>181</v>
      </c>
      <c r="J59" s="3" t="s">
        <v>314</v>
      </c>
      <c r="K59" s="4">
        <v>23000</v>
      </c>
      <c r="L59" s="4">
        <v>0</v>
      </c>
      <c r="M59" s="4">
        <v>0</v>
      </c>
      <c r="N59" s="4">
        <v>23000</v>
      </c>
      <c r="O59" s="4">
        <f t="shared" si="3"/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SUMIFS(Tab_09.Set[SALDO
ATUAL],Tab_09.Set[CONTA],$I60)</f>
        <v>12594</v>
      </c>
      <c r="G60" s="4">
        <f t="shared" si="2"/>
        <v>0</v>
      </c>
      <c r="H60" s="1"/>
      <c r="I60" s="3" t="s">
        <v>182</v>
      </c>
      <c r="J60" s="3" t="s">
        <v>315</v>
      </c>
      <c r="K60" s="4">
        <v>12594</v>
      </c>
      <c r="L60" s="4">
        <v>0</v>
      </c>
      <c r="M60" s="4">
        <v>0</v>
      </c>
      <c r="N60" s="4">
        <v>12594</v>
      </c>
      <c r="O60" s="4">
        <f t="shared" si="3"/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SUMIFS(Tab_09.Set[SALDO
ATUAL],Tab_09.Set[CONTA],$I61)</f>
        <v>224642.85</v>
      </c>
      <c r="G61" s="4">
        <f t="shared" si="2"/>
        <v>0</v>
      </c>
      <c r="H61" s="1"/>
      <c r="I61" s="3" t="s">
        <v>183</v>
      </c>
      <c r="J61" s="3" t="s">
        <v>316</v>
      </c>
      <c r="K61" s="4">
        <v>224642.85</v>
      </c>
      <c r="L61" s="4">
        <v>0</v>
      </c>
      <c r="M61" s="4">
        <v>0</v>
      </c>
      <c r="N61" s="4">
        <v>224642.85</v>
      </c>
      <c r="O61" s="4">
        <f t="shared" si="3"/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SUMIFS(Tab_09.Set[SALDO
ATUAL],Tab_09.Set[CONTA],$I62)</f>
        <v>7349.9</v>
      </c>
      <c r="G62" s="4">
        <f t="shared" si="2"/>
        <v>0</v>
      </c>
      <c r="H62" s="1"/>
      <c r="I62" s="3" t="s">
        <v>317</v>
      </c>
      <c r="J62" s="3" t="s">
        <v>318</v>
      </c>
      <c r="K62" s="4">
        <v>7349.9</v>
      </c>
      <c r="L62" s="4">
        <v>0</v>
      </c>
      <c r="M62" s="4">
        <v>0</v>
      </c>
      <c r="N62" s="4">
        <v>7349.9</v>
      </c>
      <c r="O62" s="4">
        <f t="shared" si="3"/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SUMIFS(Tab_09.Set[SALDO
ATUAL],Tab_09.Set[CONTA],$I63)</f>
        <v>128697.03</v>
      </c>
      <c r="G63" s="4">
        <f t="shared" si="2"/>
        <v>0</v>
      </c>
      <c r="H63" s="1"/>
      <c r="I63" s="3" t="s">
        <v>184</v>
      </c>
      <c r="J63" s="3" t="s">
        <v>319</v>
      </c>
      <c r="K63" s="4">
        <v>128697.03</v>
      </c>
      <c r="L63" s="4">
        <v>0</v>
      </c>
      <c r="M63" s="4">
        <v>0</v>
      </c>
      <c r="N63" s="4">
        <v>128697.03</v>
      </c>
      <c r="O63" s="4">
        <f t="shared" si="3"/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SUMIFS(Tab_09.Set[SALDO
ATUAL],Tab_09.Set[CONTA],$I64)</f>
        <v>15029.74</v>
      </c>
      <c r="G64" s="4">
        <f t="shared" si="2"/>
        <v>0</v>
      </c>
      <c r="H64" s="1"/>
      <c r="I64" s="3" t="s">
        <v>185</v>
      </c>
      <c r="J64" s="3" t="s">
        <v>320</v>
      </c>
      <c r="K64" s="4">
        <v>15029.74</v>
      </c>
      <c r="L64" s="4">
        <v>0</v>
      </c>
      <c r="M64" s="4">
        <v>0</v>
      </c>
      <c r="N64" s="4">
        <v>15029.74</v>
      </c>
      <c r="O64" s="4">
        <f t="shared" si="3"/>
        <v>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SUMIFS(Tab_09.Set[SALDO
ATUAL],Tab_09.Set[CONTA],$I65)</f>
        <v>464653.7</v>
      </c>
      <c r="G65" s="4">
        <f t="shared" si="2"/>
        <v>0</v>
      </c>
      <c r="H65" s="1"/>
      <c r="I65" s="3" t="s">
        <v>321</v>
      </c>
      <c r="J65" s="3" t="s">
        <v>322</v>
      </c>
      <c r="K65" s="4">
        <v>464653.7</v>
      </c>
      <c r="L65" s="4">
        <v>0</v>
      </c>
      <c r="M65" s="4">
        <v>0</v>
      </c>
      <c r="N65" s="4">
        <v>464653.7</v>
      </c>
      <c r="O65" s="4">
        <f t="shared" si="3"/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S</v>
      </c>
      <c r="E66" s="2">
        <f>IF($I66="","",COUNTIFS(Tab_00.Trial[CONTA],$I66))</f>
        <v>1</v>
      </c>
      <c r="F66" s="4">
        <f>SUMIFS(Tab_09.Set[SALDO
ATUAL],Tab_09.Set[CONTA],$I66)</f>
        <v>-1188056</v>
      </c>
      <c r="G66" s="4">
        <f t="shared" si="2"/>
        <v>0</v>
      </c>
      <c r="H66" s="1"/>
      <c r="I66" s="3" t="s">
        <v>215</v>
      </c>
      <c r="J66" s="3" t="s">
        <v>652</v>
      </c>
      <c r="K66" s="4">
        <v>-1188056</v>
      </c>
      <c r="L66" s="4">
        <v>0</v>
      </c>
      <c r="M66" s="4">
        <v>3666.75</v>
      </c>
      <c r="N66" s="4">
        <v>-1191722.75</v>
      </c>
      <c r="O66" s="4">
        <f t="shared" si="3"/>
        <v>-3666.75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SUMIFS(Tab_09.Set[SALDO
ATUAL],Tab_09.Set[CONTA],$I67)</f>
        <v>-670862.48</v>
      </c>
      <c r="G67" s="4">
        <f t="shared" si="2"/>
        <v>0</v>
      </c>
      <c r="H67" s="1"/>
      <c r="I67" s="3" t="s">
        <v>186</v>
      </c>
      <c r="J67" s="3" t="s">
        <v>313</v>
      </c>
      <c r="K67" s="4">
        <v>-670862.48</v>
      </c>
      <c r="L67" s="4">
        <v>0</v>
      </c>
      <c r="M67" s="4">
        <v>2997.93</v>
      </c>
      <c r="N67" s="4">
        <v>-673860.41</v>
      </c>
      <c r="O67" s="4">
        <f t="shared" si="3"/>
        <v>-2997.93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SUMIFS(Tab_09.Set[SALDO
ATUAL],Tab_09.Set[CONTA],$I68)</f>
        <v>-21589.89</v>
      </c>
      <c r="G68" s="4">
        <f t="shared" si="2"/>
        <v>0</v>
      </c>
      <c r="H68" s="1"/>
      <c r="I68" s="3" t="s">
        <v>187</v>
      </c>
      <c r="J68" s="3" t="s">
        <v>314</v>
      </c>
      <c r="K68" s="4">
        <v>-21589.89</v>
      </c>
      <c r="L68" s="4">
        <v>0</v>
      </c>
      <c r="M68" s="4">
        <v>191.67</v>
      </c>
      <c r="N68" s="4">
        <v>-21781.56</v>
      </c>
      <c r="O68" s="4">
        <f t="shared" si="3"/>
        <v>-191.67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SUMIFS(Tab_09.Set[SALDO
ATUAL],Tab_09.Set[CONTA],$I69)</f>
        <v>-6998.66</v>
      </c>
      <c r="G69" s="4">
        <f t="shared" si="2"/>
        <v>0</v>
      </c>
      <c r="H69" s="1"/>
      <c r="I69" s="3" t="s">
        <v>188</v>
      </c>
      <c r="J69" s="3" t="s">
        <v>315</v>
      </c>
      <c r="K69" s="4">
        <v>-6998.66</v>
      </c>
      <c r="L69" s="4">
        <v>0</v>
      </c>
      <c r="M69" s="4">
        <v>104.95</v>
      </c>
      <c r="N69" s="4">
        <v>-7103.61</v>
      </c>
      <c r="O69" s="4">
        <f t="shared" si="3"/>
        <v>-104.95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SUMIFS(Tab_09.Set[SALDO
ATUAL],Tab_09.Set[CONTA],$I70)</f>
        <v>-224642.85</v>
      </c>
      <c r="G70" s="4">
        <f t="shared" si="2"/>
        <v>0</v>
      </c>
      <c r="H70" s="1"/>
      <c r="I70" s="3" t="s">
        <v>189</v>
      </c>
      <c r="J70" s="3" t="s">
        <v>316</v>
      </c>
      <c r="K70" s="4">
        <v>-224642.85</v>
      </c>
      <c r="L70" s="4">
        <v>0</v>
      </c>
      <c r="M70" s="4">
        <v>0</v>
      </c>
      <c r="N70" s="4">
        <v>-224642.85</v>
      </c>
      <c r="O70" s="4">
        <f t="shared" si="3"/>
        <v>0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SUMIFS(Tab_09.Set[SALDO
ATUAL],Tab_09.Set[CONTA],$I71)</f>
        <v>-4553.6400000000003</v>
      </c>
      <c r="G71" s="4">
        <f t="shared" si="2"/>
        <v>0</v>
      </c>
      <c r="H71" s="1"/>
      <c r="I71" s="3" t="s">
        <v>190</v>
      </c>
      <c r="J71" s="3" t="s">
        <v>318</v>
      </c>
      <c r="K71" s="4">
        <v>-4553.6400000000003</v>
      </c>
      <c r="L71" s="4">
        <v>0</v>
      </c>
      <c r="M71" s="4">
        <v>122.2</v>
      </c>
      <c r="N71" s="4">
        <v>-4675.84</v>
      </c>
      <c r="O71" s="4">
        <f t="shared" si="3"/>
        <v>-122.2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SUMIFS(Tab_09.Set[SALDO
ATUAL],Tab_09.Set[CONTA],$I72)</f>
        <v>-128697.03</v>
      </c>
      <c r="G72" s="4">
        <f t="shared" si="2"/>
        <v>0</v>
      </c>
      <c r="H72" s="1"/>
      <c r="I72" s="3" t="s">
        <v>323</v>
      </c>
      <c r="J72" s="3" t="s">
        <v>319</v>
      </c>
      <c r="K72" s="4">
        <v>-128697.03</v>
      </c>
      <c r="L72" s="4">
        <v>0</v>
      </c>
      <c r="M72" s="4">
        <v>0</v>
      </c>
      <c r="N72" s="4">
        <v>-128697.03</v>
      </c>
      <c r="O72" s="4">
        <f t="shared" si="3"/>
        <v>0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SUMIFS(Tab_09.Set[SALDO
ATUAL],Tab_09.Set[CONTA],$I73)</f>
        <v>-15029.74</v>
      </c>
      <c r="G73" s="4">
        <f t="shared" si="2"/>
        <v>0</v>
      </c>
      <c r="H73" s="1"/>
      <c r="I73" s="3" t="s">
        <v>324</v>
      </c>
      <c r="J73" s="3" t="s">
        <v>320</v>
      </c>
      <c r="K73" s="4">
        <v>-15029.74</v>
      </c>
      <c r="L73" s="4">
        <v>0</v>
      </c>
      <c r="M73" s="4">
        <v>0</v>
      </c>
      <c r="N73" s="4">
        <v>-15029.74</v>
      </c>
      <c r="O73" s="4">
        <f t="shared" si="3"/>
        <v>0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SUMIFS(Tab_09.Set[SALDO
ATUAL],Tab_09.Set[CONTA],$I74)</f>
        <v>-115681.71</v>
      </c>
      <c r="G74" s="4">
        <f t="shared" si="2"/>
        <v>0</v>
      </c>
      <c r="H74" s="1"/>
      <c r="I74" s="3" t="s">
        <v>325</v>
      </c>
      <c r="J74" s="3" t="s">
        <v>322</v>
      </c>
      <c r="K74" s="4">
        <v>-115681.71</v>
      </c>
      <c r="L74" s="4">
        <v>0</v>
      </c>
      <c r="M74" s="4">
        <v>250</v>
      </c>
      <c r="N74" s="4">
        <v>-115931.71</v>
      </c>
      <c r="O74" s="4">
        <f t="shared" si="3"/>
        <v>-250</v>
      </c>
    </row>
    <row r="75" spans="2:15" x14ac:dyDescent="0.3">
      <c r="B75" s="2" t="str">
        <f>_xlfn.XLOOKUP($I75,Tab_00.Trial[CONTA],Tab_00.Trial[TP],"",0,1)</f>
        <v>P</v>
      </c>
      <c r="C75" s="2">
        <f>_xlfn.XLOOKUP($I75,Tab_00.Trial[CONTA],Tab_00.Trial[NV],"",0,1)</f>
        <v>1</v>
      </c>
      <c r="D75" s="2" t="str">
        <f>_xlfn.XLOOKUP($I75,Tab_00.Trial[CONTA],Tab_00.Trial[S/A],"",0,1)</f>
        <v>S</v>
      </c>
      <c r="E75" s="2">
        <f>IF($I75="","",COUNTIFS(Tab_00.Trial[CONTA],$I75))</f>
        <v>1</v>
      </c>
      <c r="F75" s="4">
        <f>SUMIFS(Tab_09.Set[SALDO
ATUAL],Tab_09.Set[CONTA],$I75)</f>
        <v>-83344888.659999996</v>
      </c>
      <c r="G75" s="4">
        <f t="shared" si="2"/>
        <v>0</v>
      </c>
      <c r="H75" s="1"/>
      <c r="I75" s="3">
        <v>2</v>
      </c>
      <c r="J75" s="3" t="s">
        <v>653</v>
      </c>
      <c r="K75" s="4">
        <v>-83344888.659999996</v>
      </c>
      <c r="L75" s="4">
        <v>1013323.01</v>
      </c>
      <c r="M75" s="4">
        <v>1012149.19</v>
      </c>
      <c r="N75" s="4">
        <v>-83343714.840000004</v>
      </c>
      <c r="O75" s="4">
        <f t="shared" si="3"/>
        <v>1173.82</v>
      </c>
    </row>
    <row r="76" spans="2:15" x14ac:dyDescent="0.3">
      <c r="B76" s="2" t="str">
        <f>_xlfn.XLOOKUP($I76,Tab_00.Trial[CONTA],Tab_00.Trial[TP],"",0,1)</f>
        <v>P</v>
      </c>
      <c r="C76" s="2">
        <f>_xlfn.XLOOKUP($I76,Tab_00.Trial[CONTA],Tab_00.Trial[NV],"",0,1)</f>
        <v>2</v>
      </c>
      <c r="D76" s="2" t="str">
        <f>_xlfn.XLOOKUP($I76,Tab_00.Trial[CONTA],Tab_00.Trial[S/A],"",0,1)</f>
        <v>S</v>
      </c>
      <c r="E76" s="2">
        <f>IF($I76="","",COUNTIFS(Tab_00.Trial[CONTA],$I76))</f>
        <v>1</v>
      </c>
      <c r="F76" s="4">
        <f>SUMIFS(Tab_09.Set[SALDO
ATUAL],Tab_09.Set[CONTA],$I76)</f>
        <v>-1442424.13</v>
      </c>
      <c r="G76" s="4">
        <f t="shared" si="2"/>
        <v>0</v>
      </c>
      <c r="H76" s="1"/>
      <c r="I76" s="3" t="s">
        <v>216</v>
      </c>
      <c r="J76" s="3" t="s">
        <v>31</v>
      </c>
      <c r="K76" s="4">
        <v>-1442424.13</v>
      </c>
      <c r="L76" s="4">
        <v>1013323.01</v>
      </c>
      <c r="M76" s="4">
        <v>1012149.19</v>
      </c>
      <c r="N76" s="4">
        <v>-1441250.31</v>
      </c>
      <c r="O76" s="4">
        <f t="shared" si="3"/>
        <v>1173.82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5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SUMIFS(Tab_09.Set[SALDO
ATUAL],Tab_09.Set[CONTA],$I77)</f>
        <v>-351606.58</v>
      </c>
      <c r="G77" s="4">
        <f t="shared" si="2"/>
        <v>0</v>
      </c>
      <c r="H77" s="1"/>
      <c r="I77" s="3" t="s">
        <v>558</v>
      </c>
      <c r="J77" s="3" t="s">
        <v>654</v>
      </c>
      <c r="K77" s="4">
        <v>-351606.58</v>
      </c>
      <c r="L77" s="4">
        <v>143653.94</v>
      </c>
      <c r="M77" s="4">
        <v>145304.4</v>
      </c>
      <c r="N77" s="4">
        <v>-353257.04</v>
      </c>
      <c r="O77" s="4">
        <f t="shared" si="3"/>
        <v>-1650.46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5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SUMIFS(Tab_09.Set[SALDO
ATUAL],Tab_09.Set[CONTA],$I78)</f>
        <v>0</v>
      </c>
      <c r="G78" s="4">
        <f t="shared" si="2"/>
        <v>0</v>
      </c>
      <c r="H78" s="1"/>
      <c r="I78" s="3" t="s">
        <v>559</v>
      </c>
      <c r="J78" s="3" t="s">
        <v>655</v>
      </c>
      <c r="K78" s="4">
        <v>0</v>
      </c>
      <c r="L78" s="4">
        <v>69268.2</v>
      </c>
      <c r="M78" s="4">
        <v>69268.2</v>
      </c>
      <c r="N78" s="4">
        <v>0</v>
      </c>
      <c r="O78" s="4">
        <f t="shared" si="3"/>
        <v>0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A</v>
      </c>
      <c r="E79" s="2">
        <f>IF($I79="","",COUNTIFS(Tab_00.Trial[CONTA],$I79))</f>
        <v>1</v>
      </c>
      <c r="F79" s="4">
        <f>SUMIFS(Tab_09.Set[SALDO
ATUAL],Tab_09.Set[CONTA],$I79)</f>
        <v>0</v>
      </c>
      <c r="G79" s="4">
        <f t="shared" ref="G79:G142" si="4">$F79-$K79</f>
        <v>0</v>
      </c>
      <c r="H79" s="1"/>
      <c r="I79" s="3" t="s">
        <v>326</v>
      </c>
      <c r="J79" s="3" t="s">
        <v>327</v>
      </c>
      <c r="K79" s="4">
        <v>0</v>
      </c>
      <c r="L79" s="4">
        <v>69268.2</v>
      </c>
      <c r="M79" s="4">
        <v>69268.2</v>
      </c>
      <c r="N79" s="4">
        <v>0</v>
      </c>
      <c r="O79" s="4">
        <f t="shared" ref="O79:O142" si="5">$L79-$M79</f>
        <v>0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SUMIFS(Tab_09.Set[SALDO
ATUAL],Tab_09.Set[CONTA],$I80)</f>
        <v>-103619.32</v>
      </c>
      <c r="G80" s="4">
        <f t="shared" si="4"/>
        <v>0</v>
      </c>
      <c r="H80" s="1"/>
      <c r="I80" s="3" t="s">
        <v>560</v>
      </c>
      <c r="J80" s="3" t="s">
        <v>656</v>
      </c>
      <c r="K80" s="4">
        <v>-103619.32</v>
      </c>
      <c r="L80" s="4">
        <v>0</v>
      </c>
      <c r="M80" s="4">
        <v>11746.73</v>
      </c>
      <c r="N80" s="4">
        <v>-115366.05</v>
      </c>
      <c r="O80" s="4">
        <f t="shared" si="5"/>
        <v>-11746.73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SUMIFS(Tab_09.Set[SALDO
ATUAL],Tab_09.Set[CONTA],$I81)</f>
        <v>-76170.19</v>
      </c>
      <c r="G81" s="4">
        <f t="shared" si="4"/>
        <v>0</v>
      </c>
      <c r="H81" s="1"/>
      <c r="I81" s="3" t="s">
        <v>332</v>
      </c>
      <c r="J81" s="3" t="s">
        <v>333</v>
      </c>
      <c r="K81" s="4">
        <v>-76170.19</v>
      </c>
      <c r="L81" s="4">
        <v>0</v>
      </c>
      <c r="M81" s="4">
        <v>8651.6</v>
      </c>
      <c r="N81" s="4">
        <v>-84821.79</v>
      </c>
      <c r="O81" s="4">
        <f t="shared" si="5"/>
        <v>-8651.6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SUMIFS(Tab_09.Set[SALDO
ATUAL],Tab_09.Set[CONTA],$I82)</f>
        <v>-6093.55</v>
      </c>
      <c r="G82" s="4">
        <f t="shared" si="4"/>
        <v>0</v>
      </c>
      <c r="H82" s="1"/>
      <c r="I82" s="3" t="s">
        <v>784</v>
      </c>
      <c r="J82" s="3" t="s">
        <v>785</v>
      </c>
      <c r="K82" s="4">
        <v>-6093.55</v>
      </c>
      <c r="L82" s="4">
        <v>0</v>
      </c>
      <c r="M82" s="4">
        <v>692.14</v>
      </c>
      <c r="N82" s="4">
        <v>-6785.69</v>
      </c>
      <c r="O82" s="4">
        <f t="shared" si="5"/>
        <v>-692.14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SUMIFS(Tab_09.Set[SALDO
ATUAL],Tab_09.Set[CONTA],$I83)</f>
        <v>-768.18</v>
      </c>
      <c r="G83" s="4">
        <f t="shared" si="4"/>
        <v>0</v>
      </c>
      <c r="H83" s="1"/>
      <c r="I83" s="3" t="s">
        <v>786</v>
      </c>
      <c r="J83" s="3" t="s">
        <v>787</v>
      </c>
      <c r="K83" s="4">
        <v>-768.18</v>
      </c>
      <c r="L83" s="4">
        <v>0</v>
      </c>
      <c r="M83" s="4">
        <v>86.45</v>
      </c>
      <c r="N83" s="4">
        <v>-854.63</v>
      </c>
      <c r="O83" s="4">
        <f t="shared" si="5"/>
        <v>-86.45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SUMIFS(Tab_09.Set[SALDO
ATUAL],Tab_09.Set[CONTA],$I84)</f>
        <v>-20587.400000000001</v>
      </c>
      <c r="G84" s="4">
        <f t="shared" si="4"/>
        <v>0</v>
      </c>
      <c r="H84" s="1"/>
      <c r="I84" s="3" t="s">
        <v>788</v>
      </c>
      <c r="J84" s="3" t="s">
        <v>789</v>
      </c>
      <c r="K84" s="4">
        <v>-20587.400000000001</v>
      </c>
      <c r="L84" s="4">
        <v>0</v>
      </c>
      <c r="M84" s="4">
        <v>2316.54</v>
      </c>
      <c r="N84" s="4">
        <v>-22903.94</v>
      </c>
      <c r="O84" s="4">
        <f t="shared" si="5"/>
        <v>-2316.54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S</v>
      </c>
      <c r="E85" s="2">
        <f>IF($I85="","",COUNTIFS(Tab_00.Trial[CONTA],$I85))</f>
        <v>1</v>
      </c>
      <c r="F85" s="4">
        <f>SUMIFS(Tab_09.Set[SALDO
ATUAL],Tab_09.Set[CONTA],$I85)</f>
        <v>-202152.4</v>
      </c>
      <c r="G85" s="4">
        <f t="shared" si="4"/>
        <v>0</v>
      </c>
      <c r="H85" s="1"/>
      <c r="I85" s="3" t="s">
        <v>561</v>
      </c>
      <c r="J85" s="3" t="s">
        <v>657</v>
      </c>
      <c r="K85" s="4">
        <v>-202152.4</v>
      </c>
      <c r="L85" s="4">
        <v>27903.34</v>
      </c>
      <c r="M85" s="4">
        <v>17119.72</v>
      </c>
      <c r="N85" s="4">
        <v>-191368.78</v>
      </c>
      <c r="O85" s="4">
        <f t="shared" si="5"/>
        <v>10783.62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SUMIFS(Tab_09.Set[SALDO
ATUAL],Tab_09.Set[CONTA],$I86)</f>
        <v>-148671.13</v>
      </c>
      <c r="G86" s="4">
        <f t="shared" si="4"/>
        <v>0</v>
      </c>
      <c r="H86" s="1"/>
      <c r="I86" s="3" t="s">
        <v>334</v>
      </c>
      <c r="J86" s="3" t="s">
        <v>335</v>
      </c>
      <c r="K86" s="4">
        <v>-148671.13</v>
      </c>
      <c r="L86" s="4">
        <v>20454.47</v>
      </c>
      <c r="M86" s="4">
        <v>12630.72</v>
      </c>
      <c r="N86" s="4">
        <v>-140847.38</v>
      </c>
      <c r="O86" s="4">
        <f t="shared" si="5"/>
        <v>7823.75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SUMIFS(Tab_09.Set[SALDO
ATUAL],Tab_09.Set[CONTA],$I87)</f>
        <v>-11878.87</v>
      </c>
      <c r="G87" s="4">
        <f t="shared" si="4"/>
        <v>0</v>
      </c>
      <c r="H87" s="1"/>
      <c r="I87" s="3" t="s">
        <v>790</v>
      </c>
      <c r="J87" s="3" t="s">
        <v>791</v>
      </c>
      <c r="K87" s="4">
        <v>-11878.87</v>
      </c>
      <c r="L87" s="4">
        <v>1636.35</v>
      </c>
      <c r="M87" s="4">
        <v>1003.12</v>
      </c>
      <c r="N87" s="4">
        <v>-11245.64</v>
      </c>
      <c r="O87" s="4">
        <f t="shared" si="5"/>
        <v>633.23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SUMIFS(Tab_09.Set[SALDO
ATUAL],Tab_09.Set[CONTA],$I88)</f>
        <v>-1807.67</v>
      </c>
      <c r="G88" s="4">
        <f t="shared" si="4"/>
        <v>0</v>
      </c>
      <c r="H88" s="1"/>
      <c r="I88" s="3" t="s">
        <v>792</v>
      </c>
      <c r="J88" s="3" t="s">
        <v>793</v>
      </c>
      <c r="K88" s="4">
        <v>-1807.67</v>
      </c>
      <c r="L88" s="4">
        <v>330.73</v>
      </c>
      <c r="M88" s="4">
        <v>125.39</v>
      </c>
      <c r="N88" s="4">
        <v>-1602.33</v>
      </c>
      <c r="O88" s="4">
        <f t="shared" si="5"/>
        <v>205.34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SUMIFS(Tab_09.Set[SALDO
ATUAL],Tab_09.Set[CONTA],$I89)</f>
        <v>-39794.730000000003</v>
      </c>
      <c r="G89" s="4">
        <f t="shared" si="4"/>
        <v>0</v>
      </c>
      <c r="H89" s="1"/>
      <c r="I89" s="3" t="s">
        <v>794</v>
      </c>
      <c r="J89" s="3" t="s">
        <v>795</v>
      </c>
      <c r="K89" s="4">
        <v>-39794.730000000003</v>
      </c>
      <c r="L89" s="4">
        <v>5481.79</v>
      </c>
      <c r="M89" s="4">
        <v>3360.49</v>
      </c>
      <c r="N89" s="4">
        <v>-37673.43</v>
      </c>
      <c r="O89" s="4">
        <f t="shared" si="5"/>
        <v>2121.3000000000002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S</v>
      </c>
      <c r="E90" s="2">
        <f>IF($I90="","",COUNTIFS(Tab_00.Trial[CONTA],$I90))</f>
        <v>1</v>
      </c>
      <c r="F90" s="4">
        <f>SUMIFS(Tab_09.Set[SALDO
ATUAL],Tab_09.Set[CONTA],$I90)</f>
        <v>-35995.78</v>
      </c>
      <c r="G90" s="4">
        <f t="shared" si="4"/>
        <v>0</v>
      </c>
      <c r="H90" s="1"/>
      <c r="I90" s="3" t="s">
        <v>562</v>
      </c>
      <c r="J90" s="3" t="s">
        <v>658</v>
      </c>
      <c r="K90" s="4">
        <v>-35995.78</v>
      </c>
      <c r="L90" s="4">
        <v>36716.49</v>
      </c>
      <c r="M90" s="4">
        <v>37355.019999999997</v>
      </c>
      <c r="N90" s="4">
        <v>-36634.31</v>
      </c>
      <c r="O90" s="4">
        <f t="shared" si="5"/>
        <v>-638.53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SUMIFS(Tab_09.Set[SALDO
ATUAL],Tab_09.Set[CONTA],$I91)</f>
        <v>-35995.78</v>
      </c>
      <c r="G91" s="4">
        <f t="shared" si="4"/>
        <v>0</v>
      </c>
      <c r="H91" s="1"/>
      <c r="I91" s="3" t="s">
        <v>336</v>
      </c>
      <c r="J91" s="3" t="s">
        <v>337</v>
      </c>
      <c r="K91" s="4">
        <v>-35995.78</v>
      </c>
      <c r="L91" s="4">
        <v>36173.050000000003</v>
      </c>
      <c r="M91" s="4">
        <v>36227.5</v>
      </c>
      <c r="N91" s="4">
        <v>-36050.230000000003</v>
      </c>
      <c r="O91" s="4">
        <f t="shared" si="5"/>
        <v>-54.45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SUMIFS(Tab_09.Set[SALDO
ATUAL],Tab_09.Set[CONTA],$I92)</f>
        <v>0</v>
      </c>
      <c r="G92" s="4">
        <f t="shared" si="4"/>
        <v>0</v>
      </c>
      <c r="H92" s="1"/>
      <c r="I92" s="3" t="s">
        <v>338</v>
      </c>
      <c r="J92" s="3" t="s">
        <v>339</v>
      </c>
      <c r="K92" s="4">
        <v>0</v>
      </c>
      <c r="L92" s="4">
        <v>543.44000000000005</v>
      </c>
      <c r="M92" s="4">
        <v>1127.52</v>
      </c>
      <c r="N92" s="4">
        <v>-584.08000000000004</v>
      </c>
      <c r="O92" s="4">
        <f t="shared" si="5"/>
        <v>-584.08000000000004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S</v>
      </c>
      <c r="E93" s="2">
        <f>IF($I93="","",COUNTIFS(Tab_00.Trial[CONTA],$I93))</f>
        <v>1</v>
      </c>
      <c r="F93" s="4">
        <f>SUMIFS(Tab_09.Set[SALDO
ATUAL],Tab_09.Set[CONTA],$I93)</f>
        <v>-9839.08</v>
      </c>
      <c r="G93" s="4">
        <f t="shared" si="4"/>
        <v>0</v>
      </c>
      <c r="H93" s="1"/>
      <c r="I93" s="3" t="s">
        <v>563</v>
      </c>
      <c r="J93" s="3" t="s">
        <v>659</v>
      </c>
      <c r="K93" s="4">
        <v>-9839.08</v>
      </c>
      <c r="L93" s="4">
        <v>9765.91</v>
      </c>
      <c r="M93" s="4">
        <v>9814.73</v>
      </c>
      <c r="N93" s="4">
        <v>-9887.9</v>
      </c>
      <c r="O93" s="4">
        <f t="shared" si="5"/>
        <v>-48.82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SUMIFS(Tab_09.Set[SALDO
ATUAL],Tab_09.Set[CONTA],$I94)</f>
        <v>-8680.81</v>
      </c>
      <c r="G94" s="4">
        <f t="shared" si="4"/>
        <v>0</v>
      </c>
      <c r="H94" s="1"/>
      <c r="I94" s="3" t="s">
        <v>340</v>
      </c>
      <c r="J94" s="3" t="s">
        <v>341</v>
      </c>
      <c r="K94" s="4">
        <v>-8680.81</v>
      </c>
      <c r="L94" s="4">
        <v>8680.81</v>
      </c>
      <c r="M94" s="4">
        <v>8724.19</v>
      </c>
      <c r="N94" s="4">
        <v>-8724.19</v>
      </c>
      <c r="O94" s="4">
        <f t="shared" si="5"/>
        <v>-43.38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SUMIFS(Tab_09.Set[SALDO
ATUAL],Tab_09.Set[CONTA],$I95)</f>
        <v>-1158.27</v>
      </c>
      <c r="G95" s="4">
        <f t="shared" si="4"/>
        <v>0</v>
      </c>
      <c r="H95" s="1"/>
      <c r="I95" s="3" t="s">
        <v>342</v>
      </c>
      <c r="J95" s="3" t="s">
        <v>343</v>
      </c>
      <c r="K95" s="4">
        <v>-1158.27</v>
      </c>
      <c r="L95" s="4">
        <v>1085.0999999999999</v>
      </c>
      <c r="M95" s="4">
        <v>1090.54</v>
      </c>
      <c r="N95" s="4">
        <v>-1163.71</v>
      </c>
      <c r="O95" s="4">
        <f t="shared" si="5"/>
        <v>-5.44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SUMIFS(Tab_09.Set[SALDO
ATUAL],Tab_09.Set[CONTA],$I96)</f>
        <v>-1049200.8</v>
      </c>
      <c r="G96" s="4">
        <f t="shared" si="4"/>
        <v>0</v>
      </c>
      <c r="H96" s="1"/>
      <c r="I96" s="3" t="s">
        <v>218</v>
      </c>
      <c r="J96" s="3" t="s">
        <v>660</v>
      </c>
      <c r="K96" s="4">
        <v>-1049200.8</v>
      </c>
      <c r="L96" s="4">
        <v>851407.87</v>
      </c>
      <c r="M96" s="4">
        <v>839424.63</v>
      </c>
      <c r="N96" s="4">
        <v>-1037217.56</v>
      </c>
      <c r="O96" s="4">
        <f t="shared" si="5"/>
        <v>11983.24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S</v>
      </c>
      <c r="E97" s="2">
        <f>IF($I97="","",COUNTIFS(Tab_00.Trial[CONTA],$I97))</f>
        <v>1</v>
      </c>
      <c r="F97" s="4">
        <f>SUMIFS(Tab_09.Set[SALDO
ATUAL],Tab_09.Set[CONTA],$I97)</f>
        <v>-55466.22</v>
      </c>
      <c r="G97" s="4">
        <f t="shared" si="4"/>
        <v>0</v>
      </c>
      <c r="H97" s="1"/>
      <c r="I97" s="3" t="s">
        <v>219</v>
      </c>
      <c r="J97" s="3" t="s">
        <v>56</v>
      </c>
      <c r="K97" s="4">
        <v>-55466.22</v>
      </c>
      <c r="L97" s="4">
        <v>381550.6</v>
      </c>
      <c r="M97" s="4">
        <v>613953.35</v>
      </c>
      <c r="N97" s="4">
        <v>-287868.96999999997</v>
      </c>
      <c r="O97" s="4">
        <f t="shared" si="5"/>
        <v>-232402.75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SUMIFS(Tab_09.Set[SALDO
ATUAL],Tab_09.Set[CONTA],$I98)</f>
        <v>-55466.22</v>
      </c>
      <c r="G98" s="4">
        <f t="shared" si="4"/>
        <v>0</v>
      </c>
      <c r="H98" s="1"/>
      <c r="I98" s="3" t="s">
        <v>344</v>
      </c>
      <c r="J98" s="3" t="s">
        <v>56</v>
      </c>
      <c r="K98" s="4">
        <v>-55466.22</v>
      </c>
      <c r="L98" s="4">
        <v>381550.6</v>
      </c>
      <c r="M98" s="4">
        <v>613953.35</v>
      </c>
      <c r="N98" s="4">
        <v>-287868.96999999997</v>
      </c>
      <c r="O98" s="4">
        <f t="shared" si="5"/>
        <v>-232402.75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SUMIFS(Tab_09.Set[SALDO
ATUAL],Tab_09.Set[CONTA],$I99)</f>
        <v>-993734.58</v>
      </c>
      <c r="G99" s="4">
        <f t="shared" si="4"/>
        <v>0</v>
      </c>
      <c r="H99" s="1"/>
      <c r="I99" s="3" t="s">
        <v>220</v>
      </c>
      <c r="J99" s="3" t="s">
        <v>346</v>
      </c>
      <c r="K99" s="4">
        <v>-993734.58</v>
      </c>
      <c r="L99" s="4">
        <v>469857.27</v>
      </c>
      <c r="M99" s="4">
        <v>225471.28</v>
      </c>
      <c r="N99" s="4">
        <v>-749348.59</v>
      </c>
      <c r="O99" s="4">
        <f t="shared" si="5"/>
        <v>244385.99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A</v>
      </c>
      <c r="E100" s="2">
        <f>IF($I100="","",COUNTIFS(Tab_00.Trial[CONTA],$I100))</f>
        <v>1</v>
      </c>
      <c r="F100" s="4">
        <f>SUMIFS(Tab_09.Set[SALDO
ATUAL],Tab_09.Set[CONTA],$I100)</f>
        <v>-993734.58</v>
      </c>
      <c r="G100" s="4">
        <f t="shared" si="4"/>
        <v>0</v>
      </c>
      <c r="H100" s="1"/>
      <c r="I100" s="3" t="s">
        <v>345</v>
      </c>
      <c r="J100" s="3" t="s">
        <v>346</v>
      </c>
      <c r="K100" s="4">
        <v>-993734.58</v>
      </c>
      <c r="L100" s="4">
        <v>469857.27</v>
      </c>
      <c r="M100" s="4">
        <v>225471.28</v>
      </c>
      <c r="N100" s="4">
        <v>-749348.59</v>
      </c>
      <c r="O100" s="4">
        <f t="shared" si="5"/>
        <v>244385.99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SUMIFS(Tab_09.Set[SALDO
ATUAL],Tab_09.Set[CONTA],$I101)</f>
        <v>-15319.84</v>
      </c>
      <c r="G101" s="4">
        <f t="shared" si="4"/>
        <v>0</v>
      </c>
      <c r="H101" s="1"/>
      <c r="I101" s="3" t="s">
        <v>221</v>
      </c>
      <c r="J101" s="3" t="s">
        <v>661</v>
      </c>
      <c r="K101" s="4">
        <v>-15319.84</v>
      </c>
      <c r="L101" s="4">
        <v>16913.52</v>
      </c>
      <c r="M101" s="4">
        <v>25461.99</v>
      </c>
      <c r="N101" s="4">
        <v>-23868.31</v>
      </c>
      <c r="O101" s="4">
        <f t="shared" si="5"/>
        <v>-8548.4699999999993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SUMIFS(Tab_09.Set[SALDO
ATUAL],Tab_09.Set[CONTA],$I102)</f>
        <v>-15319.84</v>
      </c>
      <c r="G102" s="4">
        <f t="shared" si="4"/>
        <v>0</v>
      </c>
      <c r="H102" s="1"/>
      <c r="I102" s="3" t="s">
        <v>222</v>
      </c>
      <c r="J102" s="3" t="s">
        <v>662</v>
      </c>
      <c r="K102" s="4">
        <v>-15319.84</v>
      </c>
      <c r="L102" s="4">
        <v>16901.419999999998</v>
      </c>
      <c r="M102" s="4">
        <v>25449.89</v>
      </c>
      <c r="N102" s="4">
        <v>-23868.31</v>
      </c>
      <c r="O102" s="4">
        <f t="shared" si="5"/>
        <v>-8548.4699999999993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SUMIFS(Tab_09.Set[SALDO
ATUAL],Tab_09.Set[CONTA],$I103)</f>
        <v>-834.01</v>
      </c>
      <c r="G103" s="4">
        <f t="shared" si="4"/>
        <v>0</v>
      </c>
      <c r="H103" s="1"/>
      <c r="I103" s="3" t="s">
        <v>191</v>
      </c>
      <c r="J103" s="3" t="s">
        <v>347</v>
      </c>
      <c r="K103" s="4">
        <v>-834.01</v>
      </c>
      <c r="L103" s="4">
        <v>1000.27</v>
      </c>
      <c r="M103" s="4">
        <v>2056.73</v>
      </c>
      <c r="N103" s="4">
        <v>-1890.47</v>
      </c>
      <c r="O103" s="4">
        <f t="shared" si="5"/>
        <v>-1056.46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A</v>
      </c>
      <c r="E104" s="2">
        <f>IF($I104="","",COUNTIFS(Tab_00.Trial[CONTA],$I104))</f>
        <v>1</v>
      </c>
      <c r="F104" s="4">
        <f>SUMIFS(Tab_09.Set[SALDO
ATUAL],Tab_09.Set[CONTA],$I104)</f>
        <v>-12489.94</v>
      </c>
      <c r="G104" s="4">
        <f t="shared" si="4"/>
        <v>0</v>
      </c>
      <c r="H104" s="1"/>
      <c r="I104" s="3" t="s">
        <v>192</v>
      </c>
      <c r="J104" s="3" t="s">
        <v>348</v>
      </c>
      <c r="K104" s="4">
        <v>-12489.94</v>
      </c>
      <c r="L104" s="4">
        <v>12489.94</v>
      </c>
      <c r="M104" s="4">
        <v>16402</v>
      </c>
      <c r="N104" s="4">
        <v>-16402</v>
      </c>
      <c r="O104" s="4">
        <f t="shared" si="5"/>
        <v>-3912.06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SUMIFS(Tab_09.Set[SALDO
ATUAL],Tab_09.Set[CONTA],$I105)</f>
        <v>-1984.61</v>
      </c>
      <c r="G105" s="4">
        <f t="shared" si="4"/>
        <v>0</v>
      </c>
      <c r="H105" s="1"/>
      <c r="I105" s="3" t="s">
        <v>350</v>
      </c>
      <c r="J105" s="3" t="s">
        <v>351</v>
      </c>
      <c r="K105" s="4">
        <v>-1984.61</v>
      </c>
      <c r="L105" s="4">
        <v>3400.04</v>
      </c>
      <c r="M105" s="4">
        <v>6979.99</v>
      </c>
      <c r="N105" s="4">
        <v>-5564.56</v>
      </c>
      <c r="O105" s="4">
        <f t="shared" si="5"/>
        <v>-3579.95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SUMIFS(Tab_09.Set[SALDO
ATUAL],Tab_09.Set[CONTA],$I106)</f>
        <v>-11.28</v>
      </c>
      <c r="G106" s="4">
        <f t="shared" si="4"/>
        <v>0</v>
      </c>
      <c r="H106" s="1"/>
      <c r="I106" s="3" t="s">
        <v>352</v>
      </c>
      <c r="J106" s="3" t="s">
        <v>353</v>
      </c>
      <c r="K106" s="4">
        <v>-11.28</v>
      </c>
      <c r="L106" s="4">
        <v>11.17</v>
      </c>
      <c r="M106" s="4">
        <v>11.17</v>
      </c>
      <c r="N106" s="4">
        <v>-11.28</v>
      </c>
      <c r="O106" s="4">
        <f t="shared" si="5"/>
        <v>0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S</v>
      </c>
      <c r="E107" s="2">
        <f>IF($I107="","",COUNTIFS(Tab_00.Trial[CONTA],$I107))</f>
        <v>1</v>
      </c>
      <c r="F107" s="4">
        <f>SUMIFS(Tab_09.Set[SALDO
ATUAL],Tab_09.Set[CONTA],$I107)</f>
        <v>0</v>
      </c>
      <c r="G107" s="4">
        <f t="shared" si="4"/>
        <v>0</v>
      </c>
      <c r="H107" s="1"/>
      <c r="I107" s="3" t="s">
        <v>223</v>
      </c>
      <c r="J107" s="3" t="s">
        <v>663</v>
      </c>
      <c r="K107" s="4">
        <v>0</v>
      </c>
      <c r="L107" s="4">
        <v>12.1</v>
      </c>
      <c r="M107" s="4">
        <v>12.1</v>
      </c>
      <c r="N107" s="4">
        <v>0</v>
      </c>
      <c r="O107" s="4">
        <f t="shared" si="5"/>
        <v>0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SUMIFS(Tab_09.Set[SALDO
ATUAL],Tab_09.Set[CONTA],$I108)</f>
        <v>0</v>
      </c>
      <c r="G108" s="4">
        <f t="shared" si="4"/>
        <v>0</v>
      </c>
      <c r="H108" s="1"/>
      <c r="I108" s="3" t="s">
        <v>354</v>
      </c>
      <c r="J108" s="3" t="s">
        <v>355</v>
      </c>
      <c r="K108" s="4">
        <v>0</v>
      </c>
      <c r="L108" s="4">
        <v>12.1</v>
      </c>
      <c r="M108" s="4">
        <v>12.1</v>
      </c>
      <c r="N108" s="4">
        <v>0</v>
      </c>
      <c r="O108" s="4">
        <f t="shared" si="5"/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SUMIFS(Tab_09.Set[SALDO
ATUAL],Tab_09.Set[CONTA],$I109)</f>
        <v>-22447.71</v>
      </c>
      <c r="G109" s="4">
        <f t="shared" si="4"/>
        <v>0</v>
      </c>
      <c r="H109" s="1"/>
      <c r="I109" s="3" t="s">
        <v>224</v>
      </c>
      <c r="J109" s="3" t="s">
        <v>664</v>
      </c>
      <c r="K109" s="4">
        <v>-22447.71</v>
      </c>
      <c r="L109" s="4">
        <v>1347.68</v>
      </c>
      <c r="M109" s="4">
        <v>1958.17</v>
      </c>
      <c r="N109" s="4">
        <v>-23058.2</v>
      </c>
      <c r="O109" s="4">
        <f t="shared" si="5"/>
        <v>-610.49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SUMIFS(Tab_09.Set[SALDO
ATUAL],Tab_09.Set[CONTA],$I110)</f>
        <v>-22447.71</v>
      </c>
      <c r="G110" s="4">
        <f t="shared" si="4"/>
        <v>0</v>
      </c>
      <c r="H110" s="1"/>
      <c r="I110" s="3" t="s">
        <v>225</v>
      </c>
      <c r="J110" s="3" t="s">
        <v>665</v>
      </c>
      <c r="K110" s="4">
        <v>-22447.71</v>
      </c>
      <c r="L110" s="4">
        <v>1347.68</v>
      </c>
      <c r="M110" s="4">
        <v>1958.17</v>
      </c>
      <c r="N110" s="4">
        <v>-23058.2</v>
      </c>
      <c r="O110" s="4">
        <f t="shared" si="5"/>
        <v>-610.49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A</v>
      </c>
      <c r="E111" s="2">
        <f>IF($I111="","",COUNTIFS(Tab_00.Trial[CONTA],$I111))</f>
        <v>1</v>
      </c>
      <c r="F111" s="4">
        <f>SUMIFS(Tab_09.Set[SALDO
ATUAL],Tab_09.Set[CONTA],$I111)</f>
        <v>-22447.71</v>
      </c>
      <c r="G111" s="4">
        <f t="shared" si="4"/>
        <v>0</v>
      </c>
      <c r="H111" s="1"/>
      <c r="I111" s="3" t="s">
        <v>356</v>
      </c>
      <c r="J111" s="3" t="s">
        <v>357</v>
      </c>
      <c r="K111" s="4">
        <v>-22447.71</v>
      </c>
      <c r="L111" s="4">
        <v>1347.68</v>
      </c>
      <c r="M111" s="4">
        <v>1958.17</v>
      </c>
      <c r="N111" s="4">
        <v>-23058.2</v>
      </c>
      <c r="O111" s="4">
        <f t="shared" si="5"/>
        <v>-610.49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SUMIFS(Tab_09.Set[SALDO
ATUAL],Tab_09.Set[CONTA],$I112)</f>
        <v>-3849.2</v>
      </c>
      <c r="G112" s="4">
        <f t="shared" si="4"/>
        <v>0</v>
      </c>
      <c r="H112" s="1"/>
      <c r="I112" s="3" t="s">
        <v>564</v>
      </c>
      <c r="J112" s="3" t="s">
        <v>666</v>
      </c>
      <c r="K112" s="4">
        <v>-3849.2</v>
      </c>
      <c r="L112" s="4">
        <v>0</v>
      </c>
      <c r="M112" s="4">
        <v>0</v>
      </c>
      <c r="N112" s="4">
        <v>-3849.2</v>
      </c>
      <c r="O112" s="4">
        <f t="shared" si="5"/>
        <v>0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SUMIFS(Tab_09.Set[SALDO
ATUAL],Tab_09.Set[CONTA],$I113)</f>
        <v>-3849.2</v>
      </c>
      <c r="G113" s="4">
        <f t="shared" si="4"/>
        <v>0</v>
      </c>
      <c r="H113" s="1"/>
      <c r="I113" s="3" t="s">
        <v>565</v>
      </c>
      <c r="J113" s="3" t="s">
        <v>667</v>
      </c>
      <c r="K113" s="4">
        <v>-3849.2</v>
      </c>
      <c r="L113" s="4">
        <v>0</v>
      </c>
      <c r="M113" s="4">
        <v>0</v>
      </c>
      <c r="N113" s="4">
        <v>-3849.2</v>
      </c>
      <c r="O113" s="4">
        <f t="shared" si="5"/>
        <v>0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A</v>
      </c>
      <c r="E114" s="2">
        <f>IF($I114="","",COUNTIFS(Tab_00.Trial[CONTA],$I114))</f>
        <v>1</v>
      </c>
      <c r="F114" s="4">
        <f>SUMIFS(Tab_09.Set[SALDO
ATUAL],Tab_09.Set[CONTA],$I114)</f>
        <v>-3849.2</v>
      </c>
      <c r="G114" s="4">
        <f t="shared" si="4"/>
        <v>0</v>
      </c>
      <c r="H114" s="1"/>
      <c r="I114" s="3" t="s">
        <v>358</v>
      </c>
      <c r="J114" s="3" t="s">
        <v>359</v>
      </c>
      <c r="K114" s="4">
        <v>-3849.2</v>
      </c>
      <c r="L114" s="4">
        <v>0</v>
      </c>
      <c r="M114" s="4">
        <v>0</v>
      </c>
      <c r="N114" s="4">
        <v>-3849.2</v>
      </c>
      <c r="O114" s="4">
        <f t="shared" si="5"/>
        <v>0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2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SUMIFS(Tab_09.Set[SALDO
ATUAL],Tab_09.Set[CONTA],$I115)</f>
        <v>-46934.04</v>
      </c>
      <c r="G115" s="4">
        <f t="shared" si="4"/>
        <v>0</v>
      </c>
      <c r="H115" s="1"/>
      <c r="I115" s="3" t="s">
        <v>226</v>
      </c>
      <c r="J115" s="3" t="s">
        <v>76</v>
      </c>
      <c r="K115" s="4">
        <v>-46934.04</v>
      </c>
      <c r="L115" s="4">
        <v>0</v>
      </c>
      <c r="M115" s="4">
        <v>0</v>
      </c>
      <c r="N115" s="4">
        <v>-46934.04</v>
      </c>
      <c r="O115" s="4">
        <f t="shared" si="5"/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SUMIFS(Tab_09.Set[SALDO
ATUAL],Tab_09.Set[CONTA],$I116)</f>
        <v>-46934.04</v>
      </c>
      <c r="G116" s="4">
        <f t="shared" si="4"/>
        <v>0</v>
      </c>
      <c r="H116" s="1"/>
      <c r="I116" s="3" t="s">
        <v>566</v>
      </c>
      <c r="J116" s="3" t="s">
        <v>668</v>
      </c>
      <c r="K116" s="4">
        <v>-46934.04</v>
      </c>
      <c r="L116" s="4">
        <v>0</v>
      </c>
      <c r="M116" s="4">
        <v>0</v>
      </c>
      <c r="N116" s="4">
        <v>-46934.04</v>
      </c>
      <c r="O116" s="4">
        <f t="shared" si="5"/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SUMIFS(Tab_09.Set[SALDO
ATUAL],Tab_09.Set[CONTA],$I117)</f>
        <v>-46934.04</v>
      </c>
      <c r="G117" s="4">
        <f t="shared" si="4"/>
        <v>0</v>
      </c>
      <c r="H117" s="1"/>
      <c r="I117" s="3" t="s">
        <v>567</v>
      </c>
      <c r="J117" s="3" t="s">
        <v>669</v>
      </c>
      <c r="K117" s="4">
        <v>-46934.04</v>
      </c>
      <c r="L117" s="4">
        <v>0</v>
      </c>
      <c r="M117" s="4">
        <v>0</v>
      </c>
      <c r="N117" s="4">
        <v>-46934.04</v>
      </c>
      <c r="O117" s="4">
        <f t="shared" si="5"/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A</v>
      </c>
      <c r="E118" s="2">
        <f>IF($I118="","",COUNTIFS(Tab_00.Trial[CONTA],$I118))</f>
        <v>1</v>
      </c>
      <c r="F118" s="4">
        <f>SUMIFS(Tab_09.Set[SALDO
ATUAL],Tab_09.Set[CONTA],$I118)</f>
        <v>-31934.04</v>
      </c>
      <c r="G118" s="4">
        <f t="shared" si="4"/>
        <v>0</v>
      </c>
      <c r="H118" s="1"/>
      <c r="I118" s="3" t="s">
        <v>360</v>
      </c>
      <c r="J118" s="3" t="s">
        <v>361</v>
      </c>
      <c r="K118" s="4">
        <v>-31934.04</v>
      </c>
      <c r="L118" s="4">
        <v>0</v>
      </c>
      <c r="M118" s="4">
        <v>0</v>
      </c>
      <c r="N118" s="4">
        <v>-31934.04</v>
      </c>
      <c r="O118" s="4">
        <f t="shared" si="5"/>
        <v>0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A</v>
      </c>
      <c r="E119" s="2">
        <f>IF($I119="","",COUNTIFS(Tab_00.Trial[CONTA],$I119))</f>
        <v>1</v>
      </c>
      <c r="F119" s="4">
        <f>SUMIFS(Tab_09.Set[SALDO
ATUAL],Tab_09.Set[CONTA],$I119)</f>
        <v>-15000</v>
      </c>
      <c r="G119" s="4">
        <f t="shared" si="4"/>
        <v>0</v>
      </c>
      <c r="H119" s="1"/>
      <c r="I119" s="3" t="s">
        <v>362</v>
      </c>
      <c r="J119" s="3" t="s">
        <v>363</v>
      </c>
      <c r="K119" s="4">
        <v>-15000</v>
      </c>
      <c r="L119" s="4">
        <v>0</v>
      </c>
      <c r="M119" s="4">
        <v>0</v>
      </c>
      <c r="N119" s="4">
        <v>-15000</v>
      </c>
      <c r="O119" s="4">
        <f t="shared" si="5"/>
        <v>0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2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SUMIFS(Tab_09.Set[SALDO
ATUAL],Tab_09.Set[CONTA],$I120)</f>
        <v>-81855530.489999995</v>
      </c>
      <c r="G120" s="4">
        <f t="shared" si="4"/>
        <v>0</v>
      </c>
      <c r="H120" s="1"/>
      <c r="I120" s="3" t="s">
        <v>228</v>
      </c>
      <c r="J120" s="3" t="s">
        <v>670</v>
      </c>
      <c r="K120" s="4">
        <v>-81855530.489999995</v>
      </c>
      <c r="L120" s="4">
        <v>0</v>
      </c>
      <c r="M120" s="4">
        <v>0</v>
      </c>
      <c r="N120" s="4">
        <v>-81855530.489999995</v>
      </c>
      <c r="O120" s="4">
        <f t="shared" si="5"/>
        <v>0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S</v>
      </c>
      <c r="E121" s="2">
        <f>IF($I121="","",COUNTIFS(Tab_00.Trial[CONTA],$I121))</f>
        <v>1</v>
      </c>
      <c r="F121" s="4">
        <f>SUMIFS(Tab_09.Set[SALDO
ATUAL],Tab_09.Set[CONTA],$I121)</f>
        <v>-81855530.489999995</v>
      </c>
      <c r="G121" s="4">
        <f t="shared" si="4"/>
        <v>0</v>
      </c>
      <c r="H121" s="1"/>
      <c r="I121" s="3" t="s">
        <v>229</v>
      </c>
      <c r="J121" s="3" t="s">
        <v>670</v>
      </c>
      <c r="K121" s="4">
        <v>-81855530.489999995</v>
      </c>
      <c r="L121" s="4">
        <v>0</v>
      </c>
      <c r="M121" s="4">
        <v>0</v>
      </c>
      <c r="N121" s="4">
        <v>-81855530.489999995</v>
      </c>
      <c r="O121" s="4">
        <f t="shared" si="5"/>
        <v>0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SUMIFS(Tab_09.Set[SALDO
ATUAL],Tab_09.Set[CONTA],$I122)</f>
        <v>-104784619.59999999</v>
      </c>
      <c r="G122" s="4">
        <f t="shared" si="4"/>
        <v>0</v>
      </c>
      <c r="H122" s="1"/>
      <c r="I122" s="3" t="s">
        <v>230</v>
      </c>
      <c r="J122" s="3" t="s">
        <v>364</v>
      </c>
      <c r="K122" s="4">
        <v>-104784619.59999999</v>
      </c>
      <c r="L122" s="4">
        <v>0</v>
      </c>
      <c r="M122" s="4">
        <v>0</v>
      </c>
      <c r="N122" s="4">
        <v>-104784619.59999999</v>
      </c>
      <c r="O122" s="4">
        <f t="shared" si="5"/>
        <v>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A</v>
      </c>
      <c r="E123" s="2">
        <f>IF($I123="","",COUNTIFS(Tab_00.Trial[CONTA],$I123))</f>
        <v>1</v>
      </c>
      <c r="F123" s="4">
        <f>SUMIFS(Tab_09.Set[SALDO
ATUAL],Tab_09.Set[CONTA],$I123)</f>
        <v>-104784619.59999999</v>
      </c>
      <c r="G123" s="4">
        <f t="shared" si="4"/>
        <v>0</v>
      </c>
      <c r="H123" s="1"/>
      <c r="I123" s="3" t="s">
        <v>193</v>
      </c>
      <c r="J123" s="3" t="s">
        <v>364</v>
      </c>
      <c r="K123" s="4">
        <v>-104784619.59999999</v>
      </c>
      <c r="L123" s="4">
        <v>0</v>
      </c>
      <c r="M123" s="4">
        <v>0</v>
      </c>
      <c r="N123" s="4">
        <v>-104784619.59999999</v>
      </c>
      <c r="O123" s="4">
        <f t="shared" si="5"/>
        <v>0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SUMIFS(Tab_09.Set[SALDO
ATUAL],Tab_09.Set[CONTA],$I124)</f>
        <v>32587250.850000001</v>
      </c>
      <c r="G124" s="4">
        <f t="shared" si="4"/>
        <v>0</v>
      </c>
      <c r="H124" s="1"/>
      <c r="I124" s="3" t="s">
        <v>568</v>
      </c>
      <c r="J124" s="3" t="s">
        <v>671</v>
      </c>
      <c r="K124" s="4">
        <v>32587250.850000001</v>
      </c>
      <c r="L124" s="4">
        <v>0</v>
      </c>
      <c r="M124" s="4">
        <v>0</v>
      </c>
      <c r="N124" s="4">
        <v>32587250.850000001</v>
      </c>
      <c r="O124" s="4">
        <f t="shared" si="5"/>
        <v>0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SUMIFS(Tab_09.Set[SALDO
ATUAL],Tab_09.Set[CONTA],$I125)</f>
        <v>-827719.82</v>
      </c>
      <c r="G125" s="4">
        <f t="shared" si="4"/>
        <v>0</v>
      </c>
      <c r="H125" s="1"/>
      <c r="I125" s="3" t="s">
        <v>743</v>
      </c>
      <c r="J125" s="3" t="s">
        <v>744</v>
      </c>
      <c r="K125" s="4">
        <v>-827719.82</v>
      </c>
      <c r="L125" s="4">
        <v>0</v>
      </c>
      <c r="M125" s="4">
        <v>0</v>
      </c>
      <c r="N125" s="4">
        <v>-827719.82</v>
      </c>
      <c r="O125" s="4">
        <f t="shared" si="5"/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SUMIFS(Tab_09.Set[SALDO
ATUAL],Tab_09.Set[CONTA],$I126)</f>
        <v>33414970.670000002</v>
      </c>
      <c r="G126" s="4">
        <f t="shared" si="4"/>
        <v>0</v>
      </c>
      <c r="H126" s="1"/>
      <c r="I126" s="3" t="s">
        <v>365</v>
      </c>
      <c r="J126" s="3" t="s">
        <v>366</v>
      </c>
      <c r="K126" s="4">
        <v>33414970.670000002</v>
      </c>
      <c r="L126" s="4">
        <v>0</v>
      </c>
      <c r="M126" s="4">
        <v>0</v>
      </c>
      <c r="N126" s="4">
        <v>33414970.670000002</v>
      </c>
      <c r="O126" s="4">
        <f t="shared" si="5"/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SUMIFS(Tab_09.Set[SALDO
ATUAL],Tab_09.Set[CONTA],$I127)</f>
        <v>-9658161.7400000002</v>
      </c>
      <c r="G127" s="4">
        <f t="shared" si="4"/>
        <v>0</v>
      </c>
      <c r="H127" s="1"/>
      <c r="I127" s="3" t="s">
        <v>745</v>
      </c>
      <c r="J127" s="3" t="s">
        <v>746</v>
      </c>
      <c r="K127" s="4">
        <v>-9658161.7400000002</v>
      </c>
      <c r="L127" s="4">
        <v>0</v>
      </c>
      <c r="M127" s="4">
        <v>0</v>
      </c>
      <c r="N127" s="4">
        <v>-9658161.7400000002</v>
      </c>
      <c r="O127" s="4">
        <f t="shared" si="5"/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SUMIFS(Tab_09.Set[SALDO
ATUAL],Tab_09.Set[CONTA],$I128)</f>
        <v>-9658161.7400000002</v>
      </c>
      <c r="G128" s="4">
        <f t="shared" si="4"/>
        <v>0</v>
      </c>
      <c r="H128" s="1"/>
      <c r="I128" s="3" t="s">
        <v>747</v>
      </c>
      <c r="J128" s="3" t="s">
        <v>746</v>
      </c>
      <c r="K128" s="4">
        <v>-9658161.7400000002</v>
      </c>
      <c r="L128" s="4">
        <v>0</v>
      </c>
      <c r="M128" s="4">
        <v>0</v>
      </c>
      <c r="N128" s="4">
        <v>-9658161.7400000002</v>
      </c>
      <c r="O128" s="4">
        <f t="shared" si="5"/>
        <v>0</v>
      </c>
    </row>
    <row r="129" spans="2:15" x14ac:dyDescent="0.3">
      <c r="B129" s="2" t="str">
        <f>_xlfn.XLOOKUP($I129,Tab_00.Trial[CONTA],Tab_00.Trial[TP],"",0,1)</f>
        <v>R</v>
      </c>
      <c r="C129" s="2">
        <f>_xlfn.XLOOKUP($I129,Tab_00.Trial[CONTA],Tab_00.Trial[NV],"",0,1)</f>
        <v>1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SUMIFS(Tab_09.Set[SALDO
ATUAL],Tab_09.Set[CONTA],$I129)</f>
        <v>-11464512.699999999</v>
      </c>
      <c r="G129" s="4">
        <f t="shared" si="4"/>
        <v>0</v>
      </c>
      <c r="H129" s="1"/>
      <c r="I129" s="3">
        <v>3</v>
      </c>
      <c r="J129" s="3" t="s">
        <v>672</v>
      </c>
      <c r="K129" s="4">
        <v>-11464512.699999999</v>
      </c>
      <c r="L129" s="4">
        <v>12.1</v>
      </c>
      <c r="M129" s="4">
        <v>1438451.73</v>
      </c>
      <c r="N129" s="4">
        <v>-12902952.33</v>
      </c>
      <c r="O129" s="4">
        <f t="shared" si="5"/>
        <v>-1438439.63</v>
      </c>
    </row>
    <row r="130" spans="2:15" x14ac:dyDescent="0.3">
      <c r="B130" s="2" t="str">
        <f>_xlfn.XLOOKUP($I130,Tab_00.Trial[CONTA],Tab_00.Trial[TP],"",0,1)</f>
        <v>R</v>
      </c>
      <c r="C130" s="2">
        <f>_xlfn.XLOOKUP($I130,Tab_00.Trial[CONTA],Tab_00.Trial[NV],"",0,1)</f>
        <v>2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SUMIFS(Tab_09.Set[SALDO
ATUAL],Tab_09.Set[CONTA],$I130)</f>
        <v>-5284038.0999999996</v>
      </c>
      <c r="G130" s="4">
        <f t="shared" si="4"/>
        <v>0</v>
      </c>
      <c r="H130" s="1"/>
      <c r="I130" s="3" t="s">
        <v>231</v>
      </c>
      <c r="J130" s="3" t="s">
        <v>673</v>
      </c>
      <c r="K130" s="4">
        <v>-5284038.0999999996</v>
      </c>
      <c r="L130" s="4">
        <v>0</v>
      </c>
      <c r="M130" s="4">
        <v>757122.69</v>
      </c>
      <c r="N130" s="4">
        <v>-6041160.79</v>
      </c>
      <c r="O130" s="4">
        <f t="shared" si="5"/>
        <v>-757122.69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5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SUMIFS(Tab_09.Set[SALDO
ATUAL],Tab_09.Set[CONTA],$I131)</f>
        <v>-3310249.6</v>
      </c>
      <c r="G131" s="4">
        <f t="shared" si="4"/>
        <v>0</v>
      </c>
      <c r="H131" s="1"/>
      <c r="I131" s="3" t="s">
        <v>232</v>
      </c>
      <c r="J131" s="3" t="s">
        <v>674</v>
      </c>
      <c r="K131" s="4">
        <v>-3310249.6</v>
      </c>
      <c r="L131" s="4">
        <v>0</v>
      </c>
      <c r="M131" s="4">
        <v>578693.68000000005</v>
      </c>
      <c r="N131" s="4">
        <v>-3888943.28</v>
      </c>
      <c r="O131" s="4">
        <f t="shared" si="5"/>
        <v>-578693.68000000005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5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SUMIFS(Tab_09.Set[SALDO
ATUAL],Tab_09.Set[CONTA],$I132)</f>
        <v>-1184785.28</v>
      </c>
      <c r="G132" s="4">
        <f t="shared" si="4"/>
        <v>0</v>
      </c>
      <c r="H132" s="1"/>
      <c r="I132" s="3" t="s">
        <v>233</v>
      </c>
      <c r="J132" s="3" t="s">
        <v>675</v>
      </c>
      <c r="K132" s="4">
        <v>-1184785.28</v>
      </c>
      <c r="L132" s="4">
        <v>0</v>
      </c>
      <c r="M132" s="4">
        <v>148911.84</v>
      </c>
      <c r="N132" s="4">
        <v>-1333697.1200000001</v>
      </c>
      <c r="O132" s="4">
        <f t="shared" si="5"/>
        <v>-148911.84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A</v>
      </c>
      <c r="E133" s="2">
        <f>IF($I133="","",COUNTIFS(Tab_00.Trial[CONTA],$I133))</f>
        <v>1</v>
      </c>
      <c r="F133" s="4">
        <f>SUMIFS(Tab_09.Set[SALDO
ATUAL],Tab_09.Set[CONTA],$I133)</f>
        <v>-1184785.28</v>
      </c>
      <c r="G133" s="4">
        <f t="shared" si="4"/>
        <v>0</v>
      </c>
      <c r="H133" s="1"/>
      <c r="I133" s="3" t="s">
        <v>194</v>
      </c>
      <c r="J133" s="3" t="s">
        <v>367</v>
      </c>
      <c r="K133" s="4">
        <v>-1184785.28</v>
      </c>
      <c r="L133" s="4">
        <v>0</v>
      </c>
      <c r="M133" s="4">
        <v>148911.84</v>
      </c>
      <c r="N133" s="4">
        <v>-1333697.1200000001</v>
      </c>
      <c r="O133" s="4">
        <f t="shared" si="5"/>
        <v>-148911.84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SUMIFS(Tab_09.Set[SALDO
ATUAL],Tab_09.Set[CONTA],$I134)</f>
        <v>-2125464.3199999998</v>
      </c>
      <c r="G134" s="4">
        <f t="shared" si="4"/>
        <v>0</v>
      </c>
      <c r="H134" s="1"/>
      <c r="I134" s="3" t="s">
        <v>735</v>
      </c>
      <c r="J134" s="3" t="s">
        <v>736</v>
      </c>
      <c r="K134" s="4">
        <v>-2125464.3199999998</v>
      </c>
      <c r="L134" s="4">
        <v>0</v>
      </c>
      <c r="M134" s="4">
        <v>429781.84</v>
      </c>
      <c r="N134" s="4">
        <v>-2555246.16</v>
      </c>
      <c r="O134" s="4">
        <f t="shared" si="5"/>
        <v>-429781.84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SUMIFS(Tab_09.Set[SALDO
ATUAL],Tab_09.Set[CONTA],$I135)</f>
        <v>-2125464.3199999998</v>
      </c>
      <c r="G135" s="4">
        <f t="shared" si="4"/>
        <v>0</v>
      </c>
      <c r="H135" s="1"/>
      <c r="I135" s="3" t="s">
        <v>737</v>
      </c>
      <c r="J135" s="3" t="s">
        <v>820</v>
      </c>
      <c r="K135" s="4">
        <v>-2125464.3199999998</v>
      </c>
      <c r="L135" s="4">
        <v>0</v>
      </c>
      <c r="M135" s="4">
        <v>429781.84</v>
      </c>
      <c r="N135" s="4">
        <v>-2555246.16</v>
      </c>
      <c r="O135" s="4">
        <f t="shared" si="5"/>
        <v>-429781.84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SUMIFS(Tab_09.Set[SALDO
ATUAL],Tab_09.Set[CONTA],$I136)</f>
        <v>-1973788.5</v>
      </c>
      <c r="G136" s="4">
        <f t="shared" si="4"/>
        <v>0</v>
      </c>
      <c r="H136" s="1"/>
      <c r="I136" s="3" t="s">
        <v>569</v>
      </c>
      <c r="J136" s="3" t="s">
        <v>676</v>
      </c>
      <c r="K136" s="4">
        <v>-1973788.5</v>
      </c>
      <c r="L136" s="4">
        <v>0</v>
      </c>
      <c r="M136" s="4">
        <v>178429.01</v>
      </c>
      <c r="N136" s="4">
        <v>-2152217.5099999998</v>
      </c>
      <c r="O136" s="4">
        <f t="shared" si="5"/>
        <v>-178429.01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SUMIFS(Tab_09.Set[SALDO
ATUAL],Tab_09.Set[CONTA],$I137)</f>
        <v>-1227093.77</v>
      </c>
      <c r="G137" s="4">
        <f t="shared" si="4"/>
        <v>0</v>
      </c>
      <c r="H137" s="1"/>
      <c r="I137" s="3" t="s">
        <v>570</v>
      </c>
      <c r="J137" s="3" t="s">
        <v>677</v>
      </c>
      <c r="K137" s="4">
        <v>-1227093.77</v>
      </c>
      <c r="L137" s="4">
        <v>0</v>
      </c>
      <c r="M137" s="4">
        <v>95462.93</v>
      </c>
      <c r="N137" s="4">
        <v>-1322556.7</v>
      </c>
      <c r="O137" s="4">
        <f t="shared" si="5"/>
        <v>-95462.93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SUMIFS(Tab_09.Set[SALDO
ATUAL],Tab_09.Set[CONTA],$I138)</f>
        <v>-496498.45</v>
      </c>
      <c r="G138" s="4">
        <f t="shared" si="4"/>
        <v>0</v>
      </c>
      <c r="H138" s="1"/>
      <c r="I138" s="3" t="s">
        <v>368</v>
      </c>
      <c r="J138" s="3" t="s">
        <v>369</v>
      </c>
      <c r="K138" s="4">
        <v>-496498.45</v>
      </c>
      <c r="L138" s="4">
        <v>0</v>
      </c>
      <c r="M138" s="4">
        <v>4000</v>
      </c>
      <c r="N138" s="4">
        <v>-500498.45</v>
      </c>
      <c r="O138" s="4">
        <f t="shared" si="5"/>
        <v>-4000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A</v>
      </c>
      <c r="E139" s="2">
        <f>IF($I139="","",COUNTIFS(Tab_00.Trial[CONTA],$I139))</f>
        <v>1</v>
      </c>
      <c r="F139" s="4">
        <f>SUMIFS(Tab_09.Set[SALDO
ATUAL],Tab_09.Set[CONTA],$I139)</f>
        <v>-634430.9</v>
      </c>
      <c r="G139" s="4">
        <f t="shared" si="4"/>
        <v>0</v>
      </c>
      <c r="H139" s="1"/>
      <c r="I139" s="3" t="s">
        <v>370</v>
      </c>
      <c r="J139" s="3" t="s">
        <v>371</v>
      </c>
      <c r="K139" s="4">
        <v>-634430.9</v>
      </c>
      <c r="L139" s="4">
        <v>0</v>
      </c>
      <c r="M139" s="4">
        <v>91462.93</v>
      </c>
      <c r="N139" s="4">
        <v>-725893.83</v>
      </c>
      <c r="O139" s="4">
        <f t="shared" si="5"/>
        <v>-91462.93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SUMIFS(Tab_09.Set[SALDO
ATUAL],Tab_09.Set[CONTA],$I140)</f>
        <v>-6547.36</v>
      </c>
      <c r="G140" s="4">
        <f t="shared" si="4"/>
        <v>0</v>
      </c>
      <c r="H140" s="1"/>
      <c r="I140" s="3" t="s">
        <v>372</v>
      </c>
      <c r="J140" s="3" t="s">
        <v>373</v>
      </c>
      <c r="K140" s="4">
        <v>-6547.36</v>
      </c>
      <c r="L140" s="4">
        <v>0</v>
      </c>
      <c r="M140" s="4">
        <v>0</v>
      </c>
      <c r="N140" s="4">
        <v>-6547.36</v>
      </c>
      <c r="O140" s="4">
        <f t="shared" si="5"/>
        <v>0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SUMIFS(Tab_09.Set[SALDO
ATUAL],Tab_09.Set[CONTA],$I141)</f>
        <v>-89617.06</v>
      </c>
      <c r="G141" s="4">
        <f t="shared" si="4"/>
        <v>0</v>
      </c>
      <c r="H141" s="1"/>
      <c r="I141" s="3" t="s">
        <v>851</v>
      </c>
      <c r="J141" s="3" t="s">
        <v>852</v>
      </c>
      <c r="K141" s="4">
        <v>-89617.06</v>
      </c>
      <c r="L141" s="4">
        <v>0</v>
      </c>
      <c r="M141" s="4">
        <v>0</v>
      </c>
      <c r="N141" s="4">
        <v>-89617.06</v>
      </c>
      <c r="O141" s="4">
        <f t="shared" si="5"/>
        <v>0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S</v>
      </c>
      <c r="E142" s="2">
        <f>IF($I142="","",COUNTIFS(Tab_00.Trial[CONTA],$I142))</f>
        <v>1</v>
      </c>
      <c r="F142" s="4">
        <f>SUMIFS(Tab_09.Set[SALDO
ATUAL],Tab_09.Set[CONTA],$I142)</f>
        <v>-746694.73</v>
      </c>
      <c r="G142" s="4">
        <f t="shared" si="4"/>
        <v>0</v>
      </c>
      <c r="H142" s="1"/>
      <c r="I142" s="3" t="s">
        <v>571</v>
      </c>
      <c r="J142" s="3" t="s">
        <v>377</v>
      </c>
      <c r="K142" s="4">
        <v>-746694.73</v>
      </c>
      <c r="L142" s="4">
        <v>0</v>
      </c>
      <c r="M142" s="4">
        <v>82966.080000000002</v>
      </c>
      <c r="N142" s="4">
        <v>-829660.81</v>
      </c>
      <c r="O142" s="4">
        <f t="shared" si="5"/>
        <v>-82966.080000000002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SUMIFS(Tab_09.Set[SALDO
ATUAL],Tab_09.Set[CONTA],$I143)</f>
        <v>-746694.73</v>
      </c>
      <c r="G143" s="4">
        <f t="shared" ref="G143:G206" si="6">$F143-$K143</f>
        <v>0</v>
      </c>
      <c r="H143" s="1"/>
      <c r="I143" s="3" t="s">
        <v>376</v>
      </c>
      <c r="J143" s="3" t="s">
        <v>377</v>
      </c>
      <c r="K143" s="4">
        <v>-746694.73</v>
      </c>
      <c r="L143" s="4">
        <v>0</v>
      </c>
      <c r="M143" s="4">
        <v>82966.080000000002</v>
      </c>
      <c r="N143" s="4">
        <v>-829660.81</v>
      </c>
      <c r="O143" s="4">
        <f t="shared" ref="O143:O206" si="7">$L143-$M143</f>
        <v>-82966.080000000002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2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SUMIFS(Tab_09.Set[SALDO
ATUAL],Tab_09.Set[CONTA],$I144)</f>
        <v>-3971723.38</v>
      </c>
      <c r="G144" s="4">
        <f t="shared" si="6"/>
        <v>0</v>
      </c>
      <c r="H144" s="1"/>
      <c r="I144" s="3" t="s">
        <v>574</v>
      </c>
      <c r="J144" s="3" t="s">
        <v>680</v>
      </c>
      <c r="K144" s="4">
        <v>-3971723.38</v>
      </c>
      <c r="L144" s="4">
        <v>12.1</v>
      </c>
      <c r="M144" s="4">
        <v>467702.28</v>
      </c>
      <c r="N144" s="4">
        <v>-4439413.5599999996</v>
      </c>
      <c r="O144" s="4">
        <f t="shared" si="7"/>
        <v>-467690.18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SUMIFS(Tab_09.Set[SALDO
ATUAL],Tab_09.Set[CONTA],$I145)</f>
        <v>-5050</v>
      </c>
      <c r="G145" s="4">
        <f t="shared" si="6"/>
        <v>0</v>
      </c>
      <c r="H145" s="1"/>
      <c r="I145" s="3" t="s">
        <v>575</v>
      </c>
      <c r="J145" s="3" t="s">
        <v>681</v>
      </c>
      <c r="K145" s="4">
        <v>-5050</v>
      </c>
      <c r="L145" s="4">
        <v>0</v>
      </c>
      <c r="M145" s="4">
        <v>2263.46</v>
      </c>
      <c r="N145" s="4">
        <v>-7313.46</v>
      </c>
      <c r="O145" s="4">
        <f t="shared" si="7"/>
        <v>-2263.46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SUMIFS(Tab_09.Set[SALDO
ATUAL],Tab_09.Set[CONTA],$I146)</f>
        <v>-5050</v>
      </c>
      <c r="G146" s="4">
        <f t="shared" si="6"/>
        <v>0</v>
      </c>
      <c r="H146" s="1"/>
      <c r="I146" s="3" t="s">
        <v>576</v>
      </c>
      <c r="J146" s="3" t="s">
        <v>821</v>
      </c>
      <c r="K146" s="4">
        <v>-5050</v>
      </c>
      <c r="L146" s="4">
        <v>0</v>
      </c>
      <c r="M146" s="4">
        <v>2263.46</v>
      </c>
      <c r="N146" s="4">
        <v>-7313.46</v>
      </c>
      <c r="O146" s="4">
        <f t="shared" si="7"/>
        <v>-2263.46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A</v>
      </c>
      <c r="E147" s="2">
        <f>IF($I147="","",COUNTIFS(Tab_00.Trial[CONTA],$I147))</f>
        <v>1</v>
      </c>
      <c r="F147" s="4">
        <f>SUMIFS(Tab_09.Set[SALDO
ATUAL],Tab_09.Set[CONTA],$I147)</f>
        <v>-5050</v>
      </c>
      <c r="G147" s="4">
        <f t="shared" si="6"/>
        <v>0</v>
      </c>
      <c r="H147" s="1"/>
      <c r="I147" s="3" t="s">
        <v>382</v>
      </c>
      <c r="J147" s="3" t="s">
        <v>292</v>
      </c>
      <c r="K147" s="4">
        <v>-5050</v>
      </c>
      <c r="L147" s="4">
        <v>0</v>
      </c>
      <c r="M147" s="4">
        <v>2263.46</v>
      </c>
      <c r="N147" s="4">
        <v>-7313.46</v>
      </c>
      <c r="O147" s="4">
        <f t="shared" si="7"/>
        <v>-2263.46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SUMIFS(Tab_09.Set[SALDO
ATUAL],Tab_09.Set[CONTA],$I148)</f>
        <v>12127.06</v>
      </c>
      <c r="G148" s="4">
        <f t="shared" si="6"/>
        <v>0</v>
      </c>
      <c r="H148" s="1"/>
      <c r="I148" s="3" t="s">
        <v>577</v>
      </c>
      <c r="J148" s="3" t="s">
        <v>683</v>
      </c>
      <c r="K148" s="4">
        <v>12127.06</v>
      </c>
      <c r="L148" s="4">
        <v>12.1</v>
      </c>
      <c r="M148" s="4">
        <v>0</v>
      </c>
      <c r="N148" s="4">
        <v>12139.16</v>
      </c>
      <c r="O148" s="4">
        <f t="shared" si="7"/>
        <v>12.1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SUMIFS(Tab_09.Set[SALDO
ATUAL],Tab_09.Set[CONTA],$I149)</f>
        <v>12127.06</v>
      </c>
      <c r="G149" s="4">
        <f t="shared" si="6"/>
        <v>0</v>
      </c>
      <c r="H149" s="1"/>
      <c r="I149" s="3" t="s">
        <v>853</v>
      </c>
      <c r="J149" s="3" t="s">
        <v>854</v>
      </c>
      <c r="K149" s="4">
        <v>12127.06</v>
      </c>
      <c r="L149" s="4">
        <v>12.1</v>
      </c>
      <c r="M149" s="4">
        <v>0</v>
      </c>
      <c r="N149" s="4">
        <v>12139.16</v>
      </c>
      <c r="O149" s="4">
        <f t="shared" si="7"/>
        <v>12.1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SUMIFS(Tab_09.Set[SALDO
ATUAL],Tab_09.Set[CONTA],$I150)</f>
        <v>12127.06</v>
      </c>
      <c r="G150" s="4">
        <f t="shared" si="6"/>
        <v>0</v>
      </c>
      <c r="H150" s="1"/>
      <c r="I150" s="3" t="s">
        <v>855</v>
      </c>
      <c r="J150" s="3" t="s">
        <v>856</v>
      </c>
      <c r="K150" s="4">
        <v>12127.06</v>
      </c>
      <c r="L150" s="4">
        <v>12.1</v>
      </c>
      <c r="M150" s="4">
        <v>0</v>
      </c>
      <c r="N150" s="4">
        <v>12139.16</v>
      </c>
      <c r="O150" s="4">
        <f t="shared" si="7"/>
        <v>12.1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SUMIFS(Tab_09.Set[SALDO
ATUAL],Tab_09.Set[CONTA],$I151)</f>
        <v>-3978800.44</v>
      </c>
      <c r="G151" s="4">
        <f t="shared" si="6"/>
        <v>0</v>
      </c>
      <c r="H151" s="1"/>
      <c r="I151" s="3" t="s">
        <v>580</v>
      </c>
      <c r="J151" s="3" t="s">
        <v>822</v>
      </c>
      <c r="K151" s="4">
        <v>-3978800.44</v>
      </c>
      <c r="L151" s="4">
        <v>0</v>
      </c>
      <c r="M151" s="4">
        <v>465438.82</v>
      </c>
      <c r="N151" s="4">
        <v>-4444239.26</v>
      </c>
      <c r="O151" s="4">
        <f t="shared" si="7"/>
        <v>-465438.82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SUMIFS(Tab_09.Set[SALDO
ATUAL],Tab_09.Set[CONTA],$I152)</f>
        <v>-3978800.44</v>
      </c>
      <c r="G152" s="4">
        <f t="shared" si="6"/>
        <v>0</v>
      </c>
      <c r="H152" s="1"/>
      <c r="I152" s="3" t="s">
        <v>581</v>
      </c>
      <c r="J152" s="3" t="s">
        <v>687</v>
      </c>
      <c r="K152" s="4">
        <v>-3978800.44</v>
      </c>
      <c r="L152" s="4">
        <v>0</v>
      </c>
      <c r="M152" s="4">
        <v>465438.82</v>
      </c>
      <c r="N152" s="4">
        <v>-4444239.26</v>
      </c>
      <c r="O152" s="4">
        <f t="shared" si="7"/>
        <v>-465438.82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SUMIFS(Tab_09.Set[SALDO
ATUAL],Tab_09.Set[CONTA],$I153)</f>
        <v>-3906942.42</v>
      </c>
      <c r="G153" s="4">
        <f t="shared" si="6"/>
        <v>0</v>
      </c>
      <c r="H153" s="1"/>
      <c r="I153" s="3" t="s">
        <v>387</v>
      </c>
      <c r="J153" s="3" t="s">
        <v>388</v>
      </c>
      <c r="K153" s="4">
        <v>-3906942.42</v>
      </c>
      <c r="L153" s="4">
        <v>0</v>
      </c>
      <c r="M153" s="4">
        <v>440421.58</v>
      </c>
      <c r="N153" s="4">
        <v>-4347364</v>
      </c>
      <c r="O153" s="4">
        <f t="shared" si="7"/>
        <v>-440421.58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A</v>
      </c>
      <c r="E154" s="2">
        <f>IF($I154="","",COUNTIFS(Tab_00.Trial[CONTA],$I154))</f>
        <v>1</v>
      </c>
      <c r="F154" s="4">
        <f>SUMIFS(Tab_09.Set[SALDO
ATUAL],Tab_09.Set[CONTA],$I154)</f>
        <v>-71858.02</v>
      </c>
      <c r="G154" s="4">
        <f t="shared" si="6"/>
        <v>0</v>
      </c>
      <c r="H154" s="1"/>
      <c r="I154" s="3" t="s">
        <v>389</v>
      </c>
      <c r="J154" s="3" t="s">
        <v>390</v>
      </c>
      <c r="K154" s="4">
        <v>-71858.02</v>
      </c>
      <c r="L154" s="4">
        <v>0</v>
      </c>
      <c r="M154" s="4">
        <v>25017.24</v>
      </c>
      <c r="N154" s="4">
        <v>-96875.26</v>
      </c>
      <c r="O154" s="4">
        <f t="shared" si="7"/>
        <v>-25017.24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2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SUMIFS(Tab_09.Set[SALDO
ATUAL],Tab_09.Set[CONTA],$I155)</f>
        <v>-2201301.2200000002</v>
      </c>
      <c r="G155" s="4">
        <f t="shared" si="6"/>
        <v>0</v>
      </c>
      <c r="H155" s="1"/>
      <c r="I155" s="3" t="s">
        <v>582</v>
      </c>
      <c r="J155" s="3" t="s">
        <v>688</v>
      </c>
      <c r="K155" s="4">
        <v>-2201301.2200000002</v>
      </c>
      <c r="L155" s="4">
        <v>0</v>
      </c>
      <c r="M155" s="4">
        <v>213626.76</v>
      </c>
      <c r="N155" s="4">
        <v>-2414927.98</v>
      </c>
      <c r="O155" s="4">
        <f t="shared" si="7"/>
        <v>-213626.76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S</v>
      </c>
      <c r="E156" s="2">
        <f>IF($I156="","",COUNTIFS(Tab_00.Trial[CONTA],$I156))</f>
        <v>1</v>
      </c>
      <c r="F156" s="4">
        <f>SUMIFS(Tab_09.Set[SALDO
ATUAL],Tab_09.Set[CONTA],$I156)</f>
        <v>-673.54</v>
      </c>
      <c r="G156" s="4">
        <f t="shared" si="6"/>
        <v>0</v>
      </c>
      <c r="H156" s="1"/>
      <c r="I156" s="3" t="s">
        <v>583</v>
      </c>
      <c r="J156" s="3" t="s">
        <v>689</v>
      </c>
      <c r="K156" s="4">
        <v>-673.54</v>
      </c>
      <c r="L156" s="4">
        <v>0</v>
      </c>
      <c r="M156" s="4">
        <v>0</v>
      </c>
      <c r="N156" s="4">
        <v>-673.54</v>
      </c>
      <c r="O156" s="4">
        <f t="shared" si="7"/>
        <v>0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SUMIFS(Tab_09.Set[SALDO
ATUAL],Tab_09.Set[CONTA],$I157)</f>
        <v>-673.54</v>
      </c>
      <c r="G157" s="4">
        <f t="shared" si="6"/>
        <v>0</v>
      </c>
      <c r="H157" s="1"/>
      <c r="I157" s="3" t="s">
        <v>584</v>
      </c>
      <c r="J157" s="3" t="s">
        <v>689</v>
      </c>
      <c r="K157" s="4">
        <v>-673.54</v>
      </c>
      <c r="L157" s="4">
        <v>0</v>
      </c>
      <c r="M157" s="4">
        <v>0</v>
      </c>
      <c r="N157" s="4">
        <v>-673.54</v>
      </c>
      <c r="O157" s="4">
        <f t="shared" si="7"/>
        <v>0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A</v>
      </c>
      <c r="E158" s="2">
        <f>IF($I158="","",COUNTIFS(Tab_00.Trial[CONTA],$I158))</f>
        <v>1</v>
      </c>
      <c r="F158" s="4">
        <f>SUMIFS(Tab_09.Set[SALDO
ATUAL],Tab_09.Set[CONTA],$I158)</f>
        <v>-673.54</v>
      </c>
      <c r="G158" s="4">
        <f t="shared" si="6"/>
        <v>0</v>
      </c>
      <c r="H158" s="1"/>
      <c r="I158" s="3" t="s">
        <v>391</v>
      </c>
      <c r="J158" s="3" t="s">
        <v>392</v>
      </c>
      <c r="K158" s="4">
        <v>-673.54</v>
      </c>
      <c r="L158" s="4">
        <v>0</v>
      </c>
      <c r="M158" s="4">
        <v>0</v>
      </c>
      <c r="N158" s="4">
        <v>-673.54</v>
      </c>
      <c r="O158" s="4">
        <f t="shared" si="7"/>
        <v>0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SUMIFS(Tab_09.Set[SALDO
ATUAL],Tab_09.Set[CONTA],$I159)</f>
        <v>-2200627.6800000002</v>
      </c>
      <c r="G159" s="4">
        <f t="shared" si="6"/>
        <v>0</v>
      </c>
      <c r="H159" s="1"/>
      <c r="I159" s="3" t="s">
        <v>585</v>
      </c>
      <c r="J159" s="3" t="s">
        <v>690</v>
      </c>
      <c r="K159" s="4">
        <v>-2200627.6800000002</v>
      </c>
      <c r="L159" s="4">
        <v>0</v>
      </c>
      <c r="M159" s="4">
        <v>213626.76</v>
      </c>
      <c r="N159" s="4">
        <v>-2414254.44</v>
      </c>
      <c r="O159" s="4">
        <f t="shared" si="7"/>
        <v>-213626.76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SUMIFS(Tab_09.Set[SALDO
ATUAL],Tab_09.Set[CONTA],$I160)</f>
        <v>-2200627.6800000002</v>
      </c>
      <c r="G160" s="4">
        <f t="shared" si="6"/>
        <v>0</v>
      </c>
      <c r="H160" s="1"/>
      <c r="I160" s="3" t="s">
        <v>586</v>
      </c>
      <c r="J160" s="3" t="s">
        <v>394</v>
      </c>
      <c r="K160" s="4">
        <v>-2200627.6800000002</v>
      </c>
      <c r="L160" s="4">
        <v>0</v>
      </c>
      <c r="M160" s="4">
        <v>213626.76</v>
      </c>
      <c r="N160" s="4">
        <v>-2414254.44</v>
      </c>
      <c r="O160" s="4">
        <f t="shared" si="7"/>
        <v>-213626.76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SUMIFS(Tab_09.Set[SALDO
ATUAL],Tab_09.Set[CONTA],$I161)</f>
        <v>-2200627.6800000002</v>
      </c>
      <c r="G161" s="4">
        <f t="shared" si="6"/>
        <v>0</v>
      </c>
      <c r="H161" s="1"/>
      <c r="I161" s="3" t="s">
        <v>393</v>
      </c>
      <c r="J161" s="3" t="s">
        <v>394</v>
      </c>
      <c r="K161" s="4">
        <v>-2200627.6800000002</v>
      </c>
      <c r="L161" s="4">
        <v>0</v>
      </c>
      <c r="M161" s="4">
        <v>213626.76</v>
      </c>
      <c r="N161" s="4">
        <v>-2414254.44</v>
      </c>
      <c r="O161" s="4">
        <f t="shared" si="7"/>
        <v>-213626.76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2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SUMIFS(Tab_09.Set[SALDO
ATUAL],Tab_09.Set[CONTA],$I162)</f>
        <v>-7450</v>
      </c>
      <c r="G162" s="4">
        <f t="shared" si="6"/>
        <v>0</v>
      </c>
      <c r="H162" s="1"/>
      <c r="I162" s="3" t="s">
        <v>587</v>
      </c>
      <c r="J162" s="3" t="s">
        <v>691</v>
      </c>
      <c r="K162" s="4">
        <v>-7450</v>
      </c>
      <c r="L162" s="4">
        <v>0</v>
      </c>
      <c r="M162" s="4">
        <v>0</v>
      </c>
      <c r="N162" s="4">
        <v>-7450</v>
      </c>
      <c r="O162" s="4">
        <f t="shared" si="7"/>
        <v>0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SUMIFS(Tab_09.Set[SALDO
ATUAL],Tab_09.Set[CONTA],$I163)</f>
        <v>-7450</v>
      </c>
      <c r="G163" s="4">
        <f t="shared" si="6"/>
        <v>0</v>
      </c>
      <c r="H163" s="1"/>
      <c r="I163" s="3" t="s">
        <v>588</v>
      </c>
      <c r="J163" s="3" t="s">
        <v>692</v>
      </c>
      <c r="K163" s="4">
        <v>-7450</v>
      </c>
      <c r="L163" s="4">
        <v>0</v>
      </c>
      <c r="M163" s="4">
        <v>0</v>
      </c>
      <c r="N163" s="4">
        <v>-7450</v>
      </c>
      <c r="O163" s="4">
        <f t="shared" si="7"/>
        <v>0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SUMIFS(Tab_09.Set[SALDO
ATUAL],Tab_09.Set[CONTA],$I164)</f>
        <v>-7450</v>
      </c>
      <c r="G164" s="4">
        <f t="shared" si="6"/>
        <v>0</v>
      </c>
      <c r="H164" s="1"/>
      <c r="I164" s="3" t="s">
        <v>589</v>
      </c>
      <c r="J164" s="3" t="s">
        <v>692</v>
      </c>
      <c r="K164" s="4">
        <v>-7450</v>
      </c>
      <c r="L164" s="4">
        <v>0</v>
      </c>
      <c r="M164" s="4">
        <v>0</v>
      </c>
      <c r="N164" s="4">
        <v>-7450</v>
      </c>
      <c r="O164" s="4">
        <f t="shared" si="7"/>
        <v>0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5</v>
      </c>
      <c r="D165" s="2" t="str">
        <f>_xlfn.XLOOKUP($I165,Tab_00.Trial[CONTA],Tab_00.Trial[S/A],"",0,1)</f>
        <v>A</v>
      </c>
      <c r="E165" s="2">
        <f>IF($I165="","",COUNTIFS(Tab_00.Trial[CONTA],$I165))</f>
        <v>1</v>
      </c>
      <c r="F165" s="4">
        <f>SUMIFS(Tab_09.Set[SALDO
ATUAL],Tab_09.Set[CONTA],$I165)</f>
        <v>-7450</v>
      </c>
      <c r="G165" s="4">
        <f t="shared" si="6"/>
        <v>0</v>
      </c>
      <c r="H165" s="1"/>
      <c r="I165" s="3" t="s">
        <v>395</v>
      </c>
      <c r="J165" s="3" t="s">
        <v>396</v>
      </c>
      <c r="K165" s="4">
        <v>-7450</v>
      </c>
      <c r="L165" s="4">
        <v>0</v>
      </c>
      <c r="M165" s="4">
        <v>0</v>
      </c>
      <c r="N165" s="4">
        <v>-7450</v>
      </c>
      <c r="O165" s="4">
        <f t="shared" si="7"/>
        <v>0</v>
      </c>
    </row>
    <row r="166" spans="2:15" x14ac:dyDescent="0.3">
      <c r="B166" s="2" t="str">
        <f>_xlfn.XLOOKUP($I166,Tab_00.Trial[CONTA],Tab_00.Trial[TP],"",0,1)</f>
        <v>C</v>
      </c>
      <c r="C166" s="2">
        <f>_xlfn.XLOOKUP($I166,Tab_00.Trial[CONTA],Tab_00.Trial[NV],"",0,1)</f>
        <v>1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SUMIFS(Tab_09.Set[SALDO
ATUAL],Tab_09.Set[CONTA],$I166)</f>
        <v>7300022.0700000003</v>
      </c>
      <c r="G166" s="4">
        <f t="shared" si="6"/>
        <v>0</v>
      </c>
      <c r="H166" s="1"/>
      <c r="I166" s="3">
        <v>4</v>
      </c>
      <c r="J166" s="3" t="s">
        <v>693</v>
      </c>
      <c r="K166" s="4">
        <v>7300022.0700000003</v>
      </c>
      <c r="L166" s="4">
        <v>954505.08</v>
      </c>
      <c r="M166" s="4">
        <v>13662</v>
      </c>
      <c r="N166" s="4">
        <v>8240865.1500000004</v>
      </c>
      <c r="O166" s="4">
        <f t="shared" si="7"/>
        <v>940843.08</v>
      </c>
    </row>
    <row r="167" spans="2:15" x14ac:dyDescent="0.3">
      <c r="B167" s="2" t="str">
        <f>_xlfn.XLOOKUP($I167,Tab_00.Trial[CONTA],Tab_00.Trial[TP],"",0,1)</f>
        <v>C</v>
      </c>
      <c r="C167" s="2">
        <f>_xlfn.XLOOKUP($I167,Tab_00.Trial[CONTA],Tab_00.Trial[NV],"",0,1)</f>
        <v>2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SUMIFS(Tab_09.Set[SALDO
ATUAL],Tab_09.Set[CONTA],$I167)</f>
        <v>7300022.0700000003</v>
      </c>
      <c r="G167" s="4">
        <f t="shared" si="6"/>
        <v>0</v>
      </c>
      <c r="H167" s="1"/>
      <c r="I167" s="3" t="s">
        <v>234</v>
      </c>
      <c r="J167" s="3" t="s">
        <v>823</v>
      </c>
      <c r="K167" s="4">
        <v>7300022.0700000003</v>
      </c>
      <c r="L167" s="4">
        <v>954505.08</v>
      </c>
      <c r="M167" s="4">
        <v>13662</v>
      </c>
      <c r="N167" s="4">
        <v>8240865.1500000004</v>
      </c>
      <c r="O167" s="4">
        <f t="shared" si="7"/>
        <v>940843.08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5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SUMIFS(Tab_09.Set[SALDO
ATUAL],Tab_09.Set[CONTA],$I168)</f>
        <v>1387446.3</v>
      </c>
      <c r="G168" s="4">
        <f t="shared" si="6"/>
        <v>0</v>
      </c>
      <c r="H168" s="1"/>
      <c r="I168" s="3" t="s">
        <v>235</v>
      </c>
      <c r="J168" s="3" t="s">
        <v>824</v>
      </c>
      <c r="K168" s="4">
        <v>1387446.3</v>
      </c>
      <c r="L168" s="4">
        <v>150340.12</v>
      </c>
      <c r="M168" s="4">
        <v>13662</v>
      </c>
      <c r="N168" s="4">
        <v>1524124.42</v>
      </c>
      <c r="O168" s="4">
        <f t="shared" si="7"/>
        <v>136678.12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5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SUMIFS(Tab_09.Set[SALDO
ATUAL],Tab_09.Set[CONTA],$I169)</f>
        <v>621104.32999999996</v>
      </c>
      <c r="G169" s="4">
        <f t="shared" si="6"/>
        <v>0</v>
      </c>
      <c r="H169" s="1"/>
      <c r="I169" s="3" t="s">
        <v>236</v>
      </c>
      <c r="J169" s="3" t="s">
        <v>696</v>
      </c>
      <c r="K169" s="4">
        <v>621104.32999999996</v>
      </c>
      <c r="L169" s="4">
        <v>73500.44</v>
      </c>
      <c r="M169" s="4">
        <v>9309.68</v>
      </c>
      <c r="N169" s="4">
        <v>685295.09</v>
      </c>
      <c r="O169" s="4">
        <f t="shared" si="7"/>
        <v>64190.76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A</v>
      </c>
      <c r="E170" s="2">
        <f>IF($I170="","",COUNTIFS(Tab_00.Trial[CONTA],$I170))</f>
        <v>1</v>
      </c>
      <c r="F170" s="4">
        <f>SUMIFS(Tab_09.Set[SALDO
ATUAL],Tab_09.Set[CONTA],$I170)</f>
        <v>444376.65</v>
      </c>
      <c r="G170" s="4">
        <f t="shared" si="6"/>
        <v>0</v>
      </c>
      <c r="H170" s="1"/>
      <c r="I170" s="3" t="s">
        <v>195</v>
      </c>
      <c r="J170" s="3" t="s">
        <v>427</v>
      </c>
      <c r="K170" s="4">
        <v>444376.65</v>
      </c>
      <c r="L170" s="4">
        <v>56506.91</v>
      </c>
      <c r="M170" s="4">
        <v>9309.68</v>
      </c>
      <c r="N170" s="4">
        <v>491573.88</v>
      </c>
      <c r="O170" s="4">
        <f t="shared" si="7"/>
        <v>47197.23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A</v>
      </c>
      <c r="E171" s="2">
        <f>IF($I171="","",COUNTIFS(Tab_00.Trial[CONTA],$I171))</f>
        <v>1</v>
      </c>
      <c r="F171" s="4">
        <f>SUMIFS(Tab_09.Set[SALDO
ATUAL],Tab_09.Set[CONTA],$I171)</f>
        <v>68632.02</v>
      </c>
      <c r="G171" s="4">
        <f t="shared" si="6"/>
        <v>0</v>
      </c>
      <c r="H171" s="1"/>
      <c r="I171" s="3" t="s">
        <v>430</v>
      </c>
      <c r="J171" s="3" t="s">
        <v>431</v>
      </c>
      <c r="K171" s="4">
        <v>68632.02</v>
      </c>
      <c r="L171" s="4">
        <v>12504.53</v>
      </c>
      <c r="M171" s="4">
        <v>0</v>
      </c>
      <c r="N171" s="4">
        <v>81136.55</v>
      </c>
      <c r="O171" s="4">
        <f t="shared" si="7"/>
        <v>12504.53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SUMIFS(Tab_09.Set[SALDO
ATUAL],Tab_09.Set[CONTA],$I172)</f>
        <v>48912.75</v>
      </c>
      <c r="G172" s="4">
        <f t="shared" si="6"/>
        <v>0</v>
      </c>
      <c r="H172" s="1"/>
      <c r="I172" s="3" t="s">
        <v>432</v>
      </c>
      <c r="J172" s="3" t="s">
        <v>433</v>
      </c>
      <c r="K172" s="4">
        <v>48912.75</v>
      </c>
      <c r="L172" s="4">
        <v>0</v>
      </c>
      <c r="M172" s="4">
        <v>0</v>
      </c>
      <c r="N172" s="4">
        <v>48912.75</v>
      </c>
      <c r="O172" s="4">
        <f t="shared" si="7"/>
        <v>0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SUMIFS(Tab_09.Set[SALDO
ATUAL],Tab_09.Set[CONTA],$I173)</f>
        <v>39794.730000000003</v>
      </c>
      <c r="G173" s="4">
        <f t="shared" si="6"/>
        <v>0</v>
      </c>
      <c r="H173" s="1"/>
      <c r="I173" s="3" t="s">
        <v>796</v>
      </c>
      <c r="J173" s="3" t="s">
        <v>797</v>
      </c>
      <c r="K173" s="4">
        <v>39794.730000000003</v>
      </c>
      <c r="L173" s="4">
        <v>3360.49</v>
      </c>
      <c r="M173" s="4">
        <v>0</v>
      </c>
      <c r="N173" s="4">
        <v>43155.22</v>
      </c>
      <c r="O173" s="4">
        <f t="shared" si="7"/>
        <v>3360.49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SUMIFS(Tab_09.Set[SALDO
ATUAL],Tab_09.Set[CONTA],$I174)</f>
        <v>1901.31</v>
      </c>
      <c r="G174" s="4">
        <f t="shared" si="6"/>
        <v>0</v>
      </c>
      <c r="H174" s="1"/>
      <c r="I174" s="3" t="s">
        <v>798</v>
      </c>
      <c r="J174" s="3" t="s">
        <v>799</v>
      </c>
      <c r="K174" s="4">
        <v>1901.31</v>
      </c>
      <c r="L174" s="4">
        <v>1003.12</v>
      </c>
      <c r="M174" s="4">
        <v>0</v>
      </c>
      <c r="N174" s="4">
        <v>2904.43</v>
      </c>
      <c r="O174" s="4">
        <f t="shared" si="7"/>
        <v>1003.12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SUMIFS(Tab_09.Set[SALDO
ATUAL],Tab_09.Set[CONTA],$I175)</f>
        <v>365.56</v>
      </c>
      <c r="G175" s="4">
        <f t="shared" si="6"/>
        <v>0</v>
      </c>
      <c r="H175" s="1"/>
      <c r="I175" s="3" t="s">
        <v>800</v>
      </c>
      <c r="J175" s="3" t="s">
        <v>801</v>
      </c>
      <c r="K175" s="4">
        <v>365.56</v>
      </c>
      <c r="L175" s="4">
        <v>0</v>
      </c>
      <c r="M175" s="4">
        <v>0</v>
      </c>
      <c r="N175" s="4">
        <v>365.56</v>
      </c>
      <c r="O175" s="4">
        <f t="shared" si="7"/>
        <v>0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SUMIFS(Tab_09.Set[SALDO
ATUAL],Tab_09.Set[CONTA],$I176)</f>
        <v>12943.65</v>
      </c>
      <c r="G176" s="4">
        <f t="shared" si="6"/>
        <v>0</v>
      </c>
      <c r="H176" s="1"/>
      <c r="I176" s="3" t="s">
        <v>802</v>
      </c>
      <c r="J176" s="3" t="s">
        <v>803</v>
      </c>
      <c r="K176" s="4">
        <v>12943.65</v>
      </c>
      <c r="L176" s="4">
        <v>0</v>
      </c>
      <c r="M176" s="4">
        <v>0</v>
      </c>
      <c r="N176" s="4">
        <v>12943.65</v>
      </c>
      <c r="O176" s="4">
        <f t="shared" si="7"/>
        <v>0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SUMIFS(Tab_09.Set[SALDO
ATUAL],Tab_09.Set[CONTA],$I177)</f>
        <v>3913</v>
      </c>
      <c r="G177" s="4">
        <f t="shared" si="6"/>
        <v>0</v>
      </c>
      <c r="H177" s="1"/>
      <c r="I177" s="3" t="s">
        <v>804</v>
      </c>
      <c r="J177" s="3" t="s">
        <v>805</v>
      </c>
      <c r="K177" s="4">
        <v>3913</v>
      </c>
      <c r="L177" s="4">
        <v>0</v>
      </c>
      <c r="M177" s="4">
        <v>0</v>
      </c>
      <c r="N177" s="4">
        <v>3913</v>
      </c>
      <c r="O177" s="4">
        <f t="shared" si="7"/>
        <v>0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SUMIFS(Tab_09.Set[SALDO
ATUAL],Tab_09.Set[CONTA],$I178)</f>
        <v>264.66000000000003</v>
      </c>
      <c r="G178" s="4">
        <f t="shared" si="6"/>
        <v>0</v>
      </c>
      <c r="H178" s="1"/>
      <c r="I178" s="3" t="s">
        <v>806</v>
      </c>
      <c r="J178" s="3" t="s">
        <v>807</v>
      </c>
      <c r="K178" s="4">
        <v>264.66000000000003</v>
      </c>
      <c r="L178" s="4">
        <v>125.39</v>
      </c>
      <c r="M178" s="4">
        <v>0</v>
      </c>
      <c r="N178" s="4">
        <v>390.05</v>
      </c>
      <c r="O178" s="4">
        <f t="shared" si="7"/>
        <v>125.39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S</v>
      </c>
      <c r="E179" s="2">
        <f>IF($I179="","",COUNTIFS(Tab_00.Trial[CONTA],$I179))</f>
        <v>1</v>
      </c>
      <c r="F179" s="4">
        <f>SUMIFS(Tab_09.Set[SALDO
ATUAL],Tab_09.Set[CONTA],$I179)</f>
        <v>230804.85</v>
      </c>
      <c r="G179" s="4">
        <f t="shared" si="6"/>
        <v>0</v>
      </c>
      <c r="H179" s="1"/>
      <c r="I179" s="3" t="s">
        <v>590</v>
      </c>
      <c r="J179" s="3" t="s">
        <v>697</v>
      </c>
      <c r="K179" s="4">
        <v>230804.85</v>
      </c>
      <c r="L179" s="4">
        <v>25971.57</v>
      </c>
      <c r="M179" s="4">
        <v>4352.32</v>
      </c>
      <c r="N179" s="4">
        <v>252424.1</v>
      </c>
      <c r="O179" s="4">
        <f t="shared" si="7"/>
        <v>21619.25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SUMIFS(Tab_09.Set[SALDO
ATUAL],Tab_09.Set[CONTA],$I180)</f>
        <v>222850.66</v>
      </c>
      <c r="G180" s="4">
        <f t="shared" si="6"/>
        <v>0</v>
      </c>
      <c r="H180" s="1"/>
      <c r="I180" s="3" t="s">
        <v>434</v>
      </c>
      <c r="J180" s="3" t="s">
        <v>435</v>
      </c>
      <c r="K180" s="4">
        <v>222850.66</v>
      </c>
      <c r="L180" s="4">
        <v>25971.57</v>
      </c>
      <c r="M180" s="4">
        <v>3163.54</v>
      </c>
      <c r="N180" s="4">
        <v>245658.69</v>
      </c>
      <c r="O180" s="4">
        <f t="shared" si="7"/>
        <v>22808.03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SUMIFS(Tab_09.Set[SALDO
ATUAL],Tab_09.Set[CONTA],$I181)</f>
        <v>7954.19</v>
      </c>
      <c r="G181" s="4">
        <f t="shared" si="6"/>
        <v>0</v>
      </c>
      <c r="H181" s="1"/>
      <c r="I181" s="3" t="s">
        <v>750</v>
      </c>
      <c r="J181" s="3" t="s">
        <v>751</v>
      </c>
      <c r="K181" s="4">
        <v>7954.19</v>
      </c>
      <c r="L181" s="4">
        <v>0</v>
      </c>
      <c r="M181" s="4">
        <v>1188.78</v>
      </c>
      <c r="N181" s="4">
        <v>6765.41</v>
      </c>
      <c r="O181" s="4">
        <f t="shared" si="7"/>
        <v>-1188.78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SUMIFS(Tab_09.Set[SALDO
ATUAL],Tab_09.Set[CONTA],$I182)</f>
        <v>190587.49</v>
      </c>
      <c r="G182" s="4">
        <f t="shared" si="6"/>
        <v>0</v>
      </c>
      <c r="H182" s="1"/>
      <c r="I182" s="3" t="s">
        <v>591</v>
      </c>
      <c r="J182" s="3" t="s">
        <v>698</v>
      </c>
      <c r="K182" s="4">
        <v>190587.49</v>
      </c>
      <c r="L182" s="4">
        <v>14958.23</v>
      </c>
      <c r="M182" s="4">
        <v>0</v>
      </c>
      <c r="N182" s="4">
        <v>205545.72</v>
      </c>
      <c r="O182" s="4">
        <f t="shared" si="7"/>
        <v>14958.23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SUMIFS(Tab_09.Set[SALDO
ATUAL],Tab_09.Set[CONTA],$I183)</f>
        <v>149766.78</v>
      </c>
      <c r="G183" s="4">
        <f t="shared" si="6"/>
        <v>0</v>
      </c>
      <c r="H183" s="1"/>
      <c r="I183" s="3" t="s">
        <v>436</v>
      </c>
      <c r="J183" s="3" t="s">
        <v>437</v>
      </c>
      <c r="K183" s="4">
        <v>149766.78</v>
      </c>
      <c r="L183" s="4">
        <v>10875.9</v>
      </c>
      <c r="M183" s="4">
        <v>0</v>
      </c>
      <c r="N183" s="4">
        <v>160642.68</v>
      </c>
      <c r="O183" s="4">
        <f t="shared" si="7"/>
        <v>10875.9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SUMIFS(Tab_09.Set[SALDO
ATUAL],Tab_09.Set[CONTA],$I184)</f>
        <v>35584.75</v>
      </c>
      <c r="G184" s="4">
        <f t="shared" si="6"/>
        <v>0</v>
      </c>
      <c r="H184" s="1"/>
      <c r="I184" s="3" t="s">
        <v>438</v>
      </c>
      <c r="J184" s="3" t="s">
        <v>196</v>
      </c>
      <c r="K184" s="4">
        <v>35584.75</v>
      </c>
      <c r="L184" s="4">
        <v>3628.72</v>
      </c>
      <c r="M184" s="4">
        <v>0</v>
      </c>
      <c r="N184" s="4">
        <v>39213.47</v>
      </c>
      <c r="O184" s="4">
        <f t="shared" si="7"/>
        <v>3628.72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SUMIFS(Tab_09.Set[SALDO
ATUAL],Tab_09.Set[CONTA],$I185)</f>
        <v>5235.96</v>
      </c>
      <c r="G185" s="4">
        <f t="shared" si="6"/>
        <v>0</v>
      </c>
      <c r="H185" s="1"/>
      <c r="I185" s="3" t="s">
        <v>439</v>
      </c>
      <c r="J185" s="3" t="s">
        <v>440</v>
      </c>
      <c r="K185" s="4">
        <v>5235.96</v>
      </c>
      <c r="L185" s="4">
        <v>453.61</v>
      </c>
      <c r="M185" s="4">
        <v>0</v>
      </c>
      <c r="N185" s="4">
        <v>5689.57</v>
      </c>
      <c r="O185" s="4">
        <f t="shared" si="7"/>
        <v>453.61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S</v>
      </c>
      <c r="E186" s="2">
        <f>IF($I186="","",COUNTIFS(Tab_00.Trial[CONTA],$I186))</f>
        <v>1</v>
      </c>
      <c r="F186" s="4">
        <f>SUMIFS(Tab_09.Set[SALDO
ATUAL],Tab_09.Set[CONTA],$I186)</f>
        <v>10362.82</v>
      </c>
      <c r="G186" s="4">
        <f t="shared" si="6"/>
        <v>0</v>
      </c>
      <c r="H186" s="1"/>
      <c r="I186" s="3" t="s">
        <v>592</v>
      </c>
      <c r="J186" s="3" t="s">
        <v>699</v>
      </c>
      <c r="K186" s="4">
        <v>10362.82</v>
      </c>
      <c r="L186" s="4">
        <v>2186.0500000000002</v>
      </c>
      <c r="M186" s="4">
        <v>0</v>
      </c>
      <c r="N186" s="4">
        <v>12548.87</v>
      </c>
      <c r="O186" s="4">
        <f t="shared" si="7"/>
        <v>2186.0500000000002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SUMIFS(Tab_09.Set[SALDO
ATUAL],Tab_09.Set[CONTA],$I187)</f>
        <v>9768.99</v>
      </c>
      <c r="G187" s="4">
        <f t="shared" si="6"/>
        <v>0</v>
      </c>
      <c r="H187" s="1"/>
      <c r="I187" s="3" t="s">
        <v>397</v>
      </c>
      <c r="J187" s="3" t="s">
        <v>398</v>
      </c>
      <c r="K187" s="4">
        <v>9768.99</v>
      </c>
      <c r="L187" s="4">
        <v>1148.25</v>
      </c>
      <c r="M187" s="4">
        <v>0</v>
      </c>
      <c r="N187" s="4">
        <v>10917.24</v>
      </c>
      <c r="O187" s="4">
        <f t="shared" si="7"/>
        <v>1148.25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SUMIFS(Tab_09.Set[SALDO
ATUAL],Tab_09.Set[CONTA],$I188)</f>
        <v>593.83000000000004</v>
      </c>
      <c r="G188" s="4">
        <f t="shared" si="6"/>
        <v>0</v>
      </c>
      <c r="H188" s="1"/>
      <c r="I188" s="3" t="s">
        <v>399</v>
      </c>
      <c r="J188" s="3" t="s">
        <v>400</v>
      </c>
      <c r="K188" s="4">
        <v>593.83000000000004</v>
      </c>
      <c r="L188" s="4">
        <v>1037.8</v>
      </c>
      <c r="M188" s="4">
        <v>0</v>
      </c>
      <c r="N188" s="4">
        <v>1631.63</v>
      </c>
      <c r="O188" s="4">
        <f t="shared" si="7"/>
        <v>1037.8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S</v>
      </c>
      <c r="E189" s="2">
        <f>IF($I189="","",COUNTIFS(Tab_00.Trial[CONTA],$I189))</f>
        <v>1</v>
      </c>
      <c r="F189" s="4">
        <f>SUMIFS(Tab_09.Set[SALDO
ATUAL],Tab_09.Set[CONTA],$I189)</f>
        <v>321220.69</v>
      </c>
      <c r="G189" s="4">
        <f t="shared" si="6"/>
        <v>0</v>
      </c>
      <c r="H189" s="1"/>
      <c r="I189" s="3" t="s">
        <v>593</v>
      </c>
      <c r="J189" s="3" t="s">
        <v>711</v>
      </c>
      <c r="K189" s="4">
        <v>321220.69</v>
      </c>
      <c r="L189" s="4">
        <v>32165.96</v>
      </c>
      <c r="M189" s="4">
        <v>0</v>
      </c>
      <c r="N189" s="4">
        <v>353386.65</v>
      </c>
      <c r="O189" s="4">
        <f t="shared" si="7"/>
        <v>32165.96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SUMIFS(Tab_09.Set[SALDO
ATUAL],Tab_09.Set[CONTA],$I190)</f>
        <v>39293.440000000002</v>
      </c>
      <c r="G190" s="4">
        <f t="shared" si="6"/>
        <v>0</v>
      </c>
      <c r="H190" s="1"/>
      <c r="I190" s="3" t="s">
        <v>403</v>
      </c>
      <c r="J190" s="3" t="s">
        <v>404</v>
      </c>
      <c r="K190" s="4">
        <v>39293.440000000002</v>
      </c>
      <c r="L190" s="4">
        <v>4415.96</v>
      </c>
      <c r="M190" s="4">
        <v>0</v>
      </c>
      <c r="N190" s="4">
        <v>43709.4</v>
      </c>
      <c r="O190" s="4">
        <f t="shared" si="7"/>
        <v>4415.96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SUMIFS(Tab_09.Set[SALDO
ATUAL],Tab_09.Set[CONTA],$I191)</f>
        <v>261562</v>
      </c>
      <c r="G191" s="4">
        <f t="shared" si="6"/>
        <v>0</v>
      </c>
      <c r="H191" s="1"/>
      <c r="I191" s="3" t="s">
        <v>405</v>
      </c>
      <c r="J191" s="3" t="s">
        <v>406</v>
      </c>
      <c r="K191" s="4">
        <v>261562</v>
      </c>
      <c r="L191" s="4">
        <v>27750</v>
      </c>
      <c r="M191" s="4">
        <v>0</v>
      </c>
      <c r="N191" s="4">
        <v>289312</v>
      </c>
      <c r="O191" s="4">
        <f t="shared" si="7"/>
        <v>27750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SUMIFS(Tab_09.Set[SALDO
ATUAL],Tab_09.Set[CONTA],$I192)</f>
        <v>20365.25</v>
      </c>
      <c r="G192" s="4">
        <f t="shared" si="6"/>
        <v>0</v>
      </c>
      <c r="H192" s="1"/>
      <c r="I192" s="3" t="s">
        <v>407</v>
      </c>
      <c r="J192" s="3" t="s">
        <v>408</v>
      </c>
      <c r="K192" s="4">
        <v>20365.25</v>
      </c>
      <c r="L192" s="4">
        <v>0</v>
      </c>
      <c r="M192" s="4">
        <v>0</v>
      </c>
      <c r="N192" s="4">
        <v>20365.25</v>
      </c>
      <c r="O192" s="4">
        <f t="shared" si="7"/>
        <v>0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S</v>
      </c>
      <c r="E193" s="2">
        <f>IF($I193="","",COUNTIFS(Tab_00.Trial[CONTA],$I193))</f>
        <v>1</v>
      </c>
      <c r="F193" s="4">
        <f>SUMIFS(Tab_09.Set[SALDO
ATUAL],Tab_09.Set[CONTA],$I193)</f>
        <v>7125.51</v>
      </c>
      <c r="G193" s="4">
        <f t="shared" si="6"/>
        <v>0</v>
      </c>
      <c r="H193" s="1"/>
      <c r="I193" s="3" t="s">
        <v>594</v>
      </c>
      <c r="J193" s="3" t="s">
        <v>825</v>
      </c>
      <c r="K193" s="4">
        <v>7125.51</v>
      </c>
      <c r="L193" s="4">
        <v>1130.6099999999999</v>
      </c>
      <c r="M193" s="4">
        <v>0</v>
      </c>
      <c r="N193" s="4">
        <v>8256.1200000000008</v>
      </c>
      <c r="O193" s="4">
        <f t="shared" si="7"/>
        <v>1130.6099999999999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SUMIFS(Tab_09.Set[SALDO
ATUAL],Tab_09.Set[CONTA],$I194)</f>
        <v>300</v>
      </c>
      <c r="G194" s="4">
        <f t="shared" si="6"/>
        <v>0</v>
      </c>
      <c r="H194" s="1"/>
      <c r="I194" s="3" t="s">
        <v>411</v>
      </c>
      <c r="J194" s="3" t="s">
        <v>412</v>
      </c>
      <c r="K194" s="4">
        <v>300</v>
      </c>
      <c r="L194" s="4">
        <v>0</v>
      </c>
      <c r="M194" s="4">
        <v>0</v>
      </c>
      <c r="N194" s="4">
        <v>300</v>
      </c>
      <c r="O194" s="4">
        <f t="shared" si="7"/>
        <v>0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SUMIFS(Tab_09.Set[SALDO
ATUAL],Tab_09.Set[CONTA],$I195)</f>
        <v>6773.05</v>
      </c>
      <c r="G195" s="4">
        <f t="shared" si="6"/>
        <v>0</v>
      </c>
      <c r="H195" s="1"/>
      <c r="I195" s="3" t="s">
        <v>413</v>
      </c>
      <c r="J195" s="3" t="s">
        <v>414</v>
      </c>
      <c r="K195" s="4">
        <v>6773.05</v>
      </c>
      <c r="L195" s="4">
        <v>1130.6099999999999</v>
      </c>
      <c r="M195" s="4">
        <v>0</v>
      </c>
      <c r="N195" s="4">
        <v>7903.66</v>
      </c>
      <c r="O195" s="4">
        <f t="shared" si="7"/>
        <v>1130.6099999999999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SUMIFS(Tab_09.Set[SALDO
ATUAL],Tab_09.Set[CONTA],$I196)</f>
        <v>52.46</v>
      </c>
      <c r="G196" s="4">
        <f t="shared" si="6"/>
        <v>0</v>
      </c>
      <c r="H196" s="1"/>
      <c r="I196" s="3" t="s">
        <v>417</v>
      </c>
      <c r="J196" s="3" t="s">
        <v>418</v>
      </c>
      <c r="K196" s="4">
        <v>52.46</v>
      </c>
      <c r="L196" s="4">
        <v>0</v>
      </c>
      <c r="M196" s="4">
        <v>0</v>
      </c>
      <c r="N196" s="4">
        <v>52.46</v>
      </c>
      <c r="O196" s="4">
        <f t="shared" si="7"/>
        <v>0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S</v>
      </c>
      <c r="E197" s="2">
        <f>IF($I197="","",COUNTIFS(Tab_00.Trial[CONTA],$I197))</f>
        <v>1</v>
      </c>
      <c r="F197" s="4">
        <f>SUMIFS(Tab_09.Set[SALDO
ATUAL],Tab_09.Set[CONTA],$I197)</f>
        <v>6240.61</v>
      </c>
      <c r="G197" s="4">
        <f t="shared" si="6"/>
        <v>0</v>
      </c>
      <c r="H197" s="1"/>
      <c r="I197" s="3" t="s">
        <v>595</v>
      </c>
      <c r="J197" s="3" t="s">
        <v>420</v>
      </c>
      <c r="K197" s="4">
        <v>6240.61</v>
      </c>
      <c r="L197" s="4">
        <v>427.26</v>
      </c>
      <c r="M197" s="4">
        <v>0</v>
      </c>
      <c r="N197" s="4">
        <v>6667.87</v>
      </c>
      <c r="O197" s="4">
        <f t="shared" si="7"/>
        <v>427.26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SUMIFS(Tab_09.Set[SALDO
ATUAL],Tab_09.Set[CONTA],$I198)</f>
        <v>6240.61</v>
      </c>
      <c r="G198" s="4">
        <f t="shared" si="6"/>
        <v>0</v>
      </c>
      <c r="H198" s="1"/>
      <c r="I198" s="3" t="s">
        <v>419</v>
      </c>
      <c r="J198" s="3" t="s">
        <v>420</v>
      </c>
      <c r="K198" s="4">
        <v>6240.61</v>
      </c>
      <c r="L198" s="4">
        <v>427.26</v>
      </c>
      <c r="M198" s="4">
        <v>0</v>
      </c>
      <c r="N198" s="4">
        <v>6667.87</v>
      </c>
      <c r="O198" s="4">
        <f t="shared" si="7"/>
        <v>427.26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SUMIFS(Tab_09.Set[SALDO
ATUAL],Tab_09.Set[CONTA],$I199)</f>
        <v>5912575.7699999996</v>
      </c>
      <c r="G199" s="4">
        <f t="shared" si="6"/>
        <v>0</v>
      </c>
      <c r="H199" s="1"/>
      <c r="I199" s="3" t="s">
        <v>237</v>
      </c>
      <c r="J199" s="3" t="s">
        <v>702</v>
      </c>
      <c r="K199" s="4">
        <v>5912575.7699999996</v>
      </c>
      <c r="L199" s="4">
        <v>804164.96</v>
      </c>
      <c r="M199" s="4">
        <v>0</v>
      </c>
      <c r="N199" s="4">
        <v>6716740.7300000004</v>
      </c>
      <c r="O199" s="4">
        <f t="shared" si="7"/>
        <v>804164.96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SUMIFS(Tab_09.Set[SALDO
ATUAL],Tab_09.Set[CONTA],$I200)</f>
        <v>5912575.7699999996</v>
      </c>
      <c r="G200" s="4">
        <f t="shared" si="6"/>
        <v>0</v>
      </c>
      <c r="H200" s="1"/>
      <c r="I200" s="3" t="s">
        <v>238</v>
      </c>
      <c r="J200" s="3" t="s">
        <v>826</v>
      </c>
      <c r="K200" s="4">
        <v>5912575.7699999996</v>
      </c>
      <c r="L200" s="4">
        <v>804164.96</v>
      </c>
      <c r="M200" s="4">
        <v>0</v>
      </c>
      <c r="N200" s="4">
        <v>6716740.7300000004</v>
      </c>
      <c r="O200" s="4">
        <f t="shared" si="7"/>
        <v>804164.96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SUMIFS(Tab_09.Set[SALDO
ATUAL],Tab_09.Set[CONTA],$I201)</f>
        <v>2125464.3199999998</v>
      </c>
      <c r="G201" s="4">
        <f t="shared" si="6"/>
        <v>0</v>
      </c>
      <c r="H201" s="1"/>
      <c r="I201" s="3" t="s">
        <v>421</v>
      </c>
      <c r="J201" s="3" t="s">
        <v>422</v>
      </c>
      <c r="K201" s="4">
        <v>2125464.3199999998</v>
      </c>
      <c r="L201" s="4">
        <v>429781.84</v>
      </c>
      <c r="M201" s="4">
        <v>0</v>
      </c>
      <c r="N201" s="4">
        <v>2555246.16</v>
      </c>
      <c r="O201" s="4">
        <f t="shared" si="7"/>
        <v>429781.84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A</v>
      </c>
      <c r="E202" s="2">
        <f>IF($I202="","",COUNTIFS(Tab_00.Trial[CONTA],$I202))</f>
        <v>1</v>
      </c>
      <c r="F202" s="4">
        <f>SUMIFS(Tab_09.Set[SALDO
ATUAL],Tab_09.Set[CONTA],$I202)</f>
        <v>1184785.28</v>
      </c>
      <c r="G202" s="4">
        <f t="shared" si="6"/>
        <v>0</v>
      </c>
      <c r="H202" s="1"/>
      <c r="I202" s="3" t="s">
        <v>738</v>
      </c>
      <c r="J202" s="3" t="s">
        <v>367</v>
      </c>
      <c r="K202" s="4">
        <v>1184785.28</v>
      </c>
      <c r="L202" s="4">
        <v>148911.84</v>
      </c>
      <c r="M202" s="4">
        <v>0</v>
      </c>
      <c r="N202" s="4">
        <v>1333697.1200000001</v>
      </c>
      <c r="O202" s="4">
        <f t="shared" si="7"/>
        <v>148911.84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SUMIFS(Tab_09.Set[SALDO
ATUAL],Tab_09.Set[CONTA],$I203)</f>
        <v>2602326.17</v>
      </c>
      <c r="G203" s="4">
        <f t="shared" si="6"/>
        <v>0</v>
      </c>
      <c r="H203" s="1"/>
      <c r="I203" s="3" t="s">
        <v>423</v>
      </c>
      <c r="J203" s="3" t="s">
        <v>424</v>
      </c>
      <c r="K203" s="4">
        <v>2602326.17</v>
      </c>
      <c r="L203" s="4">
        <v>225471.28</v>
      </c>
      <c r="M203" s="4">
        <v>0</v>
      </c>
      <c r="N203" s="4">
        <v>2827797.45</v>
      </c>
      <c r="O203" s="4">
        <f t="shared" si="7"/>
        <v>225471.28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1</v>
      </c>
      <c r="D204" s="2" t="str">
        <f>_xlfn.XLOOKUP($I204,Tab_00.Trial[CONTA],Tab_00.Trial[S/A],"",0,1)</f>
        <v>S</v>
      </c>
      <c r="E204" s="2">
        <f>IF($I204="","",COUNTIFS(Tab_00.Trial[CONTA],$I204))</f>
        <v>1</v>
      </c>
      <c r="F204" s="4">
        <f>SUMIFS(Tab_09.Set[SALDO
ATUAL],Tab_09.Set[CONTA],$I204)</f>
        <v>2561671.19</v>
      </c>
      <c r="G204" s="4">
        <f t="shared" si="6"/>
        <v>0</v>
      </c>
      <c r="H204" s="1"/>
      <c r="I204" s="3">
        <v>5</v>
      </c>
      <c r="J204" s="3" t="s">
        <v>705</v>
      </c>
      <c r="K204" s="4">
        <v>2561671.19</v>
      </c>
      <c r="L204" s="4">
        <v>280801.28000000003</v>
      </c>
      <c r="M204" s="4">
        <v>10152.08</v>
      </c>
      <c r="N204" s="4">
        <v>2832320.39</v>
      </c>
      <c r="O204" s="4">
        <f t="shared" si="7"/>
        <v>270649.2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2</v>
      </c>
      <c r="D205" s="2" t="str">
        <f>_xlfn.XLOOKUP($I205,Tab_00.Trial[CONTA],Tab_00.Trial[S/A],"",0,1)</f>
        <v>S</v>
      </c>
      <c r="E205" s="2">
        <f>IF($I205="","",COUNTIFS(Tab_00.Trial[CONTA],$I205))</f>
        <v>1</v>
      </c>
      <c r="F205" s="4">
        <f>SUMIFS(Tab_09.Set[SALDO
ATUAL],Tab_09.Set[CONTA],$I205)</f>
        <v>2561455.19</v>
      </c>
      <c r="G205" s="4">
        <f t="shared" si="6"/>
        <v>0</v>
      </c>
      <c r="H205" s="1"/>
      <c r="I205" s="3" t="s">
        <v>599</v>
      </c>
      <c r="J205" s="3" t="s">
        <v>827</v>
      </c>
      <c r="K205" s="4">
        <v>2561455.19</v>
      </c>
      <c r="L205" s="4">
        <v>280801.28000000003</v>
      </c>
      <c r="M205" s="4">
        <v>10152.08</v>
      </c>
      <c r="N205" s="4">
        <v>2832104.39</v>
      </c>
      <c r="O205" s="4">
        <f t="shared" si="7"/>
        <v>270649.2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S</v>
      </c>
      <c r="E206" s="2">
        <f>IF($I206="","",COUNTIFS(Tab_00.Trial[CONTA],$I206))</f>
        <v>1</v>
      </c>
      <c r="F206" s="4">
        <f>SUMIFS(Tab_09.Set[SALDO
ATUAL],Tab_09.Set[CONTA],$I206)</f>
        <v>941985.01</v>
      </c>
      <c r="G206" s="4">
        <f t="shared" si="6"/>
        <v>0</v>
      </c>
      <c r="H206" s="1"/>
      <c r="I206" s="3" t="s">
        <v>600</v>
      </c>
      <c r="J206" s="3" t="s">
        <v>706</v>
      </c>
      <c r="K206" s="4">
        <v>941985.01</v>
      </c>
      <c r="L206" s="4">
        <v>83277.97</v>
      </c>
      <c r="M206" s="4">
        <v>10152.08</v>
      </c>
      <c r="N206" s="4">
        <v>1015110.9</v>
      </c>
      <c r="O206" s="4">
        <f t="shared" si="7"/>
        <v>73125.89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5</v>
      </c>
      <c r="D207" s="2" t="str">
        <f>_xlfn.XLOOKUP($I207,Tab_00.Trial[CONTA],Tab_00.Trial[S/A],"",0,1)</f>
        <v>S</v>
      </c>
      <c r="E207" s="2">
        <f>IF($I207="","",COUNTIFS(Tab_00.Trial[CONTA],$I207))</f>
        <v>1</v>
      </c>
      <c r="F207" s="4">
        <f>SUMIFS(Tab_09.Set[SALDO
ATUAL],Tab_09.Set[CONTA],$I207)</f>
        <v>615045.84</v>
      </c>
      <c r="G207" s="4">
        <f t="shared" ref="G207:G269" si="8">$F207-$K207</f>
        <v>0</v>
      </c>
      <c r="H207" s="1"/>
      <c r="I207" s="3" t="s">
        <v>601</v>
      </c>
      <c r="J207" s="3" t="s">
        <v>707</v>
      </c>
      <c r="K207" s="4">
        <v>615045.84</v>
      </c>
      <c r="L207" s="4">
        <v>67518.399999999994</v>
      </c>
      <c r="M207" s="4">
        <v>10152.08</v>
      </c>
      <c r="N207" s="4">
        <v>672412.16000000003</v>
      </c>
      <c r="O207" s="4">
        <f t="shared" ref="O207:O269" si="9">$L207-$M207</f>
        <v>57366.32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A</v>
      </c>
      <c r="E208" s="2">
        <f>IF($I208="","",COUNTIFS(Tab_00.Trial[CONTA],$I208))</f>
        <v>1</v>
      </c>
      <c r="F208" s="4">
        <f>SUMIFS(Tab_09.Set[SALDO
ATUAL],Tab_09.Set[CONTA],$I208)</f>
        <v>398237.66</v>
      </c>
      <c r="G208" s="4">
        <f t="shared" si="8"/>
        <v>0</v>
      </c>
      <c r="H208" s="1"/>
      <c r="I208" s="3" t="s">
        <v>441</v>
      </c>
      <c r="J208" s="3" t="s">
        <v>427</v>
      </c>
      <c r="K208" s="4">
        <v>398237.66</v>
      </c>
      <c r="L208" s="4">
        <v>55771.67</v>
      </c>
      <c r="M208" s="4">
        <v>10152.08</v>
      </c>
      <c r="N208" s="4">
        <v>443857.25</v>
      </c>
      <c r="O208" s="4">
        <f t="shared" si="9"/>
        <v>45619.59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A</v>
      </c>
      <c r="E209" s="2">
        <f>IF($I209="","",COUNTIFS(Tab_00.Trial[CONTA],$I209))</f>
        <v>1</v>
      </c>
      <c r="F209" s="4">
        <f>SUMIFS(Tab_09.Set[SALDO
ATUAL],Tab_09.Set[CONTA],$I209)</f>
        <v>55069.19</v>
      </c>
      <c r="G209" s="4">
        <f t="shared" si="8"/>
        <v>0</v>
      </c>
      <c r="H209" s="1"/>
      <c r="I209" s="3" t="s">
        <v>443</v>
      </c>
      <c r="J209" s="3" t="s">
        <v>431</v>
      </c>
      <c r="K209" s="4">
        <v>55069.19</v>
      </c>
      <c r="L209" s="4">
        <v>0</v>
      </c>
      <c r="M209" s="4">
        <v>0</v>
      </c>
      <c r="N209" s="4">
        <v>55069.19</v>
      </c>
      <c r="O209" s="4">
        <f t="shared" si="9"/>
        <v>0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SUMIFS(Tab_09.Set[SALDO
ATUAL],Tab_09.Set[CONTA],$I210)</f>
        <v>41199.1</v>
      </c>
      <c r="G210" s="4">
        <f t="shared" si="8"/>
        <v>0</v>
      </c>
      <c r="H210" s="1"/>
      <c r="I210" s="3" t="s">
        <v>444</v>
      </c>
      <c r="J210" s="3" t="s">
        <v>433</v>
      </c>
      <c r="K210" s="4">
        <v>41199.1</v>
      </c>
      <c r="L210" s="4">
        <v>8651.6</v>
      </c>
      <c r="M210" s="4">
        <v>0</v>
      </c>
      <c r="N210" s="4">
        <v>49850.7</v>
      </c>
      <c r="O210" s="4">
        <f t="shared" si="9"/>
        <v>8651.6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SUMIFS(Tab_09.Set[SALDO
ATUAL],Tab_09.Set[CONTA],$I211)</f>
        <v>85959.77</v>
      </c>
      <c r="G211" s="4">
        <f t="shared" si="8"/>
        <v>0</v>
      </c>
      <c r="H211" s="1"/>
      <c r="I211" s="3" t="s">
        <v>777</v>
      </c>
      <c r="J211" s="3" t="s">
        <v>749</v>
      </c>
      <c r="K211" s="4">
        <v>85959.77</v>
      </c>
      <c r="L211" s="4">
        <v>0</v>
      </c>
      <c r="M211" s="4">
        <v>0</v>
      </c>
      <c r="N211" s="4">
        <v>85959.77</v>
      </c>
      <c r="O211" s="4">
        <f t="shared" si="9"/>
        <v>0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SUMIFS(Tab_09.Set[SALDO
ATUAL],Tab_09.Set[CONTA],$I212)</f>
        <v>1576.67</v>
      </c>
      <c r="G212" s="4">
        <f t="shared" si="8"/>
        <v>0</v>
      </c>
      <c r="H212" s="1"/>
      <c r="I212" s="3" t="s">
        <v>447</v>
      </c>
      <c r="J212" s="3" t="s">
        <v>448</v>
      </c>
      <c r="K212" s="4">
        <v>1576.67</v>
      </c>
      <c r="L212" s="4">
        <v>0</v>
      </c>
      <c r="M212" s="4">
        <v>0</v>
      </c>
      <c r="N212" s="4">
        <v>1576.67</v>
      </c>
      <c r="O212" s="4">
        <f t="shared" si="9"/>
        <v>0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SUMIFS(Tab_09.Set[SALDO
ATUAL],Tab_09.Set[CONTA],$I213)</f>
        <v>8227.25</v>
      </c>
      <c r="G213" s="4">
        <f t="shared" si="8"/>
        <v>0</v>
      </c>
      <c r="H213" s="1"/>
      <c r="I213" s="3" t="s">
        <v>808</v>
      </c>
      <c r="J213" s="3" t="s">
        <v>797</v>
      </c>
      <c r="K213" s="4">
        <v>8227.25</v>
      </c>
      <c r="L213" s="4">
        <v>0</v>
      </c>
      <c r="M213" s="4">
        <v>0</v>
      </c>
      <c r="N213" s="4">
        <v>8227.25</v>
      </c>
      <c r="O213" s="4">
        <f t="shared" si="9"/>
        <v>0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SUMIFS(Tab_09.Set[SALDO
ATUAL],Tab_09.Set[CONTA],$I214)</f>
        <v>11878.87</v>
      </c>
      <c r="G214" s="4">
        <f t="shared" si="8"/>
        <v>0</v>
      </c>
      <c r="H214" s="1"/>
      <c r="I214" s="3" t="s">
        <v>809</v>
      </c>
      <c r="J214" s="3" t="s">
        <v>799</v>
      </c>
      <c r="K214" s="4">
        <v>11878.87</v>
      </c>
      <c r="L214" s="4">
        <v>0</v>
      </c>
      <c r="M214" s="4">
        <v>0</v>
      </c>
      <c r="N214" s="4">
        <v>11878.87</v>
      </c>
      <c r="O214" s="4">
        <f t="shared" si="9"/>
        <v>0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SUMIFS(Tab_09.Set[SALDO
ATUAL],Tab_09.Set[CONTA],$I215)</f>
        <v>272.25</v>
      </c>
      <c r="G215" s="4">
        <f t="shared" si="8"/>
        <v>0</v>
      </c>
      <c r="H215" s="1"/>
      <c r="I215" s="3" t="s">
        <v>810</v>
      </c>
      <c r="J215" s="3" t="s">
        <v>801</v>
      </c>
      <c r="K215" s="4">
        <v>272.25</v>
      </c>
      <c r="L215" s="4">
        <v>0</v>
      </c>
      <c r="M215" s="4">
        <v>0</v>
      </c>
      <c r="N215" s="4">
        <v>272.25</v>
      </c>
      <c r="O215" s="4">
        <f t="shared" si="9"/>
        <v>0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SUMIFS(Tab_09.Set[SALDO
ATUAL],Tab_09.Set[CONTA],$I216)</f>
        <v>9441.61</v>
      </c>
      <c r="G216" s="4">
        <f t="shared" si="8"/>
        <v>0</v>
      </c>
      <c r="H216" s="1"/>
      <c r="I216" s="3" t="s">
        <v>811</v>
      </c>
      <c r="J216" s="3" t="s">
        <v>803</v>
      </c>
      <c r="K216" s="4">
        <v>9441.61</v>
      </c>
      <c r="L216" s="4">
        <v>2316.54</v>
      </c>
      <c r="M216" s="4">
        <v>0</v>
      </c>
      <c r="N216" s="4">
        <v>11758.15</v>
      </c>
      <c r="O216" s="4">
        <f t="shared" si="9"/>
        <v>2316.54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SUMIFS(Tab_09.Set[SALDO
ATUAL],Tab_09.Set[CONTA],$I217)</f>
        <v>2818.32</v>
      </c>
      <c r="G217" s="4">
        <f t="shared" si="8"/>
        <v>0</v>
      </c>
      <c r="H217" s="1"/>
      <c r="I217" s="3" t="s">
        <v>812</v>
      </c>
      <c r="J217" s="3" t="s">
        <v>805</v>
      </c>
      <c r="K217" s="4">
        <v>2818.32</v>
      </c>
      <c r="L217" s="4">
        <v>692.14</v>
      </c>
      <c r="M217" s="4">
        <v>0</v>
      </c>
      <c r="N217" s="4">
        <v>3510.46</v>
      </c>
      <c r="O217" s="4">
        <f t="shared" si="9"/>
        <v>692.14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SUMIFS(Tab_09.Set[SALDO
ATUAL],Tab_09.Set[CONTA],$I218)</f>
        <v>365.15</v>
      </c>
      <c r="G218" s="4">
        <f t="shared" si="8"/>
        <v>0</v>
      </c>
      <c r="H218" s="1"/>
      <c r="I218" s="3" t="s">
        <v>813</v>
      </c>
      <c r="J218" s="3" t="s">
        <v>807</v>
      </c>
      <c r="K218" s="4">
        <v>365.15</v>
      </c>
      <c r="L218" s="4">
        <v>86.45</v>
      </c>
      <c r="M218" s="4">
        <v>0</v>
      </c>
      <c r="N218" s="4">
        <v>451.6</v>
      </c>
      <c r="O218" s="4">
        <f t="shared" si="9"/>
        <v>86.45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S</v>
      </c>
      <c r="E219" s="2">
        <f>IF($I219="","",COUNTIFS(Tab_00.Trial[CONTA],$I219))</f>
        <v>1</v>
      </c>
      <c r="F219" s="4">
        <f>SUMIFS(Tab_09.Set[SALDO
ATUAL],Tab_09.Set[CONTA],$I219)</f>
        <v>1014</v>
      </c>
      <c r="G219" s="4">
        <f t="shared" si="8"/>
        <v>0</v>
      </c>
      <c r="H219" s="1"/>
      <c r="I219" s="3" t="s">
        <v>602</v>
      </c>
      <c r="J219" s="3" t="s">
        <v>708</v>
      </c>
      <c r="K219" s="4">
        <v>1014</v>
      </c>
      <c r="L219" s="4">
        <v>0</v>
      </c>
      <c r="M219" s="4">
        <v>0</v>
      </c>
      <c r="N219" s="4">
        <v>1014</v>
      </c>
      <c r="O219" s="4">
        <f t="shared" si="9"/>
        <v>0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SUMIFS(Tab_09.Set[SALDO
ATUAL],Tab_09.Set[CONTA],$I220)</f>
        <v>1014</v>
      </c>
      <c r="G220" s="4">
        <f t="shared" si="8"/>
        <v>0</v>
      </c>
      <c r="H220" s="1"/>
      <c r="I220" s="3" t="s">
        <v>455</v>
      </c>
      <c r="J220" s="3" t="s">
        <v>456</v>
      </c>
      <c r="K220" s="4">
        <v>1014</v>
      </c>
      <c r="L220" s="4">
        <v>0</v>
      </c>
      <c r="M220" s="4">
        <v>0</v>
      </c>
      <c r="N220" s="4">
        <v>1014</v>
      </c>
      <c r="O220" s="4">
        <f t="shared" si="9"/>
        <v>0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S</v>
      </c>
      <c r="E221" s="2">
        <f>IF($I221="","",COUNTIFS(Tab_00.Trial[CONTA],$I221))</f>
        <v>1</v>
      </c>
      <c r="F221" s="4">
        <f>SUMIFS(Tab_09.Set[SALDO
ATUAL],Tab_09.Set[CONTA],$I221)</f>
        <v>323000.17</v>
      </c>
      <c r="G221" s="4">
        <f t="shared" si="8"/>
        <v>0</v>
      </c>
      <c r="H221" s="1"/>
      <c r="I221" s="3" t="s">
        <v>603</v>
      </c>
      <c r="J221" s="3" t="s">
        <v>709</v>
      </c>
      <c r="K221" s="4">
        <v>323000.17</v>
      </c>
      <c r="L221" s="4">
        <v>15479.57</v>
      </c>
      <c r="M221" s="4">
        <v>0</v>
      </c>
      <c r="N221" s="4">
        <v>338479.74</v>
      </c>
      <c r="O221" s="4">
        <f t="shared" si="9"/>
        <v>15479.57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SUMIFS(Tab_09.Set[SALDO
ATUAL],Tab_09.Set[CONTA],$I222)</f>
        <v>103942.8</v>
      </c>
      <c r="G222" s="4">
        <f t="shared" si="8"/>
        <v>0</v>
      </c>
      <c r="H222" s="1"/>
      <c r="I222" s="3" t="s">
        <v>451</v>
      </c>
      <c r="J222" s="3" t="s">
        <v>437</v>
      </c>
      <c r="K222" s="4">
        <v>103942.8</v>
      </c>
      <c r="L222" s="4">
        <v>11588.06</v>
      </c>
      <c r="M222" s="4">
        <v>0</v>
      </c>
      <c r="N222" s="4">
        <v>115530.86</v>
      </c>
      <c r="O222" s="4">
        <f t="shared" si="9"/>
        <v>11588.06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SUMIFS(Tab_09.Set[SALDO
ATUAL],Tab_09.Set[CONTA],$I223)</f>
        <v>215178.31</v>
      </c>
      <c r="G223" s="4">
        <f t="shared" si="8"/>
        <v>0</v>
      </c>
      <c r="H223" s="1"/>
      <c r="I223" s="3" t="s">
        <v>452</v>
      </c>
      <c r="J223" s="3" t="s">
        <v>196</v>
      </c>
      <c r="K223" s="4">
        <v>215178.31</v>
      </c>
      <c r="L223" s="4">
        <v>3459.12</v>
      </c>
      <c r="M223" s="4">
        <v>0</v>
      </c>
      <c r="N223" s="4">
        <v>218637.43</v>
      </c>
      <c r="O223" s="4">
        <f t="shared" si="9"/>
        <v>3459.12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SUMIFS(Tab_09.Set[SALDO
ATUAL],Tab_09.Set[CONTA],$I224)</f>
        <v>3879.06</v>
      </c>
      <c r="G224" s="4">
        <f t="shared" si="8"/>
        <v>0</v>
      </c>
      <c r="H224" s="1"/>
      <c r="I224" s="3" t="s">
        <v>453</v>
      </c>
      <c r="J224" s="3" t="s">
        <v>454</v>
      </c>
      <c r="K224" s="4">
        <v>3879.06</v>
      </c>
      <c r="L224" s="4">
        <v>432.39</v>
      </c>
      <c r="M224" s="4">
        <v>0</v>
      </c>
      <c r="N224" s="4">
        <v>4311.45</v>
      </c>
      <c r="O224" s="4">
        <f t="shared" si="9"/>
        <v>432.39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S</v>
      </c>
      <c r="E225" s="2">
        <f>IF($I225="","",COUNTIFS(Tab_00.Trial[CONTA],$I225))</f>
        <v>1</v>
      </c>
      <c r="F225" s="4">
        <f>SUMIFS(Tab_09.Set[SALDO
ATUAL],Tab_09.Set[CONTA],$I225)</f>
        <v>2925</v>
      </c>
      <c r="G225" s="4">
        <f t="shared" si="8"/>
        <v>0</v>
      </c>
      <c r="I225" s="3" t="s">
        <v>604</v>
      </c>
      <c r="J225" s="3" t="s">
        <v>710</v>
      </c>
      <c r="K225" s="4">
        <v>2925</v>
      </c>
      <c r="L225" s="4">
        <v>280</v>
      </c>
      <c r="M225" s="4">
        <v>0</v>
      </c>
      <c r="N225" s="4">
        <v>3205</v>
      </c>
      <c r="O225" s="4">
        <f t="shared" si="9"/>
        <v>280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SUMIFS(Tab_09.Set[SALDO
ATUAL],Tab_09.Set[CONTA],$I226)</f>
        <v>2925</v>
      </c>
      <c r="G226" s="4">
        <f t="shared" si="8"/>
        <v>0</v>
      </c>
      <c r="I226" s="3" t="s">
        <v>457</v>
      </c>
      <c r="J226" s="3" t="s">
        <v>458</v>
      </c>
      <c r="K226" s="4">
        <v>2925</v>
      </c>
      <c r="L226" s="4">
        <v>280</v>
      </c>
      <c r="M226" s="4">
        <v>0</v>
      </c>
      <c r="N226" s="4">
        <v>3205</v>
      </c>
      <c r="O226" s="4">
        <f t="shared" si="9"/>
        <v>280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S</v>
      </c>
      <c r="E227" s="2">
        <f>IF($I227="","",COUNTIFS(Tab_00.Trial[CONTA],$I227))</f>
        <v>1</v>
      </c>
      <c r="F227" s="4">
        <f>SUMIFS(Tab_09.Set[SALDO
ATUAL],Tab_09.Set[CONTA],$I227)</f>
        <v>1358889.56</v>
      </c>
      <c r="G227" s="4">
        <f t="shared" si="8"/>
        <v>0</v>
      </c>
      <c r="I227" s="3" t="s">
        <v>605</v>
      </c>
      <c r="J227" s="3" t="s">
        <v>711</v>
      </c>
      <c r="K227" s="4">
        <v>1358889.56</v>
      </c>
      <c r="L227" s="4">
        <v>161531.21</v>
      </c>
      <c r="M227" s="4">
        <v>0</v>
      </c>
      <c r="N227" s="4">
        <v>1520420.77</v>
      </c>
      <c r="O227" s="4">
        <f t="shared" si="9"/>
        <v>161531.21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SUMIFS(Tab_09.Set[SALDO
ATUAL],Tab_09.Set[CONTA],$I228)</f>
        <v>612194.82999999996</v>
      </c>
      <c r="G228" s="4">
        <f t="shared" si="8"/>
        <v>0</v>
      </c>
      <c r="I228" s="3" t="s">
        <v>606</v>
      </c>
      <c r="J228" s="3" t="s">
        <v>712</v>
      </c>
      <c r="K228" s="4">
        <v>612194.82999999996</v>
      </c>
      <c r="L228" s="4">
        <v>78565.13</v>
      </c>
      <c r="M228" s="4">
        <v>0</v>
      </c>
      <c r="N228" s="4">
        <v>690759.96</v>
      </c>
      <c r="O228" s="4">
        <f t="shared" si="9"/>
        <v>78565.13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SUMIFS(Tab_09.Set[SALDO
ATUAL],Tab_09.Set[CONTA],$I229)</f>
        <v>70601.56</v>
      </c>
      <c r="G229" s="4">
        <f t="shared" si="8"/>
        <v>0</v>
      </c>
      <c r="I229" s="3" t="s">
        <v>459</v>
      </c>
      <c r="J229" s="3" t="s">
        <v>460</v>
      </c>
      <c r="K229" s="4">
        <v>70601.56</v>
      </c>
      <c r="L229" s="4">
        <v>9157.56</v>
      </c>
      <c r="M229" s="4">
        <v>0</v>
      </c>
      <c r="N229" s="4">
        <v>79759.12</v>
      </c>
      <c r="O229" s="4">
        <f t="shared" si="9"/>
        <v>9157.56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A</v>
      </c>
      <c r="E230" s="2">
        <f>IF($I230="","",COUNTIFS(Tab_00.Trial[CONTA],$I230))</f>
        <v>1</v>
      </c>
      <c r="F230" s="4">
        <f>SUMIFS(Tab_09.Set[SALDO
ATUAL],Tab_09.Set[CONTA],$I230)</f>
        <v>131622.1</v>
      </c>
      <c r="G230" s="4">
        <f t="shared" si="8"/>
        <v>0</v>
      </c>
      <c r="I230" s="3" t="s">
        <v>461</v>
      </c>
      <c r="J230" s="3" t="s">
        <v>462</v>
      </c>
      <c r="K230" s="4">
        <v>131622.1</v>
      </c>
      <c r="L230" s="4">
        <v>12350</v>
      </c>
      <c r="M230" s="4">
        <v>0</v>
      </c>
      <c r="N230" s="4">
        <v>143972.1</v>
      </c>
      <c r="O230" s="4">
        <f t="shared" si="9"/>
        <v>12350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SUMIFS(Tab_09.Set[SALDO
ATUAL],Tab_09.Set[CONTA],$I231)</f>
        <v>21500.01</v>
      </c>
      <c r="G231" s="4">
        <f t="shared" si="8"/>
        <v>0</v>
      </c>
      <c r="I231" s="3" t="s">
        <v>463</v>
      </c>
      <c r="J231" s="3" t="s">
        <v>464</v>
      </c>
      <c r="K231" s="4">
        <v>21500.01</v>
      </c>
      <c r="L231" s="4">
        <v>0</v>
      </c>
      <c r="M231" s="4">
        <v>0</v>
      </c>
      <c r="N231" s="4">
        <v>21500.01</v>
      </c>
      <c r="O231" s="4">
        <f t="shared" si="9"/>
        <v>0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SUMIFS(Tab_09.Set[SALDO
ATUAL],Tab_09.Set[CONTA],$I232)</f>
        <v>246320.03</v>
      </c>
      <c r="G232" s="4">
        <f t="shared" si="8"/>
        <v>0</v>
      </c>
      <c r="I232" s="3" t="s">
        <v>465</v>
      </c>
      <c r="J232" s="3" t="s">
        <v>466</v>
      </c>
      <c r="K232" s="4">
        <v>246320.03</v>
      </c>
      <c r="L232" s="4">
        <v>42074.27</v>
      </c>
      <c r="M232" s="4">
        <v>0</v>
      </c>
      <c r="N232" s="4">
        <v>288394.3</v>
      </c>
      <c r="O232" s="4">
        <f t="shared" si="9"/>
        <v>42074.27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SUMIFS(Tab_09.Set[SALDO
ATUAL],Tab_09.Set[CONTA],$I233)</f>
        <v>40500</v>
      </c>
      <c r="G233" s="4">
        <f t="shared" si="8"/>
        <v>0</v>
      </c>
      <c r="I233" s="3" t="s">
        <v>473</v>
      </c>
      <c r="J233" s="3" t="s">
        <v>474</v>
      </c>
      <c r="K233" s="4">
        <v>40500</v>
      </c>
      <c r="L233" s="4">
        <v>4500</v>
      </c>
      <c r="M233" s="4">
        <v>0</v>
      </c>
      <c r="N233" s="4">
        <v>45000</v>
      </c>
      <c r="O233" s="4">
        <f t="shared" si="9"/>
        <v>4500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SUMIFS(Tab_09.Set[SALDO
ATUAL],Tab_09.Set[CONTA],$I234)</f>
        <v>2012.04</v>
      </c>
      <c r="G234" s="4">
        <f t="shared" si="8"/>
        <v>0</v>
      </c>
      <c r="I234" s="3" t="s">
        <v>467</v>
      </c>
      <c r="J234" s="3" t="s">
        <v>468</v>
      </c>
      <c r="K234" s="4">
        <v>2012.04</v>
      </c>
      <c r="L234" s="4">
        <v>223.56</v>
      </c>
      <c r="M234" s="4">
        <v>0</v>
      </c>
      <c r="N234" s="4">
        <v>2235.6</v>
      </c>
      <c r="O234" s="4">
        <f t="shared" si="9"/>
        <v>223.56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SUMIFS(Tab_09.Set[SALDO
ATUAL],Tab_09.Set[CONTA],$I235)</f>
        <v>56098.74</v>
      </c>
      <c r="G235" s="4">
        <f t="shared" si="8"/>
        <v>0</v>
      </c>
      <c r="I235" s="3" t="s">
        <v>469</v>
      </c>
      <c r="J235" s="3" t="s">
        <v>470</v>
      </c>
      <c r="K235" s="4">
        <v>56098.74</v>
      </c>
      <c r="L235" s="4">
        <v>4950</v>
      </c>
      <c r="M235" s="4">
        <v>0</v>
      </c>
      <c r="N235" s="4">
        <v>61048.74</v>
      </c>
      <c r="O235" s="4">
        <f t="shared" si="9"/>
        <v>4950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SUMIFS(Tab_09.Set[SALDO
ATUAL],Tab_09.Set[CONTA],$I236)</f>
        <v>43540.35</v>
      </c>
      <c r="G236" s="4">
        <f t="shared" si="8"/>
        <v>0</v>
      </c>
      <c r="I236" s="3" t="s">
        <v>471</v>
      </c>
      <c r="J236" s="3" t="s">
        <v>472</v>
      </c>
      <c r="K236" s="4">
        <v>43540.35</v>
      </c>
      <c r="L236" s="4">
        <v>5309.74</v>
      </c>
      <c r="M236" s="4">
        <v>0</v>
      </c>
      <c r="N236" s="4">
        <v>48850.09</v>
      </c>
      <c r="O236" s="4">
        <f t="shared" si="9"/>
        <v>5309.74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S</v>
      </c>
      <c r="E237" s="2">
        <f>IF($I237="","",COUNTIFS(Tab_00.Trial[CONTA],$I237))</f>
        <v>1</v>
      </c>
      <c r="F237" s="4">
        <f>SUMIFS(Tab_09.Set[SALDO
ATUAL],Tab_09.Set[CONTA],$I237)</f>
        <v>746694.73</v>
      </c>
      <c r="G237" s="4">
        <f t="shared" si="8"/>
        <v>0</v>
      </c>
      <c r="I237" s="3" t="s">
        <v>608</v>
      </c>
      <c r="J237" s="3" t="s">
        <v>713</v>
      </c>
      <c r="K237" s="4">
        <v>746694.73</v>
      </c>
      <c r="L237" s="4">
        <v>82966.080000000002</v>
      </c>
      <c r="M237" s="4">
        <v>0</v>
      </c>
      <c r="N237" s="4">
        <v>829660.81</v>
      </c>
      <c r="O237" s="4">
        <f t="shared" si="9"/>
        <v>82966.080000000002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SUMIFS(Tab_09.Set[SALDO
ATUAL],Tab_09.Set[CONTA],$I238)</f>
        <v>161820.73000000001</v>
      </c>
      <c r="G238" s="4">
        <f t="shared" si="8"/>
        <v>0</v>
      </c>
      <c r="I238" s="3" t="s">
        <v>741</v>
      </c>
      <c r="J238" s="3" t="s">
        <v>742</v>
      </c>
      <c r="K238" s="4">
        <v>161820.73000000001</v>
      </c>
      <c r="L238" s="4">
        <v>17980.080000000002</v>
      </c>
      <c r="M238" s="4">
        <v>0</v>
      </c>
      <c r="N238" s="4">
        <v>179800.81</v>
      </c>
      <c r="O238" s="4">
        <f t="shared" si="9"/>
        <v>17980.080000000002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SUMIFS(Tab_09.Set[SALDO
ATUAL],Tab_09.Set[CONTA],$I239)</f>
        <v>67500</v>
      </c>
      <c r="G239" s="4">
        <f t="shared" si="8"/>
        <v>0</v>
      </c>
      <c r="I239" s="3" t="s">
        <v>839</v>
      </c>
      <c r="J239" s="3" t="s">
        <v>840</v>
      </c>
      <c r="K239" s="4">
        <v>67500</v>
      </c>
      <c r="L239" s="4">
        <v>7500</v>
      </c>
      <c r="M239" s="4">
        <v>0</v>
      </c>
      <c r="N239" s="4">
        <v>75000</v>
      </c>
      <c r="O239" s="4">
        <f t="shared" si="9"/>
        <v>7500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SUMIFS(Tab_09.Set[SALDO
ATUAL],Tab_09.Set[CONTA],$I240)</f>
        <v>517374</v>
      </c>
      <c r="G240" s="4">
        <f t="shared" si="8"/>
        <v>0</v>
      </c>
      <c r="I240" s="3" t="s">
        <v>480</v>
      </c>
      <c r="J240" s="3" t="s">
        <v>481</v>
      </c>
      <c r="K240" s="4">
        <v>517374</v>
      </c>
      <c r="L240" s="4">
        <v>57486</v>
      </c>
      <c r="M240" s="4">
        <v>0</v>
      </c>
      <c r="N240" s="4">
        <v>574860</v>
      </c>
      <c r="O240" s="4">
        <f t="shared" si="9"/>
        <v>57486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S</v>
      </c>
      <c r="E241" s="2">
        <f>IF($I241="","",COUNTIFS(Tab_00.Trial[CONTA],$I241))</f>
        <v>1</v>
      </c>
      <c r="F241" s="4">
        <f>SUMIFS(Tab_09.Set[SALDO
ATUAL],Tab_09.Set[CONTA],$I241)</f>
        <v>17796.89</v>
      </c>
      <c r="G241" s="4">
        <f t="shared" si="8"/>
        <v>0</v>
      </c>
      <c r="I241" s="3" t="s">
        <v>609</v>
      </c>
      <c r="J241" s="3" t="s">
        <v>714</v>
      </c>
      <c r="K241" s="4">
        <v>17796.89</v>
      </c>
      <c r="L241" s="4">
        <v>1300.33</v>
      </c>
      <c r="M241" s="4">
        <v>0</v>
      </c>
      <c r="N241" s="4">
        <v>19097.22</v>
      </c>
      <c r="O241" s="4">
        <f t="shared" si="9"/>
        <v>1300.33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S</v>
      </c>
      <c r="E242" s="2">
        <f>IF($I242="","",COUNTIFS(Tab_00.Trial[CONTA],$I242))</f>
        <v>1</v>
      </c>
      <c r="F242" s="4">
        <f>SUMIFS(Tab_09.Set[SALDO
ATUAL],Tab_09.Set[CONTA],$I242)</f>
        <v>17568.89</v>
      </c>
      <c r="G242" s="4">
        <f t="shared" si="8"/>
        <v>0</v>
      </c>
      <c r="I242" s="3" t="s">
        <v>610</v>
      </c>
      <c r="J242" s="3" t="s">
        <v>714</v>
      </c>
      <c r="K242" s="4">
        <v>17568.89</v>
      </c>
      <c r="L242" s="4">
        <v>1300.33</v>
      </c>
      <c r="M242" s="4">
        <v>0</v>
      </c>
      <c r="N242" s="4">
        <v>18869.22</v>
      </c>
      <c r="O242" s="4">
        <f t="shared" si="9"/>
        <v>1300.33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SUMIFS(Tab_09.Set[SALDO
ATUAL],Tab_09.Set[CONTA],$I243)</f>
        <v>5436.61</v>
      </c>
      <c r="G243" s="4">
        <f t="shared" si="8"/>
        <v>0</v>
      </c>
      <c r="I243" s="3" t="s">
        <v>482</v>
      </c>
      <c r="J243" s="3" t="s">
        <v>483</v>
      </c>
      <c r="K243" s="4">
        <v>5436.61</v>
      </c>
      <c r="L243" s="4">
        <v>456</v>
      </c>
      <c r="M243" s="4">
        <v>0</v>
      </c>
      <c r="N243" s="4">
        <v>5892.61</v>
      </c>
      <c r="O243" s="4">
        <f t="shared" si="9"/>
        <v>456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A</v>
      </c>
      <c r="E244" s="2">
        <f>IF($I244="","",COUNTIFS(Tab_00.Trial[CONTA],$I244))</f>
        <v>1</v>
      </c>
      <c r="F244" s="4">
        <f>SUMIFS(Tab_09.Set[SALDO
ATUAL],Tab_09.Set[CONTA],$I244)</f>
        <v>5000</v>
      </c>
      <c r="G244" s="4">
        <f t="shared" si="8"/>
        <v>0</v>
      </c>
      <c r="I244" s="3" t="s">
        <v>752</v>
      </c>
      <c r="J244" s="3" t="s">
        <v>753</v>
      </c>
      <c r="K244" s="4">
        <v>5000</v>
      </c>
      <c r="L244" s="4">
        <v>0</v>
      </c>
      <c r="M244" s="4">
        <v>0</v>
      </c>
      <c r="N244" s="4">
        <v>5000</v>
      </c>
      <c r="O244" s="4">
        <f t="shared" si="9"/>
        <v>0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SUMIFS(Tab_09.Set[SALDO
ATUAL],Tab_09.Set[CONTA],$I245)</f>
        <v>7132.28</v>
      </c>
      <c r="G245" s="4">
        <f t="shared" si="8"/>
        <v>0</v>
      </c>
      <c r="I245" s="3" t="s">
        <v>484</v>
      </c>
      <c r="J245" s="3" t="s">
        <v>485</v>
      </c>
      <c r="K245" s="4">
        <v>7132.28</v>
      </c>
      <c r="L245" s="4">
        <v>844.33</v>
      </c>
      <c r="M245" s="4">
        <v>0</v>
      </c>
      <c r="N245" s="4">
        <v>7976.61</v>
      </c>
      <c r="O245" s="4">
        <f t="shared" si="9"/>
        <v>844.33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S</v>
      </c>
      <c r="E246" s="2">
        <f>IF($I246="","",COUNTIFS(Tab_00.Trial[CONTA],$I246))</f>
        <v>1</v>
      </c>
      <c r="F246" s="4">
        <f>SUMIFS(Tab_09.Set[SALDO
ATUAL],Tab_09.Set[CONTA],$I246)</f>
        <v>228</v>
      </c>
      <c r="G246" s="4">
        <f t="shared" si="8"/>
        <v>0</v>
      </c>
      <c r="I246" s="3" t="s">
        <v>611</v>
      </c>
      <c r="J246" s="3" t="s">
        <v>715</v>
      </c>
      <c r="K246" s="4">
        <v>228</v>
      </c>
      <c r="L246" s="4">
        <v>0</v>
      </c>
      <c r="M246" s="4">
        <v>0</v>
      </c>
      <c r="N246" s="4">
        <v>228</v>
      </c>
      <c r="O246" s="4">
        <f t="shared" si="9"/>
        <v>0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SUMIFS(Tab_09.Set[SALDO
ATUAL],Tab_09.Set[CONTA],$I247)</f>
        <v>228</v>
      </c>
      <c r="G247" s="4">
        <f t="shared" si="8"/>
        <v>0</v>
      </c>
      <c r="I247" s="3" t="s">
        <v>489</v>
      </c>
      <c r="J247" s="3" t="s">
        <v>490</v>
      </c>
      <c r="K247" s="4">
        <v>228</v>
      </c>
      <c r="L247" s="4">
        <v>0</v>
      </c>
      <c r="M247" s="4">
        <v>0</v>
      </c>
      <c r="N247" s="4">
        <v>228</v>
      </c>
      <c r="O247" s="4">
        <f t="shared" si="9"/>
        <v>0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SUMIFS(Tab_09.Set[SALDO
ATUAL],Tab_09.Set[CONTA],$I248)</f>
        <v>95404.99</v>
      </c>
      <c r="G248" s="4">
        <f t="shared" si="8"/>
        <v>0</v>
      </c>
      <c r="I248" s="3" t="s">
        <v>612</v>
      </c>
      <c r="J248" s="3" t="s">
        <v>716</v>
      </c>
      <c r="K248" s="4">
        <v>95404.99</v>
      </c>
      <c r="L248" s="4">
        <v>7085.09</v>
      </c>
      <c r="M248" s="4">
        <v>0</v>
      </c>
      <c r="N248" s="4">
        <v>102490.08</v>
      </c>
      <c r="O248" s="4">
        <f t="shared" si="9"/>
        <v>7085.09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S</v>
      </c>
      <c r="E249" s="2">
        <f>IF($I249="","",COUNTIFS(Tab_00.Trial[CONTA],$I249))</f>
        <v>1</v>
      </c>
      <c r="F249" s="4">
        <f>SUMIFS(Tab_09.Set[SALDO
ATUAL],Tab_09.Set[CONTA],$I249)</f>
        <v>49954.59</v>
      </c>
      <c r="G249" s="4">
        <f t="shared" si="8"/>
        <v>0</v>
      </c>
      <c r="I249" s="3" t="s">
        <v>613</v>
      </c>
      <c r="J249" s="3" t="s">
        <v>717</v>
      </c>
      <c r="K249" s="4">
        <v>49954.59</v>
      </c>
      <c r="L249" s="4">
        <v>3567.61</v>
      </c>
      <c r="M249" s="4">
        <v>0</v>
      </c>
      <c r="N249" s="4">
        <v>53522.2</v>
      </c>
      <c r="O249" s="4">
        <f t="shared" si="9"/>
        <v>3567.61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SUMIFS(Tab_09.Set[SALDO
ATUAL],Tab_09.Set[CONTA],$I250)</f>
        <v>22375.78</v>
      </c>
      <c r="G250" s="4">
        <f t="shared" si="8"/>
        <v>0</v>
      </c>
      <c r="I250" s="3" t="s">
        <v>491</v>
      </c>
      <c r="J250" s="3" t="s">
        <v>492</v>
      </c>
      <c r="K250" s="4">
        <v>22375.78</v>
      </c>
      <c r="L250" s="4">
        <v>1970.55</v>
      </c>
      <c r="M250" s="4">
        <v>0</v>
      </c>
      <c r="N250" s="4">
        <v>24346.33</v>
      </c>
      <c r="O250" s="4">
        <f t="shared" si="9"/>
        <v>1970.55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A</v>
      </c>
      <c r="E251" s="2">
        <f>IF($I251="","",COUNTIFS(Tab_00.Trial[CONTA],$I251))</f>
        <v>1</v>
      </c>
      <c r="F251" s="4">
        <f>SUMIFS(Tab_09.Set[SALDO
ATUAL],Tab_09.Set[CONTA],$I251)</f>
        <v>14859.44</v>
      </c>
      <c r="G251" s="4">
        <f t="shared" si="8"/>
        <v>0</v>
      </c>
      <c r="I251" s="3" t="s">
        <v>493</v>
      </c>
      <c r="J251" s="3" t="s">
        <v>494</v>
      </c>
      <c r="K251" s="4">
        <v>14859.44</v>
      </c>
      <c r="L251" s="4">
        <v>0</v>
      </c>
      <c r="M251" s="4">
        <v>0</v>
      </c>
      <c r="N251" s="4">
        <v>14859.44</v>
      </c>
      <c r="O251" s="4">
        <f t="shared" si="9"/>
        <v>0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SUMIFS(Tab_09.Set[SALDO
ATUAL],Tab_09.Set[CONTA],$I252)</f>
        <v>12719.37</v>
      </c>
      <c r="G252" s="4">
        <f t="shared" si="8"/>
        <v>0</v>
      </c>
      <c r="I252" s="3" t="s">
        <v>495</v>
      </c>
      <c r="J252" s="3" t="s">
        <v>496</v>
      </c>
      <c r="K252" s="4">
        <v>12719.37</v>
      </c>
      <c r="L252" s="4">
        <v>1597.06</v>
      </c>
      <c r="M252" s="4">
        <v>0</v>
      </c>
      <c r="N252" s="4">
        <v>14316.43</v>
      </c>
      <c r="O252" s="4">
        <f t="shared" si="9"/>
        <v>1597.06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S</v>
      </c>
      <c r="E253" s="2">
        <f>IF($I253="","",COUNTIFS(Tab_00.Trial[CONTA],$I253))</f>
        <v>1</v>
      </c>
      <c r="F253" s="4">
        <f>SUMIFS(Tab_09.Set[SALDO
ATUAL],Tab_09.Set[CONTA],$I253)</f>
        <v>45450.400000000001</v>
      </c>
      <c r="G253" s="4">
        <f t="shared" si="8"/>
        <v>0</v>
      </c>
      <c r="I253" s="3" t="s">
        <v>614</v>
      </c>
      <c r="J253" s="3" t="s">
        <v>718</v>
      </c>
      <c r="K253" s="4">
        <v>45450.400000000001</v>
      </c>
      <c r="L253" s="4">
        <v>3517.48</v>
      </c>
      <c r="M253" s="4">
        <v>0</v>
      </c>
      <c r="N253" s="4">
        <v>48967.88</v>
      </c>
      <c r="O253" s="4">
        <f t="shared" si="9"/>
        <v>3517.48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SUMIFS(Tab_09.Set[SALDO
ATUAL],Tab_09.Set[CONTA],$I254)</f>
        <v>95</v>
      </c>
      <c r="G254" s="4">
        <f t="shared" si="8"/>
        <v>0</v>
      </c>
      <c r="I254" s="3" t="s">
        <v>497</v>
      </c>
      <c r="J254" s="3" t="s">
        <v>498</v>
      </c>
      <c r="K254" s="4">
        <v>95</v>
      </c>
      <c r="L254" s="4">
        <v>0</v>
      </c>
      <c r="M254" s="4">
        <v>0</v>
      </c>
      <c r="N254" s="4">
        <v>95</v>
      </c>
      <c r="O254" s="4">
        <f t="shared" si="9"/>
        <v>0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SUMIFS(Tab_09.Set[SALDO
ATUAL],Tab_09.Set[CONTA],$I255)</f>
        <v>21409.439999999999</v>
      </c>
      <c r="G255" s="4">
        <f t="shared" si="8"/>
        <v>0</v>
      </c>
      <c r="I255" s="3" t="s">
        <v>499</v>
      </c>
      <c r="J255" s="3" t="s">
        <v>500</v>
      </c>
      <c r="K255" s="4">
        <v>21409.439999999999</v>
      </c>
      <c r="L255" s="4">
        <v>334.8</v>
      </c>
      <c r="M255" s="4">
        <v>0</v>
      </c>
      <c r="N255" s="4">
        <v>21744.240000000002</v>
      </c>
      <c r="O255" s="4">
        <f t="shared" si="9"/>
        <v>334.8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SUMIFS(Tab_09.Set[SALDO
ATUAL],Tab_09.Set[CONTA],$I256)</f>
        <v>14396.02</v>
      </c>
      <c r="G256" s="4">
        <f t="shared" si="8"/>
        <v>0</v>
      </c>
      <c r="I256" s="3" t="s">
        <v>501</v>
      </c>
      <c r="J256" s="3" t="s">
        <v>502</v>
      </c>
      <c r="K256" s="4">
        <v>14396.02</v>
      </c>
      <c r="L256" s="4">
        <v>166</v>
      </c>
      <c r="M256" s="4">
        <v>0</v>
      </c>
      <c r="N256" s="4">
        <v>14562.02</v>
      </c>
      <c r="O256" s="4">
        <f t="shared" si="9"/>
        <v>166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SUMIFS(Tab_09.Set[SALDO
ATUAL],Tab_09.Set[CONTA],$I257)</f>
        <v>9529.7800000000007</v>
      </c>
      <c r="G257" s="4">
        <f t="shared" si="8"/>
        <v>0</v>
      </c>
      <c r="I257" s="3" t="s">
        <v>503</v>
      </c>
      <c r="J257" s="3" t="s">
        <v>504</v>
      </c>
      <c r="K257" s="4">
        <v>9529.7800000000007</v>
      </c>
      <c r="L257" s="4">
        <v>3016.68</v>
      </c>
      <c r="M257" s="4">
        <v>0</v>
      </c>
      <c r="N257" s="4">
        <v>12546.46</v>
      </c>
      <c r="O257" s="4">
        <f t="shared" si="9"/>
        <v>3016.68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SUMIFS(Tab_09.Set[SALDO
ATUAL],Tab_09.Set[CONTA],$I258)</f>
        <v>20.16</v>
      </c>
      <c r="G258" s="4">
        <f t="shared" si="8"/>
        <v>0</v>
      </c>
      <c r="I258" s="3" t="s">
        <v>505</v>
      </c>
      <c r="J258" s="3" t="s">
        <v>506</v>
      </c>
      <c r="K258" s="4">
        <v>20.16</v>
      </c>
      <c r="L258" s="4">
        <v>0</v>
      </c>
      <c r="M258" s="4">
        <v>0</v>
      </c>
      <c r="N258" s="4">
        <v>20.16</v>
      </c>
      <c r="O258" s="4">
        <f t="shared" si="9"/>
        <v>0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S</v>
      </c>
      <c r="E259" s="2">
        <f>IF($I259="","",COUNTIFS(Tab_00.Trial[CONTA],$I259))</f>
        <v>1</v>
      </c>
      <c r="F259" s="4">
        <f>SUMIFS(Tab_09.Set[SALDO
ATUAL],Tab_09.Set[CONTA],$I259)</f>
        <v>52287.86</v>
      </c>
      <c r="G259" s="4">
        <f t="shared" si="8"/>
        <v>0</v>
      </c>
      <c r="I259" s="3" t="s">
        <v>615</v>
      </c>
      <c r="J259" s="3" t="s">
        <v>719</v>
      </c>
      <c r="K259" s="4">
        <v>52287.86</v>
      </c>
      <c r="L259" s="4">
        <v>6641.29</v>
      </c>
      <c r="M259" s="4">
        <v>0</v>
      </c>
      <c r="N259" s="4">
        <v>58929.15</v>
      </c>
      <c r="O259" s="4">
        <f t="shared" si="9"/>
        <v>6641.29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S</v>
      </c>
      <c r="E260" s="2">
        <f>IF($I260="","",COUNTIFS(Tab_00.Trial[CONTA],$I260))</f>
        <v>1</v>
      </c>
      <c r="F260" s="4">
        <f>SUMIFS(Tab_09.Set[SALDO
ATUAL],Tab_09.Set[CONTA],$I260)</f>
        <v>2577.0700000000002</v>
      </c>
      <c r="G260" s="4">
        <f t="shared" si="8"/>
        <v>0</v>
      </c>
      <c r="I260" s="3" t="s">
        <v>617</v>
      </c>
      <c r="J260" s="3" t="s">
        <v>721</v>
      </c>
      <c r="K260" s="4">
        <v>2577.0700000000002</v>
      </c>
      <c r="L260" s="4">
        <v>291.76</v>
      </c>
      <c r="M260" s="4">
        <v>0</v>
      </c>
      <c r="N260" s="4">
        <v>2868.83</v>
      </c>
      <c r="O260" s="4">
        <f t="shared" si="9"/>
        <v>291.76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SUMIFS(Tab_09.Set[SALDO
ATUAL],Tab_09.Set[CONTA],$I261)</f>
        <v>2577.0700000000002</v>
      </c>
      <c r="G261" s="4">
        <f t="shared" si="8"/>
        <v>0</v>
      </c>
      <c r="I261" s="3" t="s">
        <v>739</v>
      </c>
      <c r="J261" s="3" t="s">
        <v>740</v>
      </c>
      <c r="K261" s="4">
        <v>2577.0700000000002</v>
      </c>
      <c r="L261" s="4">
        <v>291.76</v>
      </c>
      <c r="M261" s="4">
        <v>0</v>
      </c>
      <c r="N261" s="4">
        <v>2868.83</v>
      </c>
      <c r="O261" s="4">
        <f t="shared" si="9"/>
        <v>291.76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S</v>
      </c>
      <c r="E262" s="2">
        <f>IF($I262="","",COUNTIFS(Tab_00.Trial[CONTA],$I262))</f>
        <v>1</v>
      </c>
      <c r="F262" s="4">
        <f>SUMIFS(Tab_09.Set[SALDO
ATUAL],Tab_09.Set[CONTA],$I262)</f>
        <v>23714.41</v>
      </c>
      <c r="G262" s="4">
        <f t="shared" si="8"/>
        <v>0</v>
      </c>
      <c r="I262" s="3" t="s">
        <v>618</v>
      </c>
      <c r="J262" s="3" t="s">
        <v>722</v>
      </c>
      <c r="K262" s="4">
        <v>23714.41</v>
      </c>
      <c r="L262" s="4">
        <v>3235.8</v>
      </c>
      <c r="M262" s="4">
        <v>0</v>
      </c>
      <c r="N262" s="4">
        <v>26950.21</v>
      </c>
      <c r="O262" s="4">
        <f t="shared" si="9"/>
        <v>3235.8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SUMIFS(Tab_09.Set[SALDO
ATUAL],Tab_09.Set[CONTA],$I263)</f>
        <v>23714.41</v>
      </c>
      <c r="G263" s="4">
        <f t="shared" si="8"/>
        <v>0</v>
      </c>
      <c r="I263" s="3" t="s">
        <v>511</v>
      </c>
      <c r="J263" s="3" t="s">
        <v>512</v>
      </c>
      <c r="K263" s="4">
        <v>23714.41</v>
      </c>
      <c r="L263" s="4">
        <v>3235.8</v>
      </c>
      <c r="M263" s="4">
        <v>0</v>
      </c>
      <c r="N263" s="4">
        <v>26950.21</v>
      </c>
      <c r="O263" s="4">
        <f t="shared" si="9"/>
        <v>3235.8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SUMIFS(Tab_09.Set[SALDO
ATUAL],Tab_09.Set[CONTA],$I264)</f>
        <v>25996.38</v>
      </c>
      <c r="G264" s="4">
        <f t="shared" si="8"/>
        <v>0</v>
      </c>
      <c r="I264" s="3" t="s">
        <v>619</v>
      </c>
      <c r="J264" s="3" t="s">
        <v>420</v>
      </c>
      <c r="K264" s="4">
        <v>25996.38</v>
      </c>
      <c r="L264" s="4">
        <v>3113.73</v>
      </c>
      <c r="M264" s="4">
        <v>0</v>
      </c>
      <c r="N264" s="4">
        <v>29110.11</v>
      </c>
      <c r="O264" s="4">
        <f t="shared" si="9"/>
        <v>3113.73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SUMIFS(Tab_09.Set[SALDO
ATUAL],Tab_09.Set[CONTA],$I265)</f>
        <v>25996.38</v>
      </c>
      <c r="G265" s="4">
        <f t="shared" si="8"/>
        <v>0</v>
      </c>
      <c r="I265" s="3" t="s">
        <v>515</v>
      </c>
      <c r="J265" s="3" t="s">
        <v>420</v>
      </c>
      <c r="K265" s="4">
        <v>25996.38</v>
      </c>
      <c r="L265" s="4">
        <v>3113.73</v>
      </c>
      <c r="M265" s="4">
        <v>0</v>
      </c>
      <c r="N265" s="4">
        <v>29110.11</v>
      </c>
      <c r="O265" s="4">
        <f t="shared" si="9"/>
        <v>3113.73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SUMIFS(Tab_09.Set[SALDO
ATUAL],Tab_09.Set[CONTA],$I266)</f>
        <v>14314</v>
      </c>
      <c r="G266" s="4">
        <f t="shared" si="8"/>
        <v>0</v>
      </c>
      <c r="I266" s="3" t="s">
        <v>621</v>
      </c>
      <c r="J266" s="3" t="s">
        <v>723</v>
      </c>
      <c r="K266" s="4">
        <v>14314</v>
      </c>
      <c r="L266" s="4">
        <v>12142.14</v>
      </c>
      <c r="M266" s="4">
        <v>0</v>
      </c>
      <c r="N266" s="4">
        <v>26456.14</v>
      </c>
      <c r="O266" s="4">
        <f t="shared" si="9"/>
        <v>12142.14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SUMIFS(Tab_09.Set[SALDO
ATUAL],Tab_09.Set[CONTA],$I267)</f>
        <v>14314</v>
      </c>
      <c r="G267" s="4">
        <f t="shared" si="8"/>
        <v>0</v>
      </c>
      <c r="I267" s="3" t="s">
        <v>622</v>
      </c>
      <c r="J267" s="3" t="s">
        <v>723</v>
      </c>
      <c r="K267" s="4">
        <v>14314</v>
      </c>
      <c r="L267" s="4">
        <v>12142.14</v>
      </c>
      <c r="M267" s="4">
        <v>0</v>
      </c>
      <c r="N267" s="4">
        <v>26456.14</v>
      </c>
      <c r="O267" s="4">
        <f t="shared" si="9"/>
        <v>12142.14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SUMIFS(Tab_09.Set[SALDO
ATUAL],Tab_09.Set[CONTA],$I268)</f>
        <v>14314</v>
      </c>
      <c r="G268" s="4">
        <f t="shared" si="8"/>
        <v>0</v>
      </c>
      <c r="I268" s="3" t="s">
        <v>518</v>
      </c>
      <c r="J268" s="3" t="s">
        <v>519</v>
      </c>
      <c r="K268" s="4">
        <v>14314</v>
      </c>
      <c r="L268" s="4">
        <v>12142.14</v>
      </c>
      <c r="M268" s="4">
        <v>0</v>
      </c>
      <c r="N268" s="4">
        <v>26456.14</v>
      </c>
      <c r="O268" s="4">
        <f t="shared" si="9"/>
        <v>12142.14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SUMIFS(Tab_09.Set[SALDO
ATUAL],Tab_09.Set[CONTA],$I269)</f>
        <v>36281.99</v>
      </c>
      <c r="G269" s="4">
        <f t="shared" si="8"/>
        <v>0</v>
      </c>
      <c r="I269" s="3" t="s">
        <v>623</v>
      </c>
      <c r="J269" s="3" t="s">
        <v>724</v>
      </c>
      <c r="K269" s="4">
        <v>36281.99</v>
      </c>
      <c r="L269" s="4">
        <v>3666.75</v>
      </c>
      <c r="M269" s="4">
        <v>0</v>
      </c>
      <c r="N269" s="4">
        <v>39948.74</v>
      </c>
      <c r="O269" s="4">
        <f t="shared" si="9"/>
        <v>3666.75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SUMIFS(Tab_09.Set[SALDO
ATUAL],Tab_09.Set[CONTA],$I270)</f>
        <v>36281.99</v>
      </c>
      <c r="G270" s="4">
        <f t="shared" ref="G270:G298" si="10">$F270-$K270</f>
        <v>0</v>
      </c>
      <c r="I270" s="3" t="s">
        <v>624</v>
      </c>
      <c r="J270" s="3" t="s">
        <v>724</v>
      </c>
      <c r="K270" s="4">
        <v>36281.99</v>
      </c>
      <c r="L270" s="4">
        <v>3666.75</v>
      </c>
      <c r="M270" s="4">
        <v>0</v>
      </c>
      <c r="N270" s="4">
        <v>39948.74</v>
      </c>
      <c r="O270" s="4">
        <f t="shared" ref="O270:O298" si="11">$L270-$M270</f>
        <v>3666.75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SUMIFS(Tab_09.Set[SALDO
ATUAL],Tab_09.Set[CONTA],$I271)</f>
        <v>36281.99</v>
      </c>
      <c r="G271" s="4">
        <f t="shared" si="10"/>
        <v>0</v>
      </c>
      <c r="I271" s="3" t="s">
        <v>520</v>
      </c>
      <c r="J271" s="3" t="s">
        <v>521</v>
      </c>
      <c r="K271" s="4">
        <v>36281.99</v>
      </c>
      <c r="L271" s="4">
        <v>3666.75</v>
      </c>
      <c r="M271" s="4">
        <v>0</v>
      </c>
      <c r="N271" s="4">
        <v>39948.74</v>
      </c>
      <c r="O271" s="4">
        <f t="shared" si="11"/>
        <v>3666.75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S</v>
      </c>
      <c r="E272" s="2">
        <f>IF($I272="","",COUNTIFS(Tab_00.Trial[CONTA],$I272))</f>
        <v>1</v>
      </c>
      <c r="F272" s="4">
        <f>SUMIFS(Tab_09.Set[SALDO
ATUAL],Tab_09.Set[CONTA],$I272)</f>
        <v>44494.89</v>
      </c>
      <c r="G272" s="4">
        <f t="shared" si="10"/>
        <v>0</v>
      </c>
      <c r="I272" s="3" t="s">
        <v>625</v>
      </c>
      <c r="J272" s="3" t="s">
        <v>542</v>
      </c>
      <c r="K272" s="4">
        <v>44494.89</v>
      </c>
      <c r="L272" s="4">
        <v>5156.5</v>
      </c>
      <c r="M272" s="4">
        <v>0</v>
      </c>
      <c r="N272" s="4">
        <v>49651.39</v>
      </c>
      <c r="O272" s="4">
        <f t="shared" si="11"/>
        <v>5156.5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SUMIFS(Tab_09.Set[SALDO
ATUAL],Tab_09.Set[CONTA],$I273)</f>
        <v>16197.91</v>
      </c>
      <c r="G273" s="4">
        <f t="shared" si="10"/>
        <v>0</v>
      </c>
      <c r="I273" s="3" t="s">
        <v>626</v>
      </c>
      <c r="J273" s="3" t="s">
        <v>725</v>
      </c>
      <c r="K273" s="4">
        <v>16197.91</v>
      </c>
      <c r="L273" s="4">
        <v>0</v>
      </c>
      <c r="M273" s="4">
        <v>0</v>
      </c>
      <c r="N273" s="4">
        <v>16197.91</v>
      </c>
      <c r="O273" s="4">
        <f t="shared" si="11"/>
        <v>0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SUMIFS(Tab_09.Set[SALDO
ATUAL],Tab_09.Set[CONTA],$I274)</f>
        <v>15527.74</v>
      </c>
      <c r="G274" s="4">
        <f t="shared" si="10"/>
        <v>0</v>
      </c>
      <c r="I274" s="3" t="s">
        <v>522</v>
      </c>
      <c r="J274" s="3" t="s">
        <v>523</v>
      </c>
      <c r="K274" s="4">
        <v>15527.74</v>
      </c>
      <c r="L274" s="4">
        <v>0</v>
      </c>
      <c r="M274" s="4">
        <v>0</v>
      </c>
      <c r="N274" s="4">
        <v>15527.74</v>
      </c>
      <c r="O274" s="4">
        <f t="shared" si="11"/>
        <v>0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A</v>
      </c>
      <c r="E275" s="2">
        <f>IF($I275="","",COUNTIFS(Tab_00.Trial[CONTA],$I275))</f>
        <v>1</v>
      </c>
      <c r="F275" s="4">
        <f>SUMIFS(Tab_09.Set[SALDO
ATUAL],Tab_09.Set[CONTA],$I275)</f>
        <v>670.17</v>
      </c>
      <c r="G275" s="4">
        <f t="shared" si="10"/>
        <v>0</v>
      </c>
      <c r="I275" s="3" t="s">
        <v>524</v>
      </c>
      <c r="J275" s="3" t="s">
        <v>525</v>
      </c>
      <c r="K275" s="4">
        <v>670.17</v>
      </c>
      <c r="L275" s="4">
        <v>0</v>
      </c>
      <c r="M275" s="4">
        <v>0</v>
      </c>
      <c r="N275" s="4">
        <v>670.17</v>
      </c>
      <c r="O275" s="4">
        <f t="shared" si="11"/>
        <v>0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SUMIFS(Tab_09.Set[SALDO
ATUAL],Tab_09.Set[CONTA],$I276)</f>
        <v>28296.98</v>
      </c>
      <c r="G276" s="4">
        <f t="shared" si="10"/>
        <v>0</v>
      </c>
      <c r="I276" s="3" t="s">
        <v>627</v>
      </c>
      <c r="J276" s="3" t="s">
        <v>542</v>
      </c>
      <c r="K276" s="4">
        <v>28296.98</v>
      </c>
      <c r="L276" s="4">
        <v>5156.5</v>
      </c>
      <c r="M276" s="4">
        <v>0</v>
      </c>
      <c r="N276" s="4">
        <v>33453.480000000003</v>
      </c>
      <c r="O276" s="4">
        <f t="shared" si="11"/>
        <v>5156.5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A</v>
      </c>
      <c r="E277" s="2">
        <f>IF($I277="","",COUNTIFS(Tab_00.Trial[CONTA],$I277))</f>
        <v>1</v>
      </c>
      <c r="F277" s="4">
        <f>SUMIFS(Tab_09.Set[SALDO
ATUAL],Tab_09.Set[CONTA],$I277)</f>
        <v>1677.42</v>
      </c>
      <c r="G277" s="4">
        <f t="shared" si="10"/>
        <v>0</v>
      </c>
      <c r="I277" s="3" t="s">
        <v>528</v>
      </c>
      <c r="J277" s="3" t="s">
        <v>416</v>
      </c>
      <c r="K277" s="4">
        <v>1677.42</v>
      </c>
      <c r="L277" s="4">
        <v>787.32</v>
      </c>
      <c r="M277" s="4">
        <v>0</v>
      </c>
      <c r="N277" s="4">
        <v>2464.7399999999998</v>
      </c>
      <c r="O277" s="4">
        <f t="shared" si="11"/>
        <v>787.32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SUMIFS(Tab_09.Set[SALDO
ATUAL],Tab_09.Set[CONTA],$I278)</f>
        <v>349.32</v>
      </c>
      <c r="G278" s="4">
        <f t="shared" si="10"/>
        <v>0</v>
      </c>
      <c r="I278" s="3" t="s">
        <v>529</v>
      </c>
      <c r="J278" s="3" t="s">
        <v>530</v>
      </c>
      <c r="K278" s="4">
        <v>349.32</v>
      </c>
      <c r="L278" s="4">
        <v>500</v>
      </c>
      <c r="M278" s="4">
        <v>0</v>
      </c>
      <c r="N278" s="4">
        <v>849.32</v>
      </c>
      <c r="O278" s="4">
        <f t="shared" si="11"/>
        <v>500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SUMIFS(Tab_09.Set[SALDO
ATUAL],Tab_09.Set[CONTA],$I279)</f>
        <v>1437.92</v>
      </c>
      <c r="G279" s="4">
        <f t="shared" si="10"/>
        <v>0</v>
      </c>
      <c r="I279" s="3" t="s">
        <v>531</v>
      </c>
      <c r="J279" s="3" t="s">
        <v>532</v>
      </c>
      <c r="K279" s="4">
        <v>1437.92</v>
      </c>
      <c r="L279" s="4">
        <v>169.5</v>
      </c>
      <c r="M279" s="4">
        <v>0</v>
      </c>
      <c r="N279" s="4">
        <v>1607.42</v>
      </c>
      <c r="O279" s="4">
        <f t="shared" si="11"/>
        <v>169.5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SUMIFS(Tab_09.Set[SALDO
ATUAL],Tab_09.Set[CONTA],$I280)</f>
        <v>3798.91</v>
      </c>
      <c r="G280" s="4">
        <f t="shared" si="10"/>
        <v>0</v>
      </c>
      <c r="I280" s="3" t="s">
        <v>533</v>
      </c>
      <c r="J280" s="3" t="s">
        <v>534</v>
      </c>
      <c r="K280" s="4">
        <v>3798.91</v>
      </c>
      <c r="L280" s="4">
        <v>1190</v>
      </c>
      <c r="M280" s="4">
        <v>0</v>
      </c>
      <c r="N280" s="4">
        <v>4988.91</v>
      </c>
      <c r="O280" s="4">
        <f t="shared" si="11"/>
        <v>1190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SUMIFS(Tab_09.Set[SALDO
ATUAL],Tab_09.Set[CONTA],$I281)</f>
        <v>4749.8900000000003</v>
      </c>
      <c r="G281" s="4">
        <f t="shared" si="10"/>
        <v>0</v>
      </c>
      <c r="I281" s="3" t="s">
        <v>537</v>
      </c>
      <c r="J281" s="3" t="s">
        <v>538</v>
      </c>
      <c r="K281" s="4">
        <v>4749.8900000000003</v>
      </c>
      <c r="L281" s="4">
        <v>0</v>
      </c>
      <c r="M281" s="4">
        <v>0</v>
      </c>
      <c r="N281" s="4">
        <v>4749.8900000000003</v>
      </c>
      <c r="O281" s="4">
        <f t="shared" si="11"/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SUMIFS(Tab_09.Set[SALDO
ATUAL],Tab_09.Set[CONTA],$I282)</f>
        <v>13596.8</v>
      </c>
      <c r="G282" s="4">
        <f t="shared" si="10"/>
        <v>0</v>
      </c>
      <c r="I282" s="3" t="s">
        <v>539</v>
      </c>
      <c r="J282" s="3" t="s">
        <v>540</v>
      </c>
      <c r="K282" s="4">
        <v>13596.8</v>
      </c>
      <c r="L282" s="4">
        <v>1304.8</v>
      </c>
      <c r="M282" s="4">
        <v>0</v>
      </c>
      <c r="N282" s="4">
        <v>14901.6</v>
      </c>
      <c r="O282" s="4">
        <f t="shared" si="11"/>
        <v>1304.8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A</v>
      </c>
      <c r="E283" s="2">
        <f>IF($I283="","",COUNTIFS(Tab_00.Trial[CONTA],$I283))</f>
        <v>1</v>
      </c>
      <c r="F283" s="4">
        <f>SUMIFS(Tab_09.Set[SALDO
ATUAL],Tab_09.Set[CONTA],$I283)</f>
        <v>2686.72</v>
      </c>
      <c r="G283" s="4">
        <f t="shared" si="10"/>
        <v>0</v>
      </c>
      <c r="I283" s="3" t="s">
        <v>541</v>
      </c>
      <c r="J283" s="3" t="s">
        <v>542</v>
      </c>
      <c r="K283" s="4">
        <v>2686.72</v>
      </c>
      <c r="L283" s="4">
        <v>1204.8800000000001</v>
      </c>
      <c r="M283" s="4">
        <v>0</v>
      </c>
      <c r="N283" s="4">
        <v>3891.6</v>
      </c>
      <c r="O283" s="4">
        <f t="shared" si="11"/>
        <v>1204.8800000000001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2</v>
      </c>
      <c r="D284" s="2" t="str">
        <f>_xlfn.XLOOKUP($I284,Tab_00.Trial[CONTA],Tab_00.Trial[S/A],"",0,1)</f>
        <v>S</v>
      </c>
      <c r="E284" s="2">
        <f>IF($I284="","",COUNTIFS(Tab_00.Trial[CONTA],$I284))</f>
        <v>1</v>
      </c>
      <c r="F284" s="4">
        <f>SUMIFS(Tab_09.Set[SALDO
ATUAL],Tab_09.Set[CONTA],$I284)</f>
        <v>405</v>
      </c>
      <c r="G284" s="4">
        <f t="shared" si="10"/>
        <v>0</v>
      </c>
      <c r="I284" s="3" t="s">
        <v>630</v>
      </c>
      <c r="J284" s="3" t="s">
        <v>728</v>
      </c>
      <c r="K284" s="4">
        <v>405</v>
      </c>
      <c r="L284" s="4">
        <v>0</v>
      </c>
      <c r="M284" s="4">
        <v>0</v>
      </c>
      <c r="N284" s="4">
        <v>405</v>
      </c>
      <c r="O284" s="4">
        <f t="shared" si="11"/>
        <v>0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S</v>
      </c>
      <c r="E285" s="2">
        <f>IF($I285="","",COUNTIFS(Tab_00.Trial[CONTA],$I285))</f>
        <v>1</v>
      </c>
      <c r="F285" s="4">
        <f>SUMIFS(Tab_09.Set[SALDO
ATUAL],Tab_09.Set[CONTA],$I285)</f>
        <v>405</v>
      </c>
      <c r="G285" s="4">
        <f t="shared" si="10"/>
        <v>0</v>
      </c>
      <c r="I285" s="3" t="s">
        <v>631</v>
      </c>
      <c r="J285" s="3" t="s">
        <v>728</v>
      </c>
      <c r="K285" s="4">
        <v>405</v>
      </c>
      <c r="L285" s="4">
        <v>0</v>
      </c>
      <c r="M285" s="4">
        <v>0</v>
      </c>
      <c r="N285" s="4">
        <v>405</v>
      </c>
      <c r="O285" s="4">
        <f t="shared" si="11"/>
        <v>0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S</v>
      </c>
      <c r="E286" s="2">
        <f>IF($I286="","",COUNTIFS(Tab_00.Trial[CONTA],$I286))</f>
        <v>1</v>
      </c>
      <c r="F286" s="4">
        <f>SUMIFS(Tab_09.Set[SALDO
ATUAL],Tab_09.Set[CONTA],$I286)</f>
        <v>405</v>
      </c>
      <c r="G286" s="4">
        <f t="shared" si="10"/>
        <v>0</v>
      </c>
      <c r="I286" s="3" t="s">
        <v>633</v>
      </c>
      <c r="J286" s="3" t="s">
        <v>548</v>
      </c>
      <c r="K286" s="4">
        <v>405</v>
      </c>
      <c r="L286" s="4">
        <v>0</v>
      </c>
      <c r="M286" s="4">
        <v>0</v>
      </c>
      <c r="N286" s="4">
        <v>405</v>
      </c>
      <c r="O286" s="4">
        <f t="shared" si="11"/>
        <v>0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A</v>
      </c>
      <c r="E287" s="2">
        <f>IF($I287="","",COUNTIFS(Tab_00.Trial[CONTA],$I287))</f>
        <v>1</v>
      </c>
      <c r="F287" s="4">
        <f>SUMIFS(Tab_09.Set[SALDO
ATUAL],Tab_09.Set[CONTA],$I287)</f>
        <v>405</v>
      </c>
      <c r="G287" s="4">
        <f t="shared" si="10"/>
        <v>0</v>
      </c>
      <c r="I287" s="3" t="s">
        <v>547</v>
      </c>
      <c r="J287" s="3" t="s">
        <v>548</v>
      </c>
      <c r="K287" s="4">
        <v>405</v>
      </c>
      <c r="L287" s="4">
        <v>0</v>
      </c>
      <c r="M287" s="4">
        <v>0</v>
      </c>
      <c r="N287" s="4">
        <v>405</v>
      </c>
      <c r="O287" s="4">
        <f t="shared" si="11"/>
        <v>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2</v>
      </c>
      <c r="D288" s="2" t="str">
        <f>_xlfn.XLOOKUP($I288,Tab_00.Trial[CONTA],Tab_00.Trial[S/A],"",0,1)</f>
        <v>S</v>
      </c>
      <c r="E288" s="2">
        <f>IF($I288="","",COUNTIFS(Tab_00.Trial[CONTA],$I288))</f>
        <v>1</v>
      </c>
      <c r="F288" s="4">
        <f>SUMIFS(Tab_09.Set[SALDO
ATUAL],Tab_09.Set[CONTA],$I288)</f>
        <v>-189</v>
      </c>
      <c r="G288" s="4">
        <f t="shared" si="10"/>
        <v>0</v>
      </c>
      <c r="I288" s="3" t="s">
        <v>634</v>
      </c>
      <c r="J288" s="3" t="s">
        <v>730</v>
      </c>
      <c r="K288" s="4">
        <v>-189</v>
      </c>
      <c r="L288" s="4">
        <v>0</v>
      </c>
      <c r="M288" s="4">
        <v>0</v>
      </c>
      <c r="N288" s="4">
        <v>-189</v>
      </c>
      <c r="O288" s="4">
        <f t="shared" si="11"/>
        <v>0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5</v>
      </c>
      <c r="D289" s="2" t="str">
        <f>_xlfn.XLOOKUP($I289,Tab_00.Trial[CONTA],Tab_00.Trial[S/A],"",0,1)</f>
        <v>S</v>
      </c>
      <c r="E289" s="2">
        <f>IF($I289="","",COUNTIFS(Tab_00.Trial[CONTA],$I289))</f>
        <v>1</v>
      </c>
      <c r="F289" s="4">
        <f>SUMIFS(Tab_09.Set[SALDO
ATUAL],Tab_09.Set[CONTA],$I289)</f>
        <v>-189</v>
      </c>
      <c r="G289" s="4">
        <f t="shared" si="10"/>
        <v>0</v>
      </c>
      <c r="I289" s="3" t="s">
        <v>831</v>
      </c>
      <c r="J289" s="3" t="s">
        <v>832</v>
      </c>
      <c r="K289" s="4">
        <v>-189</v>
      </c>
      <c r="L289" s="4">
        <v>0</v>
      </c>
      <c r="M289" s="4">
        <v>0</v>
      </c>
      <c r="N289" s="4">
        <v>-189</v>
      </c>
      <c r="O289" s="4">
        <f t="shared" si="11"/>
        <v>0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5</v>
      </c>
      <c r="D290" s="2" t="str">
        <f>_xlfn.XLOOKUP($I290,Tab_00.Trial[CONTA],Tab_00.Trial[S/A],"",0,1)</f>
        <v>S</v>
      </c>
      <c r="E290" s="2">
        <f>IF($I290="","",COUNTIFS(Tab_00.Trial[CONTA],$I290))</f>
        <v>1</v>
      </c>
      <c r="F290" s="4">
        <f>SUMIFS(Tab_09.Set[SALDO
ATUAL],Tab_09.Set[CONTA],$I290)</f>
        <v>-189</v>
      </c>
      <c r="G290" s="4">
        <f t="shared" si="10"/>
        <v>0</v>
      </c>
      <c r="I290" s="3" t="s">
        <v>833</v>
      </c>
      <c r="J290" s="3" t="s">
        <v>832</v>
      </c>
      <c r="K290" s="4">
        <v>-189</v>
      </c>
      <c r="L290" s="4">
        <v>0</v>
      </c>
      <c r="M290" s="4">
        <v>0</v>
      </c>
      <c r="N290" s="4">
        <v>-189</v>
      </c>
      <c r="O290" s="4">
        <f t="shared" si="11"/>
        <v>0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5</v>
      </c>
      <c r="D291" s="2" t="str">
        <f>_xlfn.XLOOKUP($I291,Tab_00.Trial[CONTA],Tab_00.Trial[S/A],"",0,1)</f>
        <v>A</v>
      </c>
      <c r="E291" s="2">
        <f>IF($I291="","",COUNTIFS(Tab_00.Trial[CONTA],$I291))</f>
        <v>1</v>
      </c>
      <c r="F291" s="4">
        <f>SUMIFS(Tab_09.Set[SALDO
ATUAL],Tab_09.Set[CONTA],$I291)</f>
        <v>-189</v>
      </c>
      <c r="G291" s="4">
        <f t="shared" si="10"/>
        <v>0</v>
      </c>
      <c r="I291" s="3" t="s">
        <v>834</v>
      </c>
      <c r="J291" s="3" t="s">
        <v>835</v>
      </c>
      <c r="K291" s="4">
        <v>-189</v>
      </c>
      <c r="L291" s="4">
        <v>0</v>
      </c>
      <c r="M291" s="4">
        <v>0</v>
      </c>
      <c r="N291" s="4">
        <v>-189</v>
      </c>
      <c r="O291" s="4">
        <f t="shared" si="11"/>
        <v>0</v>
      </c>
    </row>
    <row r="292" spans="2:15" x14ac:dyDescent="0.3">
      <c r="B292" s="2" t="str">
        <f>_xlfn.XLOOKUP($I292,Tab_00.Trial[CONTA],Tab_00.Trial[TP],"",0,1)</f>
        <v/>
      </c>
      <c r="C292" s="2" t="str">
        <f>_xlfn.XLOOKUP($I292,Tab_00.Trial[CONTA],Tab_00.Trial[NV],"",0,1)</f>
        <v/>
      </c>
      <c r="D292" s="2" t="str">
        <f>_xlfn.XLOOKUP($I292,Tab_00.Trial[CONTA],Tab_00.Trial[S/A],"",0,1)</f>
        <v/>
      </c>
      <c r="E292" s="2" t="str">
        <f>IF($I292="","",COUNTIFS(Tab_00.Trial[CONTA],$I292))</f>
        <v/>
      </c>
      <c r="F292" s="4">
        <f>SUMIFS(Tab_09.Set[SALDO
ATUAL],Tab_09.Set[CONTA],$I292)</f>
        <v>0</v>
      </c>
      <c r="G292" s="4">
        <f t="shared" si="10"/>
        <v>0</v>
      </c>
      <c r="I292" s="3"/>
      <c r="J292" s="3"/>
      <c r="K292" s="4"/>
      <c r="L292" s="4"/>
      <c r="M292" s="4"/>
      <c r="O292" s="4">
        <f t="shared" si="11"/>
        <v>0</v>
      </c>
    </row>
    <row r="293" spans="2:15" x14ac:dyDescent="0.3">
      <c r="B293" s="2" t="str">
        <f>_xlfn.XLOOKUP($I293,Tab_00.Trial[CONTA],Tab_00.Trial[TP],"",0,1)</f>
        <v/>
      </c>
      <c r="C293" s="2" t="str">
        <f>_xlfn.XLOOKUP($I293,Tab_00.Trial[CONTA],Tab_00.Trial[NV],"",0,1)</f>
        <v/>
      </c>
      <c r="D293" s="2" t="str">
        <f>_xlfn.XLOOKUP($I293,Tab_00.Trial[CONTA],Tab_00.Trial[S/A],"",0,1)</f>
        <v/>
      </c>
      <c r="E293" s="2" t="str">
        <f>IF($I293="","",COUNTIFS(Tab_00.Trial[CONTA],$I293))</f>
        <v/>
      </c>
      <c r="F293" s="4">
        <f>SUMIFS(Tab_09.Set[SALDO
ATUAL],Tab_09.Set[CONTA],$I293)</f>
        <v>0</v>
      </c>
      <c r="G293" s="4">
        <f t="shared" si="10"/>
        <v>0</v>
      </c>
      <c r="I293" s="3"/>
      <c r="J293" s="3"/>
      <c r="K293" s="4"/>
      <c r="L293" s="4"/>
      <c r="M293" s="4"/>
      <c r="O293" s="4">
        <f t="shared" si="11"/>
        <v>0</v>
      </c>
    </row>
    <row r="294" spans="2:15" x14ac:dyDescent="0.3">
      <c r="B294" s="2" t="str">
        <f>_xlfn.XLOOKUP($I294,Tab_00.Trial[CONTA],Tab_00.Trial[TP],"",0,1)</f>
        <v/>
      </c>
      <c r="C294" s="2" t="str">
        <f>_xlfn.XLOOKUP($I294,Tab_00.Trial[CONTA],Tab_00.Trial[NV],"",0,1)</f>
        <v/>
      </c>
      <c r="D294" s="2" t="str">
        <f>_xlfn.XLOOKUP($I294,Tab_00.Trial[CONTA],Tab_00.Trial[S/A],"",0,1)</f>
        <v/>
      </c>
      <c r="E294" s="2" t="str">
        <f>IF($I294="","",COUNTIFS(Tab_00.Trial[CONTA],$I294))</f>
        <v/>
      </c>
      <c r="F294" s="4">
        <f>SUMIFS(Tab_09.Set[SALDO
ATUAL],Tab_09.Set[CONTA],$I294)</f>
        <v>0</v>
      </c>
      <c r="G294" s="4">
        <f t="shared" si="10"/>
        <v>0</v>
      </c>
      <c r="I294" s="3"/>
      <c r="J294" s="3"/>
      <c r="K294" s="4"/>
      <c r="L294" s="4"/>
      <c r="M294" s="4"/>
      <c r="O294" s="4">
        <f t="shared" si="11"/>
        <v>0</v>
      </c>
    </row>
    <row r="295" spans="2:15" x14ac:dyDescent="0.3">
      <c r="B295" s="2" t="str">
        <f>_xlfn.XLOOKUP($I295,Tab_00.Trial[CONTA],Tab_00.Trial[TP],"",0,1)</f>
        <v/>
      </c>
      <c r="C295" s="2" t="str">
        <f>_xlfn.XLOOKUP($I295,Tab_00.Trial[CONTA],Tab_00.Trial[NV],"",0,1)</f>
        <v/>
      </c>
      <c r="D295" s="2" t="str">
        <f>_xlfn.XLOOKUP($I295,Tab_00.Trial[CONTA],Tab_00.Trial[S/A],"",0,1)</f>
        <v/>
      </c>
      <c r="E295" s="2" t="str">
        <f>IF($I295="","",COUNTIFS(Tab_00.Trial[CONTA],$I295))</f>
        <v/>
      </c>
      <c r="F295" s="4">
        <f>SUMIFS(Tab_09.Set[SALDO
ATUAL],Tab_09.Set[CONTA],$I295)</f>
        <v>0</v>
      </c>
      <c r="G295" s="4">
        <f t="shared" si="10"/>
        <v>0</v>
      </c>
      <c r="I295" s="3"/>
      <c r="J295" s="3"/>
      <c r="K295" s="4"/>
      <c r="L295" s="4"/>
      <c r="M295" s="4"/>
      <c r="O295" s="4">
        <f t="shared" si="11"/>
        <v>0</v>
      </c>
    </row>
    <row r="296" spans="2:15" x14ac:dyDescent="0.3">
      <c r="B296" s="2" t="str">
        <f>_xlfn.XLOOKUP($I296,Tab_00.Trial[CONTA],Tab_00.Trial[TP],"",0,1)</f>
        <v/>
      </c>
      <c r="C296" s="2" t="str">
        <f>_xlfn.XLOOKUP($I296,Tab_00.Trial[CONTA],Tab_00.Trial[NV],"",0,1)</f>
        <v/>
      </c>
      <c r="D296" s="2" t="str">
        <f>_xlfn.XLOOKUP($I296,Tab_00.Trial[CONTA],Tab_00.Trial[S/A],"",0,1)</f>
        <v/>
      </c>
      <c r="E296" s="2" t="str">
        <f>IF($I296="","",COUNTIFS(Tab_00.Trial[CONTA],$I296))</f>
        <v/>
      </c>
      <c r="F296" s="4">
        <f>SUMIFS(Tab_09.Set[SALDO
ATUAL],Tab_09.Set[CONTA],$I296)</f>
        <v>0</v>
      </c>
      <c r="G296" s="4">
        <f t="shared" si="10"/>
        <v>0</v>
      </c>
      <c r="I296" s="3"/>
      <c r="J296" s="3"/>
      <c r="K296" s="4"/>
      <c r="L296" s="4"/>
      <c r="M296" s="4"/>
      <c r="O296" s="4">
        <f t="shared" si="11"/>
        <v>0</v>
      </c>
    </row>
    <row r="297" spans="2:15" x14ac:dyDescent="0.3">
      <c r="B297" s="2" t="str">
        <f>_xlfn.XLOOKUP($I297,Tab_00.Trial[CONTA],Tab_00.Trial[TP],"",0,1)</f>
        <v/>
      </c>
      <c r="C297" s="2" t="str">
        <f>_xlfn.XLOOKUP($I297,Tab_00.Trial[CONTA],Tab_00.Trial[NV],"",0,1)</f>
        <v/>
      </c>
      <c r="D297" s="2" t="str">
        <f>_xlfn.XLOOKUP($I297,Tab_00.Trial[CONTA],Tab_00.Trial[S/A],"",0,1)</f>
        <v/>
      </c>
      <c r="E297" s="2" t="str">
        <f>IF($I297="","",COUNTIFS(Tab_00.Trial[CONTA],$I297))</f>
        <v/>
      </c>
      <c r="F297" s="4">
        <f>SUMIFS(Tab_09.Set[SALDO
ATUAL],Tab_09.Set[CONTA],$I297)</f>
        <v>0</v>
      </c>
      <c r="G297" s="4">
        <f t="shared" si="10"/>
        <v>0</v>
      </c>
      <c r="I297" s="3"/>
      <c r="J297" s="3"/>
      <c r="K297" s="4"/>
      <c r="L297" s="4"/>
      <c r="M297" s="4"/>
      <c r="O297" s="4">
        <f t="shared" si="11"/>
        <v>0</v>
      </c>
    </row>
    <row r="298" spans="2:15" x14ac:dyDescent="0.3">
      <c r="B298" s="2" t="str">
        <f>_xlfn.XLOOKUP($I298,Tab_00.Trial[CONTA],Tab_00.Trial[TP],"",0,1)</f>
        <v/>
      </c>
      <c r="C298" s="2" t="str">
        <f>_xlfn.XLOOKUP($I298,Tab_00.Trial[CONTA],Tab_00.Trial[NV],"",0,1)</f>
        <v/>
      </c>
      <c r="D298" s="2" t="str">
        <f>_xlfn.XLOOKUP($I298,Tab_00.Trial[CONTA],Tab_00.Trial[S/A],"",0,1)</f>
        <v/>
      </c>
      <c r="E298" s="2" t="str">
        <f>IF($I298="","",COUNTIFS(Tab_00.Trial[CONTA],$I298))</f>
        <v/>
      </c>
      <c r="F298" s="4">
        <f>SUMIFS(Tab_09.Set[SALDO
ATUAL],Tab_09.Set[CONTA],$I298)</f>
        <v>0</v>
      </c>
      <c r="G298" s="4">
        <f t="shared" si="10"/>
        <v>0</v>
      </c>
      <c r="I298" s="3"/>
      <c r="J298" s="3"/>
      <c r="K298" s="4"/>
      <c r="L298" s="4"/>
      <c r="M298" s="4"/>
      <c r="O298" s="4">
        <f t="shared" si="11"/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C6E7D-3006-476E-BBD6-E2CFC21BC60B}">
  <sheetPr codeName="Planilha21"/>
  <dimension ref="B1:Q302"/>
  <sheetViews>
    <sheetView showGridLines="0" showRowColHeaders="0" zoomScale="85" zoomScaleNormal="85" workbookViewId="0">
      <pane xSplit="7" ySplit="14" topLeftCell="J30" activePane="bottomRight" state="frozen"/>
      <selection activeCell="H15" sqref="H15"/>
      <selection pane="topRight" activeCell="H15" sqref="H15"/>
      <selection pane="bottomLeft" activeCell="H15" sqref="H15"/>
      <selection pane="bottomRight" activeCell="J38" sqref="J38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75.6640625" customWidth="1"/>
    <col min="11" max="11" width="20.6640625" style="2" customWidth="1"/>
    <col min="12" max="13" width="20.6640625" style="3" customWidth="1"/>
    <col min="14" max="15" width="20.6640625" style="4" customWidth="1"/>
    <col min="16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SUMIFS(INDIRECT("Tab_11.Nov["&amp;F$14&amp;"]"),Tab_11.Nov[TP],$B2,Tab_11.Nov[NV],"A")</f>
        <v>0</v>
      </c>
      <c r="G2" s="7">
        <f ca="1">SUMIFS(INDIRECT("Tab_11.Nov["&amp;G$14&amp;"]"),Tab_11.Nov[TP],$B2,Tab_11.Nov[NV],"A")</f>
        <v>0</v>
      </c>
      <c r="H2" s="3"/>
      <c r="I2" s="3"/>
      <c r="J2" s="88" t="s">
        <v>15</v>
      </c>
      <c r="K2" s="7">
        <f ca="1">SUMIFS(INDIRECT("Tab_11.Nov["&amp;K$14&amp;"]"),Tab_11.Nov[TP],$B2,Tab_11.Nov[S/A],"A")</f>
        <v>85173481.629999995</v>
      </c>
      <c r="L2" s="7">
        <f ca="1">SUMIFS(INDIRECT("Tab_11.Nov["&amp;L$14&amp;"]"),Tab_11.Nov[TP],$B2,Tab_11.Nov[S/A],"A")</f>
        <v>2159319.52</v>
      </c>
      <c r="M2" s="7">
        <f ca="1">SUMIFS(INDIRECT("Tab_11.Nov["&amp;M$14&amp;"]"),Tab_11.Nov[TP],$B2,Tab_11.Nov[S/A],"A")</f>
        <v>1843093.82</v>
      </c>
      <c r="N2" s="7">
        <f ca="1">SUMIFS(INDIRECT("Tab_11.Nov["&amp;N$14&amp;"]"),Tab_11.Nov[TP],$B2,Tab_11.Nov[S/A],"A")</f>
        <v>85489707.329999998</v>
      </c>
      <c r="O2" s="7">
        <f ca="1">SUMIFS(INDIRECT("Tab_11.Nov["&amp;O$14&amp;"]"),Tab_11.Nov[TP],$B2,Tab_11.Nov[S/A],"A")</f>
        <v>316225.7</v>
      </c>
    </row>
    <row r="3" spans="2:15" outlineLevel="1" x14ac:dyDescent="0.3">
      <c r="B3" s="2" t="s">
        <v>116</v>
      </c>
      <c r="F3" s="7">
        <f ca="1">SUMIFS(INDIRECT("Tab_11.Nov["&amp;F$14&amp;"]"),Tab_11.Nov[TP],$B3,Tab_11.Nov[NV],"A")</f>
        <v>0</v>
      </c>
      <c r="G3" s="7">
        <f ca="1">SUMIFS(INDIRECT("Tab_11.Nov["&amp;G$14&amp;"]"),Tab_11.Nov[TP],$B3,Tab_11.Nov[NV],"A")</f>
        <v>0</v>
      </c>
      <c r="H3" s="3"/>
      <c r="I3" s="3"/>
      <c r="J3" s="88" t="s">
        <v>110</v>
      </c>
      <c r="K3" s="7">
        <f ca="1">SUMIFS(INDIRECT("Tab_11.Nov["&amp;K$14&amp;"]"),Tab_11.Nov[TP],$B3,Tab_11.Nov[S/A],"A")</f>
        <v>-83343714.840000004</v>
      </c>
      <c r="L3" s="7">
        <f ca="1">SUMIFS(INDIRECT("Tab_11.Nov["&amp;L$14&amp;"]"),Tab_11.Nov[TP],$B3,Tab_11.Nov[S/A],"A")</f>
        <v>517643.48</v>
      </c>
      <c r="M3" s="7">
        <f ca="1">SUMIFS(INDIRECT("Tab_11.Nov["&amp;M$14&amp;"]"),Tab_11.Nov[TP],$B3,Tab_11.Nov[S/A],"A")</f>
        <v>332080.09000000003</v>
      </c>
      <c r="N3" s="7">
        <f ca="1">SUMIFS(INDIRECT("Tab_11.Nov["&amp;N$14&amp;"]"),Tab_11.Nov[TP],$B3,Tab_11.Nov[S/A],"A")</f>
        <v>-83158151.450000003</v>
      </c>
      <c r="O3" s="7">
        <f ca="1">SUMIFS(INDIRECT("Tab_11.Nov["&amp;O$14&amp;"]"),Tab_11.Nov[TP],$B3,Tab_11.Nov[S/A],"A")</f>
        <v>185563.39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1829766.79</v>
      </c>
      <c r="L4" s="8">
        <f t="shared" ca="1" si="0"/>
        <v>2676963</v>
      </c>
      <c r="M4" s="8">
        <f t="shared" ca="1" si="0"/>
        <v>2175173.91</v>
      </c>
      <c r="N4" s="8">
        <f ca="1">SUM(N$2:N$3)</f>
        <v>2331555.88</v>
      </c>
      <c r="O4" s="8">
        <f t="shared" ca="1" si="0"/>
        <v>501789.09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SUMIFS(INDIRECT("Tab_11.Nov["&amp;F$14&amp;"]"),Tab_11.Nov[TP],$B6,Tab_11.Nov[NV],"A")</f>
        <v>0</v>
      </c>
      <c r="G6" s="7">
        <f ca="1">SUMIFS(INDIRECT("Tab_11.Nov["&amp;G$14&amp;"]"),Tab_11.Nov[TP],$B6,Tab_11.Nov[NV],"A")</f>
        <v>0</v>
      </c>
      <c r="H6" s="3"/>
      <c r="I6" s="3"/>
      <c r="J6" s="88" t="s">
        <v>18</v>
      </c>
      <c r="K6" s="7">
        <f ca="1">SUMIFS(INDIRECT("Tab_11.Nov["&amp;K$14&amp;"]"),Tab_11.Nov[TP],$B6,Tab_11.Nov[S/A],"A")</f>
        <v>-12902952.33</v>
      </c>
      <c r="L6" s="7">
        <f ca="1">SUMIFS(INDIRECT("Tab_11.Nov["&amp;L$14&amp;"]"),Tab_11.Nov[TP],$B6,Tab_11.Nov[S/A],"A")</f>
        <v>1899</v>
      </c>
      <c r="M6" s="7">
        <f ca="1">SUMIFS(INDIRECT("Tab_11.Nov["&amp;M$14&amp;"]"),Tab_11.Nov[TP],$B6,Tab_11.Nov[S/A],"A")</f>
        <v>1236966.96</v>
      </c>
      <c r="N6" s="7">
        <f ca="1">SUMIFS(INDIRECT("Tab_11.Nov["&amp;N$14&amp;"]"),Tab_11.Nov[TP],$B6,Tab_11.Nov[S/A],"A")</f>
        <v>-14138020.289999999</v>
      </c>
      <c r="O6" s="7">
        <f ca="1">SUMIFS(INDIRECT("Tab_11.Nov["&amp;O$14&amp;"]"),Tab_11.Nov[TP],$B6,Tab_11.Nov[S/A],"A")</f>
        <v>-1235067.96</v>
      </c>
    </row>
    <row r="7" spans="2:15" outlineLevel="1" x14ac:dyDescent="0.3">
      <c r="B7" s="2" t="s">
        <v>20</v>
      </c>
      <c r="F7" s="7">
        <f ca="1">SUMIFS(INDIRECT("Tab_11.Nov["&amp;F$14&amp;"]"),Tab_11.Nov[TP],$B7,Tab_11.Nov[NV],"A")</f>
        <v>0</v>
      </c>
      <c r="G7" s="7">
        <f ca="1">SUMIFS(INDIRECT("Tab_11.Nov["&amp;G$14&amp;"]"),Tab_11.Nov[TP],$B7,Tab_11.Nov[NV],"A")</f>
        <v>0</v>
      </c>
      <c r="H7" s="3"/>
      <c r="I7" s="3"/>
      <c r="J7" s="88" t="s">
        <v>111</v>
      </c>
      <c r="K7" s="7">
        <f ca="1">SUMIFS(INDIRECT("Tab_11.Nov["&amp;K$14&amp;"]"),Tab_11.Nov[TP],$B7,Tab_11.Nov[S/A],"A")</f>
        <v>11073185.539999999</v>
      </c>
      <c r="L7" s="7">
        <f ca="1">SUMIFS(INDIRECT("Tab_11.Nov["&amp;L$14&amp;"]"),Tab_11.Nov[TP],$B7,Tab_11.Nov[S/A],"A")</f>
        <v>758710.42</v>
      </c>
      <c r="M7" s="7">
        <f ca="1">SUMIFS(INDIRECT("Tab_11.Nov["&amp;M$14&amp;"]"),Tab_11.Nov[TP],$B7,Tab_11.Nov[S/A],"A")</f>
        <v>25431.55</v>
      </c>
      <c r="N7" s="7">
        <f ca="1">SUMIFS(INDIRECT("Tab_11.Nov["&amp;N$14&amp;"]"),Tab_11.Nov[TP],$B7,Tab_11.Nov[S/A],"A")</f>
        <v>11806464.41</v>
      </c>
      <c r="O7" s="7">
        <f ca="1">SUMIFS(INDIRECT("Tab_11.Nov["&amp;O$14&amp;"]"),Tab_11.Nov[TP],$B7,Tab_11.Nov[S/A],"A")</f>
        <v>733278.87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-1829766.79</v>
      </c>
      <c r="L8" s="8">
        <f ca="1">SUM(L$6:L$7)</f>
        <v>760609.42</v>
      </c>
      <c r="M8" s="8">
        <f ca="1">SUM(M$6:M$7)</f>
        <v>1262398.51</v>
      </c>
      <c r="N8" s="8">
        <f ca="1">SUM(N$6:N$7)</f>
        <v>-2331555.88</v>
      </c>
      <c r="O8" s="8">
        <f ca="1">SUM(O$6:O$7)</f>
        <v>-501789.09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3437572.42</v>
      </c>
      <c r="M10" s="11">
        <f t="shared" ca="1" si="1"/>
        <v>3437572.42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SUBTOTAL(9,Tab_11.Nov[SALDO FINAL
ANTERIOR])</f>
        <v>0</v>
      </c>
      <c r="G12" s="7">
        <f>SUBTOTAL(9,Tab_11.Nov[DIFERENÇA])</f>
        <v>0</v>
      </c>
      <c r="H12" s="3"/>
      <c r="I12" s="3"/>
      <c r="J12" s="3"/>
      <c r="K12" s="7">
        <f>SUBTOTAL(9,Tab_11.Nov[SALDO
ANTERIOR])</f>
        <v>0</v>
      </c>
      <c r="L12" s="7">
        <f>SUBTOTAL(9,Tab_11.Nov[DÉBITO])</f>
        <v>17187862.100000001</v>
      </c>
      <c r="M12" s="7">
        <f>SUBTOTAL(9,Tab_11.Nov[CRÉDITO])</f>
        <v>17187862.100000001</v>
      </c>
      <c r="N12" s="7">
        <f>SUBTOTAL(9,Tab_11.Nov[SALDO
ATUAL])</f>
        <v>0</v>
      </c>
      <c r="O12" s="7">
        <f>SUBTOTAL(9,Tab_11.Nov[MOVIMENTO])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SUMIFS(Tab_10.Out[SALDO
ATUAL],Tab_10.Out[CONTA],$I15)</f>
        <v>85173481.629999995</v>
      </c>
      <c r="G15" s="4">
        <f t="shared" ref="G15:G78" si="2">$F15-$K15</f>
        <v>0</v>
      </c>
      <c r="H15" s="1"/>
      <c r="I15" s="3">
        <v>1</v>
      </c>
      <c r="J15" s="3" t="s">
        <v>637</v>
      </c>
      <c r="K15" s="4">
        <v>85173481.629999995</v>
      </c>
      <c r="L15" s="4">
        <v>2159319.52</v>
      </c>
      <c r="M15" s="4">
        <v>1843093.82</v>
      </c>
      <c r="N15" s="4">
        <v>85489707.329999998</v>
      </c>
      <c r="O15" s="4">
        <f t="shared" ref="O15:O78" si="3">$L15-$M15</f>
        <v>316225.7</v>
      </c>
    </row>
    <row r="16" spans="2:15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SUMIFS(Tab_10.Out[SALDO
ATUAL],Tab_10.Out[CONTA],$I16)</f>
        <v>11133037.449999999</v>
      </c>
      <c r="G16" s="4">
        <f t="shared" si="2"/>
        <v>0</v>
      </c>
      <c r="H16" s="1"/>
      <c r="I16" s="3" t="s">
        <v>197</v>
      </c>
      <c r="J16" s="3" t="s">
        <v>247</v>
      </c>
      <c r="K16" s="4">
        <v>11133037.449999999</v>
      </c>
      <c r="L16" s="4">
        <v>1910532.1</v>
      </c>
      <c r="M16" s="4">
        <v>1837031.07</v>
      </c>
      <c r="N16" s="4">
        <v>11206538.48</v>
      </c>
      <c r="O16" s="4">
        <f t="shared" si="3"/>
        <v>73501.03</v>
      </c>
    </row>
    <row r="17" spans="2:15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SUMIFS(Tab_10.Out[SALDO
ATUAL],Tab_10.Out[CONTA],$I17)</f>
        <v>10941584.48</v>
      </c>
      <c r="G17" s="4">
        <f t="shared" si="2"/>
        <v>0</v>
      </c>
      <c r="H17" s="1"/>
      <c r="I17" s="3" t="s">
        <v>199</v>
      </c>
      <c r="J17" s="3" t="s">
        <v>638</v>
      </c>
      <c r="K17" s="4">
        <v>10941584.48</v>
      </c>
      <c r="L17" s="4">
        <v>1827989.98</v>
      </c>
      <c r="M17" s="4">
        <v>1829607.08</v>
      </c>
      <c r="N17" s="4">
        <v>10939967.380000001</v>
      </c>
      <c r="O17" s="4">
        <f t="shared" si="3"/>
        <v>-1617.1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SUMIFS(Tab_10.Out[SALDO
ATUAL],Tab_10.Out[CONTA],$I18)</f>
        <v>547.73</v>
      </c>
      <c r="G18" s="4">
        <f t="shared" si="2"/>
        <v>0</v>
      </c>
      <c r="H18" s="1"/>
      <c r="I18" s="3" t="s">
        <v>201</v>
      </c>
      <c r="J18" s="3" t="s">
        <v>639</v>
      </c>
      <c r="K18" s="4">
        <v>547.73</v>
      </c>
      <c r="L18" s="4">
        <v>2065</v>
      </c>
      <c r="M18" s="4">
        <v>2138.2800000000002</v>
      </c>
      <c r="N18" s="4">
        <v>474.45</v>
      </c>
      <c r="O18" s="4">
        <f t="shared" si="3"/>
        <v>-73.28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SUMIFS(Tab_10.Out[SALDO
ATUAL],Tab_10.Out[CONTA],$I19)</f>
        <v>547.73</v>
      </c>
      <c r="G19" s="4">
        <f t="shared" si="2"/>
        <v>0</v>
      </c>
      <c r="H19" s="1"/>
      <c r="I19" s="3" t="s">
        <v>176</v>
      </c>
      <c r="J19" s="3" t="s">
        <v>274</v>
      </c>
      <c r="K19" s="4">
        <v>547.73</v>
      </c>
      <c r="L19" s="4">
        <v>2065</v>
      </c>
      <c r="M19" s="4">
        <v>2138.2800000000002</v>
      </c>
      <c r="N19" s="4">
        <v>474.45</v>
      </c>
      <c r="O19" s="4">
        <f t="shared" si="3"/>
        <v>-73.28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SUMIFS(Tab_10.Out[SALDO
ATUAL],Tab_10.Out[CONTA],$I20)</f>
        <v>28287.49</v>
      </c>
      <c r="G20" s="4">
        <f t="shared" si="2"/>
        <v>0</v>
      </c>
      <c r="H20" s="1"/>
      <c r="I20" s="3" t="s">
        <v>202</v>
      </c>
      <c r="J20" s="3" t="s">
        <v>640</v>
      </c>
      <c r="K20" s="4">
        <v>28287.49</v>
      </c>
      <c r="L20" s="4">
        <v>1510529.39</v>
      </c>
      <c r="M20" s="4">
        <v>1484580.66</v>
      </c>
      <c r="N20" s="4">
        <v>54236.22</v>
      </c>
      <c r="O20" s="4">
        <f t="shared" si="3"/>
        <v>25948.73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SUMIFS(Tab_10.Out[SALDO
ATUAL],Tab_10.Out[CONTA],$I21)</f>
        <v>1.02</v>
      </c>
      <c r="G21" s="4">
        <f t="shared" si="2"/>
        <v>0</v>
      </c>
      <c r="H21" s="1"/>
      <c r="I21" s="3" t="s">
        <v>277</v>
      </c>
      <c r="J21" s="3" t="s">
        <v>278</v>
      </c>
      <c r="K21" s="4">
        <v>1.02</v>
      </c>
      <c r="L21" s="4">
        <v>794896.83</v>
      </c>
      <c r="M21" s="4">
        <v>794896.83</v>
      </c>
      <c r="N21" s="4">
        <v>1.02</v>
      </c>
      <c r="O21" s="4">
        <f t="shared" si="3"/>
        <v>0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SUMIFS(Tab_10.Out[SALDO
ATUAL],Tab_10.Out[CONTA],$I22)</f>
        <v>17101.68</v>
      </c>
      <c r="G22" s="4">
        <f t="shared" si="2"/>
        <v>0</v>
      </c>
      <c r="H22" s="1"/>
      <c r="I22" s="3" t="s">
        <v>177</v>
      </c>
      <c r="J22" s="3" t="s">
        <v>279</v>
      </c>
      <c r="K22" s="4">
        <v>17101.68</v>
      </c>
      <c r="L22" s="4">
        <v>714057.35</v>
      </c>
      <c r="M22" s="4">
        <v>689545.44</v>
      </c>
      <c r="N22" s="4">
        <v>41613.589999999997</v>
      </c>
      <c r="O22" s="4">
        <f t="shared" si="3"/>
        <v>24511.91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SUMIFS(Tab_10.Out[SALDO
ATUAL],Tab_10.Out[CONTA],$I23)</f>
        <v>11184.79</v>
      </c>
      <c r="G23" s="4">
        <f t="shared" si="2"/>
        <v>0</v>
      </c>
      <c r="H23" s="1"/>
      <c r="I23" s="3" t="s">
        <v>280</v>
      </c>
      <c r="J23" s="3" t="s">
        <v>281</v>
      </c>
      <c r="K23" s="4">
        <v>11184.79</v>
      </c>
      <c r="L23" s="4">
        <v>1575.21</v>
      </c>
      <c r="M23" s="4">
        <v>138.38999999999999</v>
      </c>
      <c r="N23" s="4">
        <v>12621.61</v>
      </c>
      <c r="O23" s="4">
        <f t="shared" si="3"/>
        <v>1436.82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SUMIFS(Tab_10.Out[SALDO
ATUAL],Tab_10.Out[CONTA],$I24)</f>
        <v>10912749.26</v>
      </c>
      <c r="G24" s="4">
        <f t="shared" si="2"/>
        <v>0</v>
      </c>
      <c r="H24" s="1"/>
      <c r="I24" s="3" t="s">
        <v>203</v>
      </c>
      <c r="J24" s="3" t="s">
        <v>641</v>
      </c>
      <c r="K24" s="4">
        <v>10912749.26</v>
      </c>
      <c r="L24" s="4">
        <v>315395.59000000003</v>
      </c>
      <c r="M24" s="4">
        <v>342888.14</v>
      </c>
      <c r="N24" s="4">
        <v>10885256.710000001</v>
      </c>
      <c r="O24" s="4">
        <f t="shared" si="3"/>
        <v>-27492.55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SUMIFS(Tab_10.Out[SALDO
ATUAL],Tab_10.Out[CONTA],$I25)</f>
        <v>5010937.84</v>
      </c>
      <c r="G25" s="4">
        <f t="shared" si="2"/>
        <v>0</v>
      </c>
      <c r="H25" s="1"/>
      <c r="I25" s="3" t="s">
        <v>178</v>
      </c>
      <c r="J25" s="3" t="s">
        <v>284</v>
      </c>
      <c r="K25" s="4">
        <v>5010937.84</v>
      </c>
      <c r="L25" s="4">
        <v>38937.47</v>
      </c>
      <c r="M25" s="4">
        <v>47888.14</v>
      </c>
      <c r="N25" s="4">
        <v>5001987.17</v>
      </c>
      <c r="O25" s="4">
        <f t="shared" si="3"/>
        <v>-8950.67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SUMIFS(Tab_10.Out[SALDO
ATUAL],Tab_10.Out[CONTA],$I26)</f>
        <v>5901811.4199999999</v>
      </c>
      <c r="G26" s="4">
        <f t="shared" si="2"/>
        <v>0</v>
      </c>
      <c r="H26" s="1"/>
      <c r="I26" s="3" t="s">
        <v>287</v>
      </c>
      <c r="J26" s="3" t="s">
        <v>288</v>
      </c>
      <c r="K26" s="4">
        <v>5901811.4199999999</v>
      </c>
      <c r="L26" s="4">
        <v>276458.12</v>
      </c>
      <c r="M26" s="4">
        <v>295000</v>
      </c>
      <c r="N26" s="4">
        <v>5883269.54</v>
      </c>
      <c r="O26" s="4">
        <f t="shared" si="3"/>
        <v>-18541.88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S</v>
      </c>
      <c r="E27" s="2">
        <f>IF($I27="","",COUNTIFS(Tab_00.Trial[CONTA],$I27))</f>
        <v>1</v>
      </c>
      <c r="F27" s="4">
        <f>SUMIFS(Tab_10.Out[SALDO
ATUAL],Tab_10.Out[CONTA],$I27)</f>
        <v>99324.97</v>
      </c>
      <c r="G27" s="4">
        <f t="shared" si="2"/>
        <v>0</v>
      </c>
      <c r="H27" s="1"/>
      <c r="I27" s="3" t="s">
        <v>204</v>
      </c>
      <c r="J27" s="3" t="s">
        <v>642</v>
      </c>
      <c r="K27" s="4">
        <v>99324.97</v>
      </c>
      <c r="L27" s="4">
        <v>4845.49</v>
      </c>
      <c r="M27" s="4">
        <v>139.54</v>
      </c>
      <c r="N27" s="4">
        <v>104030.92</v>
      </c>
      <c r="O27" s="4">
        <f t="shared" si="3"/>
        <v>4705.95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SUMIFS(Tab_10.Out[SALDO
ATUAL],Tab_10.Out[CONTA],$I28)</f>
        <v>99324.97</v>
      </c>
      <c r="G28" s="4">
        <f t="shared" si="2"/>
        <v>0</v>
      </c>
      <c r="H28" s="1"/>
      <c r="I28" s="3" t="s">
        <v>205</v>
      </c>
      <c r="J28" s="3" t="s">
        <v>643</v>
      </c>
      <c r="K28" s="4">
        <v>99324.97</v>
      </c>
      <c r="L28" s="4">
        <v>0</v>
      </c>
      <c r="M28" s="4">
        <v>0</v>
      </c>
      <c r="N28" s="4">
        <v>99324.97</v>
      </c>
      <c r="O28" s="4">
        <f t="shared" si="3"/>
        <v>0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A</v>
      </c>
      <c r="E29" s="2">
        <f>IF($I29="","",COUNTIFS(Tab_00.Trial[CONTA],$I29))</f>
        <v>1</v>
      </c>
      <c r="F29" s="4">
        <f>SUMIFS(Tab_10.Out[SALDO
ATUAL],Tab_10.Out[CONTA],$I29)</f>
        <v>99324.97</v>
      </c>
      <c r="G29" s="4">
        <f t="shared" si="2"/>
        <v>0</v>
      </c>
      <c r="H29" s="1"/>
      <c r="I29" s="3" t="s">
        <v>291</v>
      </c>
      <c r="J29" s="3" t="s">
        <v>292</v>
      </c>
      <c r="K29" s="4">
        <v>99324.97</v>
      </c>
      <c r="L29" s="4">
        <v>0</v>
      </c>
      <c r="M29" s="4">
        <v>0</v>
      </c>
      <c r="N29" s="4">
        <v>99324.97</v>
      </c>
      <c r="O29" s="4">
        <f t="shared" si="3"/>
        <v>0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S</v>
      </c>
      <c r="E30" s="2">
        <f>IF($I30="","",COUNTIFS(Tab_00.Trial[CONTA],$I30))</f>
        <v>1</v>
      </c>
      <c r="F30" s="4">
        <f>SUMIFS(Tab_10.Out[SALDO
ATUAL],Tab_10.Out[CONTA],$I30)</f>
        <v>0</v>
      </c>
      <c r="G30" s="4">
        <f t="shared" si="2"/>
        <v>0</v>
      </c>
      <c r="H30" s="1"/>
      <c r="I30" s="3" t="s">
        <v>841</v>
      </c>
      <c r="J30" s="3" t="s">
        <v>842</v>
      </c>
      <c r="K30" s="4">
        <v>0</v>
      </c>
      <c r="L30" s="4">
        <v>4845.49</v>
      </c>
      <c r="M30" s="4">
        <v>139.54</v>
      </c>
      <c r="N30" s="4">
        <v>4705.95</v>
      </c>
      <c r="O30" s="4">
        <f t="shared" si="3"/>
        <v>4705.95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A</v>
      </c>
      <c r="E31" s="2">
        <f>IF($I31="","",COUNTIFS(Tab_00.Trial[CONTA],$I31))</f>
        <v>1</v>
      </c>
      <c r="F31" s="4">
        <f>SUMIFS(Tab_10.Out[SALDO
ATUAL],Tab_10.Out[CONTA],$I31)</f>
        <v>0</v>
      </c>
      <c r="G31" s="4">
        <f t="shared" si="2"/>
        <v>0</v>
      </c>
      <c r="H31" s="1"/>
      <c r="I31" s="3" t="s">
        <v>843</v>
      </c>
      <c r="J31" s="3" t="s">
        <v>842</v>
      </c>
      <c r="K31" s="4">
        <v>0</v>
      </c>
      <c r="L31" s="4">
        <v>4845.49</v>
      </c>
      <c r="M31" s="4">
        <v>139.54</v>
      </c>
      <c r="N31" s="4">
        <v>4705.95</v>
      </c>
      <c r="O31" s="4">
        <f t="shared" si="3"/>
        <v>4705.95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S</v>
      </c>
      <c r="E32" s="2">
        <f>IF($I32="","",COUNTIFS(Tab_00.Trial[CONTA],$I32))</f>
        <v>1</v>
      </c>
      <c r="F32" s="4">
        <f>SUMIFS(Tab_10.Out[SALDO
ATUAL],Tab_10.Out[CONTA],$I32)</f>
        <v>15053.24</v>
      </c>
      <c r="G32" s="4">
        <f t="shared" si="2"/>
        <v>0</v>
      </c>
      <c r="H32" s="1"/>
      <c r="I32" s="3" t="s">
        <v>206</v>
      </c>
      <c r="J32" s="3" t="s">
        <v>644</v>
      </c>
      <c r="K32" s="4">
        <v>15053.24</v>
      </c>
      <c r="L32" s="4">
        <v>77696.63</v>
      </c>
      <c r="M32" s="4">
        <v>6992.69</v>
      </c>
      <c r="N32" s="4">
        <v>85757.18</v>
      </c>
      <c r="O32" s="4">
        <f t="shared" si="3"/>
        <v>70703.94</v>
      </c>
    </row>
    <row r="33" spans="2:15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SUMIFS(Tab_10.Out[SALDO
ATUAL],Tab_10.Out[CONTA],$I33)</f>
        <v>6872.45</v>
      </c>
      <c r="G33" s="4">
        <f t="shared" si="2"/>
        <v>0</v>
      </c>
      <c r="H33" s="1"/>
      <c r="I33" s="3" t="s">
        <v>208</v>
      </c>
      <c r="J33" s="3" t="s">
        <v>139</v>
      </c>
      <c r="K33" s="4">
        <v>6872.45</v>
      </c>
      <c r="L33" s="4">
        <v>77684.53</v>
      </c>
      <c r="M33" s="4">
        <v>5093.6899999999996</v>
      </c>
      <c r="N33" s="4">
        <v>79463.289999999994</v>
      </c>
      <c r="O33" s="4">
        <f t="shared" si="3"/>
        <v>72590.84</v>
      </c>
    </row>
    <row r="34" spans="2:15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A</v>
      </c>
      <c r="E34" s="2">
        <f>IF($I34="","",COUNTIFS(Tab_00.Trial[CONTA],$I34))</f>
        <v>1</v>
      </c>
      <c r="F34" s="4">
        <f>SUMIFS(Tab_10.Out[SALDO
ATUAL],Tab_10.Out[CONTA],$I34)</f>
        <v>2779.68</v>
      </c>
      <c r="G34" s="4">
        <f t="shared" si="2"/>
        <v>0</v>
      </c>
      <c r="H34" s="1"/>
      <c r="I34" s="3" t="s">
        <v>818</v>
      </c>
      <c r="J34" s="3" t="s">
        <v>819</v>
      </c>
      <c r="K34" s="4">
        <v>2779.68</v>
      </c>
      <c r="L34" s="4">
        <v>75697.63</v>
      </c>
      <c r="M34" s="4">
        <v>0</v>
      </c>
      <c r="N34" s="4">
        <v>78477.31</v>
      </c>
      <c r="O34" s="4">
        <f t="shared" si="3"/>
        <v>75697.63</v>
      </c>
    </row>
    <row r="35" spans="2:15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A</v>
      </c>
      <c r="E35" s="2">
        <f>IF($I35="","",COUNTIFS(Tab_00.Trial[CONTA],$I35))</f>
        <v>1</v>
      </c>
      <c r="F35" s="4">
        <f>SUMIFS(Tab_10.Out[SALDO
ATUAL],Tab_10.Out[CONTA],$I35)</f>
        <v>4092.77</v>
      </c>
      <c r="G35" s="4">
        <f t="shared" si="2"/>
        <v>0</v>
      </c>
      <c r="H35" s="1"/>
      <c r="I35" s="3" t="s">
        <v>294</v>
      </c>
      <c r="J35" s="3" t="s">
        <v>295</v>
      </c>
      <c r="K35" s="4">
        <v>4092.77</v>
      </c>
      <c r="L35" s="4">
        <v>1986.9</v>
      </c>
      <c r="M35" s="4">
        <v>5093.6899999999996</v>
      </c>
      <c r="N35" s="4">
        <v>985.98</v>
      </c>
      <c r="O35" s="4">
        <f t="shared" si="3"/>
        <v>-3106.79</v>
      </c>
    </row>
    <row r="36" spans="2:15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S</v>
      </c>
      <c r="E36" s="2">
        <f>IF($I36="","",COUNTIFS(Tab_00.Trial[CONTA],$I36))</f>
        <v>1</v>
      </c>
      <c r="F36" s="4">
        <f>SUMIFS(Tab_10.Out[SALDO
ATUAL],Tab_10.Out[CONTA],$I36)</f>
        <v>8180.79</v>
      </c>
      <c r="G36" s="4">
        <f t="shared" si="2"/>
        <v>0</v>
      </c>
      <c r="H36" s="1"/>
      <c r="I36" s="3" t="s">
        <v>551</v>
      </c>
      <c r="J36" s="3" t="s">
        <v>645</v>
      </c>
      <c r="K36" s="4">
        <v>8180.79</v>
      </c>
      <c r="L36" s="4">
        <v>12.1</v>
      </c>
      <c r="M36" s="4">
        <v>1899</v>
      </c>
      <c r="N36" s="4">
        <v>6293.89</v>
      </c>
      <c r="O36" s="4">
        <f t="shared" si="3"/>
        <v>-1886.9</v>
      </c>
    </row>
    <row r="37" spans="2:15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A</v>
      </c>
      <c r="E37" s="2">
        <f>IF($I37="","",COUNTIFS(Tab_00.Trial[CONTA],$I37))</f>
        <v>1</v>
      </c>
      <c r="F37" s="4">
        <f>SUMIFS(Tab_10.Out[SALDO
ATUAL],Tab_10.Out[CONTA],$I37)</f>
        <v>86.53</v>
      </c>
      <c r="G37" s="4">
        <f t="shared" si="2"/>
        <v>0</v>
      </c>
      <c r="H37" s="1"/>
      <c r="I37" s="3" t="s">
        <v>844</v>
      </c>
      <c r="J37" s="3" t="s">
        <v>845</v>
      </c>
      <c r="K37" s="4">
        <v>86.53</v>
      </c>
      <c r="L37" s="4">
        <v>12.1</v>
      </c>
      <c r="M37" s="4">
        <v>0</v>
      </c>
      <c r="N37" s="4">
        <v>98.63</v>
      </c>
      <c r="O37" s="4">
        <f t="shared" si="3"/>
        <v>12.1</v>
      </c>
    </row>
    <row r="38" spans="2:15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A</v>
      </c>
      <c r="E38" s="2">
        <f>IF($I38="","",COUNTIFS(Tab_00.Trial[CONTA],$I38))</f>
        <v>1</v>
      </c>
      <c r="F38" s="4">
        <f>SUMIFS(Tab_10.Out[SALDO
ATUAL],Tab_10.Out[CONTA],$I38)</f>
        <v>8094.26</v>
      </c>
      <c r="G38" s="4">
        <f t="shared" si="2"/>
        <v>0</v>
      </c>
      <c r="H38" s="1"/>
      <c r="I38" s="3" t="s">
        <v>837</v>
      </c>
      <c r="J38" s="3" t="s">
        <v>838</v>
      </c>
      <c r="K38" s="4">
        <v>8094.26</v>
      </c>
      <c r="L38" s="4">
        <v>0</v>
      </c>
      <c r="M38" s="4">
        <v>1899</v>
      </c>
      <c r="N38" s="4">
        <v>6195.26</v>
      </c>
      <c r="O38" s="4">
        <f t="shared" si="3"/>
        <v>-1899</v>
      </c>
    </row>
    <row r="39" spans="2:15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S</v>
      </c>
      <c r="E39" s="2">
        <f>IF($I39="","",COUNTIFS(Tab_00.Trial[CONTA],$I39))</f>
        <v>1</v>
      </c>
      <c r="F39" s="4">
        <f>SUMIFS(Tab_10.Out[SALDO
ATUAL],Tab_10.Out[CONTA],$I39)</f>
        <v>73865.38</v>
      </c>
      <c r="G39" s="4">
        <f t="shared" si="2"/>
        <v>0</v>
      </c>
      <c r="H39" s="1"/>
      <c r="I39" s="3" t="s">
        <v>846</v>
      </c>
      <c r="J39" s="3" t="s">
        <v>847</v>
      </c>
      <c r="K39" s="4">
        <v>73865.38</v>
      </c>
      <c r="L39" s="4">
        <v>0</v>
      </c>
      <c r="M39" s="4">
        <v>0</v>
      </c>
      <c r="N39" s="4">
        <v>73865.38</v>
      </c>
      <c r="O39" s="4">
        <f t="shared" si="3"/>
        <v>0</v>
      </c>
    </row>
    <row r="40" spans="2:15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SUMIFS(Tab_10.Out[SALDO
ATUAL],Tab_10.Out[CONTA],$I40)</f>
        <v>73865.38</v>
      </c>
      <c r="G40" s="4">
        <f t="shared" si="2"/>
        <v>0</v>
      </c>
      <c r="H40" s="1"/>
      <c r="I40" s="3" t="s">
        <v>848</v>
      </c>
      <c r="J40" s="3" t="s">
        <v>849</v>
      </c>
      <c r="K40" s="4">
        <v>73865.38</v>
      </c>
      <c r="L40" s="4">
        <v>0</v>
      </c>
      <c r="M40" s="4">
        <v>0</v>
      </c>
      <c r="N40" s="4">
        <v>73865.38</v>
      </c>
      <c r="O40" s="4">
        <f t="shared" si="3"/>
        <v>0</v>
      </c>
    </row>
    <row r="41" spans="2:15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A</v>
      </c>
      <c r="E41" s="2">
        <f>IF($I41="","",COUNTIFS(Tab_00.Trial[CONTA],$I41))</f>
        <v>1</v>
      </c>
      <c r="F41" s="4">
        <f>SUMIFS(Tab_10.Out[SALDO
ATUAL],Tab_10.Out[CONTA],$I41)</f>
        <v>73865.38</v>
      </c>
      <c r="G41" s="4">
        <f t="shared" si="2"/>
        <v>0</v>
      </c>
      <c r="H41" s="1"/>
      <c r="I41" s="3" t="s">
        <v>850</v>
      </c>
      <c r="J41" s="3" t="s">
        <v>849</v>
      </c>
      <c r="K41" s="4">
        <v>73865.38</v>
      </c>
      <c r="L41" s="4">
        <v>0</v>
      </c>
      <c r="M41" s="4">
        <v>0</v>
      </c>
      <c r="N41" s="4">
        <v>73865.38</v>
      </c>
      <c r="O41" s="4">
        <f t="shared" si="3"/>
        <v>0</v>
      </c>
    </row>
    <row r="42" spans="2:15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S</v>
      </c>
      <c r="E42" s="2">
        <f>IF($I42="","",COUNTIFS(Tab_00.Trial[CONTA],$I42))</f>
        <v>1</v>
      </c>
      <c r="F42" s="4">
        <f>SUMIFS(Tab_10.Out[SALDO
ATUAL],Tab_10.Out[CONTA],$I42)</f>
        <v>3209.38</v>
      </c>
      <c r="G42" s="4">
        <f t="shared" si="2"/>
        <v>0</v>
      </c>
      <c r="H42" s="1"/>
      <c r="I42" s="3" t="s">
        <v>209</v>
      </c>
      <c r="J42" s="3" t="s">
        <v>646</v>
      </c>
      <c r="K42" s="4">
        <v>3209.38</v>
      </c>
      <c r="L42" s="4">
        <v>0</v>
      </c>
      <c r="M42" s="4">
        <v>291.76</v>
      </c>
      <c r="N42" s="4">
        <v>2917.62</v>
      </c>
      <c r="O42" s="4">
        <f t="shared" si="3"/>
        <v>-291.76</v>
      </c>
    </row>
    <row r="43" spans="2:15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SUMIFS(Tab_10.Out[SALDO
ATUAL],Tab_10.Out[CONTA],$I43)</f>
        <v>3209.38</v>
      </c>
      <c r="G43" s="4">
        <f t="shared" si="2"/>
        <v>0</v>
      </c>
      <c r="H43" s="1"/>
      <c r="I43" s="3" t="s">
        <v>210</v>
      </c>
      <c r="J43" s="3" t="s">
        <v>646</v>
      </c>
      <c r="K43" s="4">
        <v>3209.38</v>
      </c>
      <c r="L43" s="4">
        <v>0</v>
      </c>
      <c r="M43" s="4">
        <v>291.76</v>
      </c>
      <c r="N43" s="4">
        <v>2917.62</v>
      </c>
      <c r="O43" s="4">
        <f t="shared" si="3"/>
        <v>-291.76</v>
      </c>
    </row>
    <row r="44" spans="2:15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A</v>
      </c>
      <c r="E44" s="2">
        <f>IF($I44="","",COUNTIFS(Tab_00.Trial[CONTA],$I44))</f>
        <v>1</v>
      </c>
      <c r="F44" s="4">
        <f>SUMIFS(Tab_10.Out[SALDO
ATUAL],Tab_10.Out[CONTA],$I44)</f>
        <v>3209.38</v>
      </c>
      <c r="G44" s="4">
        <f t="shared" si="2"/>
        <v>0</v>
      </c>
      <c r="H44" s="1"/>
      <c r="I44" s="3" t="s">
        <v>298</v>
      </c>
      <c r="J44" s="3" t="s">
        <v>299</v>
      </c>
      <c r="K44" s="4">
        <v>3209.38</v>
      </c>
      <c r="L44" s="4">
        <v>0</v>
      </c>
      <c r="M44" s="4">
        <v>291.76</v>
      </c>
      <c r="N44" s="4">
        <v>2917.62</v>
      </c>
      <c r="O44" s="4">
        <f t="shared" si="3"/>
        <v>-291.76</v>
      </c>
    </row>
    <row r="45" spans="2:15" x14ac:dyDescent="0.3">
      <c r="B45" s="2" t="str">
        <f>_xlfn.XLOOKUP($I45,Tab_00.Trial[CONTA],Tab_00.Trial[TP],"",0,1)</f>
        <v>A</v>
      </c>
      <c r="C45" s="2">
        <f>_xlfn.XLOOKUP($I45,Tab_00.Trial[CONTA],Tab_00.Trial[NV],"",0,1)</f>
        <v>2</v>
      </c>
      <c r="D45" s="2" t="str">
        <f>_xlfn.XLOOKUP($I45,Tab_00.Trial[CONTA],Tab_00.Trial[S/A],"",0,1)</f>
        <v>S</v>
      </c>
      <c r="E45" s="2">
        <f>IF($I45="","",COUNTIFS(Tab_00.Trial[CONTA],$I45))</f>
        <v>1</v>
      </c>
      <c r="F45" s="4">
        <f>SUMIFS(Tab_10.Out[SALDO
ATUAL],Tab_10.Out[CONTA],$I45)</f>
        <v>74040444.180000007</v>
      </c>
      <c r="G45" s="4">
        <f t="shared" si="2"/>
        <v>0</v>
      </c>
      <c r="H45" s="1"/>
      <c r="I45" s="3" t="s">
        <v>211</v>
      </c>
      <c r="J45" s="3" t="s">
        <v>76</v>
      </c>
      <c r="K45" s="4">
        <v>74040444.180000007</v>
      </c>
      <c r="L45" s="4">
        <v>248787.42</v>
      </c>
      <c r="M45" s="4">
        <v>6062.75</v>
      </c>
      <c r="N45" s="4">
        <v>74283168.849999994</v>
      </c>
      <c r="O45" s="4">
        <f t="shared" si="3"/>
        <v>242724.67</v>
      </c>
    </row>
    <row r="46" spans="2:15" x14ac:dyDescent="0.3">
      <c r="B46" s="2" t="str">
        <f>_xlfn.XLOOKUP($I46,Tab_00.Trial[CONTA],Tab_00.Trial[TP],"",0,1)</f>
        <v>A</v>
      </c>
      <c r="C46" s="2">
        <f>_xlfn.XLOOKUP($I46,Tab_00.Trial[CONTA],Tab_00.Trial[NV],"",0,1)</f>
        <v>5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SUMIFS(Tab_10.Out[SALDO
ATUAL],Tab_10.Out[CONTA],$I46)</f>
        <v>256169.55</v>
      </c>
      <c r="G46" s="4">
        <f t="shared" si="2"/>
        <v>0</v>
      </c>
      <c r="H46" s="1"/>
      <c r="I46" s="3" t="s">
        <v>552</v>
      </c>
      <c r="J46" s="3" t="s">
        <v>647</v>
      </c>
      <c r="K46" s="4">
        <v>256169.55</v>
      </c>
      <c r="L46" s="4">
        <v>814.42</v>
      </c>
      <c r="M46" s="4">
        <v>0</v>
      </c>
      <c r="N46" s="4">
        <v>256983.97</v>
      </c>
      <c r="O46" s="4">
        <f t="shared" si="3"/>
        <v>814.42</v>
      </c>
    </row>
    <row r="47" spans="2:15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SUMIFS(Tab_10.Out[SALDO
ATUAL],Tab_10.Out[CONTA],$I47)</f>
        <v>256169.55</v>
      </c>
      <c r="G47" s="4">
        <f t="shared" si="2"/>
        <v>0</v>
      </c>
      <c r="H47" s="1"/>
      <c r="I47" s="3" t="s">
        <v>553</v>
      </c>
      <c r="J47" s="3" t="s">
        <v>301</v>
      </c>
      <c r="K47" s="4">
        <v>256169.55</v>
      </c>
      <c r="L47" s="4">
        <v>814.42</v>
      </c>
      <c r="M47" s="4">
        <v>0</v>
      </c>
      <c r="N47" s="4">
        <v>256983.97</v>
      </c>
      <c r="O47" s="4">
        <f t="shared" si="3"/>
        <v>814.42</v>
      </c>
    </row>
    <row r="48" spans="2:15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A</v>
      </c>
      <c r="E48" s="2">
        <f>IF($I48="","",COUNTIFS(Tab_00.Trial[CONTA],$I48))</f>
        <v>1</v>
      </c>
      <c r="F48" s="4">
        <f>SUMIFS(Tab_10.Out[SALDO
ATUAL],Tab_10.Out[CONTA],$I48)</f>
        <v>256169.55</v>
      </c>
      <c r="G48" s="4">
        <f t="shared" si="2"/>
        <v>0</v>
      </c>
      <c r="H48" s="1"/>
      <c r="I48" s="3" t="s">
        <v>300</v>
      </c>
      <c r="J48" s="3" t="s">
        <v>301</v>
      </c>
      <c r="K48" s="4">
        <v>256169.55</v>
      </c>
      <c r="L48" s="4">
        <v>814.42</v>
      </c>
      <c r="M48" s="4">
        <v>0</v>
      </c>
      <c r="N48" s="4">
        <v>256983.97</v>
      </c>
      <c r="O48" s="4">
        <f t="shared" si="3"/>
        <v>814.42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S</v>
      </c>
      <c r="E49" s="2">
        <f>IF($I49="","",COUNTIFS(Tab_00.Trial[CONTA],$I49))</f>
        <v>1</v>
      </c>
      <c r="F49" s="4">
        <f>SUMIFS(Tab_10.Out[SALDO
ATUAL],Tab_10.Out[CONTA],$I49)</f>
        <v>71427398.069999993</v>
      </c>
      <c r="G49" s="4">
        <f t="shared" si="2"/>
        <v>0</v>
      </c>
      <c r="H49" s="1"/>
      <c r="I49" s="3" t="s">
        <v>554</v>
      </c>
      <c r="J49" s="3" t="s">
        <v>648</v>
      </c>
      <c r="K49" s="4">
        <v>71427398.069999993</v>
      </c>
      <c r="L49" s="4">
        <v>246633</v>
      </c>
      <c r="M49" s="4">
        <v>2396</v>
      </c>
      <c r="N49" s="4">
        <v>71671635.069999993</v>
      </c>
      <c r="O49" s="4">
        <f t="shared" si="3"/>
        <v>244237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SUMIFS(Tab_10.Out[SALDO
ATUAL],Tab_10.Out[CONTA],$I50)</f>
        <v>45344232.229999997</v>
      </c>
      <c r="G50" s="4">
        <f t="shared" si="2"/>
        <v>0</v>
      </c>
      <c r="H50" s="1"/>
      <c r="I50" s="3" t="s">
        <v>555</v>
      </c>
      <c r="J50" s="3" t="s">
        <v>649</v>
      </c>
      <c r="K50" s="4">
        <v>45344232.229999997</v>
      </c>
      <c r="L50" s="4">
        <v>0</v>
      </c>
      <c r="M50" s="4">
        <v>0</v>
      </c>
      <c r="N50" s="4">
        <v>45344232.229999997</v>
      </c>
      <c r="O50" s="4">
        <f t="shared" si="3"/>
        <v>0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A</v>
      </c>
      <c r="E51" s="2">
        <f>IF($I51="","",COUNTIFS(Tab_00.Trial[CONTA],$I51))</f>
        <v>1</v>
      </c>
      <c r="F51" s="4">
        <f>SUMIFS(Tab_10.Out[SALDO
ATUAL],Tab_10.Out[CONTA],$I51)</f>
        <v>42477392.43</v>
      </c>
      <c r="G51" s="4">
        <f t="shared" si="2"/>
        <v>0</v>
      </c>
      <c r="H51" s="1"/>
      <c r="I51" s="3" t="s">
        <v>302</v>
      </c>
      <c r="J51" s="3" t="s">
        <v>303</v>
      </c>
      <c r="K51" s="4">
        <v>42477392.43</v>
      </c>
      <c r="L51" s="4">
        <v>0</v>
      </c>
      <c r="M51" s="4">
        <v>0</v>
      </c>
      <c r="N51" s="4">
        <v>42477392.43</v>
      </c>
      <c r="O51" s="4">
        <f t="shared" si="3"/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SUMIFS(Tab_10.Out[SALDO
ATUAL],Tab_10.Out[CONTA],$I52)</f>
        <v>2866839.8</v>
      </c>
      <c r="G52" s="4">
        <f t="shared" si="2"/>
        <v>0</v>
      </c>
      <c r="H52" s="1"/>
      <c r="I52" s="3" t="s">
        <v>304</v>
      </c>
      <c r="J52" s="3" t="s">
        <v>305</v>
      </c>
      <c r="K52" s="4">
        <v>2866839.8</v>
      </c>
      <c r="L52" s="4">
        <v>0</v>
      </c>
      <c r="M52" s="4">
        <v>0</v>
      </c>
      <c r="N52" s="4">
        <v>2866839.8</v>
      </c>
      <c r="O52" s="4">
        <f t="shared" si="3"/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S</v>
      </c>
      <c r="E53" s="2">
        <f>IF($I53="","",COUNTIFS(Tab_00.Trial[CONTA],$I53))</f>
        <v>1</v>
      </c>
      <c r="F53" s="4">
        <f>SUMIFS(Tab_10.Out[SALDO
ATUAL],Tab_10.Out[CONTA],$I53)</f>
        <v>4760.84</v>
      </c>
      <c r="G53" s="4">
        <f t="shared" si="2"/>
        <v>0</v>
      </c>
      <c r="H53" s="1"/>
      <c r="I53" s="3" t="s">
        <v>556</v>
      </c>
      <c r="J53" s="3" t="s">
        <v>650</v>
      </c>
      <c r="K53" s="4">
        <v>4760.84</v>
      </c>
      <c r="L53" s="4">
        <v>0</v>
      </c>
      <c r="M53" s="4">
        <v>0</v>
      </c>
      <c r="N53" s="4">
        <v>4760.84</v>
      </c>
      <c r="O53" s="4">
        <f t="shared" si="3"/>
        <v>0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A</v>
      </c>
      <c r="E54" s="2">
        <f>IF($I54="","",COUNTIFS(Tab_00.Trial[CONTA],$I54))</f>
        <v>1</v>
      </c>
      <c r="F54" s="4">
        <f>SUMIFS(Tab_10.Out[SALDO
ATUAL],Tab_10.Out[CONTA],$I54)</f>
        <v>4760.84</v>
      </c>
      <c r="G54" s="4">
        <f t="shared" si="2"/>
        <v>0</v>
      </c>
      <c r="H54" s="1"/>
      <c r="I54" s="3" t="s">
        <v>306</v>
      </c>
      <c r="J54" s="3" t="s">
        <v>307</v>
      </c>
      <c r="K54" s="4">
        <v>4760.84</v>
      </c>
      <c r="L54" s="4">
        <v>0</v>
      </c>
      <c r="M54" s="4">
        <v>0</v>
      </c>
      <c r="N54" s="4">
        <v>4760.84</v>
      </c>
      <c r="O54" s="4">
        <f t="shared" si="3"/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S</v>
      </c>
      <c r="E55" s="2">
        <f>IF($I55="","",COUNTIFS(Tab_00.Trial[CONTA],$I55))</f>
        <v>1</v>
      </c>
      <c r="F55" s="4">
        <f>SUMIFS(Tab_10.Out[SALDO
ATUAL],Tab_10.Out[CONTA],$I55)</f>
        <v>26078405</v>
      </c>
      <c r="G55" s="4">
        <f t="shared" si="2"/>
        <v>0</v>
      </c>
      <c r="H55" s="1"/>
      <c r="I55" s="3" t="s">
        <v>557</v>
      </c>
      <c r="J55" s="3" t="s">
        <v>309</v>
      </c>
      <c r="K55" s="4">
        <v>26078405</v>
      </c>
      <c r="L55" s="4">
        <v>246633</v>
      </c>
      <c r="M55" s="4">
        <v>2396</v>
      </c>
      <c r="N55" s="4">
        <v>26322642</v>
      </c>
      <c r="O55" s="4">
        <f t="shared" si="3"/>
        <v>244237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A</v>
      </c>
      <c r="E56" s="2">
        <f>IF($I56="","",COUNTIFS(Tab_00.Trial[CONTA],$I56))</f>
        <v>1</v>
      </c>
      <c r="F56" s="4">
        <f>SUMIFS(Tab_10.Out[SALDO
ATUAL],Tab_10.Out[CONTA],$I56)</f>
        <v>26078405</v>
      </c>
      <c r="G56" s="4">
        <f t="shared" si="2"/>
        <v>0</v>
      </c>
      <c r="H56" s="1"/>
      <c r="I56" s="3" t="s">
        <v>308</v>
      </c>
      <c r="J56" s="3" t="s">
        <v>309</v>
      </c>
      <c r="K56" s="4">
        <v>26078405</v>
      </c>
      <c r="L56" s="4">
        <v>246633</v>
      </c>
      <c r="M56" s="4">
        <v>2396</v>
      </c>
      <c r="N56" s="4">
        <v>26322642</v>
      </c>
      <c r="O56" s="4">
        <f t="shared" si="3"/>
        <v>244237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S</v>
      </c>
      <c r="E57" s="2">
        <f>IF($I57="","",COUNTIFS(Tab_00.Trial[CONTA],$I57))</f>
        <v>1</v>
      </c>
      <c r="F57" s="4">
        <f>SUMIFS(Tab_10.Out[SALDO
ATUAL],Tab_10.Out[CONTA],$I57)</f>
        <v>2356876.56</v>
      </c>
      <c r="G57" s="4">
        <f t="shared" si="2"/>
        <v>0</v>
      </c>
      <c r="H57" s="1"/>
      <c r="I57" s="3" t="s">
        <v>213</v>
      </c>
      <c r="J57" s="3" t="s">
        <v>35</v>
      </c>
      <c r="K57" s="4">
        <v>2356876.56</v>
      </c>
      <c r="L57" s="4">
        <v>1340</v>
      </c>
      <c r="M57" s="4">
        <v>3666.75</v>
      </c>
      <c r="N57" s="4">
        <v>2354549.81</v>
      </c>
      <c r="O57" s="4">
        <f t="shared" si="3"/>
        <v>-2326.75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S</v>
      </c>
      <c r="E58" s="2">
        <f>IF($I58="","",COUNTIFS(Tab_00.Trial[CONTA],$I58))</f>
        <v>1</v>
      </c>
      <c r="F58" s="4">
        <f>SUMIFS(Tab_10.Out[SALDO
ATUAL],Tab_10.Out[CONTA],$I58)</f>
        <v>3548599.31</v>
      </c>
      <c r="G58" s="4">
        <f t="shared" si="2"/>
        <v>0</v>
      </c>
      <c r="H58" s="1"/>
      <c r="I58" s="3" t="s">
        <v>214</v>
      </c>
      <c r="J58" s="3" t="s">
        <v>651</v>
      </c>
      <c r="K58" s="4">
        <v>3548599.31</v>
      </c>
      <c r="L58" s="4">
        <v>1340</v>
      </c>
      <c r="M58" s="4">
        <v>0</v>
      </c>
      <c r="N58" s="4">
        <v>3549939.31</v>
      </c>
      <c r="O58" s="4">
        <f t="shared" si="3"/>
        <v>1340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A</v>
      </c>
      <c r="E59" s="2">
        <f>IF($I59="","",COUNTIFS(Tab_00.Trial[CONTA],$I59))</f>
        <v>1</v>
      </c>
      <c r="F59" s="4">
        <f>SUMIFS(Tab_10.Out[SALDO
ATUAL],Tab_10.Out[CONTA],$I59)</f>
        <v>1379260.84</v>
      </c>
      <c r="G59" s="4">
        <f t="shared" si="2"/>
        <v>0</v>
      </c>
      <c r="H59" s="1"/>
      <c r="I59" s="3" t="s">
        <v>310</v>
      </c>
      <c r="J59" s="3" t="s">
        <v>311</v>
      </c>
      <c r="K59" s="4">
        <v>1379260.84</v>
      </c>
      <c r="L59" s="4">
        <v>0</v>
      </c>
      <c r="M59" s="4">
        <v>0</v>
      </c>
      <c r="N59" s="4">
        <v>1379260.84</v>
      </c>
      <c r="O59" s="4">
        <f t="shared" si="3"/>
        <v>0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SUMIFS(Tab_10.Out[SALDO
ATUAL],Tab_10.Out[CONTA],$I60)</f>
        <v>1293371.25</v>
      </c>
      <c r="G60" s="4">
        <f t="shared" si="2"/>
        <v>0</v>
      </c>
      <c r="H60" s="1"/>
      <c r="I60" s="3" t="s">
        <v>312</v>
      </c>
      <c r="J60" s="3" t="s">
        <v>313</v>
      </c>
      <c r="K60" s="4">
        <v>1293371.25</v>
      </c>
      <c r="L60" s="4">
        <v>0</v>
      </c>
      <c r="M60" s="4">
        <v>0</v>
      </c>
      <c r="N60" s="4">
        <v>1293371.25</v>
      </c>
      <c r="O60" s="4">
        <f t="shared" si="3"/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SUMIFS(Tab_10.Out[SALDO
ATUAL],Tab_10.Out[CONTA],$I61)</f>
        <v>23000</v>
      </c>
      <c r="G61" s="4">
        <f t="shared" si="2"/>
        <v>0</v>
      </c>
      <c r="H61" s="1"/>
      <c r="I61" s="3" t="s">
        <v>181</v>
      </c>
      <c r="J61" s="3" t="s">
        <v>314</v>
      </c>
      <c r="K61" s="4">
        <v>23000</v>
      </c>
      <c r="L61" s="4">
        <v>0</v>
      </c>
      <c r="M61" s="4">
        <v>0</v>
      </c>
      <c r="N61" s="4">
        <v>23000</v>
      </c>
      <c r="O61" s="4">
        <f t="shared" si="3"/>
        <v>0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SUMIFS(Tab_10.Out[SALDO
ATUAL],Tab_10.Out[CONTA],$I62)</f>
        <v>12594</v>
      </c>
      <c r="G62" s="4">
        <f t="shared" si="2"/>
        <v>0</v>
      </c>
      <c r="H62" s="1"/>
      <c r="I62" s="3" t="s">
        <v>182</v>
      </c>
      <c r="J62" s="3" t="s">
        <v>315</v>
      </c>
      <c r="K62" s="4">
        <v>12594</v>
      </c>
      <c r="L62" s="4">
        <v>0</v>
      </c>
      <c r="M62" s="4">
        <v>0</v>
      </c>
      <c r="N62" s="4">
        <v>12594</v>
      </c>
      <c r="O62" s="4">
        <f t="shared" si="3"/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SUMIFS(Tab_10.Out[SALDO
ATUAL],Tab_10.Out[CONTA],$I63)</f>
        <v>224642.85</v>
      </c>
      <c r="G63" s="4">
        <f t="shared" si="2"/>
        <v>0</v>
      </c>
      <c r="H63" s="1"/>
      <c r="I63" s="3" t="s">
        <v>183</v>
      </c>
      <c r="J63" s="3" t="s">
        <v>316</v>
      </c>
      <c r="K63" s="4">
        <v>224642.85</v>
      </c>
      <c r="L63" s="4">
        <v>0</v>
      </c>
      <c r="M63" s="4">
        <v>0</v>
      </c>
      <c r="N63" s="4">
        <v>224642.85</v>
      </c>
      <c r="O63" s="4">
        <f t="shared" si="3"/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SUMIFS(Tab_10.Out[SALDO
ATUAL],Tab_10.Out[CONTA],$I64)</f>
        <v>7349.9</v>
      </c>
      <c r="G64" s="4">
        <f t="shared" si="2"/>
        <v>0</v>
      </c>
      <c r="H64" s="1"/>
      <c r="I64" s="3" t="s">
        <v>317</v>
      </c>
      <c r="J64" s="3" t="s">
        <v>318</v>
      </c>
      <c r="K64" s="4">
        <v>7349.9</v>
      </c>
      <c r="L64" s="4">
        <v>1340</v>
      </c>
      <c r="M64" s="4">
        <v>0</v>
      </c>
      <c r="N64" s="4">
        <v>8689.9</v>
      </c>
      <c r="O64" s="4">
        <f t="shared" si="3"/>
        <v>1340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SUMIFS(Tab_10.Out[SALDO
ATUAL],Tab_10.Out[CONTA],$I65)</f>
        <v>128697.03</v>
      </c>
      <c r="G65" s="4">
        <f t="shared" si="2"/>
        <v>0</v>
      </c>
      <c r="H65" s="1"/>
      <c r="I65" s="3" t="s">
        <v>184</v>
      </c>
      <c r="J65" s="3" t="s">
        <v>319</v>
      </c>
      <c r="K65" s="4">
        <v>128697.03</v>
      </c>
      <c r="L65" s="4">
        <v>0</v>
      </c>
      <c r="M65" s="4">
        <v>0</v>
      </c>
      <c r="N65" s="4">
        <v>128697.03</v>
      </c>
      <c r="O65" s="4">
        <f t="shared" si="3"/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SUMIFS(Tab_10.Out[SALDO
ATUAL],Tab_10.Out[CONTA],$I66)</f>
        <v>15029.74</v>
      </c>
      <c r="G66" s="4">
        <f t="shared" si="2"/>
        <v>0</v>
      </c>
      <c r="H66" s="1"/>
      <c r="I66" s="3" t="s">
        <v>185</v>
      </c>
      <c r="J66" s="3" t="s">
        <v>320</v>
      </c>
      <c r="K66" s="4">
        <v>15029.74</v>
      </c>
      <c r="L66" s="4">
        <v>0</v>
      </c>
      <c r="M66" s="4">
        <v>0</v>
      </c>
      <c r="N66" s="4">
        <v>15029.74</v>
      </c>
      <c r="O66" s="4">
        <f t="shared" si="3"/>
        <v>0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SUMIFS(Tab_10.Out[SALDO
ATUAL],Tab_10.Out[CONTA],$I67)</f>
        <v>464653.7</v>
      </c>
      <c r="G67" s="4">
        <f t="shared" si="2"/>
        <v>0</v>
      </c>
      <c r="H67" s="1"/>
      <c r="I67" s="3" t="s">
        <v>321</v>
      </c>
      <c r="J67" s="3" t="s">
        <v>322</v>
      </c>
      <c r="K67" s="4">
        <v>464653.7</v>
      </c>
      <c r="L67" s="4">
        <v>0</v>
      </c>
      <c r="M67" s="4">
        <v>0</v>
      </c>
      <c r="N67" s="4">
        <v>464653.7</v>
      </c>
      <c r="O67" s="4">
        <f t="shared" si="3"/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S</v>
      </c>
      <c r="E68" s="2">
        <f>IF($I68="","",COUNTIFS(Tab_00.Trial[CONTA],$I68))</f>
        <v>1</v>
      </c>
      <c r="F68" s="4">
        <f>SUMIFS(Tab_10.Out[SALDO
ATUAL],Tab_10.Out[CONTA],$I68)</f>
        <v>-1191722.75</v>
      </c>
      <c r="G68" s="4">
        <f t="shared" si="2"/>
        <v>0</v>
      </c>
      <c r="H68" s="1"/>
      <c r="I68" s="3" t="s">
        <v>215</v>
      </c>
      <c r="J68" s="3" t="s">
        <v>652</v>
      </c>
      <c r="K68" s="4">
        <v>-1191722.75</v>
      </c>
      <c r="L68" s="4">
        <v>0</v>
      </c>
      <c r="M68" s="4">
        <v>3666.75</v>
      </c>
      <c r="N68" s="4">
        <v>-1195389.5</v>
      </c>
      <c r="O68" s="4">
        <f t="shared" si="3"/>
        <v>-3666.75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A</v>
      </c>
      <c r="E69" s="2">
        <f>IF($I69="","",COUNTIFS(Tab_00.Trial[CONTA],$I69))</f>
        <v>1</v>
      </c>
      <c r="F69" s="4">
        <f>SUMIFS(Tab_10.Out[SALDO
ATUAL],Tab_10.Out[CONTA],$I69)</f>
        <v>-673860.41</v>
      </c>
      <c r="G69" s="4">
        <f t="shared" si="2"/>
        <v>0</v>
      </c>
      <c r="H69" s="1"/>
      <c r="I69" s="3" t="s">
        <v>186</v>
      </c>
      <c r="J69" s="3" t="s">
        <v>313</v>
      </c>
      <c r="K69" s="4">
        <v>-673860.41</v>
      </c>
      <c r="L69" s="4">
        <v>0</v>
      </c>
      <c r="M69" s="4">
        <v>2997.93</v>
      </c>
      <c r="N69" s="4">
        <v>-676858.34</v>
      </c>
      <c r="O69" s="4">
        <f t="shared" si="3"/>
        <v>-2997.93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SUMIFS(Tab_10.Out[SALDO
ATUAL],Tab_10.Out[CONTA],$I70)</f>
        <v>-21781.56</v>
      </c>
      <c r="G70" s="4">
        <f t="shared" si="2"/>
        <v>0</v>
      </c>
      <c r="H70" s="1"/>
      <c r="I70" s="3" t="s">
        <v>187</v>
      </c>
      <c r="J70" s="3" t="s">
        <v>314</v>
      </c>
      <c r="K70" s="4">
        <v>-21781.56</v>
      </c>
      <c r="L70" s="4">
        <v>0</v>
      </c>
      <c r="M70" s="4">
        <v>191.67</v>
      </c>
      <c r="N70" s="4">
        <v>-21973.23</v>
      </c>
      <c r="O70" s="4">
        <f t="shared" si="3"/>
        <v>-191.67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SUMIFS(Tab_10.Out[SALDO
ATUAL],Tab_10.Out[CONTA],$I71)</f>
        <v>-7103.61</v>
      </c>
      <c r="G71" s="4">
        <f t="shared" si="2"/>
        <v>0</v>
      </c>
      <c r="H71" s="1"/>
      <c r="I71" s="3" t="s">
        <v>188</v>
      </c>
      <c r="J71" s="3" t="s">
        <v>315</v>
      </c>
      <c r="K71" s="4">
        <v>-7103.61</v>
      </c>
      <c r="L71" s="4">
        <v>0</v>
      </c>
      <c r="M71" s="4">
        <v>104.95</v>
      </c>
      <c r="N71" s="4">
        <v>-7208.56</v>
      </c>
      <c r="O71" s="4">
        <f t="shared" si="3"/>
        <v>-104.95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SUMIFS(Tab_10.Out[SALDO
ATUAL],Tab_10.Out[CONTA],$I72)</f>
        <v>-224642.85</v>
      </c>
      <c r="G72" s="4">
        <f t="shared" si="2"/>
        <v>0</v>
      </c>
      <c r="H72" s="1"/>
      <c r="I72" s="3" t="s">
        <v>189</v>
      </c>
      <c r="J72" s="3" t="s">
        <v>316</v>
      </c>
      <c r="K72" s="4">
        <v>-224642.85</v>
      </c>
      <c r="L72" s="4">
        <v>0</v>
      </c>
      <c r="M72" s="4">
        <v>0</v>
      </c>
      <c r="N72" s="4">
        <v>-224642.85</v>
      </c>
      <c r="O72" s="4">
        <f t="shared" si="3"/>
        <v>0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SUMIFS(Tab_10.Out[SALDO
ATUAL],Tab_10.Out[CONTA],$I73)</f>
        <v>-4675.84</v>
      </c>
      <c r="G73" s="4">
        <f t="shared" si="2"/>
        <v>0</v>
      </c>
      <c r="H73" s="1"/>
      <c r="I73" s="3" t="s">
        <v>190</v>
      </c>
      <c r="J73" s="3" t="s">
        <v>318</v>
      </c>
      <c r="K73" s="4">
        <v>-4675.84</v>
      </c>
      <c r="L73" s="4">
        <v>0</v>
      </c>
      <c r="M73" s="4">
        <v>0</v>
      </c>
      <c r="N73" s="4">
        <v>-4675.84</v>
      </c>
      <c r="O73" s="4">
        <f t="shared" si="3"/>
        <v>0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SUMIFS(Tab_10.Out[SALDO
ATUAL],Tab_10.Out[CONTA],$I74)</f>
        <v>-128697.03</v>
      </c>
      <c r="G74" s="4">
        <f t="shared" si="2"/>
        <v>0</v>
      </c>
      <c r="H74" s="1"/>
      <c r="I74" s="3" t="s">
        <v>323</v>
      </c>
      <c r="J74" s="3" t="s">
        <v>319</v>
      </c>
      <c r="K74" s="4">
        <v>-128697.03</v>
      </c>
      <c r="L74" s="4">
        <v>0</v>
      </c>
      <c r="M74" s="4">
        <v>122.2</v>
      </c>
      <c r="N74" s="4">
        <v>-128819.23</v>
      </c>
      <c r="O74" s="4">
        <f t="shared" si="3"/>
        <v>-122.2</v>
      </c>
    </row>
    <row r="75" spans="2:15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SUMIFS(Tab_10.Out[SALDO
ATUAL],Tab_10.Out[CONTA],$I75)</f>
        <v>-15029.74</v>
      </c>
      <c r="G75" s="4">
        <f t="shared" si="2"/>
        <v>0</v>
      </c>
      <c r="H75" s="1"/>
      <c r="I75" s="3" t="s">
        <v>324</v>
      </c>
      <c r="J75" s="3" t="s">
        <v>320</v>
      </c>
      <c r="K75" s="4">
        <v>-15029.74</v>
      </c>
      <c r="L75" s="4">
        <v>0</v>
      </c>
      <c r="M75" s="4">
        <v>0</v>
      </c>
      <c r="N75" s="4">
        <v>-15029.74</v>
      </c>
      <c r="O75" s="4">
        <f t="shared" si="3"/>
        <v>0</v>
      </c>
    </row>
    <row r="76" spans="2:15" x14ac:dyDescent="0.3">
      <c r="B76" s="2" t="str">
        <f>_xlfn.XLOOKUP($I76,Tab_00.Trial[CONTA],Tab_00.Trial[TP],"",0,1)</f>
        <v>A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SUMIFS(Tab_10.Out[SALDO
ATUAL],Tab_10.Out[CONTA],$I76)</f>
        <v>-115931.71</v>
      </c>
      <c r="G76" s="4">
        <f t="shared" si="2"/>
        <v>0</v>
      </c>
      <c r="H76" s="1"/>
      <c r="I76" s="3" t="s">
        <v>325</v>
      </c>
      <c r="J76" s="3" t="s">
        <v>322</v>
      </c>
      <c r="K76" s="4">
        <v>-115931.71</v>
      </c>
      <c r="L76" s="4">
        <v>0</v>
      </c>
      <c r="M76" s="4">
        <v>250</v>
      </c>
      <c r="N76" s="4">
        <v>-116181.71</v>
      </c>
      <c r="O76" s="4">
        <f t="shared" si="3"/>
        <v>-250</v>
      </c>
    </row>
    <row r="77" spans="2:15" x14ac:dyDescent="0.3">
      <c r="B77" s="2" t="str">
        <f>_xlfn.XLOOKUP($I77,Tab_00.Trial[CONTA],Tab_00.Trial[TP],"",0,1)</f>
        <v>P</v>
      </c>
      <c r="C77" s="2">
        <f>_xlfn.XLOOKUP($I77,Tab_00.Trial[CONTA],Tab_00.Trial[NV],"",0,1)</f>
        <v>1</v>
      </c>
      <c r="D77" s="2" t="str">
        <f>_xlfn.XLOOKUP($I77,Tab_00.Trial[CONTA],Tab_00.Trial[S/A],"",0,1)</f>
        <v>S</v>
      </c>
      <c r="E77" s="2">
        <f>IF($I77="","",COUNTIFS(Tab_00.Trial[CONTA],$I77))</f>
        <v>1</v>
      </c>
      <c r="F77" s="4">
        <f>SUMIFS(Tab_10.Out[SALDO
ATUAL],Tab_10.Out[CONTA],$I77)</f>
        <v>-83343714.840000004</v>
      </c>
      <c r="G77" s="4">
        <f t="shared" si="2"/>
        <v>0</v>
      </c>
      <c r="H77" s="1"/>
      <c r="I77" s="3">
        <v>2</v>
      </c>
      <c r="J77" s="3" t="s">
        <v>653</v>
      </c>
      <c r="K77" s="4">
        <v>-83343714.840000004</v>
      </c>
      <c r="L77" s="4">
        <v>517643.48</v>
      </c>
      <c r="M77" s="4">
        <v>332080.09000000003</v>
      </c>
      <c r="N77" s="4">
        <v>-83158151.450000003</v>
      </c>
      <c r="O77" s="4">
        <f t="shared" si="3"/>
        <v>185563.39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2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SUMIFS(Tab_10.Out[SALDO
ATUAL],Tab_10.Out[CONTA],$I78)</f>
        <v>-1441250.31</v>
      </c>
      <c r="G78" s="4">
        <f t="shared" si="2"/>
        <v>0</v>
      </c>
      <c r="H78" s="1"/>
      <c r="I78" s="3" t="s">
        <v>216</v>
      </c>
      <c r="J78" s="3" t="s">
        <v>31</v>
      </c>
      <c r="K78" s="4">
        <v>-1441250.31</v>
      </c>
      <c r="L78" s="4">
        <v>517643.48</v>
      </c>
      <c r="M78" s="4">
        <v>332080.09000000003</v>
      </c>
      <c r="N78" s="4">
        <v>-1255686.92</v>
      </c>
      <c r="O78" s="4">
        <f t="shared" si="3"/>
        <v>185563.39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5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SUMIFS(Tab_10.Out[SALDO
ATUAL],Tab_10.Out[CONTA],$I79)</f>
        <v>-353257.04</v>
      </c>
      <c r="G79" s="4">
        <f t="shared" ref="G79:G142" si="4">$F79-$K79</f>
        <v>0</v>
      </c>
      <c r="H79" s="1"/>
      <c r="I79" s="3" t="s">
        <v>558</v>
      </c>
      <c r="J79" s="3" t="s">
        <v>654</v>
      </c>
      <c r="K79" s="4">
        <v>-353257.04</v>
      </c>
      <c r="L79" s="4">
        <v>132193.45000000001</v>
      </c>
      <c r="M79" s="4">
        <v>150945.22</v>
      </c>
      <c r="N79" s="4">
        <v>-372008.81</v>
      </c>
      <c r="O79" s="4">
        <f t="shared" ref="O79:O142" si="5">$L79-$M79</f>
        <v>-18751.77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SUMIFS(Tab_10.Out[SALDO
ATUAL],Tab_10.Out[CONTA],$I80)</f>
        <v>0</v>
      </c>
      <c r="G80" s="4">
        <f t="shared" si="4"/>
        <v>0</v>
      </c>
      <c r="H80" s="1"/>
      <c r="I80" s="3" t="s">
        <v>559</v>
      </c>
      <c r="J80" s="3" t="s">
        <v>655</v>
      </c>
      <c r="K80" s="4">
        <v>0</v>
      </c>
      <c r="L80" s="4">
        <v>76780.210000000006</v>
      </c>
      <c r="M80" s="4">
        <v>76780.210000000006</v>
      </c>
      <c r="N80" s="4">
        <v>0</v>
      </c>
      <c r="O80" s="4">
        <f t="shared" si="5"/>
        <v>0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A</v>
      </c>
      <c r="E81" s="2">
        <f>IF($I81="","",COUNTIFS(Tab_00.Trial[CONTA],$I81))</f>
        <v>1</v>
      </c>
      <c r="F81" s="4">
        <f>SUMIFS(Tab_10.Out[SALDO
ATUAL],Tab_10.Out[CONTA],$I81)</f>
        <v>0</v>
      </c>
      <c r="G81" s="4">
        <f t="shared" si="4"/>
        <v>0</v>
      </c>
      <c r="H81" s="1"/>
      <c r="I81" s="3" t="s">
        <v>326</v>
      </c>
      <c r="J81" s="3" t="s">
        <v>327</v>
      </c>
      <c r="K81" s="4">
        <v>0</v>
      </c>
      <c r="L81" s="4">
        <v>76780.210000000006</v>
      </c>
      <c r="M81" s="4">
        <v>76780.210000000006</v>
      </c>
      <c r="N81" s="4">
        <v>0</v>
      </c>
      <c r="O81" s="4">
        <f t="shared" si="5"/>
        <v>0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S</v>
      </c>
      <c r="E82" s="2">
        <f>IF($I82="","",COUNTIFS(Tab_00.Trial[CONTA],$I82))</f>
        <v>1</v>
      </c>
      <c r="F82" s="4">
        <f>SUMIFS(Tab_10.Out[SALDO
ATUAL],Tab_10.Out[CONTA],$I82)</f>
        <v>-115366.05</v>
      </c>
      <c r="G82" s="4">
        <f t="shared" si="4"/>
        <v>0</v>
      </c>
      <c r="H82" s="1"/>
      <c r="I82" s="3" t="s">
        <v>560</v>
      </c>
      <c r="J82" s="3" t="s">
        <v>656</v>
      </c>
      <c r="K82" s="4">
        <v>-115366.05</v>
      </c>
      <c r="L82" s="4">
        <v>0</v>
      </c>
      <c r="M82" s="4">
        <v>11746.96</v>
      </c>
      <c r="N82" s="4">
        <v>-127113.01</v>
      </c>
      <c r="O82" s="4">
        <f t="shared" si="5"/>
        <v>-11746.96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A</v>
      </c>
      <c r="E83" s="2">
        <f>IF($I83="","",COUNTIFS(Tab_00.Trial[CONTA],$I83))</f>
        <v>1</v>
      </c>
      <c r="F83" s="4">
        <f>SUMIFS(Tab_10.Out[SALDO
ATUAL],Tab_10.Out[CONTA],$I83)</f>
        <v>-84821.79</v>
      </c>
      <c r="G83" s="4">
        <f t="shared" si="4"/>
        <v>0</v>
      </c>
      <c r="H83" s="1"/>
      <c r="I83" s="3" t="s">
        <v>332</v>
      </c>
      <c r="J83" s="3" t="s">
        <v>333</v>
      </c>
      <c r="K83" s="4">
        <v>-84821.79</v>
      </c>
      <c r="L83" s="4">
        <v>0</v>
      </c>
      <c r="M83" s="4">
        <v>8651.6200000000008</v>
      </c>
      <c r="N83" s="4">
        <v>-93473.41</v>
      </c>
      <c r="O83" s="4">
        <f t="shared" si="5"/>
        <v>-8651.6200000000008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SUMIFS(Tab_10.Out[SALDO
ATUAL],Tab_10.Out[CONTA],$I84)</f>
        <v>-6785.69</v>
      </c>
      <c r="G84" s="4">
        <f t="shared" si="4"/>
        <v>0</v>
      </c>
      <c r="H84" s="1"/>
      <c r="I84" s="3" t="s">
        <v>784</v>
      </c>
      <c r="J84" s="3" t="s">
        <v>785</v>
      </c>
      <c r="K84" s="4">
        <v>-6785.69</v>
      </c>
      <c r="L84" s="4">
        <v>0</v>
      </c>
      <c r="M84" s="4">
        <v>692.11</v>
      </c>
      <c r="N84" s="4">
        <v>-7477.8</v>
      </c>
      <c r="O84" s="4">
        <f t="shared" si="5"/>
        <v>-692.11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SUMIFS(Tab_10.Out[SALDO
ATUAL],Tab_10.Out[CONTA],$I85)</f>
        <v>-854.63</v>
      </c>
      <c r="G85" s="4">
        <f t="shared" si="4"/>
        <v>0</v>
      </c>
      <c r="H85" s="1"/>
      <c r="I85" s="3" t="s">
        <v>786</v>
      </c>
      <c r="J85" s="3" t="s">
        <v>787</v>
      </c>
      <c r="K85" s="4">
        <v>-854.63</v>
      </c>
      <c r="L85" s="4">
        <v>0</v>
      </c>
      <c r="M85" s="4">
        <v>86.45</v>
      </c>
      <c r="N85" s="4">
        <v>-941.08</v>
      </c>
      <c r="O85" s="4">
        <f t="shared" si="5"/>
        <v>-86.45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SUMIFS(Tab_10.Out[SALDO
ATUAL],Tab_10.Out[CONTA],$I86)</f>
        <v>-22903.94</v>
      </c>
      <c r="G86" s="4">
        <f t="shared" si="4"/>
        <v>0</v>
      </c>
      <c r="H86" s="1"/>
      <c r="I86" s="3" t="s">
        <v>788</v>
      </c>
      <c r="J86" s="3" t="s">
        <v>789</v>
      </c>
      <c r="K86" s="4">
        <v>-22903.94</v>
      </c>
      <c r="L86" s="4">
        <v>0</v>
      </c>
      <c r="M86" s="4">
        <v>2316.7800000000002</v>
      </c>
      <c r="N86" s="4">
        <v>-25220.720000000001</v>
      </c>
      <c r="O86" s="4">
        <f t="shared" si="5"/>
        <v>-2316.7800000000002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S</v>
      </c>
      <c r="E87" s="2">
        <f>IF($I87="","",COUNTIFS(Tab_00.Trial[CONTA],$I87))</f>
        <v>1</v>
      </c>
      <c r="F87" s="4">
        <f>SUMIFS(Tab_10.Out[SALDO
ATUAL],Tab_10.Out[CONTA],$I87)</f>
        <v>-191368.78</v>
      </c>
      <c r="G87" s="4">
        <f t="shared" si="4"/>
        <v>0</v>
      </c>
      <c r="H87" s="1"/>
      <c r="I87" s="3" t="s">
        <v>561</v>
      </c>
      <c r="J87" s="3" t="s">
        <v>657</v>
      </c>
      <c r="K87" s="4">
        <v>-191368.78</v>
      </c>
      <c r="L87" s="4">
        <v>8782.4500000000007</v>
      </c>
      <c r="M87" s="4">
        <v>17119.78</v>
      </c>
      <c r="N87" s="4">
        <v>-199706.11</v>
      </c>
      <c r="O87" s="4">
        <f t="shared" si="5"/>
        <v>-8337.33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A</v>
      </c>
      <c r="E88" s="2">
        <f>IF($I88="","",COUNTIFS(Tab_00.Trial[CONTA],$I88))</f>
        <v>1</v>
      </c>
      <c r="F88" s="4">
        <f>SUMIFS(Tab_10.Out[SALDO
ATUAL],Tab_10.Out[CONTA],$I88)</f>
        <v>-140847.38</v>
      </c>
      <c r="G88" s="4">
        <f t="shared" si="4"/>
        <v>0</v>
      </c>
      <c r="H88" s="1"/>
      <c r="I88" s="3" t="s">
        <v>334</v>
      </c>
      <c r="J88" s="3" t="s">
        <v>335</v>
      </c>
      <c r="K88" s="4">
        <v>-140847.38</v>
      </c>
      <c r="L88" s="4">
        <v>6472.18</v>
      </c>
      <c r="M88" s="4">
        <v>12630.74</v>
      </c>
      <c r="N88" s="4">
        <v>-147005.94</v>
      </c>
      <c r="O88" s="4">
        <f t="shared" si="5"/>
        <v>-6158.56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SUMIFS(Tab_10.Out[SALDO
ATUAL],Tab_10.Out[CONTA],$I89)</f>
        <v>-11245.64</v>
      </c>
      <c r="G89" s="4">
        <f t="shared" si="4"/>
        <v>0</v>
      </c>
      <c r="H89" s="1"/>
      <c r="I89" s="3" t="s">
        <v>790</v>
      </c>
      <c r="J89" s="3" t="s">
        <v>791</v>
      </c>
      <c r="K89" s="4">
        <v>-11245.64</v>
      </c>
      <c r="L89" s="4">
        <v>517.77</v>
      </c>
      <c r="M89" s="4">
        <v>1003.12</v>
      </c>
      <c r="N89" s="4">
        <v>-11730.99</v>
      </c>
      <c r="O89" s="4">
        <f t="shared" si="5"/>
        <v>-485.35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SUMIFS(Tab_10.Out[SALDO
ATUAL],Tab_10.Out[CONTA],$I90)</f>
        <v>-1602.33</v>
      </c>
      <c r="G90" s="4">
        <f t="shared" si="4"/>
        <v>0</v>
      </c>
      <c r="H90" s="1"/>
      <c r="I90" s="3" t="s">
        <v>792</v>
      </c>
      <c r="J90" s="3" t="s">
        <v>793</v>
      </c>
      <c r="K90" s="4">
        <v>-1602.33</v>
      </c>
      <c r="L90" s="4">
        <v>57.93</v>
      </c>
      <c r="M90" s="4">
        <v>125.41</v>
      </c>
      <c r="N90" s="4">
        <v>-1669.81</v>
      </c>
      <c r="O90" s="4">
        <f t="shared" si="5"/>
        <v>-67.48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SUMIFS(Tab_10.Out[SALDO
ATUAL],Tab_10.Out[CONTA],$I91)</f>
        <v>-37673.43</v>
      </c>
      <c r="G91" s="4">
        <f t="shared" si="4"/>
        <v>0</v>
      </c>
      <c r="H91" s="1"/>
      <c r="I91" s="3" t="s">
        <v>794</v>
      </c>
      <c r="J91" s="3" t="s">
        <v>795</v>
      </c>
      <c r="K91" s="4">
        <v>-37673.43</v>
      </c>
      <c r="L91" s="4">
        <v>1734.57</v>
      </c>
      <c r="M91" s="4">
        <v>3360.51</v>
      </c>
      <c r="N91" s="4">
        <v>-39299.370000000003</v>
      </c>
      <c r="O91" s="4">
        <f t="shared" si="5"/>
        <v>-1625.94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S</v>
      </c>
      <c r="E92" s="2">
        <f>IF($I92="","",COUNTIFS(Tab_00.Trial[CONTA],$I92))</f>
        <v>1</v>
      </c>
      <c r="F92" s="4">
        <f>SUMIFS(Tab_10.Out[SALDO
ATUAL],Tab_10.Out[CONTA],$I92)</f>
        <v>-36634.31</v>
      </c>
      <c r="G92" s="4">
        <f t="shared" si="4"/>
        <v>0</v>
      </c>
      <c r="H92" s="1"/>
      <c r="I92" s="3" t="s">
        <v>562</v>
      </c>
      <c r="J92" s="3" t="s">
        <v>658</v>
      </c>
      <c r="K92" s="4">
        <v>-36634.31</v>
      </c>
      <c r="L92" s="4">
        <v>36816.080000000002</v>
      </c>
      <c r="M92" s="4">
        <v>35813.440000000002</v>
      </c>
      <c r="N92" s="4">
        <v>-35631.67</v>
      </c>
      <c r="O92" s="4">
        <f t="shared" si="5"/>
        <v>1002.64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A</v>
      </c>
      <c r="E93" s="2">
        <f>IF($I93="","",COUNTIFS(Tab_00.Trial[CONTA],$I93))</f>
        <v>1</v>
      </c>
      <c r="F93" s="4">
        <f>SUMIFS(Tab_10.Out[SALDO
ATUAL],Tab_10.Out[CONTA],$I93)</f>
        <v>-36050.230000000003</v>
      </c>
      <c r="G93" s="4">
        <f t="shared" si="4"/>
        <v>0</v>
      </c>
      <c r="H93" s="1"/>
      <c r="I93" s="3" t="s">
        <v>336</v>
      </c>
      <c r="J93" s="3" t="s">
        <v>337</v>
      </c>
      <c r="K93" s="4">
        <v>-36050.230000000003</v>
      </c>
      <c r="L93" s="4">
        <v>36232</v>
      </c>
      <c r="M93" s="4">
        <v>35269.99</v>
      </c>
      <c r="N93" s="4">
        <v>-35088.22</v>
      </c>
      <c r="O93" s="4">
        <f t="shared" si="5"/>
        <v>962.01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SUMIFS(Tab_10.Out[SALDO
ATUAL],Tab_10.Out[CONTA],$I94)</f>
        <v>-584.08000000000004</v>
      </c>
      <c r="G94" s="4">
        <f t="shared" si="4"/>
        <v>0</v>
      </c>
      <c r="H94" s="1"/>
      <c r="I94" s="3" t="s">
        <v>338</v>
      </c>
      <c r="J94" s="3" t="s">
        <v>339</v>
      </c>
      <c r="K94" s="4">
        <v>-584.08000000000004</v>
      </c>
      <c r="L94" s="4">
        <v>584.08000000000004</v>
      </c>
      <c r="M94" s="4">
        <v>543.45000000000005</v>
      </c>
      <c r="N94" s="4">
        <v>-543.45000000000005</v>
      </c>
      <c r="O94" s="4">
        <f t="shared" si="5"/>
        <v>40.630000000000003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S</v>
      </c>
      <c r="E95" s="2">
        <f>IF($I95="","",COUNTIFS(Tab_00.Trial[CONTA],$I95))</f>
        <v>1</v>
      </c>
      <c r="F95" s="4">
        <f>SUMIFS(Tab_10.Out[SALDO
ATUAL],Tab_10.Out[CONTA],$I95)</f>
        <v>-9887.9</v>
      </c>
      <c r="G95" s="4">
        <f t="shared" si="4"/>
        <v>0</v>
      </c>
      <c r="H95" s="1"/>
      <c r="I95" s="3" t="s">
        <v>563</v>
      </c>
      <c r="J95" s="3" t="s">
        <v>659</v>
      </c>
      <c r="K95" s="4">
        <v>-9887.9</v>
      </c>
      <c r="L95" s="4">
        <v>9814.7099999999991</v>
      </c>
      <c r="M95" s="4">
        <v>9484.83</v>
      </c>
      <c r="N95" s="4">
        <v>-9558.02</v>
      </c>
      <c r="O95" s="4">
        <f t="shared" si="5"/>
        <v>329.88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A</v>
      </c>
      <c r="E96" s="2">
        <f>IF($I96="","",COUNTIFS(Tab_00.Trial[CONTA],$I96))</f>
        <v>1</v>
      </c>
      <c r="F96" s="4">
        <f>SUMIFS(Tab_10.Out[SALDO
ATUAL],Tab_10.Out[CONTA],$I96)</f>
        <v>-8724.19</v>
      </c>
      <c r="G96" s="4">
        <f t="shared" si="4"/>
        <v>0</v>
      </c>
      <c r="H96" s="1"/>
      <c r="I96" s="3" t="s">
        <v>340</v>
      </c>
      <c r="J96" s="3" t="s">
        <v>341</v>
      </c>
      <c r="K96" s="4">
        <v>-8724.19</v>
      </c>
      <c r="L96" s="4">
        <v>8724.19</v>
      </c>
      <c r="M96" s="4">
        <v>8430.9500000000007</v>
      </c>
      <c r="N96" s="4">
        <v>-8430.9500000000007</v>
      </c>
      <c r="O96" s="4">
        <f t="shared" si="5"/>
        <v>293.24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SUMIFS(Tab_10.Out[SALDO
ATUAL],Tab_10.Out[CONTA],$I97)</f>
        <v>-1163.71</v>
      </c>
      <c r="G97" s="4">
        <f t="shared" si="4"/>
        <v>0</v>
      </c>
      <c r="H97" s="1"/>
      <c r="I97" s="3" t="s">
        <v>342</v>
      </c>
      <c r="J97" s="3" t="s">
        <v>343</v>
      </c>
      <c r="K97" s="4">
        <v>-1163.71</v>
      </c>
      <c r="L97" s="4">
        <v>1090.52</v>
      </c>
      <c r="M97" s="4">
        <v>1053.8800000000001</v>
      </c>
      <c r="N97" s="4">
        <v>-1127.07</v>
      </c>
      <c r="O97" s="4">
        <f t="shared" si="5"/>
        <v>36.64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S</v>
      </c>
      <c r="E98" s="2">
        <f>IF($I98="","",COUNTIFS(Tab_00.Trial[CONTA],$I98))</f>
        <v>1</v>
      </c>
      <c r="F98" s="4">
        <f>SUMIFS(Tab_10.Out[SALDO
ATUAL],Tab_10.Out[CONTA],$I98)</f>
        <v>-1037217.56</v>
      </c>
      <c r="G98" s="4">
        <f t="shared" si="4"/>
        <v>0</v>
      </c>
      <c r="H98" s="1"/>
      <c r="I98" s="3" t="s">
        <v>218</v>
      </c>
      <c r="J98" s="3" t="s">
        <v>660</v>
      </c>
      <c r="K98" s="4">
        <v>-1037217.56</v>
      </c>
      <c r="L98" s="4">
        <v>360745.18</v>
      </c>
      <c r="M98" s="4">
        <v>156933.82999999999</v>
      </c>
      <c r="N98" s="4">
        <v>-833406.21</v>
      </c>
      <c r="O98" s="4">
        <f t="shared" si="5"/>
        <v>203811.35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SUMIFS(Tab_10.Out[SALDO
ATUAL],Tab_10.Out[CONTA],$I99)</f>
        <v>-287868.96999999997</v>
      </c>
      <c r="G99" s="4">
        <f t="shared" si="4"/>
        <v>0</v>
      </c>
      <c r="H99" s="1"/>
      <c r="I99" s="3" t="s">
        <v>219</v>
      </c>
      <c r="J99" s="3" t="s">
        <v>56</v>
      </c>
      <c r="K99" s="4">
        <v>-287868.96999999997</v>
      </c>
      <c r="L99" s="4">
        <v>360745.18</v>
      </c>
      <c r="M99" s="4">
        <v>156933.82999999999</v>
      </c>
      <c r="N99" s="4">
        <v>-84057.62</v>
      </c>
      <c r="O99" s="4">
        <f t="shared" si="5"/>
        <v>203811.35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A</v>
      </c>
      <c r="E100" s="2">
        <f>IF($I100="","",COUNTIFS(Tab_00.Trial[CONTA],$I100))</f>
        <v>1</v>
      </c>
      <c r="F100" s="4">
        <f>SUMIFS(Tab_10.Out[SALDO
ATUAL],Tab_10.Out[CONTA],$I100)</f>
        <v>-287868.96999999997</v>
      </c>
      <c r="G100" s="4">
        <f t="shared" si="4"/>
        <v>0</v>
      </c>
      <c r="H100" s="1"/>
      <c r="I100" s="3" t="s">
        <v>344</v>
      </c>
      <c r="J100" s="3" t="s">
        <v>56</v>
      </c>
      <c r="K100" s="4">
        <v>-287868.96999999997</v>
      </c>
      <c r="L100" s="4">
        <v>360745.18</v>
      </c>
      <c r="M100" s="4">
        <v>156933.82999999999</v>
      </c>
      <c r="N100" s="4">
        <v>-84057.62</v>
      </c>
      <c r="O100" s="4">
        <f t="shared" si="5"/>
        <v>203811.35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S</v>
      </c>
      <c r="E101" s="2">
        <f>IF($I101="","",COUNTIFS(Tab_00.Trial[CONTA],$I101))</f>
        <v>1</v>
      </c>
      <c r="F101" s="4">
        <f>SUMIFS(Tab_10.Out[SALDO
ATUAL],Tab_10.Out[CONTA],$I101)</f>
        <v>-749348.59</v>
      </c>
      <c r="G101" s="4">
        <f t="shared" si="4"/>
        <v>0</v>
      </c>
      <c r="H101" s="1"/>
      <c r="I101" s="3" t="s">
        <v>220</v>
      </c>
      <c r="J101" s="3" t="s">
        <v>346</v>
      </c>
      <c r="K101" s="4">
        <v>-749348.59</v>
      </c>
      <c r="L101" s="4">
        <v>0</v>
      </c>
      <c r="M101" s="4">
        <v>0</v>
      </c>
      <c r="N101" s="4">
        <v>-749348.59</v>
      </c>
      <c r="O101" s="4">
        <f t="shared" si="5"/>
        <v>0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A</v>
      </c>
      <c r="E102" s="2">
        <f>IF($I102="","",COUNTIFS(Tab_00.Trial[CONTA],$I102))</f>
        <v>1</v>
      </c>
      <c r="F102" s="4">
        <f>SUMIFS(Tab_10.Out[SALDO
ATUAL],Tab_10.Out[CONTA],$I102)</f>
        <v>-749348.59</v>
      </c>
      <c r="G102" s="4">
        <f t="shared" si="4"/>
        <v>0</v>
      </c>
      <c r="H102" s="1"/>
      <c r="I102" s="3" t="s">
        <v>345</v>
      </c>
      <c r="J102" s="3" t="s">
        <v>346</v>
      </c>
      <c r="K102" s="4">
        <v>-749348.59</v>
      </c>
      <c r="L102" s="4">
        <v>0</v>
      </c>
      <c r="M102" s="4">
        <v>0</v>
      </c>
      <c r="N102" s="4">
        <v>-749348.59</v>
      </c>
      <c r="O102" s="4">
        <f t="shared" si="5"/>
        <v>0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S</v>
      </c>
      <c r="E103" s="2">
        <f>IF($I103="","",COUNTIFS(Tab_00.Trial[CONTA],$I103))</f>
        <v>1</v>
      </c>
      <c r="F103" s="4">
        <f>SUMIFS(Tab_10.Out[SALDO
ATUAL],Tab_10.Out[CONTA],$I103)</f>
        <v>-23868.31</v>
      </c>
      <c r="G103" s="4">
        <f t="shared" si="4"/>
        <v>0</v>
      </c>
      <c r="H103" s="1"/>
      <c r="I103" s="3" t="s">
        <v>221</v>
      </c>
      <c r="J103" s="3" t="s">
        <v>661</v>
      </c>
      <c r="K103" s="4">
        <v>-23868.31</v>
      </c>
      <c r="L103" s="4">
        <v>24094.36</v>
      </c>
      <c r="M103" s="4">
        <v>23575.119999999999</v>
      </c>
      <c r="N103" s="4">
        <v>-23349.07</v>
      </c>
      <c r="O103" s="4">
        <f t="shared" si="5"/>
        <v>519.24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S</v>
      </c>
      <c r="E104" s="2">
        <f>IF($I104="","",COUNTIFS(Tab_00.Trial[CONTA],$I104))</f>
        <v>1</v>
      </c>
      <c r="F104" s="4">
        <f>SUMIFS(Tab_10.Out[SALDO
ATUAL],Tab_10.Out[CONTA],$I104)</f>
        <v>-23868.31</v>
      </c>
      <c r="G104" s="4">
        <f t="shared" si="4"/>
        <v>0</v>
      </c>
      <c r="H104" s="1"/>
      <c r="I104" s="3" t="s">
        <v>222</v>
      </c>
      <c r="J104" s="3" t="s">
        <v>662</v>
      </c>
      <c r="K104" s="4">
        <v>-23868.31</v>
      </c>
      <c r="L104" s="4">
        <v>22195.360000000001</v>
      </c>
      <c r="M104" s="4">
        <v>21676.12</v>
      </c>
      <c r="N104" s="4">
        <v>-23349.07</v>
      </c>
      <c r="O104" s="4">
        <f t="shared" si="5"/>
        <v>519.24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A</v>
      </c>
      <c r="E105" s="2">
        <f>IF($I105="","",COUNTIFS(Tab_00.Trial[CONTA],$I105))</f>
        <v>1</v>
      </c>
      <c r="F105" s="4">
        <f>SUMIFS(Tab_10.Out[SALDO
ATUAL],Tab_10.Out[CONTA],$I105)</f>
        <v>-1890.47</v>
      </c>
      <c r="G105" s="4">
        <f t="shared" si="4"/>
        <v>0</v>
      </c>
      <c r="H105" s="1"/>
      <c r="I105" s="3" t="s">
        <v>191</v>
      </c>
      <c r="J105" s="3" t="s">
        <v>347</v>
      </c>
      <c r="K105" s="4">
        <v>-1890.47</v>
      </c>
      <c r="L105" s="4">
        <v>1056.46</v>
      </c>
      <c r="M105" s="4">
        <v>1348.14</v>
      </c>
      <c r="N105" s="4">
        <v>-2182.15</v>
      </c>
      <c r="O105" s="4">
        <f t="shared" si="5"/>
        <v>-291.68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SUMIFS(Tab_10.Out[SALDO
ATUAL],Tab_10.Out[CONTA],$I106)</f>
        <v>-16402</v>
      </c>
      <c r="G106" s="4">
        <f t="shared" si="4"/>
        <v>0</v>
      </c>
      <c r="H106" s="1"/>
      <c r="I106" s="3" t="s">
        <v>192</v>
      </c>
      <c r="J106" s="3" t="s">
        <v>348</v>
      </c>
      <c r="K106" s="4">
        <v>-16402</v>
      </c>
      <c r="L106" s="4">
        <v>17547.78</v>
      </c>
      <c r="M106" s="4">
        <v>15838.34</v>
      </c>
      <c r="N106" s="4">
        <v>-14692.56</v>
      </c>
      <c r="O106" s="4">
        <f t="shared" si="5"/>
        <v>1709.44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SUMIFS(Tab_10.Out[SALDO
ATUAL],Tab_10.Out[CONTA],$I107)</f>
        <v>-5564.56</v>
      </c>
      <c r="G107" s="4">
        <f t="shared" si="4"/>
        <v>0</v>
      </c>
      <c r="H107" s="1"/>
      <c r="I107" s="3" t="s">
        <v>350</v>
      </c>
      <c r="J107" s="3" t="s">
        <v>351</v>
      </c>
      <c r="K107" s="4">
        <v>-5564.56</v>
      </c>
      <c r="L107" s="4">
        <v>3579.95</v>
      </c>
      <c r="M107" s="4">
        <v>4478.47</v>
      </c>
      <c r="N107" s="4">
        <v>-6463.08</v>
      </c>
      <c r="O107" s="4">
        <f t="shared" si="5"/>
        <v>-898.52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SUMIFS(Tab_10.Out[SALDO
ATUAL],Tab_10.Out[CONTA],$I108)</f>
        <v>-11.28</v>
      </c>
      <c r="G108" s="4">
        <f t="shared" si="4"/>
        <v>0</v>
      </c>
      <c r="H108" s="1"/>
      <c r="I108" s="3" t="s">
        <v>352</v>
      </c>
      <c r="J108" s="3" t="s">
        <v>353</v>
      </c>
      <c r="K108" s="4">
        <v>-11.28</v>
      </c>
      <c r="L108" s="4">
        <v>11.17</v>
      </c>
      <c r="M108" s="4">
        <v>11.17</v>
      </c>
      <c r="N108" s="4">
        <v>-11.28</v>
      </c>
      <c r="O108" s="4">
        <f t="shared" si="5"/>
        <v>0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S</v>
      </c>
      <c r="E109" s="2">
        <f>IF($I109="","",COUNTIFS(Tab_00.Trial[CONTA],$I109))</f>
        <v>1</v>
      </c>
      <c r="F109" s="4">
        <f>SUMIFS(Tab_10.Out[SALDO
ATUAL],Tab_10.Out[CONTA],$I109)</f>
        <v>0</v>
      </c>
      <c r="G109" s="4">
        <f t="shared" si="4"/>
        <v>0</v>
      </c>
      <c r="H109" s="1"/>
      <c r="I109" s="3" t="s">
        <v>223</v>
      </c>
      <c r="J109" s="3" t="s">
        <v>663</v>
      </c>
      <c r="K109" s="4">
        <v>0</v>
      </c>
      <c r="L109" s="4">
        <v>1899</v>
      </c>
      <c r="M109" s="4">
        <v>1899</v>
      </c>
      <c r="N109" s="4">
        <v>0</v>
      </c>
      <c r="O109" s="4">
        <f t="shared" si="5"/>
        <v>0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A</v>
      </c>
      <c r="E110" s="2">
        <f>IF($I110="","",COUNTIFS(Tab_00.Trial[CONTA],$I110))</f>
        <v>1</v>
      </c>
      <c r="F110" s="4">
        <f>SUMIFS(Tab_10.Out[SALDO
ATUAL],Tab_10.Out[CONTA],$I110)</f>
        <v>0</v>
      </c>
      <c r="G110" s="4">
        <f t="shared" si="4"/>
        <v>0</v>
      </c>
      <c r="H110" s="1"/>
      <c r="I110" s="3" t="s">
        <v>354</v>
      </c>
      <c r="J110" s="3" t="s">
        <v>355</v>
      </c>
      <c r="K110" s="4">
        <v>0</v>
      </c>
      <c r="L110" s="4">
        <v>1899</v>
      </c>
      <c r="M110" s="4">
        <v>1899</v>
      </c>
      <c r="N110" s="4">
        <v>0</v>
      </c>
      <c r="O110" s="4">
        <f t="shared" si="5"/>
        <v>0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S</v>
      </c>
      <c r="E111" s="2">
        <f>IF($I111="","",COUNTIFS(Tab_00.Trial[CONTA],$I111))</f>
        <v>1</v>
      </c>
      <c r="F111" s="4">
        <f>SUMIFS(Tab_10.Out[SALDO
ATUAL],Tab_10.Out[CONTA],$I111)</f>
        <v>-23058.2</v>
      </c>
      <c r="G111" s="4">
        <f t="shared" si="4"/>
        <v>0</v>
      </c>
      <c r="H111" s="1"/>
      <c r="I111" s="3" t="s">
        <v>224</v>
      </c>
      <c r="J111" s="3" t="s">
        <v>664</v>
      </c>
      <c r="K111" s="4">
        <v>-23058.2</v>
      </c>
      <c r="L111" s="4">
        <v>610.49</v>
      </c>
      <c r="M111" s="4">
        <v>625.91999999999996</v>
      </c>
      <c r="N111" s="4">
        <v>-23073.63</v>
      </c>
      <c r="O111" s="4">
        <f t="shared" si="5"/>
        <v>-15.43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SUMIFS(Tab_10.Out[SALDO
ATUAL],Tab_10.Out[CONTA],$I112)</f>
        <v>-23058.2</v>
      </c>
      <c r="G112" s="4">
        <f t="shared" si="4"/>
        <v>0</v>
      </c>
      <c r="H112" s="1"/>
      <c r="I112" s="3" t="s">
        <v>225</v>
      </c>
      <c r="J112" s="3" t="s">
        <v>665</v>
      </c>
      <c r="K112" s="4">
        <v>-23058.2</v>
      </c>
      <c r="L112" s="4">
        <v>610.49</v>
      </c>
      <c r="M112" s="4">
        <v>625.91999999999996</v>
      </c>
      <c r="N112" s="4">
        <v>-23073.63</v>
      </c>
      <c r="O112" s="4">
        <f t="shared" si="5"/>
        <v>-15.43</v>
      </c>
    </row>
    <row r="113" spans="2:17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A</v>
      </c>
      <c r="E113" s="2">
        <f>IF($I113="","",COUNTIFS(Tab_00.Trial[CONTA],$I113))</f>
        <v>1</v>
      </c>
      <c r="F113" s="4">
        <f>SUMIFS(Tab_10.Out[SALDO
ATUAL],Tab_10.Out[CONTA],$I113)</f>
        <v>-23058.2</v>
      </c>
      <c r="G113" s="4">
        <f t="shared" si="4"/>
        <v>0</v>
      </c>
      <c r="H113" s="1"/>
      <c r="I113" s="3" t="s">
        <v>356</v>
      </c>
      <c r="J113" s="3" t="s">
        <v>357</v>
      </c>
      <c r="K113" s="4">
        <v>-23058.2</v>
      </c>
      <c r="L113" s="4">
        <v>610.49</v>
      </c>
      <c r="M113" s="4">
        <v>625.91999999999996</v>
      </c>
      <c r="N113" s="4">
        <v>-23073.63</v>
      </c>
      <c r="O113" s="4">
        <f t="shared" si="5"/>
        <v>-15.43</v>
      </c>
    </row>
    <row r="114" spans="2:17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S</v>
      </c>
      <c r="E114" s="2">
        <f>IF($I114="","",COUNTIFS(Tab_00.Trial[CONTA],$I114))</f>
        <v>1</v>
      </c>
      <c r="F114" s="4">
        <f>SUMIFS(Tab_10.Out[SALDO
ATUAL],Tab_10.Out[CONTA],$I114)</f>
        <v>-3849.2</v>
      </c>
      <c r="G114" s="4">
        <f t="shared" si="4"/>
        <v>0</v>
      </c>
      <c r="H114" s="1"/>
      <c r="I114" s="3" t="s">
        <v>564</v>
      </c>
      <c r="J114" s="3" t="s">
        <v>666</v>
      </c>
      <c r="K114" s="4">
        <v>-3849.2</v>
      </c>
      <c r="L114" s="4">
        <v>0</v>
      </c>
      <c r="M114" s="4">
        <v>0</v>
      </c>
      <c r="N114" s="4">
        <v>-3849.2</v>
      </c>
      <c r="O114" s="4">
        <f t="shared" si="5"/>
        <v>0</v>
      </c>
    </row>
    <row r="115" spans="2:17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SUMIFS(Tab_10.Out[SALDO
ATUAL],Tab_10.Out[CONTA],$I115)</f>
        <v>-3849.2</v>
      </c>
      <c r="G115" s="4">
        <f t="shared" si="4"/>
        <v>0</v>
      </c>
      <c r="H115" s="1"/>
      <c r="I115" s="3" t="s">
        <v>565</v>
      </c>
      <c r="J115" s="3" t="s">
        <v>667</v>
      </c>
      <c r="K115" s="4">
        <v>-3849.2</v>
      </c>
      <c r="L115" s="4">
        <v>0</v>
      </c>
      <c r="M115" s="4">
        <v>0</v>
      </c>
      <c r="N115" s="4">
        <v>-3849.2</v>
      </c>
      <c r="O115" s="4">
        <f t="shared" si="5"/>
        <v>0</v>
      </c>
    </row>
    <row r="116" spans="2:17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A</v>
      </c>
      <c r="E116" s="2">
        <f>IF($I116="","",COUNTIFS(Tab_00.Trial[CONTA],$I116))</f>
        <v>1</v>
      </c>
      <c r="F116" s="4">
        <f>SUMIFS(Tab_10.Out[SALDO
ATUAL],Tab_10.Out[CONTA],$I116)</f>
        <v>-3849.2</v>
      </c>
      <c r="G116" s="4">
        <f t="shared" si="4"/>
        <v>0</v>
      </c>
      <c r="H116" s="1"/>
      <c r="I116" s="3" t="s">
        <v>358</v>
      </c>
      <c r="J116" s="3" t="s">
        <v>359</v>
      </c>
      <c r="K116" s="4">
        <v>-3849.2</v>
      </c>
      <c r="L116" s="4">
        <v>0</v>
      </c>
      <c r="M116" s="4">
        <v>0</v>
      </c>
      <c r="N116" s="4">
        <v>-3849.2</v>
      </c>
      <c r="O116" s="4">
        <f t="shared" si="5"/>
        <v>0</v>
      </c>
    </row>
    <row r="117" spans="2:17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2</v>
      </c>
      <c r="D117" s="2" t="str">
        <f>_xlfn.XLOOKUP($I117,Tab_00.Trial[CONTA],Tab_00.Trial[S/A],"",0,1)</f>
        <v>S</v>
      </c>
      <c r="E117" s="2">
        <f>IF($I117="","",COUNTIFS(Tab_00.Trial[CONTA],$I117))</f>
        <v>1</v>
      </c>
      <c r="F117" s="4">
        <f>SUMIFS(Tab_10.Out[SALDO
ATUAL],Tab_10.Out[CONTA],$I117)</f>
        <v>-46934.04</v>
      </c>
      <c r="G117" s="4">
        <f t="shared" si="4"/>
        <v>0</v>
      </c>
      <c r="H117" s="1"/>
      <c r="I117" s="3" t="s">
        <v>226</v>
      </c>
      <c r="J117" s="3" t="s">
        <v>76</v>
      </c>
      <c r="K117" s="4">
        <v>-46934.04</v>
      </c>
      <c r="L117" s="4">
        <v>0</v>
      </c>
      <c r="M117" s="4">
        <v>0</v>
      </c>
      <c r="N117" s="4">
        <v>-46934.04</v>
      </c>
      <c r="O117" s="4">
        <f t="shared" si="5"/>
        <v>0</v>
      </c>
    </row>
    <row r="118" spans="2:17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5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SUMIFS(Tab_10.Out[SALDO
ATUAL],Tab_10.Out[CONTA],$I118)</f>
        <v>-46934.04</v>
      </c>
      <c r="G118" s="4">
        <f t="shared" si="4"/>
        <v>0</v>
      </c>
      <c r="H118" s="1"/>
      <c r="I118" s="3" t="s">
        <v>566</v>
      </c>
      <c r="J118" s="3" t="s">
        <v>668</v>
      </c>
      <c r="K118" s="4">
        <v>-46934.04</v>
      </c>
      <c r="L118" s="4">
        <v>0</v>
      </c>
      <c r="M118" s="4">
        <v>0</v>
      </c>
      <c r="N118" s="4">
        <v>-46934.04</v>
      </c>
      <c r="O118" s="4">
        <f t="shared" si="5"/>
        <v>0</v>
      </c>
    </row>
    <row r="119" spans="2:17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SUMIFS(Tab_10.Out[SALDO
ATUAL],Tab_10.Out[CONTA],$I119)</f>
        <v>-46934.04</v>
      </c>
      <c r="G119" s="4">
        <f t="shared" si="4"/>
        <v>0</v>
      </c>
      <c r="H119" s="1"/>
      <c r="I119" s="3" t="s">
        <v>567</v>
      </c>
      <c r="J119" s="3" t="s">
        <v>669</v>
      </c>
      <c r="K119" s="4">
        <v>-46934.04</v>
      </c>
      <c r="L119" s="4">
        <v>0</v>
      </c>
      <c r="M119" s="4">
        <v>0</v>
      </c>
      <c r="N119" s="4">
        <v>-46934.04</v>
      </c>
      <c r="O119" s="4">
        <f t="shared" si="5"/>
        <v>0</v>
      </c>
      <c r="Q119" s="141">
        <f>557.22+562.43+568.35+573.76+578.92+584.08</f>
        <v>3424.76</v>
      </c>
    </row>
    <row r="120" spans="2:17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A</v>
      </c>
      <c r="E120" s="2">
        <f>IF($I120="","",COUNTIFS(Tab_00.Trial[CONTA],$I120))</f>
        <v>1</v>
      </c>
      <c r="F120" s="4">
        <f>SUMIFS(Tab_10.Out[SALDO
ATUAL],Tab_10.Out[CONTA],$I120)</f>
        <v>-31934.04</v>
      </c>
      <c r="G120" s="4">
        <f t="shared" si="4"/>
        <v>0</v>
      </c>
      <c r="H120" s="1"/>
      <c r="I120" s="3" t="s">
        <v>360</v>
      </c>
      <c r="J120" s="3" t="s">
        <v>361</v>
      </c>
      <c r="K120" s="4">
        <v>-31934.04</v>
      </c>
      <c r="L120" s="4">
        <v>0</v>
      </c>
      <c r="M120" s="4">
        <v>0</v>
      </c>
      <c r="N120" s="4">
        <v>-31934.04</v>
      </c>
      <c r="O120" s="4">
        <f t="shared" si="5"/>
        <v>0</v>
      </c>
      <c r="Q120" s="141">
        <f>1153.03+1163.81+1176.06+1187.26+1197.93+1208.61</f>
        <v>7086.7</v>
      </c>
    </row>
    <row r="121" spans="2:17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A</v>
      </c>
      <c r="E121" s="2">
        <f>IF($I121="","",COUNTIFS(Tab_00.Trial[CONTA],$I121))</f>
        <v>1</v>
      </c>
      <c r="F121" s="4">
        <f>SUMIFS(Tab_10.Out[SALDO
ATUAL],Tab_10.Out[CONTA],$I121)</f>
        <v>-15000</v>
      </c>
      <c r="G121" s="4">
        <f t="shared" si="4"/>
        <v>0</v>
      </c>
      <c r="H121" s="1"/>
      <c r="I121" s="3" t="s">
        <v>362</v>
      </c>
      <c r="J121" s="3" t="s">
        <v>363</v>
      </c>
      <c r="K121" s="4">
        <v>-15000</v>
      </c>
      <c r="L121" s="4">
        <v>0</v>
      </c>
      <c r="M121" s="4">
        <v>0</v>
      </c>
      <c r="N121" s="4">
        <v>-15000</v>
      </c>
      <c r="O121" s="4">
        <f t="shared" si="5"/>
        <v>0</v>
      </c>
      <c r="Q121" s="141">
        <f>720.15+726.89+734.54+741.53+748.2+754.86</f>
        <v>4426.17</v>
      </c>
    </row>
    <row r="122" spans="2:17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2</v>
      </c>
      <c r="D122" s="2" t="str">
        <f>_xlfn.XLOOKUP($I122,Tab_00.Trial[CONTA],Tab_00.Trial[S/A],"",0,1)</f>
        <v>S</v>
      </c>
      <c r="E122" s="2">
        <f>IF($I122="","",COUNTIFS(Tab_00.Trial[CONTA],$I122))</f>
        <v>1</v>
      </c>
      <c r="F122" s="4">
        <f>SUMIFS(Tab_10.Out[SALDO
ATUAL],Tab_10.Out[CONTA],$I122)</f>
        <v>-81855530.489999995</v>
      </c>
      <c r="G122" s="4">
        <f t="shared" si="4"/>
        <v>0</v>
      </c>
      <c r="H122" s="1"/>
      <c r="I122" s="3" t="s">
        <v>228</v>
      </c>
      <c r="J122" s="3" t="s">
        <v>670</v>
      </c>
      <c r="K122" s="4">
        <v>-81855530.489999995</v>
      </c>
      <c r="L122" s="4">
        <v>0</v>
      </c>
      <c r="M122" s="4">
        <v>0</v>
      </c>
      <c r="N122" s="4">
        <v>-81855530.489999995</v>
      </c>
      <c r="O122" s="4">
        <f t="shared" si="5"/>
        <v>0</v>
      </c>
    </row>
    <row r="123" spans="2:17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5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SUMIFS(Tab_10.Out[SALDO
ATUAL],Tab_10.Out[CONTA],$I123)</f>
        <v>-81855530.489999995</v>
      </c>
      <c r="G123" s="4">
        <f t="shared" si="4"/>
        <v>0</v>
      </c>
      <c r="H123" s="1"/>
      <c r="I123" s="3" t="s">
        <v>229</v>
      </c>
      <c r="J123" s="3" t="s">
        <v>670</v>
      </c>
      <c r="K123" s="4">
        <v>-81855530.489999995</v>
      </c>
      <c r="L123" s="4">
        <v>0</v>
      </c>
      <c r="M123" s="4">
        <v>0</v>
      </c>
      <c r="N123" s="4">
        <v>-81855530.489999995</v>
      </c>
      <c r="O123" s="4">
        <f t="shared" si="5"/>
        <v>0</v>
      </c>
    </row>
    <row r="124" spans="2:17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SUMIFS(Tab_10.Out[SALDO
ATUAL],Tab_10.Out[CONTA],$I124)</f>
        <v>-104784619.59999999</v>
      </c>
      <c r="G124" s="4">
        <f t="shared" si="4"/>
        <v>0</v>
      </c>
      <c r="H124" s="1"/>
      <c r="I124" s="3" t="s">
        <v>230</v>
      </c>
      <c r="J124" s="3" t="s">
        <v>364</v>
      </c>
      <c r="K124" s="4">
        <v>-104784619.59999999</v>
      </c>
      <c r="L124" s="4">
        <v>0</v>
      </c>
      <c r="M124" s="4">
        <v>0</v>
      </c>
      <c r="N124" s="4">
        <v>-104784619.59999999</v>
      </c>
      <c r="O124" s="4">
        <f t="shared" si="5"/>
        <v>0</v>
      </c>
    </row>
    <row r="125" spans="2:17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A</v>
      </c>
      <c r="E125" s="2">
        <f>IF($I125="","",COUNTIFS(Tab_00.Trial[CONTA],$I125))</f>
        <v>1</v>
      </c>
      <c r="F125" s="4">
        <f>SUMIFS(Tab_10.Out[SALDO
ATUAL],Tab_10.Out[CONTA],$I125)</f>
        <v>-104784619.59999999</v>
      </c>
      <c r="G125" s="4">
        <f t="shared" si="4"/>
        <v>0</v>
      </c>
      <c r="H125" s="1"/>
      <c r="I125" s="3" t="s">
        <v>193</v>
      </c>
      <c r="J125" s="3" t="s">
        <v>364</v>
      </c>
      <c r="K125" s="4">
        <v>-104784619.59999999</v>
      </c>
      <c r="L125" s="4">
        <v>0</v>
      </c>
      <c r="M125" s="4">
        <v>0</v>
      </c>
      <c r="N125" s="4">
        <v>-104784619.59999999</v>
      </c>
      <c r="O125" s="4">
        <f t="shared" si="5"/>
        <v>0</v>
      </c>
    </row>
    <row r="126" spans="2:17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S</v>
      </c>
      <c r="E126" s="2">
        <f>IF($I126="","",COUNTIFS(Tab_00.Trial[CONTA],$I126))</f>
        <v>1</v>
      </c>
      <c r="F126" s="4">
        <f>SUMIFS(Tab_10.Out[SALDO
ATUAL],Tab_10.Out[CONTA],$I126)</f>
        <v>32587250.850000001</v>
      </c>
      <c r="G126" s="4">
        <f t="shared" si="4"/>
        <v>0</v>
      </c>
      <c r="H126" s="1"/>
      <c r="I126" s="3" t="s">
        <v>568</v>
      </c>
      <c r="J126" s="3" t="s">
        <v>671</v>
      </c>
      <c r="K126" s="4">
        <v>32587250.850000001</v>
      </c>
      <c r="L126" s="4">
        <v>0</v>
      </c>
      <c r="M126" s="4">
        <v>0</v>
      </c>
      <c r="N126" s="4">
        <v>32587250.850000001</v>
      </c>
      <c r="O126" s="4">
        <f t="shared" si="5"/>
        <v>0</v>
      </c>
    </row>
    <row r="127" spans="2:17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A</v>
      </c>
      <c r="E127" s="2">
        <f>IF($I127="","",COUNTIFS(Tab_00.Trial[CONTA],$I127))</f>
        <v>1</v>
      </c>
      <c r="F127" s="4">
        <f>SUMIFS(Tab_10.Out[SALDO
ATUAL],Tab_10.Out[CONTA],$I127)</f>
        <v>-827719.82</v>
      </c>
      <c r="G127" s="4">
        <f t="shared" si="4"/>
        <v>0</v>
      </c>
      <c r="H127" s="1"/>
      <c r="I127" s="3" t="s">
        <v>743</v>
      </c>
      <c r="J127" s="3" t="s">
        <v>744</v>
      </c>
      <c r="K127" s="4">
        <v>-827719.82</v>
      </c>
      <c r="L127" s="4">
        <v>0</v>
      </c>
      <c r="M127" s="4">
        <v>0</v>
      </c>
      <c r="N127" s="4">
        <v>-827719.82</v>
      </c>
      <c r="O127" s="4">
        <f t="shared" si="5"/>
        <v>0</v>
      </c>
    </row>
    <row r="128" spans="2:17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SUMIFS(Tab_10.Out[SALDO
ATUAL],Tab_10.Out[CONTA],$I128)</f>
        <v>33414970.670000002</v>
      </c>
      <c r="G128" s="4">
        <f t="shared" si="4"/>
        <v>0</v>
      </c>
      <c r="H128" s="1"/>
      <c r="I128" s="3" t="s">
        <v>365</v>
      </c>
      <c r="J128" s="3" t="s">
        <v>366</v>
      </c>
      <c r="K128" s="4">
        <v>33414970.670000002</v>
      </c>
      <c r="L128" s="4">
        <v>0</v>
      </c>
      <c r="M128" s="4">
        <v>0</v>
      </c>
      <c r="N128" s="4">
        <v>33414970.670000002</v>
      </c>
      <c r="O128" s="4">
        <f t="shared" si="5"/>
        <v>0</v>
      </c>
    </row>
    <row r="129" spans="2:15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S</v>
      </c>
      <c r="E129" s="2">
        <f>IF($I129="","",COUNTIFS(Tab_00.Trial[CONTA],$I129))</f>
        <v>1</v>
      </c>
      <c r="F129" s="4">
        <f>SUMIFS(Tab_10.Out[SALDO
ATUAL],Tab_10.Out[CONTA],$I129)</f>
        <v>-9658161.7400000002</v>
      </c>
      <c r="G129" s="4">
        <f t="shared" si="4"/>
        <v>0</v>
      </c>
      <c r="H129" s="1"/>
      <c r="I129" s="3" t="s">
        <v>745</v>
      </c>
      <c r="J129" s="3" t="s">
        <v>746</v>
      </c>
      <c r="K129" s="4">
        <v>-9658161.7400000002</v>
      </c>
      <c r="L129" s="4">
        <v>0</v>
      </c>
      <c r="M129" s="4">
        <v>0</v>
      </c>
      <c r="N129" s="4">
        <v>-9658161.7400000002</v>
      </c>
      <c r="O129" s="4">
        <f t="shared" si="5"/>
        <v>0</v>
      </c>
    </row>
    <row r="130" spans="2:15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A</v>
      </c>
      <c r="E130" s="2">
        <f>IF($I130="","",COUNTIFS(Tab_00.Trial[CONTA],$I130))</f>
        <v>1</v>
      </c>
      <c r="F130" s="4">
        <f>SUMIFS(Tab_10.Out[SALDO
ATUAL],Tab_10.Out[CONTA],$I130)</f>
        <v>-9658161.7400000002</v>
      </c>
      <c r="G130" s="4">
        <f t="shared" si="4"/>
        <v>0</v>
      </c>
      <c r="H130" s="1"/>
      <c r="I130" s="3" t="s">
        <v>747</v>
      </c>
      <c r="J130" s="3" t="s">
        <v>746</v>
      </c>
      <c r="K130" s="4">
        <v>-9658161.7400000002</v>
      </c>
      <c r="L130" s="4">
        <v>0</v>
      </c>
      <c r="M130" s="4">
        <v>0</v>
      </c>
      <c r="N130" s="4">
        <v>-9658161.7400000002</v>
      </c>
      <c r="O130" s="4">
        <f t="shared" si="5"/>
        <v>0</v>
      </c>
    </row>
    <row r="131" spans="2:15" x14ac:dyDescent="0.3">
      <c r="B131" s="2" t="str">
        <f>_xlfn.XLOOKUP($I131,Tab_00.Trial[CONTA],Tab_00.Trial[TP],"",0,1)</f>
        <v>R</v>
      </c>
      <c r="C131" s="2">
        <f>_xlfn.XLOOKUP($I131,Tab_00.Trial[CONTA],Tab_00.Trial[NV],"",0,1)</f>
        <v>1</v>
      </c>
      <c r="D131" s="2" t="str">
        <f>_xlfn.XLOOKUP($I131,Tab_00.Trial[CONTA],Tab_00.Trial[S/A],"",0,1)</f>
        <v>S</v>
      </c>
      <c r="E131" s="2">
        <f>IF($I131="","",COUNTIFS(Tab_00.Trial[CONTA],$I131))</f>
        <v>1</v>
      </c>
      <c r="F131" s="4">
        <f>SUMIFS(Tab_10.Out[SALDO
ATUAL],Tab_10.Out[CONTA],$I131)</f>
        <v>-12902952.33</v>
      </c>
      <c r="G131" s="4">
        <f t="shared" si="4"/>
        <v>0</v>
      </c>
      <c r="H131" s="1"/>
      <c r="I131" s="3">
        <v>3</v>
      </c>
      <c r="J131" s="3" t="s">
        <v>672</v>
      </c>
      <c r="K131" s="4">
        <v>-12902952.33</v>
      </c>
      <c r="L131" s="4">
        <v>1899</v>
      </c>
      <c r="M131" s="4">
        <v>1236966.96</v>
      </c>
      <c r="N131" s="4">
        <v>-14138020.289999999</v>
      </c>
      <c r="O131" s="4">
        <f t="shared" si="5"/>
        <v>-1235067.96</v>
      </c>
    </row>
    <row r="132" spans="2:15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2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SUMIFS(Tab_10.Out[SALDO
ATUAL],Tab_10.Out[CONTA],$I132)</f>
        <v>-6041160.79</v>
      </c>
      <c r="G132" s="4">
        <f t="shared" si="4"/>
        <v>0</v>
      </c>
      <c r="H132" s="1"/>
      <c r="I132" s="3" t="s">
        <v>231</v>
      </c>
      <c r="J132" s="3" t="s">
        <v>673</v>
      </c>
      <c r="K132" s="4">
        <v>-6041160.79</v>
      </c>
      <c r="L132" s="4">
        <v>0</v>
      </c>
      <c r="M132" s="4">
        <v>456760.87</v>
      </c>
      <c r="N132" s="4">
        <v>-6497921.6600000001</v>
      </c>
      <c r="O132" s="4">
        <f t="shared" si="5"/>
        <v>-456760.87</v>
      </c>
    </row>
    <row r="133" spans="2:15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5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SUMIFS(Tab_10.Out[SALDO
ATUAL],Tab_10.Out[CONTA],$I133)</f>
        <v>-3888943.28</v>
      </c>
      <c r="G133" s="4">
        <f t="shared" si="4"/>
        <v>0</v>
      </c>
      <c r="H133" s="1"/>
      <c r="I133" s="3" t="s">
        <v>232</v>
      </c>
      <c r="J133" s="3" t="s">
        <v>674</v>
      </c>
      <c r="K133" s="4">
        <v>-3888943.28</v>
      </c>
      <c r="L133" s="4">
        <v>0</v>
      </c>
      <c r="M133" s="4">
        <v>297490.43</v>
      </c>
      <c r="N133" s="4">
        <v>-4186433.71</v>
      </c>
      <c r="O133" s="4">
        <f t="shared" si="5"/>
        <v>-297490.43</v>
      </c>
    </row>
    <row r="134" spans="2:15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SUMIFS(Tab_10.Out[SALDO
ATUAL],Tab_10.Out[CONTA],$I134)</f>
        <v>-1333697.1200000001</v>
      </c>
      <c r="G134" s="4">
        <f t="shared" si="4"/>
        <v>0</v>
      </c>
      <c r="H134" s="1"/>
      <c r="I134" s="3" t="s">
        <v>233</v>
      </c>
      <c r="J134" s="3" t="s">
        <v>675</v>
      </c>
      <c r="K134" s="4">
        <v>-1333697.1200000001</v>
      </c>
      <c r="L134" s="4">
        <v>0</v>
      </c>
      <c r="M134" s="4">
        <v>109417.12</v>
      </c>
      <c r="N134" s="4">
        <v>-1443114.24</v>
      </c>
      <c r="O134" s="4">
        <f t="shared" si="5"/>
        <v>-109417.12</v>
      </c>
    </row>
    <row r="135" spans="2:15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A</v>
      </c>
      <c r="E135" s="2">
        <f>IF($I135="","",COUNTIFS(Tab_00.Trial[CONTA],$I135))</f>
        <v>1</v>
      </c>
      <c r="F135" s="4">
        <f>SUMIFS(Tab_10.Out[SALDO
ATUAL],Tab_10.Out[CONTA],$I135)</f>
        <v>-1333697.1200000001</v>
      </c>
      <c r="G135" s="4">
        <f t="shared" si="4"/>
        <v>0</v>
      </c>
      <c r="H135" s="1"/>
      <c r="I135" s="3" t="s">
        <v>194</v>
      </c>
      <c r="J135" s="3" t="s">
        <v>367</v>
      </c>
      <c r="K135" s="4">
        <v>-1333697.1200000001</v>
      </c>
      <c r="L135" s="4">
        <v>0</v>
      </c>
      <c r="M135" s="4">
        <v>109417.12</v>
      </c>
      <c r="N135" s="4">
        <v>-1443114.24</v>
      </c>
      <c r="O135" s="4">
        <f t="shared" si="5"/>
        <v>-109417.12</v>
      </c>
    </row>
    <row r="136" spans="2:15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S</v>
      </c>
      <c r="E136" s="2">
        <f>IF($I136="","",COUNTIFS(Tab_00.Trial[CONTA],$I136))</f>
        <v>1</v>
      </c>
      <c r="F136" s="4">
        <f>SUMIFS(Tab_10.Out[SALDO
ATUAL],Tab_10.Out[CONTA],$I136)</f>
        <v>-2555246.16</v>
      </c>
      <c r="G136" s="4">
        <f t="shared" si="4"/>
        <v>0</v>
      </c>
      <c r="H136" s="1"/>
      <c r="I136" s="3" t="s">
        <v>735</v>
      </c>
      <c r="J136" s="3" t="s">
        <v>736</v>
      </c>
      <c r="K136" s="4">
        <v>-2555246.16</v>
      </c>
      <c r="L136" s="4">
        <v>0</v>
      </c>
      <c r="M136" s="4">
        <v>188073.31</v>
      </c>
      <c r="N136" s="4">
        <v>-2743319.47</v>
      </c>
      <c r="O136" s="4">
        <f t="shared" si="5"/>
        <v>-188073.31</v>
      </c>
    </row>
    <row r="137" spans="2:15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A</v>
      </c>
      <c r="E137" s="2">
        <f>IF($I137="","",COUNTIFS(Tab_00.Trial[CONTA],$I137))</f>
        <v>1</v>
      </c>
      <c r="F137" s="4">
        <f>SUMIFS(Tab_10.Out[SALDO
ATUAL],Tab_10.Out[CONTA],$I137)</f>
        <v>-2555246.16</v>
      </c>
      <c r="G137" s="4">
        <f t="shared" si="4"/>
        <v>0</v>
      </c>
      <c r="H137" s="1"/>
      <c r="I137" s="3" t="s">
        <v>737</v>
      </c>
      <c r="J137" s="3" t="s">
        <v>820</v>
      </c>
      <c r="K137" s="4">
        <v>-2555246.16</v>
      </c>
      <c r="L137" s="4">
        <v>0</v>
      </c>
      <c r="M137" s="4">
        <v>188073.31</v>
      </c>
      <c r="N137" s="4">
        <v>-2743319.47</v>
      </c>
      <c r="O137" s="4">
        <f t="shared" si="5"/>
        <v>-188073.31</v>
      </c>
    </row>
    <row r="138" spans="2:15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S</v>
      </c>
      <c r="E138" s="2">
        <f>IF($I138="","",COUNTIFS(Tab_00.Trial[CONTA],$I138))</f>
        <v>1</v>
      </c>
      <c r="F138" s="4">
        <f>SUMIFS(Tab_10.Out[SALDO
ATUAL],Tab_10.Out[CONTA],$I138)</f>
        <v>-2152217.5099999998</v>
      </c>
      <c r="G138" s="4">
        <f t="shared" si="4"/>
        <v>0</v>
      </c>
      <c r="H138" s="1"/>
      <c r="I138" s="3" t="s">
        <v>569</v>
      </c>
      <c r="J138" s="3" t="s">
        <v>676</v>
      </c>
      <c r="K138" s="4">
        <v>-2152217.5099999998</v>
      </c>
      <c r="L138" s="4">
        <v>0</v>
      </c>
      <c r="M138" s="4">
        <v>159270.44</v>
      </c>
      <c r="N138" s="4">
        <v>-2311487.9500000002</v>
      </c>
      <c r="O138" s="4">
        <f t="shared" si="5"/>
        <v>-159270.44</v>
      </c>
    </row>
    <row r="139" spans="2:15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SUMIFS(Tab_10.Out[SALDO
ATUAL],Tab_10.Out[CONTA],$I139)</f>
        <v>-1322556.7</v>
      </c>
      <c r="G139" s="4">
        <f t="shared" si="4"/>
        <v>0</v>
      </c>
      <c r="H139" s="1"/>
      <c r="I139" s="3" t="s">
        <v>570</v>
      </c>
      <c r="J139" s="3" t="s">
        <v>677</v>
      </c>
      <c r="K139" s="4">
        <v>-1322556.7</v>
      </c>
      <c r="L139" s="4">
        <v>0</v>
      </c>
      <c r="M139" s="4">
        <v>76304.36</v>
      </c>
      <c r="N139" s="4">
        <v>-1398861.06</v>
      </c>
      <c r="O139" s="4">
        <f t="shared" si="5"/>
        <v>-76304.36</v>
      </c>
    </row>
    <row r="140" spans="2:15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A</v>
      </c>
      <c r="E140" s="2">
        <f>IF($I140="","",COUNTIFS(Tab_00.Trial[CONTA],$I140))</f>
        <v>1</v>
      </c>
      <c r="F140" s="4">
        <f>SUMIFS(Tab_10.Out[SALDO
ATUAL],Tab_10.Out[CONTA],$I140)</f>
        <v>-500498.45</v>
      </c>
      <c r="G140" s="4">
        <f t="shared" si="4"/>
        <v>0</v>
      </c>
      <c r="H140" s="1"/>
      <c r="I140" s="3" t="s">
        <v>368</v>
      </c>
      <c r="J140" s="3" t="s">
        <v>369</v>
      </c>
      <c r="K140" s="4">
        <v>-500498.45</v>
      </c>
      <c r="L140" s="4">
        <v>0</v>
      </c>
      <c r="M140" s="4">
        <v>3900</v>
      </c>
      <c r="N140" s="4">
        <v>-504398.45</v>
      </c>
      <c r="O140" s="4">
        <f t="shared" si="5"/>
        <v>-3900</v>
      </c>
    </row>
    <row r="141" spans="2:15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SUMIFS(Tab_10.Out[SALDO
ATUAL],Tab_10.Out[CONTA],$I141)</f>
        <v>-725893.83</v>
      </c>
      <c r="G141" s="4">
        <f t="shared" si="4"/>
        <v>0</v>
      </c>
      <c r="H141" s="1"/>
      <c r="I141" s="3" t="s">
        <v>370</v>
      </c>
      <c r="J141" s="3" t="s">
        <v>371</v>
      </c>
      <c r="K141" s="4">
        <v>-725893.83</v>
      </c>
      <c r="L141" s="4">
        <v>0</v>
      </c>
      <c r="M141" s="4">
        <v>72404.36</v>
      </c>
      <c r="N141" s="4">
        <v>-798298.19</v>
      </c>
      <c r="O141" s="4">
        <f t="shared" si="5"/>
        <v>-72404.36</v>
      </c>
    </row>
    <row r="142" spans="2:15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SUMIFS(Tab_10.Out[SALDO
ATUAL],Tab_10.Out[CONTA],$I142)</f>
        <v>-6547.36</v>
      </c>
      <c r="G142" s="4">
        <f t="shared" si="4"/>
        <v>0</v>
      </c>
      <c r="H142" s="1"/>
      <c r="I142" s="3" t="s">
        <v>372</v>
      </c>
      <c r="J142" s="3" t="s">
        <v>373</v>
      </c>
      <c r="K142" s="4">
        <v>-6547.36</v>
      </c>
      <c r="L142" s="4">
        <v>0</v>
      </c>
      <c r="M142" s="4">
        <v>0</v>
      </c>
      <c r="N142" s="4">
        <v>-6547.36</v>
      </c>
      <c r="O142" s="4">
        <f t="shared" si="5"/>
        <v>0</v>
      </c>
    </row>
    <row r="143" spans="2:15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SUMIFS(Tab_10.Out[SALDO
ATUAL],Tab_10.Out[CONTA],$I143)</f>
        <v>-89617.06</v>
      </c>
      <c r="G143" s="4">
        <f t="shared" ref="G143:G206" si="6">$F143-$K143</f>
        <v>0</v>
      </c>
      <c r="H143" s="1"/>
      <c r="I143" s="3" t="s">
        <v>851</v>
      </c>
      <c r="J143" s="3" t="s">
        <v>852</v>
      </c>
      <c r="K143" s="4">
        <v>-89617.06</v>
      </c>
      <c r="L143" s="4">
        <v>0</v>
      </c>
      <c r="M143" s="4">
        <v>0</v>
      </c>
      <c r="N143" s="4">
        <v>-89617.06</v>
      </c>
      <c r="O143" s="4">
        <f t="shared" ref="O143:O206" si="7">$L143-$M143</f>
        <v>0</v>
      </c>
    </row>
    <row r="144" spans="2:15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S</v>
      </c>
      <c r="E144" s="2">
        <f>IF($I144="","",COUNTIFS(Tab_00.Trial[CONTA],$I144))</f>
        <v>1</v>
      </c>
      <c r="F144" s="4">
        <f>SUMIFS(Tab_10.Out[SALDO
ATUAL],Tab_10.Out[CONTA],$I144)</f>
        <v>-829660.81</v>
      </c>
      <c r="G144" s="4">
        <f t="shared" si="6"/>
        <v>0</v>
      </c>
      <c r="H144" s="1"/>
      <c r="I144" s="3" t="s">
        <v>571</v>
      </c>
      <c r="J144" s="3" t="s">
        <v>377</v>
      </c>
      <c r="K144" s="4">
        <v>-829660.81</v>
      </c>
      <c r="L144" s="4">
        <v>0</v>
      </c>
      <c r="M144" s="4">
        <v>82966.080000000002</v>
      </c>
      <c r="N144" s="4">
        <v>-912626.89</v>
      </c>
      <c r="O144" s="4">
        <f t="shared" si="7"/>
        <v>-82966.080000000002</v>
      </c>
    </row>
    <row r="145" spans="2:15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A</v>
      </c>
      <c r="E145" s="2">
        <f>IF($I145="","",COUNTIFS(Tab_00.Trial[CONTA],$I145))</f>
        <v>1</v>
      </c>
      <c r="F145" s="4">
        <f>SUMIFS(Tab_10.Out[SALDO
ATUAL],Tab_10.Out[CONTA],$I145)</f>
        <v>-829660.81</v>
      </c>
      <c r="G145" s="4">
        <f t="shared" si="6"/>
        <v>0</v>
      </c>
      <c r="H145" s="1"/>
      <c r="I145" s="3" t="s">
        <v>376</v>
      </c>
      <c r="J145" s="3" t="s">
        <v>377</v>
      </c>
      <c r="K145" s="4">
        <v>-829660.81</v>
      </c>
      <c r="L145" s="4">
        <v>0</v>
      </c>
      <c r="M145" s="4">
        <v>82966.080000000002</v>
      </c>
      <c r="N145" s="4">
        <v>-912626.89</v>
      </c>
      <c r="O145" s="4">
        <f t="shared" si="7"/>
        <v>-82966.080000000002</v>
      </c>
    </row>
    <row r="146" spans="2:15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2</v>
      </c>
      <c r="D146" s="2" t="str">
        <f>_xlfn.XLOOKUP($I146,Tab_00.Trial[CONTA],Tab_00.Trial[S/A],"",0,1)</f>
        <v>S</v>
      </c>
      <c r="E146" s="2">
        <f>IF($I146="","",COUNTIFS(Tab_00.Trial[CONTA],$I146))</f>
        <v>1</v>
      </c>
      <c r="F146" s="4">
        <f>SUMIFS(Tab_10.Out[SALDO
ATUAL],Tab_10.Out[CONTA],$I146)</f>
        <v>-4439413.5599999996</v>
      </c>
      <c r="G146" s="4">
        <f t="shared" si="6"/>
        <v>0</v>
      </c>
      <c r="H146" s="1"/>
      <c r="I146" s="3" t="s">
        <v>574</v>
      </c>
      <c r="J146" s="3" t="s">
        <v>680</v>
      </c>
      <c r="K146" s="4">
        <v>-4439413.5599999996</v>
      </c>
      <c r="L146" s="4">
        <v>1899</v>
      </c>
      <c r="M146" s="4">
        <v>446842.28</v>
      </c>
      <c r="N146" s="4">
        <v>-4884356.84</v>
      </c>
      <c r="O146" s="4">
        <f t="shared" si="7"/>
        <v>-444943.28</v>
      </c>
    </row>
    <row r="147" spans="2:15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5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SUMIFS(Tab_10.Out[SALDO
ATUAL],Tab_10.Out[CONTA],$I147)</f>
        <v>-7313.46</v>
      </c>
      <c r="G147" s="4">
        <f t="shared" si="6"/>
        <v>0</v>
      </c>
      <c r="H147" s="1"/>
      <c r="I147" s="3" t="s">
        <v>575</v>
      </c>
      <c r="J147" s="3" t="s">
        <v>681</v>
      </c>
      <c r="K147" s="4">
        <v>-7313.46</v>
      </c>
      <c r="L147" s="4">
        <v>0</v>
      </c>
      <c r="M147" s="4">
        <v>6420.7</v>
      </c>
      <c r="N147" s="4">
        <v>-13734.16</v>
      </c>
      <c r="O147" s="4">
        <f t="shared" si="7"/>
        <v>-6420.7</v>
      </c>
    </row>
    <row r="148" spans="2:15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SUMIFS(Tab_10.Out[SALDO
ATUAL],Tab_10.Out[CONTA],$I148)</f>
        <v>-7313.46</v>
      </c>
      <c r="G148" s="4">
        <f t="shared" si="6"/>
        <v>0</v>
      </c>
      <c r="H148" s="1"/>
      <c r="I148" s="3" t="s">
        <v>576</v>
      </c>
      <c r="J148" s="3" t="s">
        <v>821</v>
      </c>
      <c r="K148" s="4">
        <v>-7313.46</v>
      </c>
      <c r="L148" s="4">
        <v>0</v>
      </c>
      <c r="M148" s="4">
        <v>6420.7</v>
      </c>
      <c r="N148" s="4">
        <v>-13734.16</v>
      </c>
      <c r="O148" s="4">
        <f t="shared" si="7"/>
        <v>-6420.7</v>
      </c>
    </row>
    <row r="149" spans="2:15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A</v>
      </c>
      <c r="E149" s="2">
        <f>IF($I149="","",COUNTIFS(Tab_00.Trial[CONTA],$I149))</f>
        <v>1</v>
      </c>
      <c r="F149" s="4">
        <f>SUMIFS(Tab_10.Out[SALDO
ATUAL],Tab_10.Out[CONTA],$I149)</f>
        <v>-7313.46</v>
      </c>
      <c r="G149" s="4">
        <f t="shared" si="6"/>
        <v>0</v>
      </c>
      <c r="H149" s="1"/>
      <c r="I149" s="3" t="s">
        <v>382</v>
      </c>
      <c r="J149" s="3" t="s">
        <v>292</v>
      </c>
      <c r="K149" s="4">
        <v>-7313.46</v>
      </c>
      <c r="L149" s="4">
        <v>0</v>
      </c>
      <c r="M149" s="4">
        <v>6420.7</v>
      </c>
      <c r="N149" s="4">
        <v>-13734.16</v>
      </c>
      <c r="O149" s="4">
        <f t="shared" si="7"/>
        <v>-6420.7</v>
      </c>
    </row>
    <row r="150" spans="2:15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S</v>
      </c>
      <c r="E150" s="2">
        <f>IF($I150="","",COUNTIFS(Tab_00.Trial[CONTA],$I150))</f>
        <v>1</v>
      </c>
      <c r="F150" s="4">
        <f>SUMIFS(Tab_10.Out[SALDO
ATUAL],Tab_10.Out[CONTA],$I150)</f>
        <v>12139.16</v>
      </c>
      <c r="G150" s="4">
        <f t="shared" si="6"/>
        <v>0</v>
      </c>
      <c r="H150" s="1"/>
      <c r="I150" s="3" t="s">
        <v>577</v>
      </c>
      <c r="J150" s="3" t="s">
        <v>683</v>
      </c>
      <c r="K150" s="4">
        <v>12139.16</v>
      </c>
      <c r="L150" s="4">
        <v>1899</v>
      </c>
      <c r="M150" s="4">
        <v>0</v>
      </c>
      <c r="N150" s="4">
        <v>14038.16</v>
      </c>
      <c r="O150" s="4">
        <f t="shared" si="7"/>
        <v>1899</v>
      </c>
    </row>
    <row r="151" spans="2:15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SUMIFS(Tab_10.Out[SALDO
ATUAL],Tab_10.Out[CONTA],$I151)</f>
        <v>12139.16</v>
      </c>
      <c r="G151" s="4">
        <f t="shared" si="6"/>
        <v>0</v>
      </c>
      <c r="H151" s="1"/>
      <c r="I151" s="3" t="s">
        <v>853</v>
      </c>
      <c r="J151" s="3" t="s">
        <v>854</v>
      </c>
      <c r="K151" s="4">
        <v>12139.16</v>
      </c>
      <c r="L151" s="4">
        <v>1899</v>
      </c>
      <c r="M151" s="4">
        <v>0</v>
      </c>
      <c r="N151" s="4">
        <v>14038.16</v>
      </c>
      <c r="O151" s="4">
        <f t="shared" si="7"/>
        <v>1899</v>
      </c>
    </row>
    <row r="152" spans="2:15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A</v>
      </c>
      <c r="E152" s="2">
        <f>IF($I152="","",COUNTIFS(Tab_00.Trial[CONTA],$I152))</f>
        <v>1</v>
      </c>
      <c r="F152" s="4">
        <f>SUMIFS(Tab_10.Out[SALDO
ATUAL],Tab_10.Out[CONTA],$I152)</f>
        <v>12139.16</v>
      </c>
      <c r="G152" s="4">
        <f t="shared" si="6"/>
        <v>0</v>
      </c>
      <c r="H152" s="1"/>
      <c r="I152" s="3" t="s">
        <v>855</v>
      </c>
      <c r="J152" s="3" t="s">
        <v>856</v>
      </c>
      <c r="K152" s="4">
        <v>12139.16</v>
      </c>
      <c r="L152" s="4">
        <v>1899</v>
      </c>
      <c r="M152" s="4">
        <v>0</v>
      </c>
      <c r="N152" s="4">
        <v>14038.16</v>
      </c>
      <c r="O152" s="4">
        <f t="shared" si="7"/>
        <v>1899</v>
      </c>
    </row>
    <row r="153" spans="2:15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S</v>
      </c>
      <c r="E153" s="2">
        <f>IF($I153="","",COUNTIFS(Tab_00.Trial[CONTA],$I153))</f>
        <v>1</v>
      </c>
      <c r="F153" s="4">
        <f>SUMIFS(Tab_10.Out[SALDO
ATUAL],Tab_10.Out[CONTA],$I153)</f>
        <v>-4444239.26</v>
      </c>
      <c r="G153" s="4">
        <f t="shared" si="6"/>
        <v>0</v>
      </c>
      <c r="H153" s="1"/>
      <c r="I153" s="3" t="s">
        <v>580</v>
      </c>
      <c r="J153" s="3" t="s">
        <v>822</v>
      </c>
      <c r="K153" s="4">
        <v>-4444239.26</v>
      </c>
      <c r="L153" s="4">
        <v>0</v>
      </c>
      <c r="M153" s="4">
        <v>440421.58</v>
      </c>
      <c r="N153" s="4">
        <v>-4884660.84</v>
      </c>
      <c r="O153" s="4">
        <f t="shared" si="7"/>
        <v>-440421.58</v>
      </c>
    </row>
    <row r="154" spans="2:15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SUMIFS(Tab_10.Out[SALDO
ATUAL],Tab_10.Out[CONTA],$I154)</f>
        <v>-4444239.26</v>
      </c>
      <c r="G154" s="4">
        <f t="shared" si="6"/>
        <v>0</v>
      </c>
      <c r="H154" s="1"/>
      <c r="I154" s="3" t="s">
        <v>581</v>
      </c>
      <c r="J154" s="3" t="s">
        <v>687</v>
      </c>
      <c r="K154" s="4">
        <v>-4444239.26</v>
      </c>
      <c r="L154" s="4">
        <v>0</v>
      </c>
      <c r="M154" s="4">
        <v>440421.58</v>
      </c>
      <c r="N154" s="4">
        <v>-4884660.84</v>
      </c>
      <c r="O154" s="4">
        <f t="shared" si="7"/>
        <v>-440421.58</v>
      </c>
    </row>
    <row r="155" spans="2:15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A</v>
      </c>
      <c r="E155" s="2">
        <f>IF($I155="","",COUNTIFS(Tab_00.Trial[CONTA],$I155))</f>
        <v>1</v>
      </c>
      <c r="F155" s="4">
        <f>SUMIFS(Tab_10.Out[SALDO
ATUAL],Tab_10.Out[CONTA],$I155)</f>
        <v>-4347364</v>
      </c>
      <c r="G155" s="4">
        <f t="shared" si="6"/>
        <v>0</v>
      </c>
      <c r="H155" s="1"/>
      <c r="I155" s="3" t="s">
        <v>387</v>
      </c>
      <c r="J155" s="3" t="s">
        <v>388</v>
      </c>
      <c r="K155" s="4">
        <v>-4347364</v>
      </c>
      <c r="L155" s="4">
        <v>0</v>
      </c>
      <c r="M155" s="4">
        <v>440421.58</v>
      </c>
      <c r="N155" s="4">
        <v>-4787785.58</v>
      </c>
      <c r="O155" s="4">
        <f t="shared" si="7"/>
        <v>-440421.58</v>
      </c>
    </row>
    <row r="156" spans="2:15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SUMIFS(Tab_10.Out[SALDO
ATUAL],Tab_10.Out[CONTA],$I156)</f>
        <v>-96875.26</v>
      </c>
      <c r="G156" s="4">
        <f t="shared" si="6"/>
        <v>0</v>
      </c>
      <c r="H156" s="1"/>
      <c r="I156" s="3" t="s">
        <v>389</v>
      </c>
      <c r="J156" s="3" t="s">
        <v>390</v>
      </c>
      <c r="K156" s="4">
        <v>-96875.26</v>
      </c>
      <c r="L156" s="4">
        <v>0</v>
      </c>
      <c r="M156" s="4">
        <v>0</v>
      </c>
      <c r="N156" s="4">
        <v>-96875.26</v>
      </c>
      <c r="O156" s="4">
        <f t="shared" si="7"/>
        <v>0</v>
      </c>
    </row>
    <row r="157" spans="2:15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2</v>
      </c>
      <c r="D157" s="2" t="str">
        <f>_xlfn.XLOOKUP($I157,Tab_00.Trial[CONTA],Tab_00.Trial[S/A],"",0,1)</f>
        <v>S</v>
      </c>
      <c r="E157" s="2">
        <f>IF($I157="","",COUNTIFS(Tab_00.Trial[CONTA],$I157))</f>
        <v>1</v>
      </c>
      <c r="F157" s="4">
        <f>SUMIFS(Tab_10.Out[SALDO
ATUAL],Tab_10.Out[CONTA],$I157)</f>
        <v>-2414927.98</v>
      </c>
      <c r="G157" s="4">
        <f t="shared" si="6"/>
        <v>0</v>
      </c>
      <c r="H157" s="1"/>
      <c r="I157" s="3" t="s">
        <v>582</v>
      </c>
      <c r="J157" s="3" t="s">
        <v>688</v>
      </c>
      <c r="K157" s="4">
        <v>-2414927.98</v>
      </c>
      <c r="L157" s="4">
        <v>0</v>
      </c>
      <c r="M157" s="4">
        <v>333363.81</v>
      </c>
      <c r="N157" s="4">
        <v>-2748291.79</v>
      </c>
      <c r="O157" s="4">
        <f t="shared" si="7"/>
        <v>-333363.81</v>
      </c>
    </row>
    <row r="158" spans="2:15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5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SUMIFS(Tab_10.Out[SALDO
ATUAL],Tab_10.Out[CONTA],$I158)</f>
        <v>-673.54</v>
      </c>
      <c r="G158" s="4">
        <f t="shared" si="6"/>
        <v>0</v>
      </c>
      <c r="H158" s="1"/>
      <c r="I158" s="3" t="s">
        <v>583</v>
      </c>
      <c r="J158" s="3" t="s">
        <v>689</v>
      </c>
      <c r="K158" s="4">
        <v>-673.54</v>
      </c>
      <c r="L158" s="4">
        <v>0</v>
      </c>
      <c r="M158" s="4">
        <v>1335.22</v>
      </c>
      <c r="N158" s="4">
        <v>-2008.76</v>
      </c>
      <c r="O158" s="4">
        <f t="shared" si="7"/>
        <v>-1335.22</v>
      </c>
    </row>
    <row r="159" spans="2:15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SUMIFS(Tab_10.Out[SALDO
ATUAL],Tab_10.Out[CONTA],$I159)</f>
        <v>-673.54</v>
      </c>
      <c r="G159" s="4">
        <f t="shared" si="6"/>
        <v>0</v>
      </c>
      <c r="H159" s="1"/>
      <c r="I159" s="3" t="s">
        <v>584</v>
      </c>
      <c r="J159" s="3" t="s">
        <v>689</v>
      </c>
      <c r="K159" s="4">
        <v>-673.54</v>
      </c>
      <c r="L159" s="4">
        <v>0</v>
      </c>
      <c r="M159" s="4">
        <v>1335.22</v>
      </c>
      <c r="N159" s="4">
        <v>-2008.76</v>
      </c>
      <c r="O159" s="4">
        <f t="shared" si="7"/>
        <v>-1335.22</v>
      </c>
    </row>
    <row r="160" spans="2:15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A</v>
      </c>
      <c r="E160" s="2">
        <f>IF($I160="","",COUNTIFS(Tab_00.Trial[CONTA],$I160))</f>
        <v>1</v>
      </c>
      <c r="F160" s="4">
        <f>SUMIFS(Tab_10.Out[SALDO
ATUAL],Tab_10.Out[CONTA],$I160)</f>
        <v>-673.54</v>
      </c>
      <c r="G160" s="4">
        <f t="shared" si="6"/>
        <v>0</v>
      </c>
      <c r="H160" s="1"/>
      <c r="I160" s="3" t="s">
        <v>391</v>
      </c>
      <c r="J160" s="3" t="s">
        <v>392</v>
      </c>
      <c r="K160" s="4">
        <v>-673.54</v>
      </c>
      <c r="L160" s="4">
        <v>0</v>
      </c>
      <c r="M160" s="4">
        <v>1335.22</v>
      </c>
      <c r="N160" s="4">
        <v>-2008.76</v>
      </c>
      <c r="O160" s="4">
        <f t="shared" si="7"/>
        <v>-1335.22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S</v>
      </c>
      <c r="E161" s="2">
        <f>IF($I161="","",COUNTIFS(Tab_00.Trial[CONTA],$I161))</f>
        <v>1</v>
      </c>
      <c r="F161" s="4">
        <f>SUMIFS(Tab_10.Out[SALDO
ATUAL],Tab_10.Out[CONTA],$I161)</f>
        <v>-2414254.44</v>
      </c>
      <c r="G161" s="4">
        <f t="shared" si="6"/>
        <v>0</v>
      </c>
      <c r="H161" s="1"/>
      <c r="I161" s="3" t="s">
        <v>585</v>
      </c>
      <c r="J161" s="3" t="s">
        <v>690</v>
      </c>
      <c r="K161" s="4">
        <v>-2414254.44</v>
      </c>
      <c r="L161" s="4">
        <v>0</v>
      </c>
      <c r="M161" s="4">
        <v>332028.59000000003</v>
      </c>
      <c r="N161" s="4">
        <v>-2746283.03</v>
      </c>
      <c r="O161" s="4">
        <f t="shared" si="7"/>
        <v>-332028.59000000003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SUMIFS(Tab_10.Out[SALDO
ATUAL],Tab_10.Out[CONTA],$I162)</f>
        <v>-2414254.44</v>
      </c>
      <c r="G162" s="4">
        <f t="shared" si="6"/>
        <v>0</v>
      </c>
      <c r="H162" s="1"/>
      <c r="I162" s="3" t="s">
        <v>586</v>
      </c>
      <c r="J162" s="3" t="s">
        <v>394</v>
      </c>
      <c r="K162" s="4">
        <v>-2414254.44</v>
      </c>
      <c r="L162" s="4">
        <v>0</v>
      </c>
      <c r="M162" s="4">
        <v>332028.59000000003</v>
      </c>
      <c r="N162" s="4">
        <v>-2746283.03</v>
      </c>
      <c r="O162" s="4">
        <f t="shared" si="7"/>
        <v>-332028.59000000003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A</v>
      </c>
      <c r="E163" s="2">
        <f>IF($I163="","",COUNTIFS(Tab_00.Trial[CONTA],$I163))</f>
        <v>1</v>
      </c>
      <c r="F163" s="4">
        <f>SUMIFS(Tab_10.Out[SALDO
ATUAL],Tab_10.Out[CONTA],$I163)</f>
        <v>-2414254.44</v>
      </c>
      <c r="G163" s="4">
        <f t="shared" si="6"/>
        <v>0</v>
      </c>
      <c r="H163" s="1"/>
      <c r="I163" s="3" t="s">
        <v>393</v>
      </c>
      <c r="J163" s="3" t="s">
        <v>394</v>
      </c>
      <c r="K163" s="4">
        <v>-2414254.44</v>
      </c>
      <c r="L163" s="4">
        <v>0</v>
      </c>
      <c r="M163" s="4">
        <v>332028.59000000003</v>
      </c>
      <c r="N163" s="4">
        <v>-2746283.03</v>
      </c>
      <c r="O163" s="4">
        <f t="shared" si="7"/>
        <v>-332028.59000000003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2</v>
      </c>
      <c r="D164" s="2" t="str">
        <f>_xlfn.XLOOKUP($I164,Tab_00.Trial[CONTA],Tab_00.Trial[S/A],"",0,1)</f>
        <v>S</v>
      </c>
      <c r="E164" s="2">
        <f>IF($I164="","",COUNTIFS(Tab_00.Trial[CONTA],$I164))</f>
        <v>1</v>
      </c>
      <c r="F164" s="4">
        <f>SUMIFS(Tab_10.Out[SALDO
ATUAL],Tab_10.Out[CONTA],$I164)</f>
        <v>-7450</v>
      </c>
      <c r="G164" s="4">
        <f t="shared" si="6"/>
        <v>0</v>
      </c>
      <c r="H164" s="1"/>
      <c r="I164" s="3" t="s">
        <v>587</v>
      </c>
      <c r="J164" s="3" t="s">
        <v>691</v>
      </c>
      <c r="K164" s="4">
        <v>-7450</v>
      </c>
      <c r="L164" s="4">
        <v>0</v>
      </c>
      <c r="M164" s="4">
        <v>0</v>
      </c>
      <c r="N164" s="4">
        <v>-7450</v>
      </c>
      <c r="O164" s="4">
        <f t="shared" si="7"/>
        <v>0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5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SUMIFS(Tab_10.Out[SALDO
ATUAL],Tab_10.Out[CONTA],$I165)</f>
        <v>-7450</v>
      </c>
      <c r="G165" s="4">
        <f t="shared" si="6"/>
        <v>0</v>
      </c>
      <c r="H165" s="1"/>
      <c r="I165" s="3" t="s">
        <v>588</v>
      </c>
      <c r="J165" s="3" t="s">
        <v>692</v>
      </c>
      <c r="K165" s="4">
        <v>-7450</v>
      </c>
      <c r="L165" s="4">
        <v>0</v>
      </c>
      <c r="M165" s="4">
        <v>0</v>
      </c>
      <c r="N165" s="4">
        <v>-7450</v>
      </c>
      <c r="O165" s="4">
        <f t="shared" si="7"/>
        <v>0</v>
      </c>
    </row>
    <row r="166" spans="2:15" x14ac:dyDescent="0.3">
      <c r="B166" s="2" t="str">
        <f>_xlfn.XLOOKUP($I166,Tab_00.Trial[CONTA],Tab_00.Trial[TP],"",0,1)</f>
        <v>R</v>
      </c>
      <c r="C166" s="2">
        <f>_xlfn.XLOOKUP($I166,Tab_00.Trial[CONTA],Tab_00.Trial[NV],"",0,1)</f>
        <v>5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SUMIFS(Tab_10.Out[SALDO
ATUAL],Tab_10.Out[CONTA],$I166)</f>
        <v>-7450</v>
      </c>
      <c r="G166" s="4">
        <f t="shared" si="6"/>
        <v>0</v>
      </c>
      <c r="H166" s="1"/>
      <c r="I166" s="3" t="s">
        <v>589</v>
      </c>
      <c r="J166" s="3" t="s">
        <v>692</v>
      </c>
      <c r="K166" s="4">
        <v>-7450</v>
      </c>
      <c r="L166" s="4">
        <v>0</v>
      </c>
      <c r="M166" s="4">
        <v>0</v>
      </c>
      <c r="N166" s="4">
        <v>-7450</v>
      </c>
      <c r="O166" s="4">
        <f t="shared" si="7"/>
        <v>0</v>
      </c>
    </row>
    <row r="167" spans="2:15" x14ac:dyDescent="0.3">
      <c r="B167" s="2" t="str">
        <f>_xlfn.XLOOKUP($I167,Tab_00.Trial[CONTA],Tab_00.Trial[TP],"",0,1)</f>
        <v>R</v>
      </c>
      <c r="C167" s="2">
        <f>_xlfn.XLOOKUP($I167,Tab_00.Trial[CONTA],Tab_00.Trial[NV],"",0,1)</f>
        <v>5</v>
      </c>
      <c r="D167" s="2" t="str">
        <f>_xlfn.XLOOKUP($I167,Tab_00.Trial[CONTA],Tab_00.Trial[S/A],"",0,1)</f>
        <v>A</v>
      </c>
      <c r="E167" s="2">
        <f>IF($I167="","",COUNTIFS(Tab_00.Trial[CONTA],$I167))</f>
        <v>1</v>
      </c>
      <c r="F167" s="4">
        <f>SUMIFS(Tab_10.Out[SALDO
ATUAL],Tab_10.Out[CONTA],$I167)</f>
        <v>-7450</v>
      </c>
      <c r="G167" s="4">
        <f t="shared" si="6"/>
        <v>0</v>
      </c>
      <c r="H167" s="1"/>
      <c r="I167" s="3" t="s">
        <v>395</v>
      </c>
      <c r="J167" s="3" t="s">
        <v>396</v>
      </c>
      <c r="K167" s="4">
        <v>-7450</v>
      </c>
      <c r="L167" s="4">
        <v>0</v>
      </c>
      <c r="M167" s="4">
        <v>0</v>
      </c>
      <c r="N167" s="4">
        <v>-7450</v>
      </c>
      <c r="O167" s="4">
        <f t="shared" si="7"/>
        <v>0</v>
      </c>
    </row>
    <row r="168" spans="2:15" x14ac:dyDescent="0.3">
      <c r="B168" s="2" t="str">
        <f>_xlfn.XLOOKUP($I168,Tab_00.Trial[CONTA],Tab_00.Trial[TP],"",0,1)</f>
        <v>C</v>
      </c>
      <c r="C168" s="2">
        <f>_xlfn.XLOOKUP($I168,Tab_00.Trial[CONTA],Tab_00.Trial[NV],"",0,1)</f>
        <v>1</v>
      </c>
      <c r="D168" s="2" t="str">
        <f>_xlfn.XLOOKUP($I168,Tab_00.Trial[CONTA],Tab_00.Trial[S/A],"",0,1)</f>
        <v>S</v>
      </c>
      <c r="E168" s="2">
        <f>IF($I168="","",COUNTIFS(Tab_00.Trial[CONTA],$I168))</f>
        <v>1</v>
      </c>
      <c r="F168" s="4">
        <f>SUMIFS(Tab_10.Out[SALDO
ATUAL],Tab_10.Out[CONTA],$I168)</f>
        <v>8240865.1500000004</v>
      </c>
      <c r="G168" s="4">
        <f t="shared" si="6"/>
        <v>0</v>
      </c>
      <c r="H168" s="1"/>
      <c r="I168" s="3">
        <v>4</v>
      </c>
      <c r="J168" s="3" t="s">
        <v>693</v>
      </c>
      <c r="K168" s="4">
        <v>8240865.1500000004</v>
      </c>
      <c r="L168" s="4">
        <v>474904.6</v>
      </c>
      <c r="M168" s="4">
        <v>13994.19</v>
      </c>
      <c r="N168" s="4">
        <v>8701775.5600000005</v>
      </c>
      <c r="O168" s="4">
        <f t="shared" si="7"/>
        <v>460910.41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2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SUMIFS(Tab_10.Out[SALDO
ATUAL],Tab_10.Out[CONTA],$I169)</f>
        <v>8240865.1500000004</v>
      </c>
      <c r="G169" s="4">
        <f t="shared" si="6"/>
        <v>0</v>
      </c>
      <c r="H169" s="1"/>
      <c r="I169" s="3" t="s">
        <v>234</v>
      </c>
      <c r="J169" s="3" t="s">
        <v>823</v>
      </c>
      <c r="K169" s="4">
        <v>8240865.1500000004</v>
      </c>
      <c r="L169" s="4">
        <v>474904.6</v>
      </c>
      <c r="M169" s="4">
        <v>13994.19</v>
      </c>
      <c r="N169" s="4">
        <v>8701775.5600000005</v>
      </c>
      <c r="O169" s="4">
        <f t="shared" si="7"/>
        <v>460910.41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5</v>
      </c>
      <c r="D170" s="2" t="str">
        <f>_xlfn.XLOOKUP($I170,Tab_00.Trial[CONTA],Tab_00.Trial[S/A],"",0,1)</f>
        <v>S</v>
      </c>
      <c r="E170" s="2">
        <f>IF($I170="","",COUNTIFS(Tab_00.Trial[CONTA],$I170))</f>
        <v>1</v>
      </c>
      <c r="F170" s="4">
        <f>SUMIFS(Tab_10.Out[SALDO
ATUAL],Tab_10.Out[CONTA],$I170)</f>
        <v>1524124.42</v>
      </c>
      <c r="G170" s="4">
        <f t="shared" si="6"/>
        <v>0</v>
      </c>
      <c r="H170" s="1"/>
      <c r="I170" s="3" t="s">
        <v>235</v>
      </c>
      <c r="J170" s="3" t="s">
        <v>824</v>
      </c>
      <c r="K170" s="4">
        <v>1524124.42</v>
      </c>
      <c r="L170" s="4">
        <v>177414.17</v>
      </c>
      <c r="M170" s="4">
        <v>13994.19</v>
      </c>
      <c r="N170" s="4">
        <v>1687544.4</v>
      </c>
      <c r="O170" s="4">
        <f t="shared" si="7"/>
        <v>163419.98000000001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S</v>
      </c>
      <c r="E171" s="2">
        <f>IF($I171="","",COUNTIFS(Tab_00.Trial[CONTA],$I171))</f>
        <v>1</v>
      </c>
      <c r="F171" s="4">
        <f>SUMIFS(Tab_10.Out[SALDO
ATUAL],Tab_10.Out[CONTA],$I171)</f>
        <v>685295.09</v>
      </c>
      <c r="G171" s="4">
        <f t="shared" si="6"/>
        <v>0</v>
      </c>
      <c r="H171" s="1"/>
      <c r="I171" s="3" t="s">
        <v>236</v>
      </c>
      <c r="J171" s="3" t="s">
        <v>696</v>
      </c>
      <c r="K171" s="4">
        <v>685295.09</v>
      </c>
      <c r="L171" s="4">
        <v>84773.57</v>
      </c>
      <c r="M171" s="4">
        <v>9546.09</v>
      </c>
      <c r="N171" s="4">
        <v>760522.57</v>
      </c>
      <c r="O171" s="4">
        <f t="shared" si="7"/>
        <v>75227.48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A</v>
      </c>
      <c r="E172" s="2">
        <f>IF($I172="","",COUNTIFS(Tab_00.Trial[CONTA],$I172))</f>
        <v>1</v>
      </c>
      <c r="F172" s="4">
        <f>SUMIFS(Tab_10.Out[SALDO
ATUAL],Tab_10.Out[CONTA],$I172)</f>
        <v>491573.88</v>
      </c>
      <c r="G172" s="4">
        <f t="shared" si="6"/>
        <v>0</v>
      </c>
      <c r="H172" s="1"/>
      <c r="I172" s="3" t="s">
        <v>195</v>
      </c>
      <c r="J172" s="3" t="s">
        <v>427</v>
      </c>
      <c r="K172" s="4">
        <v>491573.88</v>
      </c>
      <c r="L172" s="4">
        <v>67653.789999999994</v>
      </c>
      <c r="M172" s="4">
        <v>9309.68</v>
      </c>
      <c r="N172" s="4">
        <v>549917.99</v>
      </c>
      <c r="O172" s="4">
        <f t="shared" si="7"/>
        <v>58344.11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SUMIFS(Tab_10.Out[SALDO
ATUAL],Tab_10.Out[CONTA],$I173)</f>
        <v>81136.55</v>
      </c>
      <c r="G173" s="4">
        <f t="shared" si="6"/>
        <v>0</v>
      </c>
      <c r="H173" s="1"/>
      <c r="I173" s="3" t="s">
        <v>430</v>
      </c>
      <c r="J173" s="3" t="s">
        <v>431</v>
      </c>
      <c r="K173" s="4">
        <v>81136.55</v>
      </c>
      <c r="L173" s="4">
        <v>12630.74</v>
      </c>
      <c r="M173" s="4">
        <v>135.86000000000001</v>
      </c>
      <c r="N173" s="4">
        <v>93631.43</v>
      </c>
      <c r="O173" s="4">
        <f t="shared" si="7"/>
        <v>12494.88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SUMIFS(Tab_10.Out[SALDO
ATUAL],Tab_10.Out[CONTA],$I174)</f>
        <v>48912.75</v>
      </c>
      <c r="G174" s="4">
        <f t="shared" si="6"/>
        <v>0</v>
      </c>
      <c r="H174" s="1"/>
      <c r="I174" s="3" t="s">
        <v>432</v>
      </c>
      <c r="J174" s="3" t="s">
        <v>433</v>
      </c>
      <c r="K174" s="4">
        <v>48912.75</v>
      </c>
      <c r="L174" s="4">
        <v>0</v>
      </c>
      <c r="M174" s="4">
        <v>0</v>
      </c>
      <c r="N174" s="4">
        <v>48912.75</v>
      </c>
      <c r="O174" s="4">
        <f t="shared" si="7"/>
        <v>0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SUMIFS(Tab_10.Out[SALDO
ATUAL],Tab_10.Out[CONTA],$I175)</f>
        <v>43155.22</v>
      </c>
      <c r="G175" s="4">
        <f t="shared" si="6"/>
        <v>0</v>
      </c>
      <c r="H175" s="1"/>
      <c r="I175" s="3" t="s">
        <v>796</v>
      </c>
      <c r="J175" s="3" t="s">
        <v>797</v>
      </c>
      <c r="K175" s="4">
        <v>43155.22</v>
      </c>
      <c r="L175" s="4">
        <v>3360.51</v>
      </c>
      <c r="M175" s="4">
        <v>46.21</v>
      </c>
      <c r="N175" s="4">
        <v>46469.52</v>
      </c>
      <c r="O175" s="4">
        <f t="shared" si="7"/>
        <v>3314.3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SUMIFS(Tab_10.Out[SALDO
ATUAL],Tab_10.Out[CONTA],$I176)</f>
        <v>2904.43</v>
      </c>
      <c r="G176" s="4">
        <f t="shared" si="6"/>
        <v>0</v>
      </c>
      <c r="H176" s="1"/>
      <c r="I176" s="3" t="s">
        <v>798</v>
      </c>
      <c r="J176" s="3" t="s">
        <v>799</v>
      </c>
      <c r="K176" s="4">
        <v>2904.43</v>
      </c>
      <c r="L176" s="4">
        <v>1003.12</v>
      </c>
      <c r="M176" s="4">
        <v>54.34</v>
      </c>
      <c r="N176" s="4">
        <v>3853.21</v>
      </c>
      <c r="O176" s="4">
        <f t="shared" si="7"/>
        <v>948.78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SUMIFS(Tab_10.Out[SALDO
ATUAL],Tab_10.Out[CONTA],$I177)</f>
        <v>365.56</v>
      </c>
      <c r="G177" s="4">
        <f t="shared" si="6"/>
        <v>0</v>
      </c>
      <c r="H177" s="1"/>
      <c r="I177" s="3" t="s">
        <v>800</v>
      </c>
      <c r="J177" s="3" t="s">
        <v>801</v>
      </c>
      <c r="K177" s="4">
        <v>365.56</v>
      </c>
      <c r="L177" s="4">
        <v>0</v>
      </c>
      <c r="M177" s="4">
        <v>0</v>
      </c>
      <c r="N177" s="4">
        <v>365.56</v>
      </c>
      <c r="O177" s="4">
        <f t="shared" si="7"/>
        <v>0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SUMIFS(Tab_10.Out[SALDO
ATUAL],Tab_10.Out[CONTA],$I178)</f>
        <v>12943.65</v>
      </c>
      <c r="G178" s="4">
        <f t="shared" si="6"/>
        <v>0</v>
      </c>
      <c r="H178" s="1"/>
      <c r="I178" s="3" t="s">
        <v>802</v>
      </c>
      <c r="J178" s="3" t="s">
        <v>803</v>
      </c>
      <c r="K178" s="4">
        <v>12943.65</v>
      </c>
      <c r="L178" s="4">
        <v>0</v>
      </c>
      <c r="M178" s="4">
        <v>0</v>
      </c>
      <c r="N178" s="4">
        <v>12943.65</v>
      </c>
      <c r="O178" s="4">
        <f t="shared" si="7"/>
        <v>0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SUMIFS(Tab_10.Out[SALDO
ATUAL],Tab_10.Out[CONTA],$I179)</f>
        <v>3913</v>
      </c>
      <c r="G179" s="4">
        <f t="shared" si="6"/>
        <v>0</v>
      </c>
      <c r="H179" s="1"/>
      <c r="I179" s="3" t="s">
        <v>804</v>
      </c>
      <c r="J179" s="3" t="s">
        <v>805</v>
      </c>
      <c r="K179" s="4">
        <v>3913</v>
      </c>
      <c r="L179" s="4">
        <v>0</v>
      </c>
      <c r="M179" s="4">
        <v>0</v>
      </c>
      <c r="N179" s="4">
        <v>3913</v>
      </c>
      <c r="O179" s="4">
        <f t="shared" si="7"/>
        <v>0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SUMIFS(Tab_10.Out[SALDO
ATUAL],Tab_10.Out[CONTA],$I180)</f>
        <v>390.05</v>
      </c>
      <c r="G180" s="4">
        <f t="shared" si="6"/>
        <v>0</v>
      </c>
      <c r="H180" s="1"/>
      <c r="I180" s="3" t="s">
        <v>806</v>
      </c>
      <c r="J180" s="3" t="s">
        <v>807</v>
      </c>
      <c r="K180" s="4">
        <v>390.05</v>
      </c>
      <c r="L180" s="4">
        <v>125.41</v>
      </c>
      <c r="M180" s="4">
        <v>0</v>
      </c>
      <c r="N180" s="4">
        <v>515.46</v>
      </c>
      <c r="O180" s="4">
        <f t="shared" si="7"/>
        <v>125.41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S</v>
      </c>
      <c r="E181" s="2">
        <f>IF($I181="","",COUNTIFS(Tab_00.Trial[CONTA],$I181))</f>
        <v>1</v>
      </c>
      <c r="F181" s="4">
        <f>SUMIFS(Tab_10.Out[SALDO
ATUAL],Tab_10.Out[CONTA],$I181)</f>
        <v>252424.1</v>
      </c>
      <c r="G181" s="4">
        <f t="shared" si="6"/>
        <v>0</v>
      </c>
      <c r="H181" s="1"/>
      <c r="I181" s="3" t="s">
        <v>590</v>
      </c>
      <c r="J181" s="3" t="s">
        <v>697</v>
      </c>
      <c r="K181" s="4">
        <v>252424.1</v>
      </c>
      <c r="L181" s="4">
        <v>26071.57</v>
      </c>
      <c r="M181" s="4">
        <v>4448.1000000000004</v>
      </c>
      <c r="N181" s="4">
        <v>274047.57</v>
      </c>
      <c r="O181" s="4">
        <f t="shared" si="7"/>
        <v>21623.47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A</v>
      </c>
      <c r="E182" s="2">
        <f>IF($I182="","",COUNTIFS(Tab_00.Trial[CONTA],$I182))</f>
        <v>1</v>
      </c>
      <c r="F182" s="4">
        <f>SUMIFS(Tab_10.Out[SALDO
ATUAL],Tab_10.Out[CONTA],$I182)</f>
        <v>245658.69</v>
      </c>
      <c r="G182" s="4">
        <f t="shared" si="6"/>
        <v>0</v>
      </c>
      <c r="H182" s="1"/>
      <c r="I182" s="3" t="s">
        <v>434</v>
      </c>
      <c r="J182" s="3" t="s">
        <v>435</v>
      </c>
      <c r="K182" s="4">
        <v>245658.69</v>
      </c>
      <c r="L182" s="4">
        <v>25971.57</v>
      </c>
      <c r="M182" s="4">
        <v>3163.54</v>
      </c>
      <c r="N182" s="4">
        <v>268466.71999999997</v>
      </c>
      <c r="O182" s="4">
        <f t="shared" si="7"/>
        <v>22808.03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SUMIFS(Tab_10.Out[SALDO
ATUAL],Tab_10.Out[CONTA],$I183)</f>
        <v>6765.41</v>
      </c>
      <c r="G183" s="4">
        <f t="shared" si="6"/>
        <v>0</v>
      </c>
      <c r="H183" s="1"/>
      <c r="I183" s="3" t="s">
        <v>750</v>
      </c>
      <c r="J183" s="3" t="s">
        <v>751</v>
      </c>
      <c r="K183" s="4">
        <v>6765.41</v>
      </c>
      <c r="L183" s="4">
        <v>100</v>
      </c>
      <c r="M183" s="4">
        <v>1284.56</v>
      </c>
      <c r="N183" s="4">
        <v>5580.85</v>
      </c>
      <c r="O183" s="4">
        <f t="shared" si="7"/>
        <v>-1184.56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S</v>
      </c>
      <c r="E184" s="2">
        <f>IF($I184="","",COUNTIFS(Tab_00.Trial[CONTA],$I184))</f>
        <v>1</v>
      </c>
      <c r="F184" s="4">
        <f>SUMIFS(Tab_10.Out[SALDO
ATUAL],Tab_10.Out[CONTA],$I184)</f>
        <v>205545.72</v>
      </c>
      <c r="G184" s="4">
        <f t="shared" si="6"/>
        <v>0</v>
      </c>
      <c r="H184" s="1"/>
      <c r="I184" s="3" t="s">
        <v>591</v>
      </c>
      <c r="J184" s="3" t="s">
        <v>698</v>
      </c>
      <c r="K184" s="4">
        <v>205545.72</v>
      </c>
      <c r="L184" s="4">
        <v>20357.560000000001</v>
      </c>
      <c r="M184" s="4">
        <v>0</v>
      </c>
      <c r="N184" s="4">
        <v>225903.28</v>
      </c>
      <c r="O184" s="4">
        <f t="shared" si="7"/>
        <v>20357.560000000001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A</v>
      </c>
      <c r="E185" s="2">
        <f>IF($I185="","",COUNTIFS(Tab_00.Trial[CONTA],$I185))</f>
        <v>1</v>
      </c>
      <c r="F185" s="4">
        <f>SUMIFS(Tab_10.Out[SALDO
ATUAL],Tab_10.Out[CONTA],$I185)</f>
        <v>160642.68</v>
      </c>
      <c r="G185" s="4">
        <f t="shared" si="6"/>
        <v>0</v>
      </c>
      <c r="H185" s="1"/>
      <c r="I185" s="3" t="s">
        <v>436</v>
      </c>
      <c r="J185" s="3" t="s">
        <v>437</v>
      </c>
      <c r="K185" s="4">
        <v>160642.68</v>
      </c>
      <c r="L185" s="4">
        <v>15239.75</v>
      </c>
      <c r="M185" s="4">
        <v>0</v>
      </c>
      <c r="N185" s="4">
        <v>175882.43</v>
      </c>
      <c r="O185" s="4">
        <f t="shared" si="7"/>
        <v>15239.75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SUMIFS(Tab_10.Out[SALDO
ATUAL],Tab_10.Out[CONTA],$I186)</f>
        <v>39213.47</v>
      </c>
      <c r="G186" s="4">
        <f t="shared" si="6"/>
        <v>0</v>
      </c>
      <c r="H186" s="1"/>
      <c r="I186" s="3" t="s">
        <v>438</v>
      </c>
      <c r="J186" s="3" t="s">
        <v>196</v>
      </c>
      <c r="K186" s="4">
        <v>39213.47</v>
      </c>
      <c r="L186" s="4">
        <v>4549.16</v>
      </c>
      <c r="M186" s="4">
        <v>0</v>
      </c>
      <c r="N186" s="4">
        <v>43762.63</v>
      </c>
      <c r="O186" s="4">
        <f t="shared" si="7"/>
        <v>4549.16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SUMIFS(Tab_10.Out[SALDO
ATUAL],Tab_10.Out[CONTA],$I187)</f>
        <v>5689.57</v>
      </c>
      <c r="G187" s="4">
        <f t="shared" si="6"/>
        <v>0</v>
      </c>
      <c r="H187" s="1"/>
      <c r="I187" s="3" t="s">
        <v>439</v>
      </c>
      <c r="J187" s="3" t="s">
        <v>440</v>
      </c>
      <c r="K187" s="4">
        <v>5689.57</v>
      </c>
      <c r="L187" s="4">
        <v>568.65</v>
      </c>
      <c r="M187" s="4">
        <v>0</v>
      </c>
      <c r="N187" s="4">
        <v>6258.22</v>
      </c>
      <c r="O187" s="4">
        <f t="shared" si="7"/>
        <v>568.65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S</v>
      </c>
      <c r="E188" s="2">
        <f>IF($I188="","",COUNTIFS(Tab_00.Trial[CONTA],$I188))</f>
        <v>1</v>
      </c>
      <c r="F188" s="4">
        <f>SUMIFS(Tab_10.Out[SALDO
ATUAL],Tab_10.Out[CONTA],$I188)</f>
        <v>12548.87</v>
      </c>
      <c r="G188" s="4">
        <f t="shared" si="6"/>
        <v>0</v>
      </c>
      <c r="H188" s="1"/>
      <c r="I188" s="3" t="s">
        <v>592</v>
      </c>
      <c r="J188" s="3" t="s">
        <v>699</v>
      </c>
      <c r="K188" s="4">
        <v>12548.87</v>
      </c>
      <c r="L188" s="4">
        <v>0</v>
      </c>
      <c r="M188" s="4">
        <v>0</v>
      </c>
      <c r="N188" s="4">
        <v>12548.87</v>
      </c>
      <c r="O188" s="4">
        <f t="shared" si="7"/>
        <v>0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A</v>
      </c>
      <c r="E189" s="2">
        <f>IF($I189="","",COUNTIFS(Tab_00.Trial[CONTA],$I189))</f>
        <v>1</v>
      </c>
      <c r="F189" s="4">
        <f>SUMIFS(Tab_10.Out[SALDO
ATUAL],Tab_10.Out[CONTA],$I189)</f>
        <v>10917.24</v>
      </c>
      <c r="G189" s="4">
        <f t="shared" si="6"/>
        <v>0</v>
      </c>
      <c r="H189" s="1"/>
      <c r="I189" s="3" t="s">
        <v>397</v>
      </c>
      <c r="J189" s="3" t="s">
        <v>398</v>
      </c>
      <c r="K189" s="4">
        <v>10917.24</v>
      </c>
      <c r="L189" s="4">
        <v>0</v>
      </c>
      <c r="M189" s="4">
        <v>0</v>
      </c>
      <c r="N189" s="4">
        <v>10917.24</v>
      </c>
      <c r="O189" s="4">
        <f t="shared" si="7"/>
        <v>0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SUMIFS(Tab_10.Out[SALDO
ATUAL],Tab_10.Out[CONTA],$I190)</f>
        <v>1631.63</v>
      </c>
      <c r="G190" s="4">
        <f t="shared" si="6"/>
        <v>0</v>
      </c>
      <c r="H190" s="1"/>
      <c r="I190" s="3" t="s">
        <v>399</v>
      </c>
      <c r="J190" s="3" t="s">
        <v>400</v>
      </c>
      <c r="K190" s="4">
        <v>1631.63</v>
      </c>
      <c r="L190" s="4">
        <v>0</v>
      </c>
      <c r="M190" s="4">
        <v>0</v>
      </c>
      <c r="N190" s="4">
        <v>1631.63</v>
      </c>
      <c r="O190" s="4">
        <f t="shared" si="7"/>
        <v>0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S</v>
      </c>
      <c r="E191" s="2">
        <f>IF($I191="","",COUNTIFS(Tab_00.Trial[CONTA],$I191))</f>
        <v>1</v>
      </c>
      <c r="F191" s="4">
        <f>SUMIFS(Tab_10.Out[SALDO
ATUAL],Tab_10.Out[CONTA],$I191)</f>
        <v>353386.65</v>
      </c>
      <c r="G191" s="4">
        <f t="shared" si="6"/>
        <v>0</v>
      </c>
      <c r="H191" s="1"/>
      <c r="I191" s="3" t="s">
        <v>593</v>
      </c>
      <c r="J191" s="3" t="s">
        <v>711</v>
      </c>
      <c r="K191" s="4">
        <v>353386.65</v>
      </c>
      <c r="L191" s="4">
        <v>44875.55</v>
      </c>
      <c r="M191" s="4">
        <v>0</v>
      </c>
      <c r="N191" s="4">
        <v>398262.2</v>
      </c>
      <c r="O191" s="4">
        <f t="shared" si="7"/>
        <v>44875.55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A</v>
      </c>
      <c r="E192" s="2">
        <f>IF($I192="","",COUNTIFS(Tab_00.Trial[CONTA],$I192))</f>
        <v>1</v>
      </c>
      <c r="F192" s="4">
        <f>SUMIFS(Tab_10.Out[SALDO
ATUAL],Tab_10.Out[CONTA],$I192)</f>
        <v>43709.4</v>
      </c>
      <c r="G192" s="4">
        <f t="shared" si="6"/>
        <v>0</v>
      </c>
      <c r="H192" s="1"/>
      <c r="I192" s="3" t="s">
        <v>403</v>
      </c>
      <c r="J192" s="3" t="s">
        <v>404</v>
      </c>
      <c r="K192" s="4">
        <v>43709.4</v>
      </c>
      <c r="L192" s="4">
        <v>4665.55</v>
      </c>
      <c r="M192" s="4">
        <v>0</v>
      </c>
      <c r="N192" s="4">
        <v>48374.95</v>
      </c>
      <c r="O192" s="4">
        <f t="shared" si="7"/>
        <v>4665.55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SUMIFS(Tab_10.Out[SALDO
ATUAL],Tab_10.Out[CONTA],$I193)</f>
        <v>289312</v>
      </c>
      <c r="G193" s="4">
        <f t="shared" si="6"/>
        <v>0</v>
      </c>
      <c r="H193" s="1"/>
      <c r="I193" s="3" t="s">
        <v>405</v>
      </c>
      <c r="J193" s="3" t="s">
        <v>406</v>
      </c>
      <c r="K193" s="4">
        <v>289312</v>
      </c>
      <c r="L193" s="4">
        <v>40210</v>
      </c>
      <c r="M193" s="4">
        <v>0</v>
      </c>
      <c r="N193" s="4">
        <v>329522</v>
      </c>
      <c r="O193" s="4">
        <f t="shared" si="7"/>
        <v>40210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SUMIFS(Tab_10.Out[SALDO
ATUAL],Tab_10.Out[CONTA],$I194)</f>
        <v>20365.25</v>
      </c>
      <c r="G194" s="4">
        <f t="shared" si="6"/>
        <v>0</v>
      </c>
      <c r="H194" s="1"/>
      <c r="I194" s="3" t="s">
        <v>407</v>
      </c>
      <c r="J194" s="3" t="s">
        <v>408</v>
      </c>
      <c r="K194" s="4">
        <v>20365.25</v>
      </c>
      <c r="L194" s="4">
        <v>0</v>
      </c>
      <c r="M194" s="4">
        <v>0</v>
      </c>
      <c r="N194" s="4">
        <v>20365.25</v>
      </c>
      <c r="O194" s="4">
        <f t="shared" si="7"/>
        <v>0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S</v>
      </c>
      <c r="E195" s="2">
        <f>IF($I195="","",COUNTIFS(Tab_00.Trial[CONTA],$I195))</f>
        <v>1</v>
      </c>
      <c r="F195" s="4">
        <f>SUMIFS(Tab_10.Out[SALDO
ATUAL],Tab_10.Out[CONTA],$I195)</f>
        <v>8256.1200000000008</v>
      </c>
      <c r="G195" s="4">
        <f t="shared" si="6"/>
        <v>0</v>
      </c>
      <c r="H195" s="1"/>
      <c r="I195" s="3" t="s">
        <v>594</v>
      </c>
      <c r="J195" s="3" t="s">
        <v>825</v>
      </c>
      <c r="K195" s="4">
        <v>8256.1200000000008</v>
      </c>
      <c r="L195" s="4">
        <v>908.66</v>
      </c>
      <c r="M195" s="4">
        <v>0</v>
      </c>
      <c r="N195" s="4">
        <v>9164.7800000000007</v>
      </c>
      <c r="O195" s="4">
        <f t="shared" si="7"/>
        <v>908.66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A</v>
      </c>
      <c r="E196" s="2">
        <f>IF($I196="","",COUNTIFS(Tab_00.Trial[CONTA],$I196))</f>
        <v>1</v>
      </c>
      <c r="F196" s="4">
        <f>SUMIFS(Tab_10.Out[SALDO
ATUAL],Tab_10.Out[CONTA],$I196)</f>
        <v>300</v>
      </c>
      <c r="G196" s="4">
        <f t="shared" si="6"/>
        <v>0</v>
      </c>
      <c r="H196" s="1"/>
      <c r="I196" s="3" t="s">
        <v>411</v>
      </c>
      <c r="J196" s="3" t="s">
        <v>412</v>
      </c>
      <c r="K196" s="4">
        <v>300</v>
      </c>
      <c r="L196" s="4">
        <v>0</v>
      </c>
      <c r="M196" s="4">
        <v>0</v>
      </c>
      <c r="N196" s="4">
        <v>300</v>
      </c>
      <c r="O196" s="4">
        <f t="shared" si="7"/>
        <v>0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SUMIFS(Tab_10.Out[SALDO
ATUAL],Tab_10.Out[CONTA],$I197)</f>
        <v>7903.66</v>
      </c>
      <c r="G197" s="4">
        <f t="shared" si="6"/>
        <v>0</v>
      </c>
      <c r="H197" s="1"/>
      <c r="I197" s="3" t="s">
        <v>413</v>
      </c>
      <c r="J197" s="3" t="s">
        <v>414</v>
      </c>
      <c r="K197" s="4">
        <v>7903.66</v>
      </c>
      <c r="L197" s="4">
        <v>908.66</v>
      </c>
      <c r="M197" s="4">
        <v>0</v>
      </c>
      <c r="N197" s="4">
        <v>8812.32</v>
      </c>
      <c r="O197" s="4">
        <f t="shared" si="7"/>
        <v>908.66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SUMIFS(Tab_10.Out[SALDO
ATUAL],Tab_10.Out[CONTA],$I198)</f>
        <v>52.46</v>
      </c>
      <c r="G198" s="4">
        <f t="shared" si="6"/>
        <v>0</v>
      </c>
      <c r="H198" s="1"/>
      <c r="I198" s="3" t="s">
        <v>417</v>
      </c>
      <c r="J198" s="3" t="s">
        <v>418</v>
      </c>
      <c r="K198" s="4">
        <v>52.46</v>
      </c>
      <c r="L198" s="4">
        <v>0</v>
      </c>
      <c r="M198" s="4">
        <v>0</v>
      </c>
      <c r="N198" s="4">
        <v>52.46</v>
      </c>
      <c r="O198" s="4">
        <f t="shared" si="7"/>
        <v>0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S</v>
      </c>
      <c r="E199" s="2">
        <f>IF($I199="","",COUNTIFS(Tab_00.Trial[CONTA],$I199))</f>
        <v>1</v>
      </c>
      <c r="F199" s="4">
        <f>SUMIFS(Tab_10.Out[SALDO
ATUAL],Tab_10.Out[CONTA],$I199)</f>
        <v>6667.87</v>
      </c>
      <c r="G199" s="4">
        <f t="shared" si="6"/>
        <v>0</v>
      </c>
      <c r="H199" s="1"/>
      <c r="I199" s="3" t="s">
        <v>595</v>
      </c>
      <c r="J199" s="3" t="s">
        <v>420</v>
      </c>
      <c r="K199" s="4">
        <v>6667.87</v>
      </c>
      <c r="L199" s="4">
        <v>427.26</v>
      </c>
      <c r="M199" s="4">
        <v>0</v>
      </c>
      <c r="N199" s="4">
        <v>7095.13</v>
      </c>
      <c r="O199" s="4">
        <f t="shared" si="7"/>
        <v>427.26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A</v>
      </c>
      <c r="E200" s="2">
        <f>IF($I200="","",COUNTIFS(Tab_00.Trial[CONTA],$I200))</f>
        <v>1</v>
      </c>
      <c r="F200" s="4">
        <f>SUMIFS(Tab_10.Out[SALDO
ATUAL],Tab_10.Out[CONTA],$I200)</f>
        <v>6667.87</v>
      </c>
      <c r="G200" s="4">
        <f t="shared" si="6"/>
        <v>0</v>
      </c>
      <c r="H200" s="1"/>
      <c r="I200" s="3" t="s">
        <v>419</v>
      </c>
      <c r="J200" s="3" t="s">
        <v>420</v>
      </c>
      <c r="K200" s="4">
        <v>6667.87</v>
      </c>
      <c r="L200" s="4">
        <v>427.26</v>
      </c>
      <c r="M200" s="4">
        <v>0</v>
      </c>
      <c r="N200" s="4">
        <v>7095.13</v>
      </c>
      <c r="O200" s="4">
        <f t="shared" si="7"/>
        <v>427.26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S</v>
      </c>
      <c r="E201" s="2">
        <f>IF($I201="","",COUNTIFS(Tab_00.Trial[CONTA],$I201))</f>
        <v>1</v>
      </c>
      <c r="F201" s="4">
        <f>SUMIFS(Tab_10.Out[SALDO
ATUAL],Tab_10.Out[CONTA],$I201)</f>
        <v>6716740.7300000004</v>
      </c>
      <c r="G201" s="4">
        <f t="shared" si="6"/>
        <v>0</v>
      </c>
      <c r="H201" s="1"/>
      <c r="I201" s="3" t="s">
        <v>237</v>
      </c>
      <c r="J201" s="3" t="s">
        <v>702</v>
      </c>
      <c r="K201" s="4">
        <v>6716740.7300000004</v>
      </c>
      <c r="L201" s="4">
        <v>297490.43</v>
      </c>
      <c r="M201" s="4">
        <v>0</v>
      </c>
      <c r="N201" s="4">
        <v>7014231.1600000001</v>
      </c>
      <c r="O201" s="4">
        <f t="shared" si="7"/>
        <v>297490.43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SUMIFS(Tab_10.Out[SALDO
ATUAL],Tab_10.Out[CONTA],$I202)</f>
        <v>6716740.7300000004</v>
      </c>
      <c r="G202" s="4">
        <f t="shared" si="6"/>
        <v>0</v>
      </c>
      <c r="H202" s="1"/>
      <c r="I202" s="3" t="s">
        <v>238</v>
      </c>
      <c r="J202" s="3" t="s">
        <v>826</v>
      </c>
      <c r="K202" s="4">
        <v>6716740.7300000004</v>
      </c>
      <c r="L202" s="4">
        <v>297490.43</v>
      </c>
      <c r="M202" s="4">
        <v>0</v>
      </c>
      <c r="N202" s="4">
        <v>7014231.1600000001</v>
      </c>
      <c r="O202" s="4">
        <f t="shared" si="7"/>
        <v>297490.43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A</v>
      </c>
      <c r="E203" s="2">
        <f>IF($I203="","",COUNTIFS(Tab_00.Trial[CONTA],$I203))</f>
        <v>1</v>
      </c>
      <c r="F203" s="4">
        <f>SUMIFS(Tab_10.Out[SALDO
ATUAL],Tab_10.Out[CONTA],$I203)</f>
        <v>2555246.16</v>
      </c>
      <c r="G203" s="4">
        <f t="shared" si="6"/>
        <v>0</v>
      </c>
      <c r="H203" s="1"/>
      <c r="I203" s="3" t="s">
        <v>421</v>
      </c>
      <c r="J203" s="3" t="s">
        <v>422</v>
      </c>
      <c r="K203" s="4">
        <v>2555246.16</v>
      </c>
      <c r="L203" s="4">
        <v>188073.31</v>
      </c>
      <c r="M203" s="4">
        <v>0</v>
      </c>
      <c r="N203" s="4">
        <v>2743319.47</v>
      </c>
      <c r="O203" s="4">
        <f t="shared" si="7"/>
        <v>188073.31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SUMIFS(Tab_10.Out[SALDO
ATUAL],Tab_10.Out[CONTA],$I204)</f>
        <v>1333697.1200000001</v>
      </c>
      <c r="G204" s="4">
        <f t="shared" si="6"/>
        <v>0</v>
      </c>
      <c r="H204" s="1"/>
      <c r="I204" s="3" t="s">
        <v>738</v>
      </c>
      <c r="J204" s="3" t="s">
        <v>367</v>
      </c>
      <c r="K204" s="4">
        <v>1333697.1200000001</v>
      </c>
      <c r="L204" s="4">
        <v>109417.12</v>
      </c>
      <c r="M204" s="4">
        <v>0</v>
      </c>
      <c r="N204" s="4">
        <v>1443114.24</v>
      </c>
      <c r="O204" s="4">
        <f t="shared" si="7"/>
        <v>109417.12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SUMIFS(Tab_10.Out[SALDO
ATUAL],Tab_10.Out[CONTA],$I205)</f>
        <v>2827797.45</v>
      </c>
      <c r="G205" s="4">
        <f t="shared" si="6"/>
        <v>0</v>
      </c>
      <c r="H205" s="1"/>
      <c r="I205" s="3" t="s">
        <v>423</v>
      </c>
      <c r="J205" s="3" t="s">
        <v>424</v>
      </c>
      <c r="K205" s="4">
        <v>2827797.45</v>
      </c>
      <c r="L205" s="4">
        <v>0</v>
      </c>
      <c r="M205" s="4">
        <v>0</v>
      </c>
      <c r="N205" s="4">
        <v>2827797.45</v>
      </c>
      <c r="O205" s="4">
        <f t="shared" si="7"/>
        <v>0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1</v>
      </c>
      <c r="D206" s="2" t="str">
        <f>_xlfn.XLOOKUP($I206,Tab_00.Trial[CONTA],Tab_00.Trial[S/A],"",0,1)</f>
        <v>S</v>
      </c>
      <c r="E206" s="2">
        <f>IF($I206="","",COUNTIFS(Tab_00.Trial[CONTA],$I206))</f>
        <v>1</v>
      </c>
      <c r="F206" s="4">
        <f>SUMIFS(Tab_10.Out[SALDO
ATUAL],Tab_10.Out[CONTA],$I206)</f>
        <v>2832320.39</v>
      </c>
      <c r="G206" s="4">
        <f t="shared" si="6"/>
        <v>0</v>
      </c>
      <c r="H206" s="1"/>
      <c r="I206" s="3">
        <v>5</v>
      </c>
      <c r="J206" s="3" t="s">
        <v>705</v>
      </c>
      <c r="K206" s="4">
        <v>2832320.39</v>
      </c>
      <c r="L206" s="4">
        <v>283805.82</v>
      </c>
      <c r="M206" s="4">
        <v>11437.36</v>
      </c>
      <c r="N206" s="4">
        <v>3104688.85</v>
      </c>
      <c r="O206" s="4">
        <f t="shared" si="7"/>
        <v>272368.46000000002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2</v>
      </c>
      <c r="D207" s="2" t="str">
        <f>_xlfn.XLOOKUP($I207,Tab_00.Trial[CONTA],Tab_00.Trial[S/A],"",0,1)</f>
        <v>S</v>
      </c>
      <c r="E207" s="2">
        <f>IF($I207="","",COUNTIFS(Tab_00.Trial[CONTA],$I207))</f>
        <v>1</v>
      </c>
      <c r="F207" s="4">
        <f>SUMIFS(Tab_10.Out[SALDO
ATUAL],Tab_10.Out[CONTA],$I207)</f>
        <v>2832104.39</v>
      </c>
      <c r="G207" s="4">
        <f t="shared" ref="G207:G270" si="8">$F207-$K207</f>
        <v>0</v>
      </c>
      <c r="H207" s="1"/>
      <c r="I207" s="3" t="s">
        <v>599</v>
      </c>
      <c r="J207" s="3" t="s">
        <v>827</v>
      </c>
      <c r="K207" s="4">
        <v>2832104.39</v>
      </c>
      <c r="L207" s="4">
        <v>283805.82</v>
      </c>
      <c r="M207" s="4">
        <v>11437.36</v>
      </c>
      <c r="N207" s="4">
        <v>3104472.85</v>
      </c>
      <c r="O207" s="4">
        <f t="shared" ref="O207:O270" si="9">$L207-$M207</f>
        <v>272368.46000000002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5</v>
      </c>
      <c r="D208" s="2" t="str">
        <f>_xlfn.XLOOKUP($I208,Tab_00.Trial[CONTA],Tab_00.Trial[S/A],"",0,1)</f>
        <v>S</v>
      </c>
      <c r="E208" s="2">
        <f>IF($I208="","",COUNTIFS(Tab_00.Trial[CONTA],$I208))</f>
        <v>1</v>
      </c>
      <c r="F208" s="4">
        <f>SUMIFS(Tab_10.Out[SALDO
ATUAL],Tab_10.Out[CONTA],$I208)</f>
        <v>1015110.9</v>
      </c>
      <c r="G208" s="4">
        <f t="shared" si="8"/>
        <v>0</v>
      </c>
      <c r="H208" s="1"/>
      <c r="I208" s="3" t="s">
        <v>600</v>
      </c>
      <c r="J208" s="3" t="s">
        <v>706</v>
      </c>
      <c r="K208" s="4">
        <v>1015110.9</v>
      </c>
      <c r="L208" s="4">
        <v>82855.12</v>
      </c>
      <c r="M208" s="4">
        <v>11432.48</v>
      </c>
      <c r="N208" s="4">
        <v>1086533.54</v>
      </c>
      <c r="O208" s="4">
        <f t="shared" si="9"/>
        <v>71422.64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S</v>
      </c>
      <c r="E209" s="2">
        <f>IF($I209="","",COUNTIFS(Tab_00.Trial[CONTA],$I209))</f>
        <v>1</v>
      </c>
      <c r="F209" s="4">
        <f>SUMIFS(Tab_10.Out[SALDO
ATUAL],Tab_10.Out[CONTA],$I209)</f>
        <v>672412.16000000003</v>
      </c>
      <c r="G209" s="4">
        <f t="shared" si="8"/>
        <v>0</v>
      </c>
      <c r="H209" s="1"/>
      <c r="I209" s="3" t="s">
        <v>601</v>
      </c>
      <c r="J209" s="3" t="s">
        <v>707</v>
      </c>
      <c r="K209" s="4">
        <v>672412.16000000003</v>
      </c>
      <c r="L209" s="4">
        <v>67367.94</v>
      </c>
      <c r="M209" s="4">
        <v>11432.48</v>
      </c>
      <c r="N209" s="4">
        <v>728347.62</v>
      </c>
      <c r="O209" s="4">
        <f t="shared" si="9"/>
        <v>55935.46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A</v>
      </c>
      <c r="E210" s="2">
        <f>IF($I210="","",COUNTIFS(Tab_00.Trial[CONTA],$I210))</f>
        <v>1</v>
      </c>
      <c r="F210" s="4">
        <f>SUMIFS(Tab_10.Out[SALDO
ATUAL],Tab_10.Out[CONTA],$I210)</f>
        <v>443857.25</v>
      </c>
      <c r="G210" s="4">
        <f t="shared" si="8"/>
        <v>0</v>
      </c>
      <c r="H210" s="1"/>
      <c r="I210" s="3" t="s">
        <v>441</v>
      </c>
      <c r="J210" s="3" t="s">
        <v>427</v>
      </c>
      <c r="K210" s="4">
        <v>443857.25</v>
      </c>
      <c r="L210" s="4">
        <v>55620.98</v>
      </c>
      <c r="M210" s="4">
        <v>11432.48</v>
      </c>
      <c r="N210" s="4">
        <v>488045.75</v>
      </c>
      <c r="O210" s="4">
        <f t="shared" si="9"/>
        <v>44188.5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SUMIFS(Tab_10.Out[SALDO
ATUAL],Tab_10.Out[CONTA],$I211)</f>
        <v>55069.19</v>
      </c>
      <c r="G211" s="4">
        <f t="shared" si="8"/>
        <v>0</v>
      </c>
      <c r="H211" s="1"/>
      <c r="I211" s="3" t="s">
        <v>443</v>
      </c>
      <c r="J211" s="3" t="s">
        <v>431</v>
      </c>
      <c r="K211" s="4">
        <v>55069.19</v>
      </c>
      <c r="L211" s="4">
        <v>0</v>
      </c>
      <c r="M211" s="4">
        <v>0</v>
      </c>
      <c r="N211" s="4">
        <v>55069.19</v>
      </c>
      <c r="O211" s="4">
        <f t="shared" si="9"/>
        <v>0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SUMIFS(Tab_10.Out[SALDO
ATUAL],Tab_10.Out[CONTA],$I212)</f>
        <v>49850.7</v>
      </c>
      <c r="G212" s="4">
        <f t="shared" si="8"/>
        <v>0</v>
      </c>
      <c r="H212" s="1"/>
      <c r="I212" s="3" t="s">
        <v>444</v>
      </c>
      <c r="J212" s="3" t="s">
        <v>433</v>
      </c>
      <c r="K212" s="4">
        <v>49850.7</v>
      </c>
      <c r="L212" s="4">
        <v>8651.6200000000008</v>
      </c>
      <c r="M212" s="4">
        <v>0</v>
      </c>
      <c r="N212" s="4">
        <v>58502.32</v>
      </c>
      <c r="O212" s="4">
        <f t="shared" si="9"/>
        <v>8651.6200000000008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SUMIFS(Tab_10.Out[SALDO
ATUAL],Tab_10.Out[CONTA],$I213)</f>
        <v>85959.77</v>
      </c>
      <c r="G213" s="4">
        <f t="shared" si="8"/>
        <v>0</v>
      </c>
      <c r="H213" s="1"/>
      <c r="I213" s="3" t="s">
        <v>777</v>
      </c>
      <c r="J213" s="3" t="s">
        <v>749</v>
      </c>
      <c r="K213" s="4">
        <v>85959.77</v>
      </c>
      <c r="L213" s="4">
        <v>0</v>
      </c>
      <c r="M213" s="4">
        <v>0</v>
      </c>
      <c r="N213" s="4">
        <v>85959.77</v>
      </c>
      <c r="O213" s="4">
        <f t="shared" si="9"/>
        <v>0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SUMIFS(Tab_10.Out[SALDO
ATUAL],Tab_10.Out[CONTA],$I214)</f>
        <v>1576.67</v>
      </c>
      <c r="G214" s="4">
        <f t="shared" si="8"/>
        <v>0</v>
      </c>
      <c r="H214" s="1"/>
      <c r="I214" s="3" t="s">
        <v>447</v>
      </c>
      <c r="J214" s="3" t="s">
        <v>448</v>
      </c>
      <c r="K214" s="4">
        <v>1576.67</v>
      </c>
      <c r="L214" s="4">
        <v>0</v>
      </c>
      <c r="M214" s="4">
        <v>0</v>
      </c>
      <c r="N214" s="4">
        <v>1576.67</v>
      </c>
      <c r="O214" s="4">
        <f t="shared" si="9"/>
        <v>0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SUMIFS(Tab_10.Out[SALDO
ATUAL],Tab_10.Out[CONTA],$I215)</f>
        <v>8227.25</v>
      </c>
      <c r="G215" s="4">
        <f t="shared" si="8"/>
        <v>0</v>
      </c>
      <c r="H215" s="1"/>
      <c r="I215" s="3" t="s">
        <v>808</v>
      </c>
      <c r="J215" s="3" t="s">
        <v>797</v>
      </c>
      <c r="K215" s="4">
        <v>8227.25</v>
      </c>
      <c r="L215" s="4">
        <v>0</v>
      </c>
      <c r="M215" s="4">
        <v>0</v>
      </c>
      <c r="N215" s="4">
        <v>8227.25</v>
      </c>
      <c r="O215" s="4">
        <f t="shared" si="9"/>
        <v>0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SUMIFS(Tab_10.Out[SALDO
ATUAL],Tab_10.Out[CONTA],$I216)</f>
        <v>11878.87</v>
      </c>
      <c r="G216" s="4">
        <f t="shared" si="8"/>
        <v>0</v>
      </c>
      <c r="H216" s="1"/>
      <c r="I216" s="3" t="s">
        <v>809</v>
      </c>
      <c r="J216" s="3" t="s">
        <v>799</v>
      </c>
      <c r="K216" s="4">
        <v>11878.87</v>
      </c>
      <c r="L216" s="4">
        <v>0</v>
      </c>
      <c r="M216" s="4">
        <v>0</v>
      </c>
      <c r="N216" s="4">
        <v>11878.87</v>
      </c>
      <c r="O216" s="4">
        <f t="shared" si="9"/>
        <v>0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SUMIFS(Tab_10.Out[SALDO
ATUAL],Tab_10.Out[CONTA],$I217)</f>
        <v>272.25</v>
      </c>
      <c r="G217" s="4">
        <f t="shared" si="8"/>
        <v>0</v>
      </c>
      <c r="H217" s="1"/>
      <c r="I217" s="3" t="s">
        <v>810</v>
      </c>
      <c r="J217" s="3" t="s">
        <v>801</v>
      </c>
      <c r="K217" s="4">
        <v>272.25</v>
      </c>
      <c r="L217" s="4">
        <v>0</v>
      </c>
      <c r="M217" s="4">
        <v>0</v>
      </c>
      <c r="N217" s="4">
        <v>272.25</v>
      </c>
      <c r="O217" s="4">
        <f t="shared" si="9"/>
        <v>0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SUMIFS(Tab_10.Out[SALDO
ATUAL],Tab_10.Out[CONTA],$I218)</f>
        <v>11758.15</v>
      </c>
      <c r="G218" s="4">
        <f t="shared" si="8"/>
        <v>0</v>
      </c>
      <c r="H218" s="1"/>
      <c r="I218" s="3" t="s">
        <v>811</v>
      </c>
      <c r="J218" s="3" t="s">
        <v>803</v>
      </c>
      <c r="K218" s="4">
        <v>11758.15</v>
      </c>
      <c r="L218" s="4">
        <v>2316.7800000000002</v>
      </c>
      <c r="M218" s="4">
        <v>0</v>
      </c>
      <c r="N218" s="4">
        <v>14074.93</v>
      </c>
      <c r="O218" s="4">
        <f t="shared" si="9"/>
        <v>2316.7800000000002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SUMIFS(Tab_10.Out[SALDO
ATUAL],Tab_10.Out[CONTA],$I219)</f>
        <v>3510.46</v>
      </c>
      <c r="G219" s="4">
        <f t="shared" si="8"/>
        <v>0</v>
      </c>
      <c r="H219" s="1"/>
      <c r="I219" s="3" t="s">
        <v>812</v>
      </c>
      <c r="J219" s="3" t="s">
        <v>805</v>
      </c>
      <c r="K219" s="4">
        <v>3510.46</v>
      </c>
      <c r="L219" s="4">
        <v>692.11</v>
      </c>
      <c r="M219" s="4">
        <v>0</v>
      </c>
      <c r="N219" s="4">
        <v>4202.57</v>
      </c>
      <c r="O219" s="4">
        <f t="shared" si="9"/>
        <v>692.11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SUMIFS(Tab_10.Out[SALDO
ATUAL],Tab_10.Out[CONTA],$I220)</f>
        <v>451.6</v>
      </c>
      <c r="G220" s="4">
        <f t="shared" si="8"/>
        <v>0</v>
      </c>
      <c r="H220" s="1"/>
      <c r="I220" s="3" t="s">
        <v>813</v>
      </c>
      <c r="J220" s="3" t="s">
        <v>807</v>
      </c>
      <c r="K220" s="4">
        <v>451.6</v>
      </c>
      <c r="L220" s="4">
        <v>86.45</v>
      </c>
      <c r="M220" s="4">
        <v>0</v>
      </c>
      <c r="N220" s="4">
        <v>538.04999999999995</v>
      </c>
      <c r="O220" s="4">
        <f t="shared" si="9"/>
        <v>86.45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S</v>
      </c>
      <c r="E221" s="2">
        <f>IF($I221="","",COUNTIFS(Tab_00.Trial[CONTA],$I221))</f>
        <v>1</v>
      </c>
      <c r="F221" s="4">
        <f>SUMIFS(Tab_10.Out[SALDO
ATUAL],Tab_10.Out[CONTA],$I221)</f>
        <v>1014</v>
      </c>
      <c r="G221" s="4">
        <f t="shared" si="8"/>
        <v>0</v>
      </c>
      <c r="H221" s="1"/>
      <c r="I221" s="3" t="s">
        <v>602</v>
      </c>
      <c r="J221" s="3" t="s">
        <v>708</v>
      </c>
      <c r="K221" s="4">
        <v>1014</v>
      </c>
      <c r="L221" s="4">
        <v>0</v>
      </c>
      <c r="M221" s="4">
        <v>0</v>
      </c>
      <c r="N221" s="4">
        <v>1014</v>
      </c>
      <c r="O221" s="4">
        <f t="shared" si="9"/>
        <v>0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A</v>
      </c>
      <c r="E222" s="2">
        <f>IF($I222="","",COUNTIFS(Tab_00.Trial[CONTA],$I222))</f>
        <v>1</v>
      </c>
      <c r="F222" s="4">
        <f>SUMIFS(Tab_10.Out[SALDO
ATUAL],Tab_10.Out[CONTA],$I222)</f>
        <v>1014</v>
      </c>
      <c r="G222" s="4">
        <f t="shared" si="8"/>
        <v>0</v>
      </c>
      <c r="H222" s="1"/>
      <c r="I222" s="3" t="s">
        <v>455</v>
      </c>
      <c r="J222" s="3" t="s">
        <v>456</v>
      </c>
      <c r="K222" s="4">
        <v>1014</v>
      </c>
      <c r="L222" s="4">
        <v>0</v>
      </c>
      <c r="M222" s="4">
        <v>0</v>
      </c>
      <c r="N222" s="4">
        <v>1014</v>
      </c>
      <c r="O222" s="4">
        <f t="shared" si="9"/>
        <v>0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S</v>
      </c>
      <c r="E223" s="2">
        <f>IF($I223="","",COUNTIFS(Tab_00.Trial[CONTA],$I223))</f>
        <v>1</v>
      </c>
      <c r="F223" s="4">
        <f>SUMIFS(Tab_10.Out[SALDO
ATUAL],Tab_10.Out[CONTA],$I223)</f>
        <v>338479.74</v>
      </c>
      <c r="G223" s="4">
        <f t="shared" si="8"/>
        <v>0</v>
      </c>
      <c r="H223" s="1"/>
      <c r="I223" s="3" t="s">
        <v>603</v>
      </c>
      <c r="J223" s="3" t="s">
        <v>709</v>
      </c>
      <c r="K223" s="4">
        <v>338479.74</v>
      </c>
      <c r="L223" s="4">
        <v>15297.18</v>
      </c>
      <c r="M223" s="4">
        <v>0</v>
      </c>
      <c r="N223" s="4">
        <v>353776.92</v>
      </c>
      <c r="O223" s="4">
        <f t="shared" si="9"/>
        <v>15297.18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A</v>
      </c>
      <c r="E224" s="2">
        <f>IF($I224="","",COUNTIFS(Tab_00.Trial[CONTA],$I224))</f>
        <v>1</v>
      </c>
      <c r="F224" s="4">
        <f>SUMIFS(Tab_10.Out[SALDO
ATUAL],Tab_10.Out[CONTA],$I224)</f>
        <v>115530.86</v>
      </c>
      <c r="G224" s="4">
        <f t="shared" si="8"/>
        <v>0</v>
      </c>
      <c r="H224" s="1"/>
      <c r="I224" s="3" t="s">
        <v>451</v>
      </c>
      <c r="J224" s="3" t="s">
        <v>437</v>
      </c>
      <c r="K224" s="4">
        <v>115530.86</v>
      </c>
      <c r="L224" s="4">
        <v>11451.52</v>
      </c>
      <c r="M224" s="4">
        <v>0</v>
      </c>
      <c r="N224" s="4">
        <v>126982.38</v>
      </c>
      <c r="O224" s="4">
        <f t="shared" si="9"/>
        <v>11451.52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SUMIFS(Tab_10.Out[SALDO
ATUAL],Tab_10.Out[CONTA],$I225)</f>
        <v>218637.43</v>
      </c>
      <c r="G225" s="4">
        <f t="shared" si="8"/>
        <v>0</v>
      </c>
      <c r="I225" s="3" t="s">
        <v>452</v>
      </c>
      <c r="J225" s="3" t="s">
        <v>196</v>
      </c>
      <c r="K225" s="4">
        <v>218637.43</v>
      </c>
      <c r="L225" s="4">
        <v>3418.36</v>
      </c>
      <c r="M225" s="4">
        <v>0</v>
      </c>
      <c r="N225" s="4">
        <v>222055.79</v>
      </c>
      <c r="O225" s="4">
        <f t="shared" si="9"/>
        <v>3418.36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SUMIFS(Tab_10.Out[SALDO
ATUAL],Tab_10.Out[CONTA],$I226)</f>
        <v>4311.45</v>
      </c>
      <c r="G226" s="4">
        <f t="shared" si="8"/>
        <v>0</v>
      </c>
      <c r="I226" s="3" t="s">
        <v>453</v>
      </c>
      <c r="J226" s="3" t="s">
        <v>454</v>
      </c>
      <c r="K226" s="4">
        <v>4311.45</v>
      </c>
      <c r="L226" s="4">
        <v>427.3</v>
      </c>
      <c r="M226" s="4">
        <v>0</v>
      </c>
      <c r="N226" s="4">
        <v>4738.75</v>
      </c>
      <c r="O226" s="4">
        <f t="shared" si="9"/>
        <v>427.3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S</v>
      </c>
      <c r="E227" s="2">
        <f>IF($I227="","",COUNTIFS(Tab_00.Trial[CONTA],$I227))</f>
        <v>1</v>
      </c>
      <c r="F227" s="4">
        <f>SUMIFS(Tab_10.Out[SALDO
ATUAL],Tab_10.Out[CONTA],$I227)</f>
        <v>3205</v>
      </c>
      <c r="G227" s="4">
        <f t="shared" si="8"/>
        <v>0</v>
      </c>
      <c r="I227" s="3" t="s">
        <v>604</v>
      </c>
      <c r="J227" s="3" t="s">
        <v>710</v>
      </c>
      <c r="K227" s="4">
        <v>3205</v>
      </c>
      <c r="L227" s="4">
        <v>190</v>
      </c>
      <c r="M227" s="4">
        <v>0</v>
      </c>
      <c r="N227" s="4">
        <v>3395</v>
      </c>
      <c r="O227" s="4">
        <f t="shared" si="9"/>
        <v>190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A</v>
      </c>
      <c r="E228" s="2">
        <f>IF($I228="","",COUNTIFS(Tab_00.Trial[CONTA],$I228))</f>
        <v>1</v>
      </c>
      <c r="F228" s="4">
        <f>SUMIFS(Tab_10.Out[SALDO
ATUAL],Tab_10.Out[CONTA],$I228)</f>
        <v>3205</v>
      </c>
      <c r="G228" s="4">
        <f t="shared" si="8"/>
        <v>0</v>
      </c>
      <c r="I228" s="3" t="s">
        <v>457</v>
      </c>
      <c r="J228" s="3" t="s">
        <v>458</v>
      </c>
      <c r="K228" s="4">
        <v>3205</v>
      </c>
      <c r="L228" s="4">
        <v>190</v>
      </c>
      <c r="M228" s="4">
        <v>0</v>
      </c>
      <c r="N228" s="4">
        <v>3395</v>
      </c>
      <c r="O228" s="4">
        <f t="shared" si="9"/>
        <v>190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S</v>
      </c>
      <c r="E229" s="2">
        <f>IF($I229="","",COUNTIFS(Tab_00.Trial[CONTA],$I229))</f>
        <v>1</v>
      </c>
      <c r="F229" s="4">
        <f>SUMIFS(Tab_10.Out[SALDO
ATUAL],Tab_10.Out[CONTA],$I229)</f>
        <v>1520420.77</v>
      </c>
      <c r="G229" s="4">
        <f t="shared" si="8"/>
        <v>0</v>
      </c>
      <c r="I229" s="3" t="s">
        <v>605</v>
      </c>
      <c r="J229" s="3" t="s">
        <v>711</v>
      </c>
      <c r="K229" s="4">
        <v>1520420.77</v>
      </c>
      <c r="L229" s="4">
        <v>170953.71</v>
      </c>
      <c r="M229" s="4">
        <v>0</v>
      </c>
      <c r="N229" s="4">
        <v>1691374.48</v>
      </c>
      <c r="O229" s="4">
        <f t="shared" si="9"/>
        <v>170953.71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S</v>
      </c>
      <c r="E230" s="2">
        <f>IF($I230="","",COUNTIFS(Tab_00.Trial[CONTA],$I230))</f>
        <v>1</v>
      </c>
      <c r="F230" s="4">
        <f>SUMIFS(Tab_10.Out[SALDO
ATUAL],Tab_10.Out[CONTA],$I230)</f>
        <v>690759.96</v>
      </c>
      <c r="G230" s="4">
        <f t="shared" si="8"/>
        <v>0</v>
      </c>
      <c r="I230" s="3" t="s">
        <v>606</v>
      </c>
      <c r="J230" s="3" t="s">
        <v>712</v>
      </c>
      <c r="K230" s="4">
        <v>690759.96</v>
      </c>
      <c r="L230" s="4">
        <v>87987.63</v>
      </c>
      <c r="M230" s="4">
        <v>0</v>
      </c>
      <c r="N230" s="4">
        <v>778747.59</v>
      </c>
      <c r="O230" s="4">
        <f t="shared" si="9"/>
        <v>87987.63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A</v>
      </c>
      <c r="E231" s="2">
        <f>IF($I231="","",COUNTIFS(Tab_00.Trial[CONTA],$I231))</f>
        <v>1</v>
      </c>
      <c r="F231" s="4">
        <f>SUMIFS(Tab_10.Out[SALDO
ATUAL],Tab_10.Out[CONTA],$I231)</f>
        <v>79759.12</v>
      </c>
      <c r="G231" s="4">
        <f t="shared" si="8"/>
        <v>0</v>
      </c>
      <c r="I231" s="3" t="s">
        <v>459</v>
      </c>
      <c r="J231" s="3" t="s">
        <v>460</v>
      </c>
      <c r="K231" s="4">
        <v>79759.12</v>
      </c>
      <c r="L231" s="4">
        <v>17115.12</v>
      </c>
      <c r="M231" s="4">
        <v>0</v>
      </c>
      <c r="N231" s="4">
        <v>96874.240000000005</v>
      </c>
      <c r="O231" s="4">
        <f t="shared" si="9"/>
        <v>17115.12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SUMIFS(Tab_10.Out[SALDO
ATUAL],Tab_10.Out[CONTA],$I232)</f>
        <v>143972.1</v>
      </c>
      <c r="G232" s="4">
        <f t="shared" si="8"/>
        <v>0</v>
      </c>
      <c r="I232" s="3" t="s">
        <v>461</v>
      </c>
      <c r="J232" s="3" t="s">
        <v>462</v>
      </c>
      <c r="K232" s="4">
        <v>143972.1</v>
      </c>
      <c r="L232" s="4">
        <v>12200</v>
      </c>
      <c r="M232" s="4">
        <v>0</v>
      </c>
      <c r="N232" s="4">
        <v>156172.1</v>
      </c>
      <c r="O232" s="4">
        <f t="shared" si="9"/>
        <v>12200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SUMIFS(Tab_10.Out[SALDO
ATUAL],Tab_10.Out[CONTA],$I233)</f>
        <v>21500.01</v>
      </c>
      <c r="G233" s="4">
        <f t="shared" si="8"/>
        <v>0</v>
      </c>
      <c r="I233" s="3" t="s">
        <v>463</v>
      </c>
      <c r="J233" s="3" t="s">
        <v>464</v>
      </c>
      <c r="K233" s="4">
        <v>21500.01</v>
      </c>
      <c r="L233" s="4">
        <v>0</v>
      </c>
      <c r="M233" s="4">
        <v>0</v>
      </c>
      <c r="N233" s="4">
        <v>21500.01</v>
      </c>
      <c r="O233" s="4">
        <f t="shared" si="9"/>
        <v>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SUMIFS(Tab_10.Out[SALDO
ATUAL],Tab_10.Out[CONTA],$I234)</f>
        <v>288394.3</v>
      </c>
      <c r="G234" s="4">
        <f t="shared" si="8"/>
        <v>0</v>
      </c>
      <c r="I234" s="3" t="s">
        <v>465</v>
      </c>
      <c r="J234" s="3" t="s">
        <v>466</v>
      </c>
      <c r="K234" s="4">
        <v>288394.3</v>
      </c>
      <c r="L234" s="4">
        <v>44058.54</v>
      </c>
      <c r="M234" s="4">
        <v>0</v>
      </c>
      <c r="N234" s="4">
        <v>332452.84000000003</v>
      </c>
      <c r="O234" s="4">
        <f t="shared" si="9"/>
        <v>44058.54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SUMIFS(Tab_10.Out[SALDO
ATUAL],Tab_10.Out[CONTA],$I235)</f>
        <v>45000</v>
      </c>
      <c r="G235" s="4">
        <f t="shared" si="8"/>
        <v>0</v>
      </c>
      <c r="I235" s="3" t="s">
        <v>473</v>
      </c>
      <c r="J235" s="3" t="s">
        <v>474</v>
      </c>
      <c r="K235" s="4">
        <v>45000</v>
      </c>
      <c r="L235" s="4">
        <v>4500</v>
      </c>
      <c r="M235" s="4">
        <v>0</v>
      </c>
      <c r="N235" s="4">
        <v>49500</v>
      </c>
      <c r="O235" s="4">
        <f t="shared" si="9"/>
        <v>4500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SUMIFS(Tab_10.Out[SALDO
ATUAL],Tab_10.Out[CONTA],$I236)</f>
        <v>2235.6</v>
      </c>
      <c r="G236" s="4">
        <f t="shared" si="8"/>
        <v>0</v>
      </c>
      <c r="I236" s="3" t="s">
        <v>467</v>
      </c>
      <c r="J236" s="3" t="s">
        <v>468</v>
      </c>
      <c r="K236" s="4">
        <v>2235.6</v>
      </c>
      <c r="L236" s="4">
        <v>223.56</v>
      </c>
      <c r="M236" s="4">
        <v>0</v>
      </c>
      <c r="N236" s="4">
        <v>2459.16</v>
      </c>
      <c r="O236" s="4">
        <f t="shared" si="9"/>
        <v>223.56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SUMIFS(Tab_10.Out[SALDO
ATUAL],Tab_10.Out[CONTA],$I237)</f>
        <v>61048.74</v>
      </c>
      <c r="G237" s="4">
        <f t="shared" si="8"/>
        <v>0</v>
      </c>
      <c r="I237" s="3" t="s">
        <v>469</v>
      </c>
      <c r="J237" s="3" t="s">
        <v>470</v>
      </c>
      <c r="K237" s="4">
        <v>61048.74</v>
      </c>
      <c r="L237" s="4">
        <v>4950</v>
      </c>
      <c r="M237" s="4">
        <v>0</v>
      </c>
      <c r="N237" s="4">
        <v>65998.740000000005</v>
      </c>
      <c r="O237" s="4">
        <f t="shared" si="9"/>
        <v>4950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SUMIFS(Tab_10.Out[SALDO
ATUAL],Tab_10.Out[CONTA],$I238)</f>
        <v>48850.09</v>
      </c>
      <c r="G238" s="4">
        <f t="shared" si="8"/>
        <v>0</v>
      </c>
      <c r="I238" s="3" t="s">
        <v>471</v>
      </c>
      <c r="J238" s="3" t="s">
        <v>472</v>
      </c>
      <c r="K238" s="4">
        <v>48850.09</v>
      </c>
      <c r="L238" s="4">
        <v>4940.41</v>
      </c>
      <c r="M238" s="4">
        <v>0</v>
      </c>
      <c r="N238" s="4">
        <v>53790.5</v>
      </c>
      <c r="O238" s="4">
        <f t="shared" si="9"/>
        <v>4940.41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S</v>
      </c>
      <c r="E239" s="2">
        <f>IF($I239="","",COUNTIFS(Tab_00.Trial[CONTA],$I239))</f>
        <v>1</v>
      </c>
      <c r="F239" s="4">
        <f>SUMIFS(Tab_10.Out[SALDO
ATUAL],Tab_10.Out[CONTA],$I239)</f>
        <v>829660.81</v>
      </c>
      <c r="G239" s="4">
        <f t="shared" si="8"/>
        <v>0</v>
      </c>
      <c r="I239" s="3" t="s">
        <v>608</v>
      </c>
      <c r="J239" s="3" t="s">
        <v>713</v>
      </c>
      <c r="K239" s="4">
        <v>829660.81</v>
      </c>
      <c r="L239" s="4">
        <v>82966.080000000002</v>
      </c>
      <c r="M239" s="4">
        <v>0</v>
      </c>
      <c r="N239" s="4">
        <v>912626.89</v>
      </c>
      <c r="O239" s="4">
        <f t="shared" si="9"/>
        <v>82966.080000000002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A</v>
      </c>
      <c r="E240" s="2">
        <f>IF($I240="","",COUNTIFS(Tab_00.Trial[CONTA],$I240))</f>
        <v>1</v>
      </c>
      <c r="F240" s="4">
        <f>SUMIFS(Tab_10.Out[SALDO
ATUAL],Tab_10.Out[CONTA],$I240)</f>
        <v>179800.81</v>
      </c>
      <c r="G240" s="4">
        <f t="shared" si="8"/>
        <v>0</v>
      </c>
      <c r="I240" s="3" t="s">
        <v>741</v>
      </c>
      <c r="J240" s="3" t="s">
        <v>742</v>
      </c>
      <c r="K240" s="4">
        <v>179800.81</v>
      </c>
      <c r="L240" s="4">
        <v>17980.080000000002</v>
      </c>
      <c r="M240" s="4">
        <v>0</v>
      </c>
      <c r="N240" s="4">
        <v>197780.89</v>
      </c>
      <c r="O240" s="4">
        <f t="shared" si="9"/>
        <v>17980.080000000002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SUMIFS(Tab_10.Out[SALDO
ATUAL],Tab_10.Out[CONTA],$I241)</f>
        <v>75000</v>
      </c>
      <c r="G241" s="4">
        <f t="shared" si="8"/>
        <v>0</v>
      </c>
      <c r="I241" s="3" t="s">
        <v>839</v>
      </c>
      <c r="J241" s="3" t="s">
        <v>840</v>
      </c>
      <c r="K241" s="4">
        <v>75000</v>
      </c>
      <c r="L241" s="4">
        <v>7500</v>
      </c>
      <c r="M241" s="4">
        <v>0</v>
      </c>
      <c r="N241" s="4">
        <v>82500</v>
      </c>
      <c r="O241" s="4">
        <f t="shared" si="9"/>
        <v>7500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SUMIFS(Tab_10.Out[SALDO
ATUAL],Tab_10.Out[CONTA],$I242)</f>
        <v>574860</v>
      </c>
      <c r="G242" s="4">
        <f t="shared" si="8"/>
        <v>0</v>
      </c>
      <c r="I242" s="3" t="s">
        <v>480</v>
      </c>
      <c r="J242" s="3" t="s">
        <v>481</v>
      </c>
      <c r="K242" s="4">
        <v>574860</v>
      </c>
      <c r="L242" s="4">
        <v>57486</v>
      </c>
      <c r="M242" s="4">
        <v>0</v>
      </c>
      <c r="N242" s="4">
        <v>632346</v>
      </c>
      <c r="O242" s="4">
        <f t="shared" si="9"/>
        <v>57486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S</v>
      </c>
      <c r="E243" s="2">
        <f>IF($I243="","",COUNTIFS(Tab_00.Trial[CONTA],$I243))</f>
        <v>1</v>
      </c>
      <c r="F243" s="4">
        <f>SUMIFS(Tab_10.Out[SALDO
ATUAL],Tab_10.Out[CONTA],$I243)</f>
        <v>19097.22</v>
      </c>
      <c r="G243" s="4">
        <f t="shared" si="8"/>
        <v>0</v>
      </c>
      <c r="I243" s="3" t="s">
        <v>609</v>
      </c>
      <c r="J243" s="3" t="s">
        <v>714</v>
      </c>
      <c r="K243" s="4">
        <v>19097.22</v>
      </c>
      <c r="L243" s="4">
        <v>2926.36</v>
      </c>
      <c r="M243" s="4">
        <v>0</v>
      </c>
      <c r="N243" s="4">
        <v>22023.58</v>
      </c>
      <c r="O243" s="4">
        <f t="shared" si="9"/>
        <v>2926.36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S</v>
      </c>
      <c r="E244" s="2">
        <f>IF($I244="","",COUNTIFS(Tab_00.Trial[CONTA],$I244))</f>
        <v>1</v>
      </c>
      <c r="F244" s="4">
        <f>SUMIFS(Tab_10.Out[SALDO
ATUAL],Tab_10.Out[CONTA],$I244)</f>
        <v>18869.22</v>
      </c>
      <c r="G244" s="4">
        <f t="shared" si="8"/>
        <v>0</v>
      </c>
      <c r="I244" s="3" t="s">
        <v>610</v>
      </c>
      <c r="J244" s="3" t="s">
        <v>714</v>
      </c>
      <c r="K244" s="4">
        <v>18869.22</v>
      </c>
      <c r="L244" s="4">
        <v>2926.36</v>
      </c>
      <c r="M244" s="4">
        <v>0</v>
      </c>
      <c r="N244" s="4">
        <v>21795.58</v>
      </c>
      <c r="O244" s="4">
        <f t="shared" si="9"/>
        <v>2926.36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A</v>
      </c>
      <c r="E245" s="2">
        <f>IF($I245="","",COUNTIFS(Tab_00.Trial[CONTA],$I245))</f>
        <v>1</v>
      </c>
      <c r="F245" s="4">
        <f>SUMIFS(Tab_10.Out[SALDO
ATUAL],Tab_10.Out[CONTA],$I245)</f>
        <v>5892.61</v>
      </c>
      <c r="G245" s="4">
        <f t="shared" si="8"/>
        <v>0</v>
      </c>
      <c r="I245" s="3" t="s">
        <v>482</v>
      </c>
      <c r="J245" s="3" t="s">
        <v>483</v>
      </c>
      <c r="K245" s="4">
        <v>5892.61</v>
      </c>
      <c r="L245" s="4">
        <v>1743.62</v>
      </c>
      <c r="M245" s="4">
        <v>0</v>
      </c>
      <c r="N245" s="4">
        <v>7636.23</v>
      </c>
      <c r="O245" s="4">
        <f t="shared" si="9"/>
        <v>1743.62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SUMIFS(Tab_10.Out[SALDO
ATUAL],Tab_10.Out[CONTA],$I246)</f>
        <v>5000</v>
      </c>
      <c r="G246" s="4">
        <f t="shared" si="8"/>
        <v>0</v>
      </c>
      <c r="I246" s="3" t="s">
        <v>752</v>
      </c>
      <c r="J246" s="3" t="s">
        <v>753</v>
      </c>
      <c r="K246" s="4">
        <v>5000</v>
      </c>
      <c r="L246" s="4">
        <v>0</v>
      </c>
      <c r="M246" s="4">
        <v>0</v>
      </c>
      <c r="N246" s="4">
        <v>5000</v>
      </c>
      <c r="O246" s="4">
        <f t="shared" si="9"/>
        <v>0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SUMIFS(Tab_10.Out[SALDO
ATUAL],Tab_10.Out[CONTA],$I247)</f>
        <v>7976.61</v>
      </c>
      <c r="G247" s="4">
        <f t="shared" si="8"/>
        <v>0</v>
      </c>
      <c r="I247" s="3" t="s">
        <v>484</v>
      </c>
      <c r="J247" s="3" t="s">
        <v>485</v>
      </c>
      <c r="K247" s="4">
        <v>7976.61</v>
      </c>
      <c r="L247" s="4">
        <v>1182.74</v>
      </c>
      <c r="M247" s="4">
        <v>0</v>
      </c>
      <c r="N247" s="4">
        <v>9159.35</v>
      </c>
      <c r="O247" s="4">
        <f t="shared" si="9"/>
        <v>1182.74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S</v>
      </c>
      <c r="E248" s="2">
        <f>IF($I248="","",COUNTIFS(Tab_00.Trial[CONTA],$I248))</f>
        <v>1</v>
      </c>
      <c r="F248" s="4">
        <f>SUMIFS(Tab_10.Out[SALDO
ATUAL],Tab_10.Out[CONTA],$I248)</f>
        <v>228</v>
      </c>
      <c r="G248" s="4">
        <f t="shared" si="8"/>
        <v>0</v>
      </c>
      <c r="I248" s="3" t="s">
        <v>611</v>
      </c>
      <c r="J248" s="3" t="s">
        <v>715</v>
      </c>
      <c r="K248" s="4">
        <v>228</v>
      </c>
      <c r="L248" s="4">
        <v>0</v>
      </c>
      <c r="M248" s="4">
        <v>0</v>
      </c>
      <c r="N248" s="4">
        <v>228</v>
      </c>
      <c r="O248" s="4">
        <f t="shared" si="9"/>
        <v>0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A</v>
      </c>
      <c r="E249" s="2">
        <f>IF($I249="","",COUNTIFS(Tab_00.Trial[CONTA],$I249))</f>
        <v>1</v>
      </c>
      <c r="F249" s="4">
        <f>SUMIFS(Tab_10.Out[SALDO
ATUAL],Tab_10.Out[CONTA],$I249)</f>
        <v>228</v>
      </c>
      <c r="G249" s="4">
        <f t="shared" si="8"/>
        <v>0</v>
      </c>
      <c r="I249" s="3" t="s">
        <v>489</v>
      </c>
      <c r="J249" s="3" t="s">
        <v>490</v>
      </c>
      <c r="K249" s="4">
        <v>228</v>
      </c>
      <c r="L249" s="4">
        <v>0</v>
      </c>
      <c r="M249" s="4">
        <v>0</v>
      </c>
      <c r="N249" s="4">
        <v>228</v>
      </c>
      <c r="O249" s="4">
        <f t="shared" si="9"/>
        <v>0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S</v>
      </c>
      <c r="E250" s="2">
        <f>IF($I250="","",COUNTIFS(Tab_00.Trial[CONTA],$I250))</f>
        <v>1</v>
      </c>
      <c r="F250" s="4">
        <f>SUMIFS(Tab_10.Out[SALDO
ATUAL],Tab_10.Out[CONTA],$I250)</f>
        <v>102490.08</v>
      </c>
      <c r="G250" s="4">
        <f t="shared" si="8"/>
        <v>0</v>
      </c>
      <c r="I250" s="3" t="s">
        <v>612</v>
      </c>
      <c r="J250" s="3" t="s">
        <v>716</v>
      </c>
      <c r="K250" s="4">
        <v>102490.08</v>
      </c>
      <c r="L250" s="4">
        <v>12581.21</v>
      </c>
      <c r="M250" s="4">
        <v>4.88</v>
      </c>
      <c r="N250" s="4">
        <v>115066.41</v>
      </c>
      <c r="O250" s="4">
        <f t="shared" si="9"/>
        <v>12576.33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SUMIFS(Tab_10.Out[SALDO
ATUAL],Tab_10.Out[CONTA],$I251)</f>
        <v>53522.2</v>
      </c>
      <c r="G251" s="4">
        <f t="shared" si="8"/>
        <v>0</v>
      </c>
      <c r="I251" s="3" t="s">
        <v>613</v>
      </c>
      <c r="J251" s="3" t="s">
        <v>717</v>
      </c>
      <c r="K251" s="4">
        <v>53522.2</v>
      </c>
      <c r="L251" s="4">
        <v>8192.7000000000007</v>
      </c>
      <c r="M251" s="4">
        <v>0</v>
      </c>
      <c r="N251" s="4">
        <v>61714.9</v>
      </c>
      <c r="O251" s="4">
        <f t="shared" si="9"/>
        <v>8192.7000000000007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A</v>
      </c>
      <c r="E252" s="2">
        <f>IF($I252="","",COUNTIFS(Tab_00.Trial[CONTA],$I252))</f>
        <v>1</v>
      </c>
      <c r="F252" s="4">
        <f>SUMIFS(Tab_10.Out[SALDO
ATUAL],Tab_10.Out[CONTA],$I252)</f>
        <v>24346.33</v>
      </c>
      <c r="G252" s="4">
        <f t="shared" si="8"/>
        <v>0</v>
      </c>
      <c r="I252" s="3" t="s">
        <v>491</v>
      </c>
      <c r="J252" s="3" t="s">
        <v>492</v>
      </c>
      <c r="K252" s="4">
        <v>24346.33</v>
      </c>
      <c r="L252" s="4">
        <v>5054.1499999999996</v>
      </c>
      <c r="M252" s="4">
        <v>0</v>
      </c>
      <c r="N252" s="4">
        <v>29400.48</v>
      </c>
      <c r="O252" s="4">
        <f t="shared" si="9"/>
        <v>5054.1499999999996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SUMIFS(Tab_10.Out[SALDO
ATUAL],Tab_10.Out[CONTA],$I253)</f>
        <v>14859.44</v>
      </c>
      <c r="G253" s="4">
        <f t="shared" si="8"/>
        <v>0</v>
      </c>
      <c r="I253" s="3" t="s">
        <v>493</v>
      </c>
      <c r="J253" s="3" t="s">
        <v>494</v>
      </c>
      <c r="K253" s="4">
        <v>14859.44</v>
      </c>
      <c r="L253" s="4">
        <v>1678.69</v>
      </c>
      <c r="M253" s="4">
        <v>0</v>
      </c>
      <c r="N253" s="4">
        <v>16538.13</v>
      </c>
      <c r="O253" s="4">
        <f t="shared" si="9"/>
        <v>1678.69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SUMIFS(Tab_10.Out[SALDO
ATUAL],Tab_10.Out[CONTA],$I254)</f>
        <v>14316.43</v>
      </c>
      <c r="G254" s="4">
        <f t="shared" si="8"/>
        <v>0</v>
      </c>
      <c r="I254" s="3" t="s">
        <v>495</v>
      </c>
      <c r="J254" s="3" t="s">
        <v>496</v>
      </c>
      <c r="K254" s="4">
        <v>14316.43</v>
      </c>
      <c r="L254" s="4">
        <v>1459.86</v>
      </c>
      <c r="M254" s="4">
        <v>0</v>
      </c>
      <c r="N254" s="4">
        <v>15776.29</v>
      </c>
      <c r="O254" s="4">
        <f t="shared" si="9"/>
        <v>1459.86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S</v>
      </c>
      <c r="E255" s="2">
        <f>IF($I255="","",COUNTIFS(Tab_00.Trial[CONTA],$I255))</f>
        <v>1</v>
      </c>
      <c r="F255" s="4">
        <f>SUMIFS(Tab_10.Out[SALDO
ATUAL],Tab_10.Out[CONTA],$I255)</f>
        <v>48967.88</v>
      </c>
      <c r="G255" s="4">
        <f t="shared" si="8"/>
        <v>0</v>
      </c>
      <c r="I255" s="3" t="s">
        <v>614</v>
      </c>
      <c r="J255" s="3" t="s">
        <v>718</v>
      </c>
      <c r="K255" s="4">
        <v>48967.88</v>
      </c>
      <c r="L255" s="4">
        <v>4388.51</v>
      </c>
      <c r="M255" s="4">
        <v>4.88</v>
      </c>
      <c r="N255" s="4">
        <v>53351.51</v>
      </c>
      <c r="O255" s="4">
        <f t="shared" si="9"/>
        <v>4383.63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A</v>
      </c>
      <c r="E256" s="2">
        <f>IF($I256="","",COUNTIFS(Tab_00.Trial[CONTA],$I256))</f>
        <v>1</v>
      </c>
      <c r="F256" s="4">
        <f>SUMIFS(Tab_10.Out[SALDO
ATUAL],Tab_10.Out[CONTA],$I256)</f>
        <v>95</v>
      </c>
      <c r="G256" s="4">
        <f t="shared" si="8"/>
        <v>0</v>
      </c>
      <c r="I256" s="3" t="s">
        <v>497</v>
      </c>
      <c r="J256" s="3" t="s">
        <v>498</v>
      </c>
      <c r="K256" s="4">
        <v>95</v>
      </c>
      <c r="L256" s="4">
        <v>0</v>
      </c>
      <c r="M256" s="4">
        <v>0</v>
      </c>
      <c r="N256" s="4">
        <v>95</v>
      </c>
      <c r="O256" s="4">
        <f t="shared" si="9"/>
        <v>0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SUMIFS(Tab_10.Out[SALDO
ATUAL],Tab_10.Out[CONTA],$I257)</f>
        <v>21744.240000000002</v>
      </c>
      <c r="G257" s="4">
        <f t="shared" si="8"/>
        <v>0</v>
      </c>
      <c r="I257" s="3" t="s">
        <v>499</v>
      </c>
      <c r="J257" s="3" t="s">
        <v>500</v>
      </c>
      <c r="K257" s="4">
        <v>21744.240000000002</v>
      </c>
      <c r="L257" s="4">
        <v>1028</v>
      </c>
      <c r="M257" s="4">
        <v>0</v>
      </c>
      <c r="N257" s="4">
        <v>22772.240000000002</v>
      </c>
      <c r="O257" s="4">
        <f t="shared" si="9"/>
        <v>1028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SUMIFS(Tab_10.Out[SALDO
ATUAL],Tab_10.Out[CONTA],$I258)</f>
        <v>14562.02</v>
      </c>
      <c r="G258" s="4">
        <f t="shared" si="8"/>
        <v>0</v>
      </c>
      <c r="I258" s="3" t="s">
        <v>501</v>
      </c>
      <c r="J258" s="3" t="s">
        <v>502</v>
      </c>
      <c r="K258" s="4">
        <v>14562.02</v>
      </c>
      <c r="L258" s="4">
        <v>449.18</v>
      </c>
      <c r="M258" s="4">
        <v>0</v>
      </c>
      <c r="N258" s="4">
        <v>15011.2</v>
      </c>
      <c r="O258" s="4">
        <f t="shared" si="9"/>
        <v>449.18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SUMIFS(Tab_10.Out[SALDO
ATUAL],Tab_10.Out[CONTA],$I259)</f>
        <v>12546.46</v>
      </c>
      <c r="G259" s="4">
        <f t="shared" si="8"/>
        <v>0</v>
      </c>
      <c r="I259" s="3" t="s">
        <v>503</v>
      </c>
      <c r="J259" s="3" t="s">
        <v>504</v>
      </c>
      <c r="K259" s="4">
        <v>12546.46</v>
      </c>
      <c r="L259" s="4">
        <v>2771.79</v>
      </c>
      <c r="M259" s="4">
        <v>4.88</v>
      </c>
      <c r="N259" s="4">
        <v>15313.37</v>
      </c>
      <c r="O259" s="4">
        <f t="shared" si="9"/>
        <v>2766.91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SUMIFS(Tab_10.Out[SALDO
ATUAL],Tab_10.Out[CONTA],$I260)</f>
        <v>20.16</v>
      </c>
      <c r="G260" s="4">
        <f t="shared" si="8"/>
        <v>0</v>
      </c>
      <c r="I260" s="3" t="s">
        <v>505</v>
      </c>
      <c r="J260" s="3" t="s">
        <v>506</v>
      </c>
      <c r="K260" s="4">
        <v>20.16</v>
      </c>
      <c r="L260" s="4">
        <v>139.54</v>
      </c>
      <c r="M260" s="4">
        <v>0</v>
      </c>
      <c r="N260" s="4">
        <v>159.69999999999999</v>
      </c>
      <c r="O260" s="4">
        <f t="shared" si="9"/>
        <v>139.54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S</v>
      </c>
      <c r="E261" s="2">
        <f>IF($I261="","",COUNTIFS(Tab_00.Trial[CONTA],$I261))</f>
        <v>1</v>
      </c>
      <c r="F261" s="4">
        <f>SUMIFS(Tab_10.Out[SALDO
ATUAL],Tab_10.Out[CONTA],$I261)</f>
        <v>58929.15</v>
      </c>
      <c r="G261" s="4">
        <f t="shared" si="8"/>
        <v>0</v>
      </c>
      <c r="I261" s="3" t="s">
        <v>615</v>
      </c>
      <c r="J261" s="3" t="s">
        <v>719</v>
      </c>
      <c r="K261" s="4">
        <v>58929.15</v>
      </c>
      <c r="L261" s="4">
        <v>4451.76</v>
      </c>
      <c r="M261" s="4">
        <v>0</v>
      </c>
      <c r="N261" s="4">
        <v>63380.91</v>
      </c>
      <c r="O261" s="4">
        <f t="shared" si="9"/>
        <v>4451.76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S</v>
      </c>
      <c r="E262" s="2">
        <f>IF($I262="","",COUNTIFS(Tab_00.Trial[CONTA],$I262))</f>
        <v>1</v>
      </c>
      <c r="F262" s="4">
        <f>SUMIFS(Tab_10.Out[SALDO
ATUAL],Tab_10.Out[CONTA],$I262)</f>
        <v>2868.83</v>
      </c>
      <c r="G262" s="4">
        <f t="shared" si="8"/>
        <v>0</v>
      </c>
      <c r="I262" s="3" t="s">
        <v>617</v>
      </c>
      <c r="J262" s="3" t="s">
        <v>721</v>
      </c>
      <c r="K262" s="4">
        <v>2868.83</v>
      </c>
      <c r="L262" s="4">
        <v>291.76</v>
      </c>
      <c r="M262" s="4">
        <v>0</v>
      </c>
      <c r="N262" s="4">
        <v>3160.59</v>
      </c>
      <c r="O262" s="4">
        <f t="shared" si="9"/>
        <v>291.76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A</v>
      </c>
      <c r="E263" s="2">
        <f>IF($I263="","",COUNTIFS(Tab_00.Trial[CONTA],$I263))</f>
        <v>1</v>
      </c>
      <c r="F263" s="4">
        <f>SUMIFS(Tab_10.Out[SALDO
ATUAL],Tab_10.Out[CONTA],$I263)</f>
        <v>2868.83</v>
      </c>
      <c r="G263" s="4">
        <f t="shared" si="8"/>
        <v>0</v>
      </c>
      <c r="I263" s="3" t="s">
        <v>739</v>
      </c>
      <c r="J263" s="3" t="s">
        <v>740</v>
      </c>
      <c r="K263" s="4">
        <v>2868.83</v>
      </c>
      <c r="L263" s="4">
        <v>291.76</v>
      </c>
      <c r="M263" s="4">
        <v>0</v>
      </c>
      <c r="N263" s="4">
        <v>3160.59</v>
      </c>
      <c r="O263" s="4">
        <f t="shared" si="9"/>
        <v>291.76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S</v>
      </c>
      <c r="E264" s="2">
        <f>IF($I264="","",COUNTIFS(Tab_00.Trial[CONTA],$I264))</f>
        <v>1</v>
      </c>
      <c r="F264" s="4">
        <f>SUMIFS(Tab_10.Out[SALDO
ATUAL],Tab_10.Out[CONTA],$I264)</f>
        <v>26950.21</v>
      </c>
      <c r="G264" s="4">
        <f t="shared" si="8"/>
        <v>0</v>
      </c>
      <c r="I264" s="3" t="s">
        <v>618</v>
      </c>
      <c r="J264" s="3" t="s">
        <v>722</v>
      </c>
      <c r="K264" s="4">
        <v>26950.21</v>
      </c>
      <c r="L264" s="4">
        <v>2261.4699999999998</v>
      </c>
      <c r="M264" s="4">
        <v>0</v>
      </c>
      <c r="N264" s="4">
        <v>29211.68</v>
      </c>
      <c r="O264" s="4">
        <f t="shared" si="9"/>
        <v>2261.4699999999998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A</v>
      </c>
      <c r="E265" s="2">
        <f>IF($I265="","",COUNTIFS(Tab_00.Trial[CONTA],$I265))</f>
        <v>1</v>
      </c>
      <c r="F265" s="4">
        <f>SUMIFS(Tab_10.Out[SALDO
ATUAL],Tab_10.Out[CONTA],$I265)</f>
        <v>26950.21</v>
      </c>
      <c r="G265" s="4">
        <f t="shared" si="8"/>
        <v>0</v>
      </c>
      <c r="I265" s="3" t="s">
        <v>511</v>
      </c>
      <c r="J265" s="3" t="s">
        <v>512</v>
      </c>
      <c r="K265" s="4">
        <v>26950.21</v>
      </c>
      <c r="L265" s="4">
        <v>2261.4699999999998</v>
      </c>
      <c r="M265" s="4">
        <v>0</v>
      </c>
      <c r="N265" s="4">
        <v>29211.68</v>
      </c>
      <c r="O265" s="4">
        <f t="shared" si="9"/>
        <v>2261.4699999999998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S</v>
      </c>
      <c r="E266" s="2">
        <f>IF($I266="","",COUNTIFS(Tab_00.Trial[CONTA],$I266))</f>
        <v>1</v>
      </c>
      <c r="F266" s="4">
        <f>SUMIFS(Tab_10.Out[SALDO
ATUAL],Tab_10.Out[CONTA],$I266)</f>
        <v>29110.11</v>
      </c>
      <c r="G266" s="4">
        <f t="shared" si="8"/>
        <v>0</v>
      </c>
      <c r="I266" s="3" t="s">
        <v>619</v>
      </c>
      <c r="J266" s="3" t="s">
        <v>420</v>
      </c>
      <c r="K266" s="4">
        <v>29110.11</v>
      </c>
      <c r="L266" s="4">
        <v>1898.53</v>
      </c>
      <c r="M266" s="4">
        <v>0</v>
      </c>
      <c r="N266" s="4">
        <v>31008.639999999999</v>
      </c>
      <c r="O266" s="4">
        <f t="shared" si="9"/>
        <v>1898.53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A</v>
      </c>
      <c r="E267" s="2">
        <f>IF($I267="","",COUNTIFS(Tab_00.Trial[CONTA],$I267))</f>
        <v>1</v>
      </c>
      <c r="F267" s="4">
        <f>SUMIFS(Tab_10.Out[SALDO
ATUAL],Tab_10.Out[CONTA],$I267)</f>
        <v>29110.11</v>
      </c>
      <c r="G267" s="4">
        <f t="shared" si="8"/>
        <v>0</v>
      </c>
      <c r="I267" s="3" t="s">
        <v>515</v>
      </c>
      <c r="J267" s="3" t="s">
        <v>420</v>
      </c>
      <c r="K267" s="4">
        <v>29110.11</v>
      </c>
      <c r="L267" s="4">
        <v>1898.53</v>
      </c>
      <c r="M267" s="4">
        <v>0</v>
      </c>
      <c r="N267" s="4">
        <v>31008.639999999999</v>
      </c>
      <c r="O267" s="4">
        <f t="shared" si="9"/>
        <v>1898.53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S</v>
      </c>
      <c r="E268" s="2">
        <f>IF($I268="","",COUNTIFS(Tab_00.Trial[CONTA],$I268))</f>
        <v>1</v>
      </c>
      <c r="F268" s="4">
        <f>SUMIFS(Tab_10.Out[SALDO
ATUAL],Tab_10.Out[CONTA],$I268)</f>
        <v>26456.14</v>
      </c>
      <c r="G268" s="4">
        <f t="shared" si="8"/>
        <v>0</v>
      </c>
      <c r="I268" s="3" t="s">
        <v>621</v>
      </c>
      <c r="J268" s="3" t="s">
        <v>723</v>
      </c>
      <c r="K268" s="4">
        <v>26456.14</v>
      </c>
      <c r="L268" s="4">
        <v>1164.04</v>
      </c>
      <c r="M268" s="4">
        <v>0</v>
      </c>
      <c r="N268" s="4">
        <v>27620.18</v>
      </c>
      <c r="O268" s="4">
        <f t="shared" si="9"/>
        <v>1164.04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SUMIFS(Tab_10.Out[SALDO
ATUAL],Tab_10.Out[CONTA],$I269)</f>
        <v>26456.14</v>
      </c>
      <c r="G269" s="4">
        <f t="shared" si="8"/>
        <v>0</v>
      </c>
      <c r="I269" s="3" t="s">
        <v>622</v>
      </c>
      <c r="J269" s="3" t="s">
        <v>723</v>
      </c>
      <c r="K269" s="4">
        <v>26456.14</v>
      </c>
      <c r="L269" s="4">
        <v>1164.04</v>
      </c>
      <c r="M269" s="4">
        <v>0</v>
      </c>
      <c r="N269" s="4">
        <v>27620.18</v>
      </c>
      <c r="O269" s="4">
        <f t="shared" si="9"/>
        <v>1164.04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A</v>
      </c>
      <c r="E270" s="2">
        <f>IF($I270="","",COUNTIFS(Tab_00.Trial[CONTA],$I270))</f>
        <v>1</v>
      </c>
      <c r="F270" s="4">
        <f>SUMIFS(Tab_10.Out[SALDO
ATUAL],Tab_10.Out[CONTA],$I270)</f>
        <v>26456.14</v>
      </c>
      <c r="G270" s="4">
        <f t="shared" si="8"/>
        <v>0</v>
      </c>
      <c r="I270" s="3" t="s">
        <v>518</v>
      </c>
      <c r="J270" s="3" t="s">
        <v>519</v>
      </c>
      <c r="K270" s="4">
        <v>26456.14</v>
      </c>
      <c r="L270" s="4">
        <v>1164.04</v>
      </c>
      <c r="M270" s="4">
        <v>0</v>
      </c>
      <c r="N270" s="4">
        <v>27620.18</v>
      </c>
      <c r="O270" s="4">
        <f t="shared" si="9"/>
        <v>1164.04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S</v>
      </c>
      <c r="E271" s="2">
        <f>IF($I271="","",COUNTIFS(Tab_00.Trial[CONTA],$I271))</f>
        <v>1</v>
      </c>
      <c r="F271" s="4">
        <f>SUMIFS(Tab_10.Out[SALDO
ATUAL],Tab_10.Out[CONTA],$I271)</f>
        <v>39948.74</v>
      </c>
      <c r="G271" s="4">
        <f t="shared" ref="G271:G298" si="10">$F271-$K271</f>
        <v>0</v>
      </c>
      <c r="I271" s="3" t="s">
        <v>623</v>
      </c>
      <c r="J271" s="3" t="s">
        <v>724</v>
      </c>
      <c r="K271" s="4">
        <v>39948.74</v>
      </c>
      <c r="L271" s="4">
        <v>3666.75</v>
      </c>
      <c r="M271" s="4">
        <v>0</v>
      </c>
      <c r="N271" s="4">
        <v>43615.49</v>
      </c>
      <c r="O271" s="4">
        <f t="shared" ref="O271:O298" si="11">$L271-$M271</f>
        <v>3666.75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S</v>
      </c>
      <c r="E272" s="2">
        <f>IF($I272="","",COUNTIFS(Tab_00.Trial[CONTA],$I272))</f>
        <v>1</v>
      </c>
      <c r="F272" s="4">
        <f>SUMIFS(Tab_10.Out[SALDO
ATUAL],Tab_10.Out[CONTA],$I272)</f>
        <v>39948.74</v>
      </c>
      <c r="G272" s="4">
        <f t="shared" si="10"/>
        <v>0</v>
      </c>
      <c r="I272" s="3" t="s">
        <v>624</v>
      </c>
      <c r="J272" s="3" t="s">
        <v>724</v>
      </c>
      <c r="K272" s="4">
        <v>39948.74</v>
      </c>
      <c r="L272" s="4">
        <v>3666.75</v>
      </c>
      <c r="M272" s="4">
        <v>0</v>
      </c>
      <c r="N272" s="4">
        <v>43615.49</v>
      </c>
      <c r="O272" s="4">
        <f t="shared" si="11"/>
        <v>3666.75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A</v>
      </c>
      <c r="E273" s="2">
        <f>IF($I273="","",COUNTIFS(Tab_00.Trial[CONTA],$I273))</f>
        <v>1</v>
      </c>
      <c r="F273" s="4">
        <f>SUMIFS(Tab_10.Out[SALDO
ATUAL],Tab_10.Out[CONTA],$I273)</f>
        <v>39948.74</v>
      </c>
      <c r="G273" s="4">
        <f t="shared" si="10"/>
        <v>0</v>
      </c>
      <c r="I273" s="3" t="s">
        <v>520</v>
      </c>
      <c r="J273" s="3" t="s">
        <v>521</v>
      </c>
      <c r="K273" s="4">
        <v>39948.74</v>
      </c>
      <c r="L273" s="4">
        <v>3666.75</v>
      </c>
      <c r="M273" s="4">
        <v>0</v>
      </c>
      <c r="N273" s="4">
        <v>43615.49</v>
      </c>
      <c r="O273" s="4">
        <f t="shared" si="11"/>
        <v>3666.75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S</v>
      </c>
      <c r="E274" s="2">
        <f>IF($I274="","",COUNTIFS(Tab_00.Trial[CONTA],$I274))</f>
        <v>1</v>
      </c>
      <c r="F274" s="4">
        <f>SUMIFS(Tab_10.Out[SALDO
ATUAL],Tab_10.Out[CONTA],$I274)</f>
        <v>49651.39</v>
      </c>
      <c r="G274" s="4">
        <f t="shared" si="10"/>
        <v>0</v>
      </c>
      <c r="I274" s="3" t="s">
        <v>625</v>
      </c>
      <c r="J274" s="3" t="s">
        <v>542</v>
      </c>
      <c r="K274" s="4">
        <v>49651.39</v>
      </c>
      <c r="L274" s="4">
        <v>5206.87</v>
      </c>
      <c r="M274" s="4">
        <v>0</v>
      </c>
      <c r="N274" s="4">
        <v>54858.26</v>
      </c>
      <c r="O274" s="4">
        <f t="shared" si="11"/>
        <v>5206.87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S</v>
      </c>
      <c r="E275" s="2">
        <f>IF($I275="","",COUNTIFS(Tab_00.Trial[CONTA],$I275))</f>
        <v>1</v>
      </c>
      <c r="F275" s="4">
        <f>SUMIFS(Tab_10.Out[SALDO
ATUAL],Tab_10.Out[CONTA],$I275)</f>
        <v>16197.91</v>
      </c>
      <c r="G275" s="4">
        <f t="shared" si="10"/>
        <v>0</v>
      </c>
      <c r="I275" s="3" t="s">
        <v>626</v>
      </c>
      <c r="J275" s="3" t="s">
        <v>725</v>
      </c>
      <c r="K275" s="4">
        <v>16197.91</v>
      </c>
      <c r="L275" s="4">
        <v>1343.24</v>
      </c>
      <c r="M275" s="4">
        <v>0</v>
      </c>
      <c r="N275" s="4">
        <v>17541.150000000001</v>
      </c>
      <c r="O275" s="4">
        <f t="shared" si="11"/>
        <v>1343.24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A</v>
      </c>
      <c r="E276" s="2">
        <f>IF($I276="","",COUNTIFS(Tab_00.Trial[CONTA],$I276))</f>
        <v>1</v>
      </c>
      <c r="F276" s="4">
        <f>SUMIFS(Tab_10.Out[SALDO
ATUAL],Tab_10.Out[CONTA],$I276)</f>
        <v>15527.74</v>
      </c>
      <c r="G276" s="4">
        <f t="shared" si="10"/>
        <v>0</v>
      </c>
      <c r="I276" s="3" t="s">
        <v>522</v>
      </c>
      <c r="J276" s="3" t="s">
        <v>523</v>
      </c>
      <c r="K276" s="4">
        <v>15527.74</v>
      </c>
      <c r="L276" s="4">
        <v>1326.6</v>
      </c>
      <c r="M276" s="4">
        <v>0</v>
      </c>
      <c r="N276" s="4">
        <v>16854.34</v>
      </c>
      <c r="O276" s="4">
        <f t="shared" si="11"/>
        <v>1326.6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A</v>
      </c>
      <c r="E277" s="2">
        <f>IF($I277="","",COUNTIFS(Tab_00.Trial[CONTA],$I277))</f>
        <v>1</v>
      </c>
      <c r="F277" s="4">
        <f>SUMIFS(Tab_10.Out[SALDO
ATUAL],Tab_10.Out[CONTA],$I277)</f>
        <v>670.17</v>
      </c>
      <c r="G277" s="4">
        <f t="shared" si="10"/>
        <v>0</v>
      </c>
      <c r="I277" s="3" t="s">
        <v>524</v>
      </c>
      <c r="J277" s="3" t="s">
        <v>525</v>
      </c>
      <c r="K277" s="4">
        <v>670.17</v>
      </c>
      <c r="L277" s="4">
        <v>16.64</v>
      </c>
      <c r="M277" s="4">
        <v>0</v>
      </c>
      <c r="N277" s="4">
        <v>686.81</v>
      </c>
      <c r="O277" s="4">
        <f t="shared" si="11"/>
        <v>16.64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S</v>
      </c>
      <c r="E278" s="2">
        <f>IF($I278="","",COUNTIFS(Tab_00.Trial[CONTA],$I278))</f>
        <v>1</v>
      </c>
      <c r="F278" s="4">
        <f>SUMIFS(Tab_10.Out[SALDO
ATUAL],Tab_10.Out[CONTA],$I278)</f>
        <v>33453.480000000003</v>
      </c>
      <c r="G278" s="4">
        <f t="shared" si="10"/>
        <v>0</v>
      </c>
      <c r="I278" s="3" t="s">
        <v>627</v>
      </c>
      <c r="J278" s="3" t="s">
        <v>542</v>
      </c>
      <c r="K278" s="4">
        <v>33453.480000000003</v>
      </c>
      <c r="L278" s="4">
        <v>3863.63</v>
      </c>
      <c r="M278" s="4">
        <v>0</v>
      </c>
      <c r="N278" s="4">
        <v>37317.11</v>
      </c>
      <c r="O278" s="4">
        <f t="shared" si="11"/>
        <v>3863.63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A</v>
      </c>
      <c r="E279" s="2">
        <f>IF($I279="","",COUNTIFS(Tab_00.Trial[CONTA],$I279))</f>
        <v>1</v>
      </c>
      <c r="F279" s="4">
        <f>SUMIFS(Tab_10.Out[SALDO
ATUAL],Tab_10.Out[CONTA],$I279)</f>
        <v>2464.7399999999998</v>
      </c>
      <c r="G279" s="4">
        <f t="shared" si="10"/>
        <v>0</v>
      </c>
      <c r="I279" s="3" t="s">
        <v>528</v>
      </c>
      <c r="J279" s="3" t="s">
        <v>416</v>
      </c>
      <c r="K279" s="4">
        <v>2464.7399999999998</v>
      </c>
      <c r="L279" s="4">
        <v>0</v>
      </c>
      <c r="M279" s="4">
        <v>0</v>
      </c>
      <c r="N279" s="4">
        <v>2464.7399999999998</v>
      </c>
      <c r="O279" s="4">
        <f t="shared" si="11"/>
        <v>0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SUMIFS(Tab_10.Out[SALDO
ATUAL],Tab_10.Out[CONTA],$I280)</f>
        <v>849.32</v>
      </c>
      <c r="G280" s="4">
        <f t="shared" si="10"/>
        <v>0</v>
      </c>
      <c r="I280" s="3" t="s">
        <v>529</v>
      </c>
      <c r="J280" s="3" t="s">
        <v>530</v>
      </c>
      <c r="K280" s="4">
        <v>849.32</v>
      </c>
      <c r="L280" s="4">
        <v>0</v>
      </c>
      <c r="M280" s="4">
        <v>0</v>
      </c>
      <c r="N280" s="4">
        <v>849.32</v>
      </c>
      <c r="O280" s="4">
        <f t="shared" si="11"/>
        <v>0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SUMIFS(Tab_10.Out[SALDO
ATUAL],Tab_10.Out[CONTA],$I281)</f>
        <v>1607.42</v>
      </c>
      <c r="G281" s="4">
        <f t="shared" si="10"/>
        <v>0</v>
      </c>
      <c r="I281" s="3" t="s">
        <v>531</v>
      </c>
      <c r="J281" s="3" t="s">
        <v>532</v>
      </c>
      <c r="K281" s="4">
        <v>1607.42</v>
      </c>
      <c r="L281" s="4">
        <v>56.68</v>
      </c>
      <c r="M281" s="4">
        <v>0</v>
      </c>
      <c r="N281" s="4">
        <v>1664.1</v>
      </c>
      <c r="O281" s="4">
        <f t="shared" si="11"/>
        <v>56.68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SUMIFS(Tab_10.Out[SALDO
ATUAL],Tab_10.Out[CONTA],$I282)</f>
        <v>4988.91</v>
      </c>
      <c r="G282" s="4">
        <f t="shared" si="10"/>
        <v>0</v>
      </c>
      <c r="I282" s="3" t="s">
        <v>533</v>
      </c>
      <c r="J282" s="3" t="s">
        <v>534</v>
      </c>
      <c r="K282" s="4">
        <v>4988.91</v>
      </c>
      <c r="L282" s="4">
        <v>2071.2800000000002</v>
      </c>
      <c r="M282" s="4">
        <v>0</v>
      </c>
      <c r="N282" s="4">
        <v>7060.19</v>
      </c>
      <c r="O282" s="4">
        <f t="shared" si="11"/>
        <v>2071.2800000000002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A</v>
      </c>
      <c r="E283" s="2">
        <f>IF($I283="","",COUNTIFS(Tab_00.Trial[CONTA],$I283))</f>
        <v>1</v>
      </c>
      <c r="F283" s="4">
        <f>SUMIFS(Tab_10.Out[SALDO
ATUAL],Tab_10.Out[CONTA],$I283)</f>
        <v>4749.8900000000003</v>
      </c>
      <c r="G283" s="4">
        <f t="shared" si="10"/>
        <v>0</v>
      </c>
      <c r="I283" s="3" t="s">
        <v>537</v>
      </c>
      <c r="J283" s="3" t="s">
        <v>538</v>
      </c>
      <c r="K283" s="4">
        <v>4749.8900000000003</v>
      </c>
      <c r="L283" s="4">
        <v>0</v>
      </c>
      <c r="M283" s="4">
        <v>0</v>
      </c>
      <c r="N283" s="4">
        <v>4749.8900000000003</v>
      </c>
      <c r="O283" s="4">
        <f t="shared" si="11"/>
        <v>0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SUMIFS(Tab_10.Out[SALDO
ATUAL],Tab_10.Out[CONTA],$I284)</f>
        <v>14901.6</v>
      </c>
      <c r="G284" s="4">
        <f t="shared" si="10"/>
        <v>0</v>
      </c>
      <c r="I284" s="3" t="s">
        <v>539</v>
      </c>
      <c r="J284" s="3" t="s">
        <v>540</v>
      </c>
      <c r="K284" s="4">
        <v>14901.6</v>
      </c>
      <c r="L284" s="4">
        <v>1401.17</v>
      </c>
      <c r="M284" s="4">
        <v>0</v>
      </c>
      <c r="N284" s="4">
        <v>16302.77</v>
      </c>
      <c r="O284" s="4">
        <f t="shared" si="11"/>
        <v>1401.17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A</v>
      </c>
      <c r="E285" s="2">
        <f>IF($I285="","",COUNTIFS(Tab_00.Trial[CONTA],$I285))</f>
        <v>1</v>
      </c>
      <c r="F285" s="4">
        <f>SUMIFS(Tab_10.Out[SALDO
ATUAL],Tab_10.Out[CONTA],$I285)</f>
        <v>3891.6</v>
      </c>
      <c r="G285" s="4">
        <f t="shared" si="10"/>
        <v>0</v>
      </c>
      <c r="I285" s="3" t="s">
        <v>541</v>
      </c>
      <c r="J285" s="3" t="s">
        <v>542</v>
      </c>
      <c r="K285" s="4">
        <v>3891.6</v>
      </c>
      <c r="L285" s="4">
        <v>334.5</v>
      </c>
      <c r="M285" s="4">
        <v>0</v>
      </c>
      <c r="N285" s="4">
        <v>4226.1000000000004</v>
      </c>
      <c r="O285" s="4">
        <f t="shared" si="11"/>
        <v>334.5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2</v>
      </c>
      <c r="D286" s="2" t="str">
        <f>_xlfn.XLOOKUP($I286,Tab_00.Trial[CONTA],Tab_00.Trial[S/A],"",0,1)</f>
        <v>S</v>
      </c>
      <c r="E286" s="2">
        <f>IF($I286="","",COUNTIFS(Tab_00.Trial[CONTA],$I286))</f>
        <v>1</v>
      </c>
      <c r="F286" s="4">
        <f>SUMIFS(Tab_10.Out[SALDO
ATUAL],Tab_10.Out[CONTA],$I286)</f>
        <v>405</v>
      </c>
      <c r="G286" s="4">
        <f t="shared" si="10"/>
        <v>0</v>
      </c>
      <c r="I286" s="3" t="s">
        <v>630</v>
      </c>
      <c r="J286" s="3" t="s">
        <v>728</v>
      </c>
      <c r="K286" s="4">
        <v>405</v>
      </c>
      <c r="L286" s="4">
        <v>0</v>
      </c>
      <c r="M286" s="4">
        <v>0</v>
      </c>
      <c r="N286" s="4">
        <v>405</v>
      </c>
      <c r="O286" s="4">
        <f t="shared" si="11"/>
        <v>0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5</v>
      </c>
      <c r="D287" s="2" t="str">
        <f>_xlfn.XLOOKUP($I287,Tab_00.Trial[CONTA],Tab_00.Trial[S/A],"",0,1)</f>
        <v>S</v>
      </c>
      <c r="E287" s="2">
        <f>IF($I287="","",COUNTIFS(Tab_00.Trial[CONTA],$I287))</f>
        <v>1</v>
      </c>
      <c r="F287" s="4">
        <f>SUMIFS(Tab_10.Out[SALDO
ATUAL],Tab_10.Out[CONTA],$I287)</f>
        <v>405</v>
      </c>
      <c r="G287" s="4">
        <f t="shared" si="10"/>
        <v>0</v>
      </c>
      <c r="I287" s="3" t="s">
        <v>631</v>
      </c>
      <c r="J287" s="3" t="s">
        <v>728</v>
      </c>
      <c r="K287" s="4">
        <v>405</v>
      </c>
      <c r="L287" s="4">
        <v>0</v>
      </c>
      <c r="M287" s="4">
        <v>0</v>
      </c>
      <c r="N287" s="4">
        <v>405</v>
      </c>
      <c r="O287" s="4">
        <f t="shared" si="11"/>
        <v>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S</v>
      </c>
      <c r="E288" s="2">
        <f>IF($I288="","",COUNTIFS(Tab_00.Trial[CONTA],$I288))</f>
        <v>1</v>
      </c>
      <c r="F288" s="4">
        <f>SUMIFS(Tab_10.Out[SALDO
ATUAL],Tab_10.Out[CONTA],$I288)</f>
        <v>405</v>
      </c>
      <c r="G288" s="4">
        <f t="shared" si="10"/>
        <v>0</v>
      </c>
      <c r="I288" s="3" t="s">
        <v>633</v>
      </c>
      <c r="J288" s="3" t="s">
        <v>548</v>
      </c>
      <c r="K288" s="4">
        <v>405</v>
      </c>
      <c r="L288" s="4">
        <v>0</v>
      </c>
      <c r="M288" s="4">
        <v>0</v>
      </c>
      <c r="N288" s="4">
        <v>405</v>
      </c>
      <c r="O288" s="4">
        <f t="shared" si="11"/>
        <v>0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5</v>
      </c>
      <c r="D289" s="2" t="str">
        <f>_xlfn.XLOOKUP($I289,Tab_00.Trial[CONTA],Tab_00.Trial[S/A],"",0,1)</f>
        <v>A</v>
      </c>
      <c r="E289" s="2">
        <f>IF($I289="","",COUNTIFS(Tab_00.Trial[CONTA],$I289))</f>
        <v>1</v>
      </c>
      <c r="F289" s="4">
        <f>SUMIFS(Tab_10.Out[SALDO
ATUAL],Tab_10.Out[CONTA],$I289)</f>
        <v>405</v>
      </c>
      <c r="G289" s="4">
        <f t="shared" si="10"/>
        <v>0</v>
      </c>
      <c r="I289" s="3" t="s">
        <v>547</v>
      </c>
      <c r="J289" s="3" t="s">
        <v>548</v>
      </c>
      <c r="K289" s="4">
        <v>405</v>
      </c>
      <c r="L289" s="4">
        <v>0</v>
      </c>
      <c r="M289" s="4">
        <v>0</v>
      </c>
      <c r="N289" s="4">
        <v>405</v>
      </c>
      <c r="O289" s="4">
        <f t="shared" si="11"/>
        <v>0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2</v>
      </c>
      <c r="D290" s="2" t="str">
        <f>_xlfn.XLOOKUP($I290,Tab_00.Trial[CONTA],Tab_00.Trial[S/A],"",0,1)</f>
        <v>S</v>
      </c>
      <c r="E290" s="2">
        <f>IF($I290="","",COUNTIFS(Tab_00.Trial[CONTA],$I290))</f>
        <v>1</v>
      </c>
      <c r="F290" s="4">
        <f>SUMIFS(Tab_10.Out[SALDO
ATUAL],Tab_10.Out[CONTA],$I290)</f>
        <v>-189</v>
      </c>
      <c r="G290" s="4">
        <f t="shared" si="10"/>
        <v>0</v>
      </c>
      <c r="I290" s="3" t="s">
        <v>634</v>
      </c>
      <c r="J290" s="3" t="s">
        <v>730</v>
      </c>
      <c r="K290" s="4">
        <v>-189</v>
      </c>
      <c r="L290" s="4">
        <v>0</v>
      </c>
      <c r="M290" s="4">
        <v>0</v>
      </c>
      <c r="N290" s="4">
        <v>-189</v>
      </c>
      <c r="O290" s="4">
        <f t="shared" si="11"/>
        <v>0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5</v>
      </c>
      <c r="D291" s="2" t="str">
        <f>_xlfn.XLOOKUP($I291,Tab_00.Trial[CONTA],Tab_00.Trial[S/A],"",0,1)</f>
        <v>S</v>
      </c>
      <c r="E291" s="2">
        <f>IF($I291="","",COUNTIFS(Tab_00.Trial[CONTA],$I291))</f>
        <v>1</v>
      </c>
      <c r="F291" s="4">
        <f>SUMIFS(Tab_10.Out[SALDO
ATUAL],Tab_10.Out[CONTA],$I291)</f>
        <v>-189</v>
      </c>
      <c r="G291" s="4">
        <f t="shared" si="10"/>
        <v>0</v>
      </c>
      <c r="I291" s="3" t="s">
        <v>831</v>
      </c>
      <c r="J291" s="3" t="s">
        <v>832</v>
      </c>
      <c r="K291" s="4">
        <v>-189</v>
      </c>
      <c r="L291" s="4">
        <v>0</v>
      </c>
      <c r="M291" s="4">
        <v>0</v>
      </c>
      <c r="N291" s="4">
        <v>-189</v>
      </c>
      <c r="O291" s="4">
        <f t="shared" si="11"/>
        <v>0</v>
      </c>
    </row>
    <row r="292" spans="2:15" x14ac:dyDescent="0.3">
      <c r="B292" s="2" t="str">
        <f>_xlfn.XLOOKUP($I292,Tab_00.Trial[CONTA],Tab_00.Trial[TP],"",0,1)</f>
        <v>C</v>
      </c>
      <c r="C292" s="2">
        <f>_xlfn.XLOOKUP($I292,Tab_00.Trial[CONTA],Tab_00.Trial[NV],"",0,1)</f>
        <v>5</v>
      </c>
      <c r="D292" s="2" t="str">
        <f>_xlfn.XLOOKUP($I292,Tab_00.Trial[CONTA],Tab_00.Trial[S/A],"",0,1)</f>
        <v>S</v>
      </c>
      <c r="E292" s="2">
        <f>IF($I292="","",COUNTIFS(Tab_00.Trial[CONTA],$I292))</f>
        <v>1</v>
      </c>
      <c r="F292" s="4">
        <f>SUMIFS(Tab_10.Out[SALDO
ATUAL],Tab_10.Out[CONTA],$I292)</f>
        <v>-189</v>
      </c>
      <c r="G292" s="4">
        <f t="shared" si="10"/>
        <v>0</v>
      </c>
      <c r="I292" s="3" t="s">
        <v>833</v>
      </c>
      <c r="J292" s="3" t="s">
        <v>832</v>
      </c>
      <c r="K292" s="4">
        <v>-189</v>
      </c>
      <c r="L292" s="4">
        <v>0</v>
      </c>
      <c r="M292" s="4">
        <v>0</v>
      </c>
      <c r="N292" s="4">
        <v>-189</v>
      </c>
      <c r="O292" s="4">
        <f t="shared" si="11"/>
        <v>0</v>
      </c>
    </row>
    <row r="293" spans="2:15" x14ac:dyDescent="0.3">
      <c r="B293" s="2" t="str">
        <f>_xlfn.XLOOKUP($I293,Tab_00.Trial[CONTA],Tab_00.Trial[TP],"",0,1)</f>
        <v>C</v>
      </c>
      <c r="C293" s="2">
        <f>_xlfn.XLOOKUP($I293,Tab_00.Trial[CONTA],Tab_00.Trial[NV],"",0,1)</f>
        <v>5</v>
      </c>
      <c r="D293" s="2" t="str">
        <f>_xlfn.XLOOKUP($I293,Tab_00.Trial[CONTA],Tab_00.Trial[S/A],"",0,1)</f>
        <v>A</v>
      </c>
      <c r="E293" s="2">
        <f>IF($I293="","",COUNTIFS(Tab_00.Trial[CONTA],$I293))</f>
        <v>1</v>
      </c>
      <c r="F293" s="4">
        <f>SUMIFS(Tab_10.Out[SALDO
ATUAL],Tab_10.Out[CONTA],$I293)</f>
        <v>-189</v>
      </c>
      <c r="G293" s="4">
        <f t="shared" si="10"/>
        <v>0</v>
      </c>
      <c r="I293" s="3" t="s">
        <v>834</v>
      </c>
      <c r="J293" s="3" t="s">
        <v>835</v>
      </c>
      <c r="K293" s="4">
        <v>-189</v>
      </c>
      <c r="L293" s="4">
        <v>0</v>
      </c>
      <c r="M293" s="4">
        <v>0</v>
      </c>
      <c r="N293" s="4">
        <v>-189</v>
      </c>
      <c r="O293" s="4">
        <f t="shared" si="11"/>
        <v>0</v>
      </c>
    </row>
    <row r="294" spans="2:15" x14ac:dyDescent="0.3">
      <c r="B294" s="2" t="str">
        <f>_xlfn.XLOOKUP($I294,Tab_00.Trial[CONTA],Tab_00.Trial[TP],"",0,1)</f>
        <v/>
      </c>
      <c r="C294" s="2" t="str">
        <f>_xlfn.XLOOKUP($I294,Tab_00.Trial[CONTA],Tab_00.Trial[NV],"",0,1)</f>
        <v/>
      </c>
      <c r="D294" s="2" t="str">
        <f>_xlfn.XLOOKUP($I294,Tab_00.Trial[CONTA],Tab_00.Trial[S/A],"",0,1)</f>
        <v/>
      </c>
      <c r="E294" s="2" t="str">
        <f>IF($I294="","",COUNTIFS(Tab_00.Trial[CONTA],$I294))</f>
        <v/>
      </c>
      <c r="F294" s="4">
        <f>SUMIFS(Tab_10.Out[SALDO
ATUAL],Tab_10.Out[CONTA],$I294)</f>
        <v>0</v>
      </c>
      <c r="G294" s="4">
        <f t="shared" si="10"/>
        <v>0</v>
      </c>
      <c r="I294" s="3"/>
      <c r="J294" s="3"/>
      <c r="K294" s="4"/>
      <c r="L294" s="4"/>
      <c r="M294" s="4"/>
      <c r="O294" s="4">
        <f t="shared" si="11"/>
        <v>0</v>
      </c>
    </row>
    <row r="295" spans="2:15" x14ac:dyDescent="0.3">
      <c r="B295" s="2" t="str">
        <f>_xlfn.XLOOKUP($I295,Tab_00.Trial[CONTA],Tab_00.Trial[TP],"",0,1)</f>
        <v/>
      </c>
      <c r="C295" s="2" t="str">
        <f>_xlfn.XLOOKUP($I295,Tab_00.Trial[CONTA],Tab_00.Trial[NV],"",0,1)</f>
        <v/>
      </c>
      <c r="D295" s="2" t="str">
        <f>_xlfn.XLOOKUP($I295,Tab_00.Trial[CONTA],Tab_00.Trial[S/A],"",0,1)</f>
        <v/>
      </c>
      <c r="E295" s="2" t="str">
        <f>IF($I295="","",COUNTIFS(Tab_00.Trial[CONTA],$I295))</f>
        <v/>
      </c>
      <c r="F295" s="4">
        <f>SUMIFS(Tab_10.Out[SALDO
ATUAL],Tab_10.Out[CONTA],$I295)</f>
        <v>0</v>
      </c>
      <c r="G295" s="4">
        <f t="shared" si="10"/>
        <v>0</v>
      </c>
      <c r="I295" s="3"/>
      <c r="J295" s="3"/>
      <c r="K295" s="4"/>
      <c r="L295" s="4"/>
      <c r="M295" s="4"/>
      <c r="O295" s="4">
        <f t="shared" si="11"/>
        <v>0</v>
      </c>
    </row>
    <row r="296" spans="2:15" x14ac:dyDescent="0.3">
      <c r="B296" s="2" t="str">
        <f>_xlfn.XLOOKUP($I296,Tab_00.Trial[CONTA],Tab_00.Trial[TP],"",0,1)</f>
        <v/>
      </c>
      <c r="C296" s="2" t="str">
        <f>_xlfn.XLOOKUP($I296,Tab_00.Trial[CONTA],Tab_00.Trial[NV],"",0,1)</f>
        <v/>
      </c>
      <c r="D296" s="2" t="str">
        <f>_xlfn.XLOOKUP($I296,Tab_00.Trial[CONTA],Tab_00.Trial[S/A],"",0,1)</f>
        <v/>
      </c>
      <c r="E296" s="2" t="str">
        <f>IF($I296="","",COUNTIFS(Tab_00.Trial[CONTA],$I296))</f>
        <v/>
      </c>
      <c r="F296" s="4">
        <f>SUMIFS(Tab_10.Out[SALDO
ATUAL],Tab_10.Out[CONTA],$I296)</f>
        <v>0</v>
      </c>
      <c r="G296" s="4">
        <f t="shared" si="10"/>
        <v>0</v>
      </c>
      <c r="I296" s="3"/>
      <c r="J296" s="3"/>
      <c r="K296" s="4"/>
      <c r="L296" s="4"/>
      <c r="M296" s="4"/>
      <c r="O296" s="4">
        <f t="shared" si="11"/>
        <v>0</v>
      </c>
    </row>
    <row r="297" spans="2:15" x14ac:dyDescent="0.3">
      <c r="B297" s="2" t="str">
        <f>_xlfn.XLOOKUP($I297,Tab_00.Trial[CONTA],Tab_00.Trial[TP],"",0,1)</f>
        <v/>
      </c>
      <c r="C297" s="2" t="str">
        <f>_xlfn.XLOOKUP($I297,Tab_00.Trial[CONTA],Tab_00.Trial[NV],"",0,1)</f>
        <v/>
      </c>
      <c r="D297" s="2" t="str">
        <f>_xlfn.XLOOKUP($I297,Tab_00.Trial[CONTA],Tab_00.Trial[S/A],"",0,1)</f>
        <v/>
      </c>
      <c r="E297" s="2" t="str">
        <f>IF($I297="","",COUNTIFS(Tab_00.Trial[CONTA],$I297))</f>
        <v/>
      </c>
      <c r="F297" s="4">
        <f>SUMIFS(Tab_10.Out[SALDO
ATUAL],Tab_10.Out[CONTA],$I297)</f>
        <v>0</v>
      </c>
      <c r="G297" s="4">
        <f t="shared" si="10"/>
        <v>0</v>
      </c>
      <c r="I297" s="3"/>
      <c r="J297" s="3"/>
      <c r="K297" s="4"/>
      <c r="L297" s="4"/>
      <c r="M297" s="4"/>
      <c r="O297" s="4">
        <f t="shared" si="11"/>
        <v>0</v>
      </c>
    </row>
    <row r="298" spans="2:15" x14ac:dyDescent="0.3">
      <c r="B298" s="2" t="str">
        <f>_xlfn.XLOOKUP($I298,Tab_00.Trial[CONTA],Tab_00.Trial[TP],"",0,1)</f>
        <v/>
      </c>
      <c r="C298" s="2" t="str">
        <f>_xlfn.XLOOKUP($I298,Tab_00.Trial[CONTA],Tab_00.Trial[NV],"",0,1)</f>
        <v/>
      </c>
      <c r="D298" s="2" t="str">
        <f>_xlfn.XLOOKUP($I298,Tab_00.Trial[CONTA],Tab_00.Trial[S/A],"",0,1)</f>
        <v/>
      </c>
      <c r="E298" s="2" t="str">
        <f>IF($I298="","",COUNTIFS(Tab_00.Trial[CONTA],$I298))</f>
        <v/>
      </c>
      <c r="F298" s="4">
        <f>SUMIFS(Tab_10.Out[SALDO
ATUAL],Tab_10.Out[CONTA],$I298)</f>
        <v>0</v>
      </c>
      <c r="G298" s="4">
        <f t="shared" si="10"/>
        <v>0</v>
      </c>
      <c r="I298" s="3"/>
      <c r="J298" s="3"/>
      <c r="K298" s="4"/>
      <c r="L298" s="4"/>
      <c r="M298" s="4"/>
      <c r="O298" s="4">
        <f t="shared" si="11"/>
        <v>0</v>
      </c>
    </row>
    <row r="299" spans="2:15" x14ac:dyDescent="0.3">
      <c r="B299" s="2" t="str">
        <f>_xlfn.XLOOKUP($I299,Tab_00.Trial[CONTA],Tab_00.Trial[TP],"",0,1)</f>
        <v/>
      </c>
      <c r="C299" s="2" t="str">
        <f>_xlfn.XLOOKUP($I299,Tab_00.Trial[CONTA],Tab_00.Trial[NV],"",0,1)</f>
        <v/>
      </c>
      <c r="D299" s="2" t="str">
        <f>_xlfn.XLOOKUP($I299,Tab_00.Trial[CONTA],Tab_00.Trial[S/A],"",0,1)</f>
        <v/>
      </c>
      <c r="E299" s="2" t="str">
        <f>IF($I299="","",COUNTIFS(Tab_00.Trial[CONTA],$I299))</f>
        <v/>
      </c>
      <c r="F299" s="4">
        <f>SUMIFS(Tab_10.Out[SALDO
ATUAL],Tab_10.Out[CONTA],$I299)</f>
        <v>0</v>
      </c>
      <c r="G299" s="4">
        <f t="shared" ref="G299:G302" si="12">$F299-$K299</f>
        <v>0</v>
      </c>
      <c r="I299" s="3"/>
      <c r="J299" s="3"/>
      <c r="K299" s="4"/>
      <c r="L299" s="4"/>
      <c r="M299" s="4"/>
      <c r="O299" s="4">
        <f t="shared" ref="O299:O302" si="13">$L299-$M299</f>
        <v>0</v>
      </c>
    </row>
    <row r="300" spans="2:15" x14ac:dyDescent="0.3">
      <c r="B300" s="2" t="str">
        <f>_xlfn.XLOOKUP($I300,Tab_00.Trial[CONTA],Tab_00.Trial[TP],"",0,1)</f>
        <v/>
      </c>
      <c r="C300" s="2" t="str">
        <f>_xlfn.XLOOKUP($I300,Tab_00.Trial[CONTA],Tab_00.Trial[NV],"",0,1)</f>
        <v/>
      </c>
      <c r="D300" s="2" t="str">
        <f>_xlfn.XLOOKUP($I300,Tab_00.Trial[CONTA],Tab_00.Trial[S/A],"",0,1)</f>
        <v/>
      </c>
      <c r="E300" s="2" t="str">
        <f>IF($I300="","",COUNTIFS(Tab_00.Trial[CONTA],$I300))</f>
        <v/>
      </c>
      <c r="F300" s="4">
        <f>SUMIFS(Tab_10.Out[SALDO
ATUAL],Tab_10.Out[CONTA],$I300)</f>
        <v>0</v>
      </c>
      <c r="G300" s="4">
        <f t="shared" si="12"/>
        <v>0</v>
      </c>
      <c r="I300" s="3"/>
      <c r="J300" s="3"/>
      <c r="K300" s="4"/>
      <c r="L300" s="4"/>
      <c r="M300" s="4"/>
      <c r="O300" s="4">
        <f t="shared" si="13"/>
        <v>0</v>
      </c>
    </row>
    <row r="301" spans="2:15" x14ac:dyDescent="0.3">
      <c r="B301" s="2" t="str">
        <f>_xlfn.XLOOKUP($I301,Tab_00.Trial[CONTA],Tab_00.Trial[TP],"",0,1)</f>
        <v/>
      </c>
      <c r="C301" s="2" t="str">
        <f>_xlfn.XLOOKUP($I301,Tab_00.Trial[CONTA],Tab_00.Trial[NV],"",0,1)</f>
        <v/>
      </c>
      <c r="D301" s="2" t="str">
        <f>_xlfn.XLOOKUP($I301,Tab_00.Trial[CONTA],Tab_00.Trial[S/A],"",0,1)</f>
        <v/>
      </c>
      <c r="E301" s="2" t="str">
        <f>IF($I301="","",COUNTIFS(Tab_00.Trial[CONTA],$I301))</f>
        <v/>
      </c>
      <c r="F301" s="4">
        <f>SUMIFS(Tab_10.Out[SALDO
ATUAL],Tab_10.Out[CONTA],$I301)</f>
        <v>0</v>
      </c>
      <c r="G301" s="4">
        <f t="shared" si="12"/>
        <v>0</v>
      </c>
      <c r="I301" s="3"/>
      <c r="J301" s="3"/>
      <c r="K301" s="4"/>
      <c r="L301" s="4"/>
      <c r="M301" s="4"/>
      <c r="O301" s="4">
        <f t="shared" si="13"/>
        <v>0</v>
      </c>
    </row>
    <row r="302" spans="2:15" x14ac:dyDescent="0.3">
      <c r="B302" s="2" t="str">
        <f>_xlfn.XLOOKUP($I302,Tab_00.Trial[CONTA],Tab_00.Trial[TP],"",0,1)</f>
        <v/>
      </c>
      <c r="C302" s="2" t="str">
        <f>_xlfn.XLOOKUP($I302,Tab_00.Trial[CONTA],Tab_00.Trial[NV],"",0,1)</f>
        <v/>
      </c>
      <c r="D302" s="2" t="str">
        <f>_xlfn.XLOOKUP($I302,Tab_00.Trial[CONTA],Tab_00.Trial[S/A],"",0,1)</f>
        <v/>
      </c>
      <c r="E302" s="2" t="str">
        <f>IF($I302="","",COUNTIFS(Tab_00.Trial[CONTA],$I302))</f>
        <v/>
      </c>
      <c r="F302" s="4">
        <f>SUMIFS(Tab_10.Out[SALDO
ATUAL],Tab_10.Out[CONTA],$I302)</f>
        <v>0</v>
      </c>
      <c r="G302" s="4">
        <f t="shared" si="12"/>
        <v>0</v>
      </c>
      <c r="I302" s="3"/>
      <c r="J302" s="3"/>
      <c r="K302" s="4"/>
      <c r="L302" s="4"/>
      <c r="M302" s="4"/>
      <c r="O302" s="4">
        <f t="shared" si="13"/>
        <v>0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C0439-ED44-4C4F-B523-1EE1B82AF17F}">
  <sheetPr codeName="Planilha22"/>
  <dimension ref="B1:S302"/>
  <sheetViews>
    <sheetView showGridLines="0" zoomScale="85" zoomScaleNormal="85" workbookViewId="0">
      <pane xSplit="7" ySplit="14" topLeftCell="H141" activePane="bottomRight" state="frozen"/>
      <selection activeCell="H15" sqref="H15"/>
      <selection pane="topRight" activeCell="H15" sqref="H15"/>
      <selection pane="bottomLeft" activeCell="H15" sqref="H15"/>
      <selection pane="bottomRight" activeCell="I154" sqref="I154"/>
    </sheetView>
  </sheetViews>
  <sheetFormatPr defaultColWidth="8.88671875" defaultRowHeight="13.8" outlineLevelRow="1" x14ac:dyDescent="0.3"/>
  <cols>
    <col min="1" max="1" width="2.6640625" style="1" customWidth="1"/>
    <col min="2" max="2" width="4.6640625" customWidth="1"/>
    <col min="3" max="5" width="4.6640625" style="2" customWidth="1"/>
    <col min="6" max="7" width="20.6640625" style="4" customWidth="1"/>
    <col min="8" max="8" width="15.6640625" customWidth="1"/>
    <col min="9" max="9" width="17.6640625" customWidth="1"/>
    <col min="10" max="10" width="48.109375" customWidth="1"/>
    <col min="11" max="11" width="20.6640625" style="2" customWidth="1"/>
    <col min="12" max="13" width="20.6640625" style="3" customWidth="1"/>
    <col min="14" max="15" width="20.6640625" style="4" customWidth="1"/>
    <col min="16" max="16" width="51.77734375" style="1" customWidth="1"/>
    <col min="17" max="17" width="8.88671875" style="1"/>
    <col min="18" max="18" width="11.33203125" style="1" bestFit="1" customWidth="1"/>
    <col min="19" max="19" width="8.88671875" style="1"/>
    <col min="20" max="20" width="10" style="1" bestFit="1" customWidth="1"/>
    <col min="21" max="16384" width="8.88671875" style="1"/>
  </cols>
  <sheetData>
    <row r="1" spans="2:15" x14ac:dyDescent="0.3">
      <c r="B1" s="2"/>
      <c r="H1" s="3"/>
      <c r="I1" s="3"/>
      <c r="J1" s="3"/>
      <c r="K1" s="4"/>
      <c r="L1" s="4"/>
      <c r="M1" s="4"/>
    </row>
    <row r="2" spans="2:15" outlineLevel="1" x14ac:dyDescent="0.3">
      <c r="B2" s="2" t="s">
        <v>16</v>
      </c>
      <c r="F2" s="7">
        <f ca="1">SUMIFS(INDIRECT("Tab_12.Dez["&amp;F$14&amp;"]"),Tab_12.Dez[TP],$B2,Tab_12.Dez[NV],"A")</f>
        <v>0</v>
      </c>
      <c r="G2" s="7">
        <f ca="1">SUMIFS(INDIRECT("Tab_12.Dez["&amp;G$14&amp;"]"),Tab_12.Dez[TP],$B2,Tab_12.Dez[NV],"A")</f>
        <v>0</v>
      </c>
      <c r="H2" s="3"/>
      <c r="I2" s="3"/>
      <c r="J2" s="88" t="s">
        <v>15</v>
      </c>
      <c r="K2" s="7">
        <f ca="1">SUMIFS(INDIRECT("Tab_12.Dez["&amp;K$14&amp;"]"),Tab_12.Dez[TP],$B2,Tab_12.Dez[S/A],"A")</f>
        <v>85489707.329999998</v>
      </c>
      <c r="L2" s="7">
        <f ca="1">SUMIFS(INDIRECT("Tab_12.Dez["&amp;L$14&amp;"]"),Tab_12.Dez[TP],$B2,Tab_12.Dez[S/A],"A")</f>
        <v>2332105.85</v>
      </c>
      <c r="M2" s="7">
        <f ca="1">SUMIFS(INDIRECT("Tab_12.Dez["&amp;M$14&amp;"]"),Tab_12.Dez[TP],$B2,Tab_12.Dez[S/A],"A")</f>
        <v>2437994.1</v>
      </c>
      <c r="N2" s="7">
        <f ca="1">SUMIFS(INDIRECT("Tab_12.Dez["&amp;N$14&amp;"]"),Tab_12.Dez[TP],$B2,Tab_12.Dez[S/A],"A")</f>
        <v>85383819.079999998</v>
      </c>
      <c r="O2" s="7">
        <f ca="1">SUMIFS(INDIRECT("Tab_12.Dez["&amp;O$14&amp;"]"),Tab_12.Dez[TP],$B2,Tab_12.Dez[S/A],"A")</f>
        <v>-105888.25</v>
      </c>
    </row>
    <row r="3" spans="2:15" outlineLevel="1" x14ac:dyDescent="0.3">
      <c r="B3" s="2" t="s">
        <v>116</v>
      </c>
      <c r="F3" s="7">
        <f ca="1">SUMIFS(INDIRECT("Tab_12.Dez["&amp;F$14&amp;"]"),Tab_12.Dez[TP],$B3,Tab_12.Dez[NV],"A")</f>
        <v>0</v>
      </c>
      <c r="G3" s="7">
        <f ca="1">SUMIFS(INDIRECT("Tab_12.Dez["&amp;G$14&amp;"]"),Tab_12.Dez[TP],$B3,Tab_12.Dez[NV],"A")</f>
        <v>0</v>
      </c>
      <c r="H3" s="3"/>
      <c r="I3" s="3"/>
      <c r="J3" s="88" t="s">
        <v>110</v>
      </c>
      <c r="K3" s="7">
        <f ca="1">SUMIFS(INDIRECT("Tab_12.Dez["&amp;K$14&amp;"]"),Tab_12.Dez[TP],$B3,Tab_12.Dez[S/A],"A")</f>
        <v>-83158151.450000003</v>
      </c>
      <c r="L3" s="7">
        <f ca="1">SUMIFS(INDIRECT("Tab_12.Dez["&amp;L$14&amp;"]"),Tab_12.Dez[TP],$B3,Tab_12.Dez[S/A],"A")</f>
        <v>2783373.55</v>
      </c>
      <c r="M3" s="7">
        <f ca="1">SUMIFS(INDIRECT("Tab_12.Dez["&amp;M$14&amp;"]"),Tab_12.Dez[TP],$B3,Tab_12.Dez[S/A],"A")</f>
        <v>3168527.1</v>
      </c>
      <c r="N3" s="7">
        <f ca="1">SUMIFS(INDIRECT("Tab_12.Dez["&amp;N$14&amp;"]"),Tab_12.Dez[TP],$B3,Tab_12.Dez[S/A],"A")</f>
        <v>-83543305</v>
      </c>
      <c r="O3" s="7">
        <f ca="1">SUMIFS(INDIRECT("Tab_12.Dez["&amp;O$14&amp;"]"),Tab_12.Dez[TP],$B3,Tab_12.Dez[S/A],"A")</f>
        <v>-385153.55</v>
      </c>
    </row>
    <row r="4" spans="2:15" outlineLevel="1" x14ac:dyDescent="0.3">
      <c r="B4" s="2"/>
      <c r="F4" s="8">
        <f ca="1">SUM(F$2:F$3)</f>
        <v>0</v>
      </c>
      <c r="G4" s="8">
        <f ca="1">SUM(G$2:G$3)</f>
        <v>0</v>
      </c>
      <c r="H4" s="3"/>
      <c r="I4" s="3"/>
      <c r="J4" s="88"/>
      <c r="K4" s="8">
        <f t="shared" ref="K4:O4" ca="1" si="0">SUM(K$2:K$3)</f>
        <v>2331555.88</v>
      </c>
      <c r="L4" s="8">
        <f t="shared" ca="1" si="0"/>
        <v>5115479.4000000004</v>
      </c>
      <c r="M4" s="8">
        <f t="shared" ca="1" si="0"/>
        <v>5606521.2000000002</v>
      </c>
      <c r="N4" s="8">
        <f ca="1">SUM(N$2:N$3)</f>
        <v>1840514.08</v>
      </c>
      <c r="O4" s="8">
        <f t="shared" ca="1" si="0"/>
        <v>-491041.8</v>
      </c>
    </row>
    <row r="5" spans="2:15" ht="5.0999999999999996" customHeight="1" outlineLevel="1" x14ac:dyDescent="0.3">
      <c r="B5" s="2"/>
      <c r="H5" s="3"/>
      <c r="I5" s="3"/>
      <c r="J5" s="89"/>
      <c r="K5" s="4"/>
      <c r="L5" s="4"/>
      <c r="M5" s="4"/>
    </row>
    <row r="6" spans="2:15" outlineLevel="1" x14ac:dyDescent="0.3">
      <c r="B6" s="2" t="s">
        <v>19</v>
      </c>
      <c r="F6" s="7">
        <f ca="1">SUMIFS(INDIRECT("Tab_12.Dez["&amp;F$14&amp;"]"),Tab_12.Dez[TP],$B6,Tab_12.Dez[NV],"A")</f>
        <v>0</v>
      </c>
      <c r="G6" s="7">
        <f ca="1">SUMIFS(INDIRECT("Tab_12.Dez["&amp;G$14&amp;"]"),Tab_12.Dez[TP],$B6,Tab_12.Dez[NV],"A")</f>
        <v>0</v>
      </c>
      <c r="H6" s="3"/>
      <c r="I6" s="3"/>
      <c r="J6" s="88" t="s">
        <v>18</v>
      </c>
      <c r="K6" s="7">
        <f ca="1">SUMIFS(INDIRECT("Tab_12.Dez["&amp;K$14&amp;"]"),Tab_12.Dez[TP],$B6,Tab_12.Dez[S/A],"A")</f>
        <v>-14138020.289999999</v>
      </c>
      <c r="L6" s="7">
        <f ca="1">SUMIFS(INDIRECT("Tab_12.Dez["&amp;L$14&amp;"]"),Tab_12.Dez[TP],$B6,Tab_12.Dez[S/A],"A")</f>
        <v>139724.62</v>
      </c>
      <c r="M6" s="7">
        <f ca="1">SUMIFS(INDIRECT("Tab_12.Dez["&amp;M$14&amp;"]"),Tab_12.Dez[TP],$B6,Tab_12.Dez[S/A],"A")</f>
        <v>1520168.9</v>
      </c>
      <c r="N6" s="7">
        <f ca="1">SUMIFS(INDIRECT("Tab_12.Dez["&amp;N$14&amp;"]"),Tab_12.Dez[TP],$B6,Tab_12.Dez[S/A],"A")</f>
        <v>-15518464.57</v>
      </c>
      <c r="O6" s="7">
        <f ca="1">SUMIFS(INDIRECT("Tab_12.Dez["&amp;O$14&amp;"]"),Tab_12.Dez[TP],$B6,Tab_12.Dez[S/A],"A")</f>
        <v>-1380444.28</v>
      </c>
    </row>
    <row r="7" spans="2:15" outlineLevel="1" x14ac:dyDescent="0.3">
      <c r="B7" s="2" t="s">
        <v>20</v>
      </c>
      <c r="F7" s="7">
        <f ca="1">SUMIFS(INDIRECT("Tab_12.Dez["&amp;F$14&amp;"]"),Tab_12.Dez[TP],$B7,Tab_12.Dez[NV],"A")</f>
        <v>0</v>
      </c>
      <c r="G7" s="7">
        <f ca="1">SUMIFS(INDIRECT("Tab_12.Dez["&amp;G$14&amp;"]"),Tab_12.Dez[TP],$B7,Tab_12.Dez[NV],"A")</f>
        <v>0</v>
      </c>
      <c r="H7" s="3"/>
      <c r="I7" s="3"/>
      <c r="J7" s="88" t="s">
        <v>111</v>
      </c>
      <c r="K7" s="7">
        <f ca="1">SUMIFS(INDIRECT("Tab_12.Dez["&amp;K$14&amp;"]"),Tab_12.Dez[TP],$B7,Tab_12.Dez[S/A],"A")</f>
        <v>11806464.41</v>
      </c>
      <c r="L7" s="7">
        <f ca="1">SUMIFS(INDIRECT("Tab_12.Dez["&amp;L$14&amp;"]"),Tab_12.Dez[TP],$B7,Tab_12.Dez[S/A],"A")</f>
        <v>1919281.01</v>
      </c>
      <c r="M7" s="7">
        <f ca="1">SUMIFS(INDIRECT("Tab_12.Dez["&amp;M$14&amp;"]"),Tab_12.Dez[TP],$B7,Tab_12.Dez[S/A],"A")</f>
        <v>47794.93</v>
      </c>
      <c r="N7" s="7">
        <f ca="1">SUMIFS(INDIRECT("Tab_12.Dez["&amp;N$14&amp;"]"),Tab_12.Dez[TP],$B7,Tab_12.Dez[S/A],"A")</f>
        <v>13677950.49</v>
      </c>
      <c r="O7" s="7">
        <f ca="1">SUMIFS(INDIRECT("Tab_12.Dez["&amp;O$14&amp;"]"),Tab_12.Dez[TP],$B7,Tab_12.Dez[S/A],"A")</f>
        <v>1871486.08</v>
      </c>
    </row>
    <row r="8" spans="2:15" outlineLevel="1" x14ac:dyDescent="0.3">
      <c r="B8" s="2"/>
      <c r="F8" s="8">
        <f ca="1">SUM(F$6:F$7)</f>
        <v>0</v>
      </c>
      <c r="G8" s="8">
        <f ca="1">SUM(G$6:G$7)</f>
        <v>0</v>
      </c>
      <c r="H8" s="3"/>
      <c r="I8" s="3"/>
      <c r="J8" s="88"/>
      <c r="K8" s="8">
        <f ca="1">SUM(K$6:K$7)</f>
        <v>-2331555.88</v>
      </c>
      <c r="L8" s="8">
        <f ca="1">SUM(L$6:L$7)</f>
        <v>2059005.63</v>
      </c>
      <c r="M8" s="8">
        <f ca="1">SUM(M$6:M$7)</f>
        <v>1567963.83</v>
      </c>
      <c r="N8" s="8">
        <f ca="1">SUM(N$6:N$7)</f>
        <v>-1840514.08</v>
      </c>
      <c r="O8" s="8">
        <f ca="1">SUM(O$6:O$7)</f>
        <v>491041.8</v>
      </c>
    </row>
    <row r="9" spans="2:15" ht="5.0999999999999996" customHeight="1" outlineLevel="1" x14ac:dyDescent="0.3">
      <c r="B9" s="2"/>
      <c r="H9" s="3"/>
      <c r="I9" s="3"/>
      <c r="J9" s="89"/>
      <c r="K9" s="4"/>
      <c r="L9" s="4"/>
      <c r="M9" s="4"/>
    </row>
    <row r="10" spans="2:15" x14ac:dyDescent="0.3">
      <c r="B10" s="2"/>
      <c r="F10" s="11">
        <f ca="1">SUM(F$4,F$8)</f>
        <v>0</v>
      </c>
      <c r="G10" s="11">
        <f ca="1">SUM(G$4,G$8)</f>
        <v>0</v>
      </c>
      <c r="H10" s="3"/>
      <c r="I10" s="3"/>
      <c r="J10" s="88" t="s">
        <v>22</v>
      </c>
      <c r="K10" s="11">
        <f t="shared" ref="K10:O10" ca="1" si="1">SUM(K$4,K$8)</f>
        <v>0</v>
      </c>
      <c r="L10" s="11">
        <f t="shared" ca="1" si="1"/>
        <v>7174485.0300000003</v>
      </c>
      <c r="M10" s="11">
        <f t="shared" ca="1" si="1"/>
        <v>7174485.0300000003</v>
      </c>
      <c r="N10" s="11">
        <f ca="1">SUM(N$4,N$8)</f>
        <v>0</v>
      </c>
      <c r="O10" s="11">
        <f t="shared" ca="1" si="1"/>
        <v>0</v>
      </c>
    </row>
    <row r="11" spans="2:15" ht="5.0999999999999996" customHeight="1" x14ac:dyDescent="0.3">
      <c r="B11" s="2"/>
      <c r="H11" s="3"/>
      <c r="I11" s="3"/>
      <c r="J11" s="3"/>
      <c r="K11" s="4"/>
      <c r="L11" s="4"/>
      <c r="M11" s="4"/>
    </row>
    <row r="12" spans="2:15" x14ac:dyDescent="0.3">
      <c r="B12" s="2"/>
      <c r="F12" s="7">
        <f>SUBTOTAL(9,Tab_12.Dez[SALDO FINAL
ANTERIOR])</f>
        <v>0</v>
      </c>
      <c r="G12" s="7">
        <f>SUBTOTAL(9,Tab_12.Dez[DIFERENÇA])</f>
        <v>0</v>
      </c>
      <c r="H12" s="3"/>
      <c r="I12" s="3"/>
      <c r="J12" s="3"/>
      <c r="K12" s="7">
        <f>SUBTOTAL(9,Tab_12.Dez[SALDO
ANTERIOR])</f>
        <v>0</v>
      </c>
      <c r="L12" s="7">
        <f>SUBTOTAL(9,Tab_12.Dez[DÉBITO])</f>
        <v>35872425.149999999</v>
      </c>
      <c r="M12" s="7">
        <f>SUBTOTAL(9,Tab_12.Dez[CRÉDITO])</f>
        <v>35872425.149999999</v>
      </c>
      <c r="N12" s="7">
        <f>SUBTOTAL(9,Tab_12.Dez[SALDO
ATUAL])</f>
        <v>0</v>
      </c>
      <c r="O12" s="7">
        <f>SUBTOTAL(9,Tab_12.Dez[MOVIMENTO])</f>
        <v>0</v>
      </c>
    </row>
    <row r="13" spans="2:15" ht="5.0999999999999996" customHeight="1" x14ac:dyDescent="0.3">
      <c r="B13" s="2"/>
      <c r="H13" s="3"/>
      <c r="I13" s="3"/>
      <c r="J13" s="3"/>
      <c r="K13" s="4"/>
      <c r="L13" s="4"/>
      <c r="M13" s="4"/>
    </row>
    <row r="14" spans="2:15" ht="24.9" customHeight="1" x14ac:dyDescent="0.3">
      <c r="B14" s="5" t="s">
        <v>1</v>
      </c>
      <c r="C14" s="5" t="s">
        <v>2</v>
      </c>
      <c r="D14" s="5" t="s">
        <v>81</v>
      </c>
      <c r="E14" s="10" t="s">
        <v>29</v>
      </c>
      <c r="F14" s="12" t="s">
        <v>46</v>
      </c>
      <c r="G14" s="12" t="s">
        <v>45</v>
      </c>
      <c r="H14" s="10" t="s">
        <v>168</v>
      </c>
      <c r="I14" s="10" t="s">
        <v>23</v>
      </c>
      <c r="J14" s="10" t="s">
        <v>0</v>
      </c>
      <c r="K14" s="12" t="s">
        <v>24</v>
      </c>
      <c r="L14" s="13" t="s">
        <v>25</v>
      </c>
      <c r="M14" s="13" t="s">
        <v>26</v>
      </c>
      <c r="N14" s="12" t="s">
        <v>28</v>
      </c>
      <c r="O14" s="13" t="s">
        <v>27</v>
      </c>
    </row>
    <row r="15" spans="2:15" ht="13.2" customHeight="1" x14ac:dyDescent="0.3">
      <c r="B15" s="2" t="str">
        <f>_xlfn.XLOOKUP($I15,Tab_00.Trial[CONTA],Tab_00.Trial[TP],"",0,1)</f>
        <v>A</v>
      </c>
      <c r="C15" s="2">
        <f>_xlfn.XLOOKUP($I15,Tab_00.Trial[CONTA],Tab_00.Trial[NV],"",0,1)</f>
        <v>1</v>
      </c>
      <c r="D15" s="2" t="str">
        <f>_xlfn.XLOOKUP($I15,Tab_00.Trial[CONTA],Tab_00.Trial[S/A],"",0,1)</f>
        <v>S</v>
      </c>
      <c r="E15" s="2">
        <f>IF($I15="","",COUNTIFS(Tab_00.Trial[CONTA],$I15))</f>
        <v>1</v>
      </c>
      <c r="F15" s="4">
        <f>SUMIFS(Tab_11.Nov[SALDO
ATUAL],Tab_11.Nov[CONTA],$I15)</f>
        <v>85489707.329999998</v>
      </c>
      <c r="G15" s="4">
        <f t="shared" ref="G15:G78" si="2">$F15-$K15</f>
        <v>0</v>
      </c>
      <c r="H15" s="3"/>
      <c r="I15" s="3">
        <v>1</v>
      </c>
      <c r="J15" s="3" t="s">
        <v>637</v>
      </c>
      <c r="K15" s="4">
        <v>85489707.329999998</v>
      </c>
      <c r="L15" s="4">
        <v>2332105.85</v>
      </c>
      <c r="M15" s="4">
        <v>2437994.1</v>
      </c>
      <c r="N15" s="4">
        <v>85383819.079999998</v>
      </c>
      <c r="O15" s="4">
        <f>$L15-$M15</f>
        <v>-105888.25</v>
      </c>
    </row>
    <row r="16" spans="2:15" ht="13.2" customHeight="1" x14ac:dyDescent="0.3">
      <c r="B16" s="2" t="str">
        <f>_xlfn.XLOOKUP($I16,Tab_00.Trial[CONTA],Tab_00.Trial[TP],"",0,1)</f>
        <v>A</v>
      </c>
      <c r="C16" s="2">
        <f>_xlfn.XLOOKUP($I16,Tab_00.Trial[CONTA],Tab_00.Trial[NV],"",0,1)</f>
        <v>2</v>
      </c>
      <c r="D16" s="2" t="str">
        <f>_xlfn.XLOOKUP($I16,Tab_00.Trial[CONTA],Tab_00.Trial[S/A],"",0,1)</f>
        <v>S</v>
      </c>
      <c r="E16" s="2">
        <f>IF($I16="","",COUNTIFS(Tab_00.Trial[CONTA],$I16))</f>
        <v>1</v>
      </c>
      <c r="F16" s="4">
        <f>SUMIFS(Tab_11.Nov[SALDO
ATUAL],Tab_11.Nov[CONTA],$I16)</f>
        <v>11206538.48</v>
      </c>
      <c r="G16" s="4">
        <f t="shared" si="2"/>
        <v>0</v>
      </c>
      <c r="H16" s="3"/>
      <c r="I16" s="3" t="s">
        <v>197</v>
      </c>
      <c r="J16" s="3" t="s">
        <v>247</v>
      </c>
      <c r="K16" s="4">
        <v>11206538.48</v>
      </c>
      <c r="L16" s="4">
        <v>2326191.5699999998</v>
      </c>
      <c r="M16" s="4">
        <v>2293970.35</v>
      </c>
      <c r="N16" s="4">
        <v>11238759.699999999</v>
      </c>
      <c r="O16" s="4">
        <f t="shared" ref="O16:O78" si="3">$L16-$M16</f>
        <v>32221.22</v>
      </c>
    </row>
    <row r="17" spans="2:15" ht="13.2" customHeight="1" x14ac:dyDescent="0.3">
      <c r="B17" s="2" t="str">
        <f>_xlfn.XLOOKUP($I17,Tab_00.Trial[CONTA],Tab_00.Trial[TP],"",0,1)</f>
        <v>A</v>
      </c>
      <c r="C17" s="2">
        <f>_xlfn.XLOOKUP($I17,Tab_00.Trial[CONTA],Tab_00.Trial[NV],"",0,1)</f>
        <v>5</v>
      </c>
      <c r="D17" s="2" t="str">
        <f>_xlfn.XLOOKUP($I17,Tab_00.Trial[CONTA],Tab_00.Trial[S/A],"",0,1)</f>
        <v>S</v>
      </c>
      <c r="E17" s="2">
        <f>IF($I17="","",COUNTIFS(Tab_00.Trial[CONTA],$I17))</f>
        <v>1</v>
      </c>
      <c r="F17" s="4">
        <f>SUMIFS(Tab_11.Nov[SALDO
ATUAL],Tab_11.Nov[CONTA],$I17)</f>
        <v>10939967.380000001</v>
      </c>
      <c r="G17" s="4">
        <f t="shared" si="2"/>
        <v>0</v>
      </c>
      <c r="H17" s="3"/>
      <c r="I17" s="3" t="s">
        <v>199</v>
      </c>
      <c r="J17" s="3" t="s">
        <v>638</v>
      </c>
      <c r="K17" s="4">
        <v>10939967.380000001</v>
      </c>
      <c r="L17" s="4">
        <v>2284490.98</v>
      </c>
      <c r="M17" s="4">
        <v>2074823.12</v>
      </c>
      <c r="N17" s="4">
        <v>11149635.24</v>
      </c>
      <c r="O17" s="4">
        <f t="shared" si="3"/>
        <v>209667.86</v>
      </c>
    </row>
    <row r="18" spans="2:15" x14ac:dyDescent="0.3">
      <c r="B18" s="2" t="str">
        <f>_xlfn.XLOOKUP($I18,Tab_00.Trial[CONTA],Tab_00.Trial[TP],"",0,1)</f>
        <v>A</v>
      </c>
      <c r="C18" s="2">
        <f>_xlfn.XLOOKUP($I18,Tab_00.Trial[CONTA],Tab_00.Trial[NV],"",0,1)</f>
        <v>5</v>
      </c>
      <c r="D18" s="2" t="str">
        <f>_xlfn.XLOOKUP($I18,Tab_00.Trial[CONTA],Tab_00.Trial[S/A],"",0,1)</f>
        <v>S</v>
      </c>
      <c r="E18" s="2">
        <f>IF($I18="","",COUNTIFS(Tab_00.Trial[CONTA],$I18))</f>
        <v>1</v>
      </c>
      <c r="F18" s="4">
        <f>SUMIFS(Tab_11.Nov[SALDO
ATUAL],Tab_11.Nov[CONTA],$I18)</f>
        <v>474.45</v>
      </c>
      <c r="G18" s="4">
        <f t="shared" si="2"/>
        <v>0</v>
      </c>
      <c r="H18" s="1"/>
      <c r="I18" s="3" t="s">
        <v>201</v>
      </c>
      <c r="J18" s="3" t="s">
        <v>639</v>
      </c>
      <c r="K18" s="4">
        <v>474.45</v>
      </c>
      <c r="L18" s="4">
        <v>2000</v>
      </c>
      <c r="M18" s="4">
        <v>1045.83</v>
      </c>
      <c r="N18" s="4">
        <v>1428.62</v>
      </c>
      <c r="O18" s="4">
        <f t="shared" si="3"/>
        <v>954.17</v>
      </c>
    </row>
    <row r="19" spans="2:15" x14ac:dyDescent="0.3">
      <c r="B19" s="2" t="str">
        <f>_xlfn.XLOOKUP($I19,Tab_00.Trial[CONTA],Tab_00.Trial[TP],"",0,1)</f>
        <v>A</v>
      </c>
      <c r="C19" s="2">
        <f>_xlfn.XLOOKUP($I19,Tab_00.Trial[CONTA],Tab_00.Trial[NV],"",0,1)</f>
        <v>5</v>
      </c>
      <c r="D19" s="2" t="str">
        <f>_xlfn.XLOOKUP($I19,Tab_00.Trial[CONTA],Tab_00.Trial[S/A],"",0,1)</f>
        <v>A</v>
      </c>
      <c r="E19" s="2">
        <f>IF($I19="","",COUNTIFS(Tab_00.Trial[CONTA],$I19))</f>
        <v>1</v>
      </c>
      <c r="F19" s="4">
        <f>SUMIFS(Tab_11.Nov[SALDO
ATUAL],Tab_11.Nov[CONTA],$I19)</f>
        <v>474.45</v>
      </c>
      <c r="G19" s="4">
        <f t="shared" si="2"/>
        <v>0</v>
      </c>
      <c r="H19" s="1"/>
      <c r="I19" s="3" t="s">
        <v>176</v>
      </c>
      <c r="J19" s="3" t="s">
        <v>274</v>
      </c>
      <c r="K19" s="4">
        <v>474.45</v>
      </c>
      <c r="L19" s="4">
        <v>2000</v>
      </c>
      <c r="M19" s="4">
        <v>1045.83</v>
      </c>
      <c r="N19" s="4">
        <v>1428.62</v>
      </c>
      <c r="O19" s="4">
        <f t="shared" si="3"/>
        <v>954.17</v>
      </c>
    </row>
    <row r="20" spans="2:15" x14ac:dyDescent="0.3">
      <c r="B20" s="2" t="str">
        <f>_xlfn.XLOOKUP($I20,Tab_00.Trial[CONTA],Tab_00.Trial[TP],"",0,1)</f>
        <v>A</v>
      </c>
      <c r="C20" s="2">
        <f>_xlfn.XLOOKUP($I20,Tab_00.Trial[CONTA],Tab_00.Trial[NV],"",0,1)</f>
        <v>5</v>
      </c>
      <c r="D20" s="2" t="str">
        <f>_xlfn.XLOOKUP($I20,Tab_00.Trial[CONTA],Tab_00.Trial[S/A],"",0,1)</f>
        <v>S</v>
      </c>
      <c r="E20" s="2">
        <f>IF($I20="","",COUNTIFS(Tab_00.Trial[CONTA],$I20))</f>
        <v>1</v>
      </c>
      <c r="F20" s="4">
        <f>SUMIFS(Tab_11.Nov[SALDO
ATUAL],Tab_11.Nov[CONTA],$I20)</f>
        <v>54236.22</v>
      </c>
      <c r="G20" s="4">
        <f t="shared" si="2"/>
        <v>0</v>
      </c>
      <c r="H20" s="1"/>
      <c r="I20" s="3" t="s">
        <v>202</v>
      </c>
      <c r="J20" s="3" t="s">
        <v>640</v>
      </c>
      <c r="K20" s="4">
        <v>54236.22</v>
      </c>
      <c r="L20" s="4">
        <v>1677343.03</v>
      </c>
      <c r="M20" s="4">
        <v>1553193.07</v>
      </c>
      <c r="N20" s="4">
        <v>178386.18</v>
      </c>
      <c r="O20" s="4">
        <f t="shared" si="3"/>
        <v>124149.96</v>
      </c>
    </row>
    <row r="21" spans="2:15" x14ac:dyDescent="0.3">
      <c r="B21" s="2" t="str">
        <f>_xlfn.XLOOKUP($I21,Tab_00.Trial[CONTA],Tab_00.Trial[TP],"",0,1)</f>
        <v>A</v>
      </c>
      <c r="C21" s="2">
        <f>_xlfn.XLOOKUP($I21,Tab_00.Trial[CONTA],Tab_00.Trial[NV],"",0,1)</f>
        <v>5</v>
      </c>
      <c r="D21" s="2" t="str">
        <f>_xlfn.XLOOKUP($I21,Tab_00.Trial[CONTA],Tab_00.Trial[S/A],"",0,1)</f>
        <v>A</v>
      </c>
      <c r="E21" s="2">
        <f>IF($I21="","",COUNTIFS(Tab_00.Trial[CONTA],$I21))</f>
        <v>1</v>
      </c>
      <c r="F21" s="4">
        <f>SUMIFS(Tab_11.Nov[SALDO
ATUAL],Tab_11.Nov[CONTA],$I21)</f>
        <v>1.02</v>
      </c>
      <c r="G21" s="4">
        <f t="shared" si="2"/>
        <v>0</v>
      </c>
      <c r="H21" s="1"/>
      <c r="I21" s="3" t="s">
        <v>277</v>
      </c>
      <c r="J21" s="3" t="s">
        <v>278</v>
      </c>
      <c r="K21" s="4">
        <v>1.02</v>
      </c>
      <c r="L21" s="4">
        <v>1020481.29</v>
      </c>
      <c r="M21" s="4">
        <v>856763.43</v>
      </c>
      <c r="N21" s="4">
        <v>163718.88</v>
      </c>
      <c r="O21" s="4">
        <f t="shared" si="3"/>
        <v>163717.85999999999</v>
      </c>
    </row>
    <row r="22" spans="2:15" x14ac:dyDescent="0.3">
      <c r="B22" s="2" t="str">
        <f>_xlfn.XLOOKUP($I22,Tab_00.Trial[CONTA],Tab_00.Trial[TP],"",0,1)</f>
        <v>A</v>
      </c>
      <c r="C22" s="2">
        <f>_xlfn.XLOOKUP($I22,Tab_00.Trial[CONTA],Tab_00.Trial[NV],"",0,1)</f>
        <v>5</v>
      </c>
      <c r="D22" s="2" t="str">
        <f>_xlfn.XLOOKUP($I22,Tab_00.Trial[CONTA],Tab_00.Trial[S/A],"",0,1)</f>
        <v>A</v>
      </c>
      <c r="E22" s="2">
        <f>IF($I22="","",COUNTIFS(Tab_00.Trial[CONTA],$I22))</f>
        <v>1</v>
      </c>
      <c r="F22" s="4">
        <f>SUMIFS(Tab_11.Nov[SALDO
ATUAL],Tab_11.Nov[CONTA],$I22)</f>
        <v>41613.589999999997</v>
      </c>
      <c r="G22" s="4">
        <f t="shared" si="2"/>
        <v>0</v>
      </c>
      <c r="H22" s="1"/>
      <c r="I22" s="3" t="s">
        <v>177</v>
      </c>
      <c r="J22" s="3" t="s">
        <v>279</v>
      </c>
      <c r="K22" s="4">
        <v>41613.589999999997</v>
      </c>
      <c r="L22" s="4">
        <v>655540.29</v>
      </c>
      <c r="M22" s="4">
        <v>694407.04</v>
      </c>
      <c r="N22" s="4">
        <v>2746.84</v>
      </c>
      <c r="O22" s="4">
        <f t="shared" si="3"/>
        <v>-38866.75</v>
      </c>
    </row>
    <row r="23" spans="2:15" x14ac:dyDescent="0.3">
      <c r="B23" s="2" t="str">
        <f>_xlfn.XLOOKUP($I23,Tab_00.Trial[CONTA],Tab_00.Trial[TP],"",0,1)</f>
        <v>A</v>
      </c>
      <c r="C23" s="2">
        <f>_xlfn.XLOOKUP($I23,Tab_00.Trial[CONTA],Tab_00.Trial[NV],"",0,1)</f>
        <v>5</v>
      </c>
      <c r="D23" s="2" t="str">
        <f>_xlfn.XLOOKUP($I23,Tab_00.Trial[CONTA],Tab_00.Trial[S/A],"",0,1)</f>
        <v>A</v>
      </c>
      <c r="E23" s="2">
        <f>IF($I23="","",COUNTIFS(Tab_00.Trial[CONTA],$I23))</f>
        <v>1</v>
      </c>
      <c r="F23" s="4">
        <f>SUMIFS(Tab_11.Nov[SALDO
ATUAL],Tab_11.Nov[CONTA],$I23)</f>
        <v>12621.61</v>
      </c>
      <c r="G23" s="4">
        <f t="shared" si="2"/>
        <v>0</v>
      </c>
      <c r="H23" s="1"/>
      <c r="I23" s="3" t="s">
        <v>280</v>
      </c>
      <c r="J23" s="3" t="s">
        <v>281</v>
      </c>
      <c r="K23" s="4">
        <v>12621.61</v>
      </c>
      <c r="L23" s="4">
        <v>1321.45</v>
      </c>
      <c r="M23" s="4">
        <v>2022.6</v>
      </c>
      <c r="N23" s="4">
        <v>11920.46</v>
      </c>
      <c r="O23" s="4">
        <f t="shared" si="3"/>
        <v>-701.15</v>
      </c>
    </row>
    <row r="24" spans="2:15" x14ac:dyDescent="0.3">
      <c r="B24" s="2" t="str">
        <f>_xlfn.XLOOKUP($I24,Tab_00.Trial[CONTA],Tab_00.Trial[TP],"",0,1)</f>
        <v>A</v>
      </c>
      <c r="C24" s="2">
        <f>_xlfn.XLOOKUP($I24,Tab_00.Trial[CONTA],Tab_00.Trial[NV],"",0,1)</f>
        <v>5</v>
      </c>
      <c r="D24" s="2" t="str">
        <f>_xlfn.XLOOKUP($I24,Tab_00.Trial[CONTA],Tab_00.Trial[S/A],"",0,1)</f>
        <v>S</v>
      </c>
      <c r="E24" s="2">
        <f>IF($I24="","",COUNTIFS(Tab_00.Trial[CONTA],$I24))</f>
        <v>1</v>
      </c>
      <c r="F24" s="4">
        <f>SUMIFS(Tab_11.Nov[SALDO
ATUAL],Tab_11.Nov[CONTA],$I24)</f>
        <v>10885256.710000001</v>
      </c>
      <c r="G24" s="4">
        <f t="shared" si="2"/>
        <v>0</v>
      </c>
      <c r="H24" s="1"/>
      <c r="I24" s="3" t="s">
        <v>203</v>
      </c>
      <c r="J24" s="3" t="s">
        <v>641</v>
      </c>
      <c r="K24" s="4">
        <v>10885256.710000001</v>
      </c>
      <c r="L24" s="4">
        <v>605147.94999999995</v>
      </c>
      <c r="M24" s="4">
        <v>520584.22</v>
      </c>
      <c r="N24" s="4">
        <v>10969820.439999999</v>
      </c>
      <c r="O24" s="4">
        <f t="shared" si="3"/>
        <v>84563.73</v>
      </c>
    </row>
    <row r="25" spans="2:15" x14ac:dyDescent="0.3">
      <c r="B25" s="2" t="str">
        <f>_xlfn.XLOOKUP($I25,Tab_00.Trial[CONTA],Tab_00.Trial[TP],"",0,1)</f>
        <v>A</v>
      </c>
      <c r="C25" s="2">
        <f>_xlfn.XLOOKUP($I25,Tab_00.Trial[CONTA],Tab_00.Trial[NV],"",0,1)</f>
        <v>5</v>
      </c>
      <c r="D25" s="2" t="str">
        <f>_xlfn.XLOOKUP($I25,Tab_00.Trial[CONTA],Tab_00.Trial[S/A],"",0,1)</f>
        <v>A</v>
      </c>
      <c r="E25" s="2">
        <f>IF($I25="","",COUNTIFS(Tab_00.Trial[CONTA],$I25))</f>
        <v>1</v>
      </c>
      <c r="F25" s="4">
        <f>SUMIFS(Tab_11.Nov[SALDO
ATUAL],Tab_11.Nov[CONTA],$I25)</f>
        <v>5001987.17</v>
      </c>
      <c r="G25" s="4">
        <f t="shared" si="2"/>
        <v>0</v>
      </c>
      <c r="H25" s="1"/>
      <c r="I25" s="3" t="s">
        <v>178</v>
      </c>
      <c r="J25" s="3" t="s">
        <v>284</v>
      </c>
      <c r="K25" s="4">
        <v>5001987.17</v>
      </c>
      <c r="L25" s="4">
        <v>40977.06</v>
      </c>
      <c r="M25" s="4">
        <v>0</v>
      </c>
      <c r="N25" s="4">
        <v>5042964.2300000004</v>
      </c>
      <c r="O25" s="4">
        <f t="shared" si="3"/>
        <v>40977.06</v>
      </c>
    </row>
    <row r="26" spans="2:15" x14ac:dyDescent="0.3">
      <c r="B26" s="2" t="str">
        <f>_xlfn.XLOOKUP($I26,Tab_00.Trial[CONTA],Tab_00.Trial[TP],"",0,1)</f>
        <v>A</v>
      </c>
      <c r="C26" s="2">
        <f>_xlfn.XLOOKUP($I26,Tab_00.Trial[CONTA],Tab_00.Trial[NV],"",0,1)</f>
        <v>5</v>
      </c>
      <c r="D26" s="2" t="str">
        <f>_xlfn.XLOOKUP($I26,Tab_00.Trial[CONTA],Tab_00.Trial[S/A],"",0,1)</f>
        <v>A</v>
      </c>
      <c r="E26" s="2">
        <f>IF($I26="","",COUNTIFS(Tab_00.Trial[CONTA],$I26))</f>
        <v>1</v>
      </c>
      <c r="F26" s="4">
        <f>SUMIFS(Tab_11.Nov[SALDO
ATUAL],Tab_11.Nov[CONTA],$I26)</f>
        <v>5883269.54</v>
      </c>
      <c r="G26" s="4">
        <f t="shared" si="2"/>
        <v>0</v>
      </c>
      <c r="H26" s="1"/>
      <c r="I26" s="3" t="s">
        <v>287</v>
      </c>
      <c r="J26" s="3" t="s">
        <v>288</v>
      </c>
      <c r="K26" s="4">
        <v>5883269.54</v>
      </c>
      <c r="L26" s="4">
        <v>174584.22</v>
      </c>
      <c r="M26" s="4">
        <v>469000</v>
      </c>
      <c r="N26" s="4">
        <v>5588853.7599999998</v>
      </c>
      <c r="O26" s="4">
        <f t="shared" si="3"/>
        <v>-294415.78000000003</v>
      </c>
    </row>
    <row r="27" spans="2:15" x14ac:dyDescent="0.3">
      <c r="B27" s="2" t="str">
        <f>_xlfn.XLOOKUP($I27,Tab_00.Trial[CONTA],Tab_00.Trial[TP],"",0,1)</f>
        <v>A</v>
      </c>
      <c r="C27" s="2">
        <f>_xlfn.XLOOKUP($I27,Tab_00.Trial[CONTA],Tab_00.Trial[NV],"",0,1)</f>
        <v>5</v>
      </c>
      <c r="D27" s="2" t="str">
        <f>_xlfn.XLOOKUP($I27,Tab_00.Trial[CONTA],Tab_00.Trial[S/A],"",0,1)</f>
        <v>A</v>
      </c>
      <c r="E27" s="2">
        <f>IF($I27="","",COUNTIFS(Tab_00.Trial[CONTA],$I27))</f>
        <v>1</v>
      </c>
      <c r="F27" s="4">
        <f>SUMIFS(Tab_11.Nov[SALDO
ATUAL],Tab_11.Nov[CONTA],$I27)</f>
        <v>0</v>
      </c>
      <c r="G27" s="4">
        <f t="shared" si="2"/>
        <v>0</v>
      </c>
      <c r="H27" s="1"/>
      <c r="I27" s="3" t="s">
        <v>814</v>
      </c>
      <c r="J27" s="3" t="s">
        <v>815</v>
      </c>
      <c r="K27" s="4">
        <v>0</v>
      </c>
      <c r="L27" s="4">
        <v>389586.67</v>
      </c>
      <c r="M27" s="4">
        <v>51584.22</v>
      </c>
      <c r="N27" s="4">
        <v>338002.45</v>
      </c>
      <c r="O27" s="4">
        <f t="shared" si="3"/>
        <v>338002.45</v>
      </c>
    </row>
    <row r="28" spans="2:15" x14ac:dyDescent="0.3">
      <c r="B28" s="2" t="str">
        <f>_xlfn.XLOOKUP($I28,Tab_00.Trial[CONTA],Tab_00.Trial[TP],"",0,1)</f>
        <v>A</v>
      </c>
      <c r="C28" s="2">
        <f>_xlfn.XLOOKUP($I28,Tab_00.Trial[CONTA],Tab_00.Trial[NV],"",0,1)</f>
        <v>5</v>
      </c>
      <c r="D28" s="2" t="str">
        <f>_xlfn.XLOOKUP($I28,Tab_00.Trial[CONTA],Tab_00.Trial[S/A],"",0,1)</f>
        <v>S</v>
      </c>
      <c r="E28" s="2">
        <f>IF($I28="","",COUNTIFS(Tab_00.Trial[CONTA],$I28))</f>
        <v>1</v>
      </c>
      <c r="F28" s="4">
        <f>SUMIFS(Tab_11.Nov[SALDO
ATUAL],Tab_11.Nov[CONTA],$I28)</f>
        <v>104030.92</v>
      </c>
      <c r="G28" s="4">
        <f t="shared" si="2"/>
        <v>0</v>
      </c>
      <c r="H28" s="1"/>
      <c r="I28" s="3" t="s">
        <v>204</v>
      </c>
      <c r="J28" s="3" t="s">
        <v>642</v>
      </c>
      <c r="K28" s="4">
        <v>104030.92</v>
      </c>
      <c r="L28" s="4">
        <v>39801.589999999997</v>
      </c>
      <c r="M28" s="4">
        <v>139126.56</v>
      </c>
      <c r="N28" s="4">
        <v>4705.95</v>
      </c>
      <c r="O28" s="4">
        <f t="shared" si="3"/>
        <v>-99324.97</v>
      </c>
    </row>
    <row r="29" spans="2:15" x14ac:dyDescent="0.3">
      <c r="B29" s="2" t="str">
        <f>_xlfn.XLOOKUP($I29,Tab_00.Trial[CONTA],Tab_00.Trial[TP],"",0,1)</f>
        <v>A</v>
      </c>
      <c r="C29" s="2">
        <f>_xlfn.XLOOKUP($I29,Tab_00.Trial[CONTA],Tab_00.Trial[NV],"",0,1)</f>
        <v>5</v>
      </c>
      <c r="D29" s="2" t="str">
        <f>_xlfn.XLOOKUP($I29,Tab_00.Trial[CONTA],Tab_00.Trial[S/A],"",0,1)</f>
        <v>S</v>
      </c>
      <c r="E29" s="2">
        <f>IF($I29="","",COUNTIFS(Tab_00.Trial[CONTA],$I29))</f>
        <v>1</v>
      </c>
      <c r="F29" s="4">
        <f>SUMIFS(Tab_11.Nov[SALDO
ATUAL],Tab_11.Nov[CONTA],$I29)</f>
        <v>99324.97</v>
      </c>
      <c r="G29" s="4">
        <f t="shared" si="2"/>
        <v>0</v>
      </c>
      <c r="H29" s="1"/>
      <c r="I29" s="3" t="s">
        <v>205</v>
      </c>
      <c r="J29" s="3" t="s">
        <v>643</v>
      </c>
      <c r="K29" s="4">
        <v>99324.97</v>
      </c>
      <c r="L29" s="4">
        <v>39801.589999999997</v>
      </c>
      <c r="M29" s="4">
        <v>139126.56</v>
      </c>
      <c r="N29" s="4">
        <v>0</v>
      </c>
      <c r="O29" s="4">
        <f t="shared" si="3"/>
        <v>-99324.97</v>
      </c>
    </row>
    <row r="30" spans="2:15" x14ac:dyDescent="0.3">
      <c r="B30" s="2" t="str">
        <f>_xlfn.XLOOKUP($I30,Tab_00.Trial[CONTA],Tab_00.Trial[TP],"",0,1)</f>
        <v>A</v>
      </c>
      <c r="C30" s="2">
        <f>_xlfn.XLOOKUP($I30,Tab_00.Trial[CONTA],Tab_00.Trial[NV],"",0,1)</f>
        <v>5</v>
      </c>
      <c r="D30" s="2" t="str">
        <f>_xlfn.XLOOKUP($I30,Tab_00.Trial[CONTA],Tab_00.Trial[S/A],"",0,1)</f>
        <v>A</v>
      </c>
      <c r="E30" s="2">
        <f>IF($I30="","",COUNTIFS(Tab_00.Trial[CONTA],$I30))</f>
        <v>1</v>
      </c>
      <c r="F30" s="4">
        <f>SUMIFS(Tab_11.Nov[SALDO
ATUAL],Tab_11.Nov[CONTA],$I30)</f>
        <v>99324.97</v>
      </c>
      <c r="G30" s="4">
        <f t="shared" si="2"/>
        <v>0</v>
      </c>
      <c r="H30" s="1"/>
      <c r="I30" s="3" t="s">
        <v>291</v>
      </c>
      <c r="J30" s="3" t="s">
        <v>292</v>
      </c>
      <c r="K30" s="4">
        <v>99324.97</v>
      </c>
      <c r="L30" s="4">
        <v>39801.589999999997</v>
      </c>
      <c r="M30" s="4">
        <v>139126.56</v>
      </c>
      <c r="N30" s="4">
        <v>0</v>
      </c>
      <c r="O30" s="4">
        <f t="shared" si="3"/>
        <v>-99324.97</v>
      </c>
    </row>
    <row r="31" spans="2:15" x14ac:dyDescent="0.3">
      <c r="B31" s="2" t="str">
        <f>_xlfn.XLOOKUP($I31,Tab_00.Trial[CONTA],Tab_00.Trial[TP],"",0,1)</f>
        <v>A</v>
      </c>
      <c r="C31" s="2">
        <f>_xlfn.XLOOKUP($I31,Tab_00.Trial[CONTA],Tab_00.Trial[NV],"",0,1)</f>
        <v>5</v>
      </c>
      <c r="D31" s="2" t="str">
        <f>_xlfn.XLOOKUP($I31,Tab_00.Trial[CONTA],Tab_00.Trial[S/A],"",0,1)</f>
        <v>S</v>
      </c>
      <c r="E31" s="2">
        <f>IF($I31="","",COUNTIFS(Tab_00.Trial[CONTA],$I31))</f>
        <v>1</v>
      </c>
      <c r="F31" s="4">
        <f>SUMIFS(Tab_11.Nov[SALDO
ATUAL],Tab_11.Nov[CONTA],$I31)</f>
        <v>4705.95</v>
      </c>
      <c r="G31" s="4">
        <f t="shared" si="2"/>
        <v>0</v>
      </c>
      <c r="H31" s="1"/>
      <c r="I31" s="3" t="s">
        <v>841</v>
      </c>
      <c r="J31" s="3" t="s">
        <v>842</v>
      </c>
      <c r="K31" s="4">
        <v>4705.95</v>
      </c>
      <c r="L31" s="4">
        <v>0</v>
      </c>
      <c r="M31" s="4">
        <v>0</v>
      </c>
      <c r="N31" s="4">
        <v>4705.95</v>
      </c>
      <c r="O31" s="4">
        <f t="shared" si="3"/>
        <v>0</v>
      </c>
    </row>
    <row r="32" spans="2:15" x14ac:dyDescent="0.3">
      <c r="B32" s="2" t="str">
        <f>_xlfn.XLOOKUP($I32,Tab_00.Trial[CONTA],Tab_00.Trial[TP],"",0,1)</f>
        <v>A</v>
      </c>
      <c r="C32" s="2">
        <f>_xlfn.XLOOKUP($I32,Tab_00.Trial[CONTA],Tab_00.Trial[NV],"",0,1)</f>
        <v>5</v>
      </c>
      <c r="D32" s="2" t="str">
        <f>_xlfn.XLOOKUP($I32,Tab_00.Trial[CONTA],Tab_00.Trial[S/A],"",0,1)</f>
        <v>A</v>
      </c>
      <c r="E32" s="2">
        <f>IF($I32="","",COUNTIFS(Tab_00.Trial[CONTA],$I32))</f>
        <v>1</v>
      </c>
      <c r="F32" s="4">
        <f>SUMIFS(Tab_11.Nov[SALDO
ATUAL],Tab_11.Nov[CONTA],$I32)</f>
        <v>4705.95</v>
      </c>
      <c r="G32" s="4">
        <f t="shared" si="2"/>
        <v>0</v>
      </c>
      <c r="H32" s="1"/>
      <c r="I32" s="3" t="s">
        <v>843</v>
      </c>
      <c r="J32" s="3" t="s">
        <v>842</v>
      </c>
      <c r="K32" s="4">
        <v>4705.95</v>
      </c>
      <c r="L32" s="4">
        <v>0</v>
      </c>
      <c r="M32" s="4">
        <v>0</v>
      </c>
      <c r="N32" s="4">
        <v>4705.95</v>
      </c>
      <c r="O32" s="4">
        <f t="shared" si="3"/>
        <v>0</v>
      </c>
    </row>
    <row r="33" spans="2:16" x14ac:dyDescent="0.3">
      <c r="B33" s="2" t="str">
        <f>_xlfn.XLOOKUP($I33,Tab_00.Trial[CONTA],Tab_00.Trial[TP],"",0,1)</f>
        <v>A</v>
      </c>
      <c r="C33" s="2">
        <f>_xlfn.XLOOKUP($I33,Tab_00.Trial[CONTA],Tab_00.Trial[NV],"",0,1)</f>
        <v>5</v>
      </c>
      <c r="D33" s="2" t="str">
        <f>_xlfn.XLOOKUP($I33,Tab_00.Trial[CONTA],Tab_00.Trial[S/A],"",0,1)</f>
        <v>S</v>
      </c>
      <c r="E33" s="2">
        <f>IF($I33="","",COUNTIFS(Tab_00.Trial[CONTA],$I33))</f>
        <v>1</v>
      </c>
      <c r="F33" s="4">
        <f>SUMIFS(Tab_11.Nov[SALDO
ATUAL],Tab_11.Nov[CONTA],$I33)</f>
        <v>85757.18</v>
      </c>
      <c r="G33" s="4">
        <f t="shared" si="2"/>
        <v>0</v>
      </c>
      <c r="H33" s="1"/>
      <c r="I33" s="3" t="s">
        <v>206</v>
      </c>
      <c r="J33" s="3" t="s">
        <v>644</v>
      </c>
      <c r="K33" s="4">
        <v>85757.18</v>
      </c>
      <c r="L33" s="4">
        <v>1899</v>
      </c>
      <c r="M33" s="4">
        <v>79728.91</v>
      </c>
      <c r="N33" s="4">
        <v>7927.27</v>
      </c>
      <c r="O33" s="4">
        <f t="shared" si="3"/>
        <v>-77829.91</v>
      </c>
    </row>
    <row r="34" spans="2:16" x14ac:dyDescent="0.3">
      <c r="B34" s="2" t="str">
        <f>_xlfn.XLOOKUP($I34,Tab_00.Trial[CONTA],Tab_00.Trial[TP],"",0,1)</f>
        <v>A</v>
      </c>
      <c r="C34" s="2">
        <f>_xlfn.XLOOKUP($I34,Tab_00.Trial[CONTA],Tab_00.Trial[NV],"",0,1)</f>
        <v>5</v>
      </c>
      <c r="D34" s="2" t="str">
        <f>_xlfn.XLOOKUP($I34,Tab_00.Trial[CONTA],Tab_00.Trial[S/A],"",0,1)</f>
        <v>S</v>
      </c>
      <c r="E34" s="2">
        <f>IF($I34="","",COUNTIFS(Tab_00.Trial[CONTA],$I34))</f>
        <v>1</v>
      </c>
      <c r="F34" s="4">
        <f>SUMIFS(Tab_11.Nov[SALDO
ATUAL],Tab_11.Nov[CONTA],$I34)</f>
        <v>79463.289999999994</v>
      </c>
      <c r="G34" s="4">
        <f t="shared" si="2"/>
        <v>0</v>
      </c>
      <c r="H34" s="1"/>
      <c r="I34" s="3" t="s">
        <v>208</v>
      </c>
      <c r="J34" s="3" t="s">
        <v>139</v>
      </c>
      <c r="K34" s="4">
        <v>79463.289999999994</v>
      </c>
      <c r="L34" s="4">
        <v>0</v>
      </c>
      <c r="M34" s="4">
        <v>79463.289999999994</v>
      </c>
      <c r="N34" s="4">
        <v>0</v>
      </c>
      <c r="O34" s="4">
        <f t="shared" si="3"/>
        <v>-79463.289999999994</v>
      </c>
    </row>
    <row r="35" spans="2:16" x14ac:dyDescent="0.3">
      <c r="B35" s="2" t="str">
        <f>_xlfn.XLOOKUP($I35,Tab_00.Trial[CONTA],Tab_00.Trial[TP],"",0,1)</f>
        <v>A</v>
      </c>
      <c r="C35" s="2">
        <f>_xlfn.XLOOKUP($I35,Tab_00.Trial[CONTA],Tab_00.Trial[NV],"",0,1)</f>
        <v>5</v>
      </c>
      <c r="D35" s="2" t="str">
        <f>_xlfn.XLOOKUP($I35,Tab_00.Trial[CONTA],Tab_00.Trial[S/A],"",0,1)</f>
        <v>A</v>
      </c>
      <c r="E35" s="2">
        <f>IF($I35="","",COUNTIFS(Tab_00.Trial[CONTA],$I35))</f>
        <v>1</v>
      </c>
      <c r="F35" s="4">
        <f>SUMIFS(Tab_11.Nov[SALDO
ATUAL],Tab_11.Nov[CONTA],$I35)</f>
        <v>78477.31</v>
      </c>
      <c r="G35" s="4">
        <f t="shared" si="2"/>
        <v>0</v>
      </c>
      <c r="H35" s="1"/>
      <c r="I35" s="3" t="s">
        <v>818</v>
      </c>
      <c r="J35" s="3" t="s">
        <v>819</v>
      </c>
      <c r="K35" s="4">
        <v>78477.31</v>
      </c>
      <c r="L35" s="4">
        <v>0</v>
      </c>
      <c r="M35" s="4">
        <v>78477.31</v>
      </c>
      <c r="N35" s="4">
        <v>0</v>
      </c>
      <c r="O35" s="4">
        <f t="shared" si="3"/>
        <v>-78477.31</v>
      </c>
    </row>
    <row r="36" spans="2:16" x14ac:dyDescent="0.3">
      <c r="B36" s="2" t="str">
        <f>_xlfn.XLOOKUP($I36,Tab_00.Trial[CONTA],Tab_00.Trial[TP],"",0,1)</f>
        <v>A</v>
      </c>
      <c r="C36" s="2">
        <f>_xlfn.XLOOKUP($I36,Tab_00.Trial[CONTA],Tab_00.Trial[NV],"",0,1)</f>
        <v>5</v>
      </c>
      <c r="D36" s="2" t="str">
        <f>_xlfn.XLOOKUP($I36,Tab_00.Trial[CONTA],Tab_00.Trial[S/A],"",0,1)</f>
        <v>A</v>
      </c>
      <c r="E36" s="2">
        <f>IF($I36="","",COUNTIFS(Tab_00.Trial[CONTA],$I36))</f>
        <v>1</v>
      </c>
      <c r="F36" s="4">
        <f>SUMIFS(Tab_11.Nov[SALDO
ATUAL],Tab_11.Nov[CONTA],$I36)</f>
        <v>985.98</v>
      </c>
      <c r="G36" s="4">
        <f t="shared" si="2"/>
        <v>0</v>
      </c>
      <c r="H36" s="1"/>
      <c r="I36" s="3" t="s">
        <v>294</v>
      </c>
      <c r="J36" s="3" t="s">
        <v>295</v>
      </c>
      <c r="K36" s="4">
        <v>985.98</v>
      </c>
      <c r="L36" s="4">
        <v>0</v>
      </c>
      <c r="M36" s="4">
        <v>985.98</v>
      </c>
      <c r="N36" s="4">
        <v>0</v>
      </c>
      <c r="O36" s="4">
        <f t="shared" si="3"/>
        <v>-985.98</v>
      </c>
    </row>
    <row r="37" spans="2:16" x14ac:dyDescent="0.3">
      <c r="B37" s="2" t="str">
        <f>_xlfn.XLOOKUP($I37,Tab_00.Trial[CONTA],Tab_00.Trial[TP],"",0,1)</f>
        <v>A</v>
      </c>
      <c r="C37" s="2">
        <f>_xlfn.XLOOKUP($I37,Tab_00.Trial[CONTA],Tab_00.Trial[NV],"",0,1)</f>
        <v>5</v>
      </c>
      <c r="D37" s="2" t="str">
        <f>_xlfn.XLOOKUP($I37,Tab_00.Trial[CONTA],Tab_00.Trial[S/A],"",0,1)</f>
        <v>S</v>
      </c>
      <c r="E37" s="2">
        <f>IF($I37="","",COUNTIFS(Tab_00.Trial[CONTA],$I37))</f>
        <v>1</v>
      </c>
      <c r="F37" s="4">
        <f>SUMIFS(Tab_11.Nov[SALDO
ATUAL],Tab_11.Nov[CONTA],$I37)</f>
        <v>6293.89</v>
      </c>
      <c r="G37" s="4">
        <f t="shared" si="2"/>
        <v>0</v>
      </c>
      <c r="H37" s="1"/>
      <c r="I37" s="3" t="s">
        <v>551</v>
      </c>
      <c r="J37" s="3" t="s">
        <v>645</v>
      </c>
      <c r="K37" s="4">
        <v>6293.89</v>
      </c>
      <c r="L37" s="4">
        <v>1899</v>
      </c>
      <c r="M37" s="4">
        <v>265.62</v>
      </c>
      <c r="N37" s="4">
        <v>7927.27</v>
      </c>
      <c r="O37" s="4">
        <f t="shared" si="3"/>
        <v>1633.38</v>
      </c>
    </row>
    <row r="38" spans="2:16" x14ac:dyDescent="0.3">
      <c r="B38" s="2" t="str">
        <f>_xlfn.XLOOKUP($I38,Tab_00.Trial[CONTA],Tab_00.Trial[TP],"",0,1)</f>
        <v>A</v>
      </c>
      <c r="C38" s="2">
        <f>_xlfn.XLOOKUP($I38,Tab_00.Trial[CONTA],Tab_00.Trial[NV],"",0,1)</f>
        <v>5</v>
      </c>
      <c r="D38" s="2" t="str">
        <f>_xlfn.XLOOKUP($I38,Tab_00.Trial[CONTA],Tab_00.Trial[S/A],"",0,1)</f>
        <v>A</v>
      </c>
      <c r="E38" s="2">
        <f>IF($I38="","",COUNTIFS(Tab_00.Trial[CONTA],$I38))</f>
        <v>1</v>
      </c>
      <c r="F38" s="4">
        <f>SUMIFS(Tab_11.Nov[SALDO
ATUAL],Tab_11.Nov[CONTA],$I38)</f>
        <v>98.63</v>
      </c>
      <c r="G38" s="4">
        <f t="shared" si="2"/>
        <v>0</v>
      </c>
      <c r="H38" s="1"/>
      <c r="I38" s="3" t="s">
        <v>844</v>
      </c>
      <c r="J38" s="3" t="s">
        <v>845</v>
      </c>
      <c r="K38" s="4">
        <v>98.63</v>
      </c>
      <c r="L38" s="4">
        <v>1899</v>
      </c>
      <c r="M38" s="4">
        <v>0</v>
      </c>
      <c r="N38" s="4">
        <v>1997.63</v>
      </c>
      <c r="O38" s="4">
        <f t="shared" si="3"/>
        <v>1899</v>
      </c>
    </row>
    <row r="39" spans="2:16" x14ac:dyDescent="0.3">
      <c r="B39" s="2" t="str">
        <f>_xlfn.XLOOKUP($I39,Tab_00.Trial[CONTA],Tab_00.Trial[TP],"",0,1)</f>
        <v>A</v>
      </c>
      <c r="C39" s="2">
        <f>_xlfn.XLOOKUP($I39,Tab_00.Trial[CONTA],Tab_00.Trial[NV],"",0,1)</f>
        <v>5</v>
      </c>
      <c r="D39" s="2" t="str">
        <f>_xlfn.XLOOKUP($I39,Tab_00.Trial[CONTA],Tab_00.Trial[S/A],"",0,1)</f>
        <v>A</v>
      </c>
      <c r="E39" s="2">
        <f>IF($I39="","",COUNTIFS(Tab_00.Trial[CONTA],$I39))</f>
        <v>1</v>
      </c>
      <c r="F39" s="4">
        <f>SUMIFS(Tab_11.Nov[SALDO
ATUAL],Tab_11.Nov[CONTA],$I39)</f>
        <v>6195.26</v>
      </c>
      <c r="G39" s="4">
        <f t="shared" si="2"/>
        <v>0</v>
      </c>
      <c r="H39" s="1"/>
      <c r="I39" s="3" t="s">
        <v>837</v>
      </c>
      <c r="J39" s="3" t="s">
        <v>838</v>
      </c>
      <c r="K39" s="4">
        <v>6195.26</v>
      </c>
      <c r="L39" s="4">
        <v>0</v>
      </c>
      <c r="M39" s="4">
        <v>265.62</v>
      </c>
      <c r="N39" s="4">
        <v>5929.64</v>
      </c>
      <c r="O39" s="4">
        <f t="shared" si="3"/>
        <v>-265.62</v>
      </c>
    </row>
    <row r="40" spans="2:16" x14ac:dyDescent="0.3">
      <c r="B40" s="2" t="str">
        <f>_xlfn.XLOOKUP($I40,Tab_00.Trial[CONTA],Tab_00.Trial[TP],"",0,1)</f>
        <v>A</v>
      </c>
      <c r="C40" s="2">
        <f>_xlfn.XLOOKUP($I40,Tab_00.Trial[CONTA],Tab_00.Trial[NV],"",0,1)</f>
        <v>5</v>
      </c>
      <c r="D40" s="2" t="str">
        <f>_xlfn.XLOOKUP($I40,Tab_00.Trial[CONTA],Tab_00.Trial[S/A],"",0,1)</f>
        <v>S</v>
      </c>
      <c r="E40" s="2">
        <f>IF($I40="","",COUNTIFS(Tab_00.Trial[CONTA],$I40))</f>
        <v>1</v>
      </c>
      <c r="F40" s="4">
        <f>SUMIFS(Tab_11.Nov[SALDO
ATUAL],Tab_11.Nov[CONTA],$I40)</f>
        <v>73865.38</v>
      </c>
      <c r="G40" s="4">
        <f t="shared" si="2"/>
        <v>0</v>
      </c>
      <c r="H40" s="1"/>
      <c r="I40" s="3" t="s">
        <v>846</v>
      </c>
      <c r="J40" s="3" t="s">
        <v>847</v>
      </c>
      <c r="K40" s="4">
        <v>73865.38</v>
      </c>
      <c r="L40" s="4">
        <v>0</v>
      </c>
      <c r="M40" s="4">
        <v>0</v>
      </c>
      <c r="N40" s="4">
        <v>73865.38</v>
      </c>
      <c r="O40" s="4">
        <f t="shared" si="3"/>
        <v>0</v>
      </c>
    </row>
    <row r="41" spans="2:16" x14ac:dyDescent="0.3">
      <c r="B41" s="2" t="str">
        <f>_xlfn.XLOOKUP($I41,Tab_00.Trial[CONTA],Tab_00.Trial[TP],"",0,1)</f>
        <v>A</v>
      </c>
      <c r="C41" s="2">
        <f>_xlfn.XLOOKUP($I41,Tab_00.Trial[CONTA],Tab_00.Trial[NV],"",0,1)</f>
        <v>5</v>
      </c>
      <c r="D41" s="2" t="str">
        <f>_xlfn.XLOOKUP($I41,Tab_00.Trial[CONTA],Tab_00.Trial[S/A],"",0,1)</f>
        <v>S</v>
      </c>
      <c r="E41" s="2">
        <f>IF($I41="","",COUNTIFS(Tab_00.Trial[CONTA],$I41))</f>
        <v>1</v>
      </c>
      <c r="F41" s="4">
        <f>SUMIFS(Tab_11.Nov[SALDO
ATUAL],Tab_11.Nov[CONTA],$I41)</f>
        <v>73865.38</v>
      </c>
      <c r="G41" s="4">
        <f t="shared" si="2"/>
        <v>0</v>
      </c>
      <c r="H41" s="1"/>
      <c r="I41" s="3" t="s">
        <v>848</v>
      </c>
      <c r="J41" s="3" t="s">
        <v>849</v>
      </c>
      <c r="K41" s="4">
        <v>73865.38</v>
      </c>
      <c r="L41" s="4">
        <v>0</v>
      </c>
      <c r="M41" s="4">
        <v>0</v>
      </c>
      <c r="N41" s="4">
        <v>73865.38</v>
      </c>
      <c r="O41" s="4">
        <f t="shared" si="3"/>
        <v>0</v>
      </c>
    </row>
    <row r="42" spans="2:16" x14ac:dyDescent="0.3">
      <c r="B42" s="2" t="str">
        <f>_xlfn.XLOOKUP($I42,Tab_00.Trial[CONTA],Tab_00.Trial[TP],"",0,1)</f>
        <v>A</v>
      </c>
      <c r="C42" s="2">
        <f>_xlfn.XLOOKUP($I42,Tab_00.Trial[CONTA],Tab_00.Trial[NV],"",0,1)</f>
        <v>5</v>
      </c>
      <c r="D42" s="2" t="str">
        <f>_xlfn.XLOOKUP($I42,Tab_00.Trial[CONTA],Tab_00.Trial[S/A],"",0,1)</f>
        <v>A</v>
      </c>
      <c r="E42" s="2">
        <f>IF($I42="","",COUNTIFS(Tab_00.Trial[CONTA],$I42))</f>
        <v>1</v>
      </c>
      <c r="F42" s="4">
        <f>SUMIFS(Tab_11.Nov[SALDO
ATUAL],Tab_11.Nov[CONTA],$I42)</f>
        <v>73865.38</v>
      </c>
      <c r="G42" s="4">
        <f t="shared" si="2"/>
        <v>0</v>
      </c>
      <c r="H42" s="1"/>
      <c r="I42" s="3" t="s">
        <v>850</v>
      </c>
      <c r="J42" s="3" t="s">
        <v>849</v>
      </c>
      <c r="K42" s="4">
        <v>73865.38</v>
      </c>
      <c r="L42" s="4">
        <v>0</v>
      </c>
      <c r="M42" s="4">
        <v>0</v>
      </c>
      <c r="N42" s="4">
        <v>73865.38</v>
      </c>
      <c r="O42" s="4">
        <f t="shared" si="3"/>
        <v>0</v>
      </c>
    </row>
    <row r="43" spans="2:16" x14ac:dyDescent="0.3">
      <c r="B43" s="2" t="str">
        <f>_xlfn.XLOOKUP($I43,Tab_00.Trial[CONTA],Tab_00.Trial[TP],"",0,1)</f>
        <v>A</v>
      </c>
      <c r="C43" s="2">
        <f>_xlfn.XLOOKUP($I43,Tab_00.Trial[CONTA],Tab_00.Trial[NV],"",0,1)</f>
        <v>5</v>
      </c>
      <c r="D43" s="2" t="str">
        <f>_xlfn.XLOOKUP($I43,Tab_00.Trial[CONTA],Tab_00.Trial[S/A],"",0,1)</f>
        <v>S</v>
      </c>
      <c r="E43" s="2">
        <f>IF($I43="","",COUNTIFS(Tab_00.Trial[CONTA],$I43))</f>
        <v>1</v>
      </c>
      <c r="F43" s="4">
        <f>SUMIFS(Tab_11.Nov[SALDO
ATUAL],Tab_11.Nov[CONTA],$I43)</f>
        <v>2917.62</v>
      </c>
      <c r="G43" s="4">
        <f t="shared" si="2"/>
        <v>0</v>
      </c>
      <c r="H43" s="1"/>
      <c r="I43" s="3" t="s">
        <v>209</v>
      </c>
      <c r="J43" s="3" t="s">
        <v>646</v>
      </c>
      <c r="K43" s="4">
        <v>2917.62</v>
      </c>
      <c r="L43" s="4">
        <v>0</v>
      </c>
      <c r="M43" s="4">
        <v>291.76</v>
      </c>
      <c r="N43" s="4">
        <v>2625.86</v>
      </c>
      <c r="O43" s="4">
        <f t="shared" si="3"/>
        <v>-291.76</v>
      </c>
    </row>
    <row r="44" spans="2:16" x14ac:dyDescent="0.3">
      <c r="B44" s="2" t="str">
        <f>_xlfn.XLOOKUP($I44,Tab_00.Trial[CONTA],Tab_00.Trial[TP],"",0,1)</f>
        <v>A</v>
      </c>
      <c r="C44" s="2">
        <f>_xlfn.XLOOKUP($I44,Tab_00.Trial[CONTA],Tab_00.Trial[NV],"",0,1)</f>
        <v>5</v>
      </c>
      <c r="D44" s="2" t="str">
        <f>_xlfn.XLOOKUP($I44,Tab_00.Trial[CONTA],Tab_00.Trial[S/A],"",0,1)</f>
        <v>S</v>
      </c>
      <c r="E44" s="2">
        <f>IF($I44="","",COUNTIFS(Tab_00.Trial[CONTA],$I44))</f>
        <v>1</v>
      </c>
      <c r="F44" s="4">
        <f>SUMIFS(Tab_11.Nov[SALDO
ATUAL],Tab_11.Nov[CONTA],$I44)</f>
        <v>2917.62</v>
      </c>
      <c r="G44" s="4">
        <f t="shared" si="2"/>
        <v>0</v>
      </c>
      <c r="H44" s="1"/>
      <c r="I44" s="3" t="s">
        <v>210</v>
      </c>
      <c r="J44" s="3" t="s">
        <v>646</v>
      </c>
      <c r="K44" s="4">
        <v>2917.62</v>
      </c>
      <c r="L44" s="4">
        <v>0</v>
      </c>
      <c r="M44" s="4">
        <v>291.76</v>
      </c>
      <c r="N44" s="4">
        <v>2625.86</v>
      </c>
      <c r="O44" s="4">
        <f t="shared" si="3"/>
        <v>-291.76</v>
      </c>
    </row>
    <row r="45" spans="2:16" x14ac:dyDescent="0.3">
      <c r="B45" s="2" t="str">
        <f>_xlfn.XLOOKUP($I45,Tab_00.Trial[CONTA],Tab_00.Trial[TP],"",0,1)</f>
        <v>A</v>
      </c>
      <c r="C45" s="2">
        <f>_xlfn.XLOOKUP($I45,Tab_00.Trial[CONTA],Tab_00.Trial[NV],"",0,1)</f>
        <v>5</v>
      </c>
      <c r="D45" s="2" t="str">
        <f>_xlfn.XLOOKUP($I45,Tab_00.Trial[CONTA],Tab_00.Trial[S/A],"",0,1)</f>
        <v>A</v>
      </c>
      <c r="E45" s="2">
        <f>IF($I45="","",COUNTIFS(Tab_00.Trial[CONTA],$I45))</f>
        <v>1</v>
      </c>
      <c r="F45" s="4">
        <f>SUMIFS(Tab_11.Nov[SALDO
ATUAL],Tab_11.Nov[CONTA],$I45)</f>
        <v>2917.62</v>
      </c>
      <c r="G45" s="4">
        <f t="shared" si="2"/>
        <v>0</v>
      </c>
      <c r="H45" s="1"/>
      <c r="I45" s="3" t="s">
        <v>298</v>
      </c>
      <c r="J45" s="3" t="s">
        <v>299</v>
      </c>
      <c r="K45" s="4">
        <v>2917.62</v>
      </c>
      <c r="L45" s="4">
        <v>0</v>
      </c>
      <c r="M45" s="4">
        <v>291.76</v>
      </c>
      <c r="N45" s="4">
        <v>2625.86</v>
      </c>
      <c r="O45" s="4">
        <f t="shared" si="3"/>
        <v>-291.76</v>
      </c>
    </row>
    <row r="46" spans="2:16" x14ac:dyDescent="0.3">
      <c r="B46" s="2" t="str">
        <f>_xlfn.XLOOKUP($I46,Tab_00.Trial[CONTA],Tab_00.Trial[TP],"",0,1)</f>
        <v>A</v>
      </c>
      <c r="C46" s="2">
        <f>_xlfn.XLOOKUP($I46,Tab_00.Trial[CONTA],Tab_00.Trial[NV],"",0,1)</f>
        <v>2</v>
      </c>
      <c r="D46" s="2" t="str">
        <f>_xlfn.XLOOKUP($I46,Tab_00.Trial[CONTA],Tab_00.Trial[S/A],"",0,1)</f>
        <v>S</v>
      </c>
      <c r="E46" s="2">
        <f>IF($I46="","",COUNTIFS(Tab_00.Trial[CONTA],$I46))</f>
        <v>1</v>
      </c>
      <c r="F46" s="4">
        <f>SUMIFS(Tab_11.Nov[SALDO
ATUAL],Tab_11.Nov[CONTA],$I46)</f>
        <v>74283168.849999994</v>
      </c>
      <c r="G46" s="4">
        <f t="shared" si="2"/>
        <v>0</v>
      </c>
      <c r="H46" s="1"/>
      <c r="I46" s="3" t="s">
        <v>211</v>
      </c>
      <c r="J46" s="3" t="s">
        <v>76</v>
      </c>
      <c r="K46" s="4">
        <v>74283168.849999994</v>
      </c>
      <c r="L46" s="4">
        <v>5914.28</v>
      </c>
      <c r="M46" s="4">
        <v>144023.75</v>
      </c>
      <c r="N46" s="4">
        <v>74145059.379999995</v>
      </c>
      <c r="O46" s="4">
        <f t="shared" si="3"/>
        <v>-138109.47</v>
      </c>
    </row>
    <row r="47" spans="2:16" x14ac:dyDescent="0.3">
      <c r="B47" s="2" t="str">
        <f>_xlfn.XLOOKUP($I47,Tab_00.Trial[CONTA],Tab_00.Trial[TP],"",0,1)</f>
        <v>A</v>
      </c>
      <c r="C47" s="2">
        <f>_xlfn.XLOOKUP($I47,Tab_00.Trial[CONTA],Tab_00.Trial[NV],"",0,1)</f>
        <v>5</v>
      </c>
      <c r="D47" s="2" t="str">
        <f>_xlfn.XLOOKUP($I47,Tab_00.Trial[CONTA],Tab_00.Trial[S/A],"",0,1)</f>
        <v>S</v>
      </c>
      <c r="E47" s="2">
        <f>IF($I47="","",COUNTIFS(Tab_00.Trial[CONTA],$I47))</f>
        <v>1</v>
      </c>
      <c r="F47" s="4">
        <f>SUMIFS(Tab_11.Nov[SALDO
ATUAL],Tab_11.Nov[CONTA],$I47)</f>
        <v>256983.97</v>
      </c>
      <c r="G47" s="4">
        <f t="shared" si="2"/>
        <v>0</v>
      </c>
      <c r="H47" s="1"/>
      <c r="I47" s="3" t="s">
        <v>552</v>
      </c>
      <c r="J47" s="3" t="s">
        <v>647</v>
      </c>
      <c r="K47" s="4">
        <v>256983.97</v>
      </c>
      <c r="L47" s="4">
        <v>0</v>
      </c>
      <c r="M47" s="4">
        <v>0</v>
      </c>
      <c r="N47" s="4">
        <v>256983.97</v>
      </c>
      <c r="O47" s="4">
        <f t="shared" si="3"/>
        <v>0</v>
      </c>
      <c r="P47" s="4"/>
    </row>
    <row r="48" spans="2:16" x14ac:dyDescent="0.3">
      <c r="B48" s="2" t="str">
        <f>_xlfn.XLOOKUP($I48,Tab_00.Trial[CONTA],Tab_00.Trial[TP],"",0,1)</f>
        <v>A</v>
      </c>
      <c r="C48" s="2">
        <f>_xlfn.XLOOKUP($I48,Tab_00.Trial[CONTA],Tab_00.Trial[NV],"",0,1)</f>
        <v>5</v>
      </c>
      <c r="D48" s="2" t="str">
        <f>_xlfn.XLOOKUP($I48,Tab_00.Trial[CONTA],Tab_00.Trial[S/A],"",0,1)</f>
        <v>S</v>
      </c>
      <c r="E48" s="2">
        <f>IF($I48="","",COUNTIFS(Tab_00.Trial[CONTA],$I48))</f>
        <v>1</v>
      </c>
      <c r="F48" s="4">
        <f>SUMIFS(Tab_11.Nov[SALDO
ATUAL],Tab_11.Nov[CONTA],$I48)</f>
        <v>256983.97</v>
      </c>
      <c r="G48" s="4">
        <f t="shared" si="2"/>
        <v>0</v>
      </c>
      <c r="H48" s="1"/>
      <c r="I48" s="3" t="s">
        <v>553</v>
      </c>
      <c r="J48" s="3" t="s">
        <v>301</v>
      </c>
      <c r="K48" s="4">
        <v>256983.97</v>
      </c>
      <c r="L48" s="4">
        <v>0</v>
      </c>
      <c r="M48" s="4">
        <v>0</v>
      </c>
      <c r="N48" s="4">
        <v>256983.97</v>
      </c>
      <c r="O48" s="4">
        <f t="shared" si="3"/>
        <v>0</v>
      </c>
    </row>
    <row r="49" spans="2:15" x14ac:dyDescent="0.3">
      <c r="B49" s="2" t="str">
        <f>_xlfn.XLOOKUP($I49,Tab_00.Trial[CONTA],Tab_00.Trial[TP],"",0,1)</f>
        <v>A</v>
      </c>
      <c r="C49" s="2">
        <f>_xlfn.XLOOKUP($I49,Tab_00.Trial[CONTA],Tab_00.Trial[NV],"",0,1)</f>
        <v>5</v>
      </c>
      <c r="D49" s="2" t="str">
        <f>_xlfn.XLOOKUP($I49,Tab_00.Trial[CONTA],Tab_00.Trial[S/A],"",0,1)</f>
        <v>A</v>
      </c>
      <c r="E49" s="2">
        <f>IF($I49="","",COUNTIFS(Tab_00.Trial[CONTA],$I49))</f>
        <v>1</v>
      </c>
      <c r="F49" s="4">
        <f>SUMIFS(Tab_11.Nov[SALDO
ATUAL],Tab_11.Nov[CONTA],$I49)</f>
        <v>256983.97</v>
      </c>
      <c r="G49" s="4">
        <f t="shared" si="2"/>
        <v>0</v>
      </c>
      <c r="H49" s="1"/>
      <c r="I49" s="3" t="s">
        <v>300</v>
      </c>
      <c r="J49" s="3" t="s">
        <v>301</v>
      </c>
      <c r="K49" s="4">
        <v>256983.97</v>
      </c>
      <c r="L49" s="4">
        <v>0</v>
      </c>
      <c r="M49" s="4">
        <v>0</v>
      </c>
      <c r="N49" s="4">
        <v>256983.97</v>
      </c>
      <c r="O49" s="4">
        <f t="shared" si="3"/>
        <v>0</v>
      </c>
    </row>
    <row r="50" spans="2:15" x14ac:dyDescent="0.3">
      <c r="B50" s="2" t="str">
        <f>_xlfn.XLOOKUP($I50,Tab_00.Trial[CONTA],Tab_00.Trial[TP],"",0,1)</f>
        <v>A</v>
      </c>
      <c r="C50" s="2">
        <f>_xlfn.XLOOKUP($I50,Tab_00.Trial[CONTA],Tab_00.Trial[NV],"",0,1)</f>
        <v>5</v>
      </c>
      <c r="D50" s="2" t="str">
        <f>_xlfn.XLOOKUP($I50,Tab_00.Trial[CONTA],Tab_00.Trial[S/A],"",0,1)</f>
        <v>S</v>
      </c>
      <c r="E50" s="2">
        <f>IF($I50="","",COUNTIFS(Tab_00.Trial[CONTA],$I50))</f>
        <v>1</v>
      </c>
      <c r="F50" s="4">
        <f>SUMIFS(Tab_11.Nov[SALDO
ATUAL],Tab_11.Nov[CONTA],$I50)</f>
        <v>71671635.069999993</v>
      </c>
      <c r="G50" s="4">
        <f t="shared" si="2"/>
        <v>0</v>
      </c>
      <c r="H50" s="1"/>
      <c r="I50" s="3" t="s">
        <v>554</v>
      </c>
      <c r="J50" s="3" t="s">
        <v>648</v>
      </c>
      <c r="K50" s="4">
        <v>71671635.069999993</v>
      </c>
      <c r="L50" s="4">
        <v>908</v>
      </c>
      <c r="M50" s="4">
        <v>140357</v>
      </c>
      <c r="N50" s="4">
        <v>71532186.069999993</v>
      </c>
      <c r="O50" s="4">
        <f t="shared" si="3"/>
        <v>-139449</v>
      </c>
    </row>
    <row r="51" spans="2:15" x14ac:dyDescent="0.3">
      <c r="B51" s="2" t="str">
        <f>_xlfn.XLOOKUP($I51,Tab_00.Trial[CONTA],Tab_00.Trial[TP],"",0,1)</f>
        <v>A</v>
      </c>
      <c r="C51" s="2">
        <f>_xlfn.XLOOKUP($I51,Tab_00.Trial[CONTA],Tab_00.Trial[NV],"",0,1)</f>
        <v>5</v>
      </c>
      <c r="D51" s="2" t="str">
        <f>_xlfn.XLOOKUP($I51,Tab_00.Trial[CONTA],Tab_00.Trial[S/A],"",0,1)</f>
        <v>S</v>
      </c>
      <c r="E51" s="2">
        <f>IF($I51="","",COUNTIFS(Tab_00.Trial[CONTA],$I51))</f>
        <v>1</v>
      </c>
      <c r="F51" s="4">
        <f>SUMIFS(Tab_11.Nov[SALDO
ATUAL],Tab_11.Nov[CONTA],$I51)</f>
        <v>45344232.229999997</v>
      </c>
      <c r="G51" s="4">
        <f t="shared" si="2"/>
        <v>0</v>
      </c>
      <c r="H51" s="1"/>
      <c r="I51" s="3" t="s">
        <v>555</v>
      </c>
      <c r="J51" s="3" t="s">
        <v>649</v>
      </c>
      <c r="K51" s="4">
        <v>45344232.229999997</v>
      </c>
      <c r="L51" s="4">
        <v>0</v>
      </c>
      <c r="M51" s="4">
        <v>0</v>
      </c>
      <c r="N51" s="4">
        <v>45344232.229999997</v>
      </c>
      <c r="O51" s="4">
        <f t="shared" si="3"/>
        <v>0</v>
      </c>
    </row>
    <row r="52" spans="2:15" x14ac:dyDescent="0.3">
      <c r="B52" s="2" t="str">
        <f>_xlfn.XLOOKUP($I52,Tab_00.Trial[CONTA],Tab_00.Trial[TP],"",0,1)</f>
        <v>A</v>
      </c>
      <c r="C52" s="2">
        <f>_xlfn.XLOOKUP($I52,Tab_00.Trial[CONTA],Tab_00.Trial[NV],"",0,1)</f>
        <v>5</v>
      </c>
      <c r="D52" s="2" t="str">
        <f>_xlfn.XLOOKUP($I52,Tab_00.Trial[CONTA],Tab_00.Trial[S/A],"",0,1)</f>
        <v>A</v>
      </c>
      <c r="E52" s="2">
        <f>IF($I52="","",COUNTIFS(Tab_00.Trial[CONTA],$I52))</f>
        <v>1</v>
      </c>
      <c r="F52" s="4">
        <f>SUMIFS(Tab_11.Nov[SALDO
ATUAL],Tab_11.Nov[CONTA],$I52)</f>
        <v>42477392.43</v>
      </c>
      <c r="G52" s="4">
        <f t="shared" si="2"/>
        <v>0</v>
      </c>
      <c r="H52" s="1"/>
      <c r="I52" s="3" t="s">
        <v>302</v>
      </c>
      <c r="J52" s="3" t="s">
        <v>303</v>
      </c>
      <c r="K52" s="4">
        <v>42477392.43</v>
      </c>
      <c r="L52" s="4">
        <v>0</v>
      </c>
      <c r="M52" s="4">
        <v>0</v>
      </c>
      <c r="N52" s="4">
        <v>42477392.43</v>
      </c>
      <c r="O52" s="4">
        <f t="shared" si="3"/>
        <v>0</v>
      </c>
    </row>
    <row r="53" spans="2:15" x14ac:dyDescent="0.3">
      <c r="B53" s="2" t="str">
        <f>_xlfn.XLOOKUP($I53,Tab_00.Trial[CONTA],Tab_00.Trial[TP],"",0,1)</f>
        <v>A</v>
      </c>
      <c r="C53" s="2">
        <f>_xlfn.XLOOKUP($I53,Tab_00.Trial[CONTA],Tab_00.Trial[NV],"",0,1)</f>
        <v>5</v>
      </c>
      <c r="D53" s="2" t="str">
        <f>_xlfn.XLOOKUP($I53,Tab_00.Trial[CONTA],Tab_00.Trial[S/A],"",0,1)</f>
        <v>A</v>
      </c>
      <c r="E53" s="2">
        <f>IF($I53="","",COUNTIFS(Tab_00.Trial[CONTA],$I53))</f>
        <v>1</v>
      </c>
      <c r="F53" s="4">
        <f>SUMIFS(Tab_11.Nov[SALDO
ATUAL],Tab_11.Nov[CONTA],$I53)</f>
        <v>2866839.8</v>
      </c>
      <c r="G53" s="4">
        <f t="shared" si="2"/>
        <v>0</v>
      </c>
      <c r="H53" s="1"/>
      <c r="I53" s="3" t="s">
        <v>304</v>
      </c>
      <c r="J53" s="3" t="s">
        <v>305</v>
      </c>
      <c r="K53" s="4">
        <v>2866839.8</v>
      </c>
      <c r="L53" s="4">
        <v>0</v>
      </c>
      <c r="M53" s="4">
        <v>0</v>
      </c>
      <c r="N53" s="4">
        <v>2866839.8</v>
      </c>
      <c r="O53" s="4">
        <f t="shared" si="3"/>
        <v>0</v>
      </c>
    </row>
    <row r="54" spans="2:15" x14ac:dyDescent="0.3">
      <c r="B54" s="2" t="str">
        <f>_xlfn.XLOOKUP($I54,Tab_00.Trial[CONTA],Tab_00.Trial[TP],"",0,1)</f>
        <v>A</v>
      </c>
      <c r="C54" s="2">
        <f>_xlfn.XLOOKUP($I54,Tab_00.Trial[CONTA],Tab_00.Trial[NV],"",0,1)</f>
        <v>5</v>
      </c>
      <c r="D54" s="2" t="str">
        <f>_xlfn.XLOOKUP($I54,Tab_00.Trial[CONTA],Tab_00.Trial[S/A],"",0,1)</f>
        <v>S</v>
      </c>
      <c r="E54" s="2">
        <f>IF($I54="","",COUNTIFS(Tab_00.Trial[CONTA],$I54))</f>
        <v>1</v>
      </c>
      <c r="F54" s="4">
        <f>SUMIFS(Tab_11.Nov[SALDO
ATUAL],Tab_11.Nov[CONTA],$I54)</f>
        <v>4760.84</v>
      </c>
      <c r="G54" s="4">
        <f t="shared" si="2"/>
        <v>0</v>
      </c>
      <c r="H54" s="1"/>
      <c r="I54" s="3" t="s">
        <v>556</v>
      </c>
      <c r="J54" s="3" t="s">
        <v>650</v>
      </c>
      <c r="K54" s="4">
        <v>4760.84</v>
      </c>
      <c r="L54" s="4">
        <v>0</v>
      </c>
      <c r="M54" s="4">
        <v>0</v>
      </c>
      <c r="N54" s="4">
        <v>4760.84</v>
      </c>
      <c r="O54" s="4">
        <f t="shared" si="3"/>
        <v>0</v>
      </c>
    </row>
    <row r="55" spans="2:15" x14ac:dyDescent="0.3">
      <c r="B55" s="2" t="str">
        <f>_xlfn.XLOOKUP($I55,Tab_00.Trial[CONTA],Tab_00.Trial[TP],"",0,1)</f>
        <v>A</v>
      </c>
      <c r="C55" s="2">
        <f>_xlfn.XLOOKUP($I55,Tab_00.Trial[CONTA],Tab_00.Trial[NV],"",0,1)</f>
        <v>5</v>
      </c>
      <c r="D55" s="2" t="str">
        <f>_xlfn.XLOOKUP($I55,Tab_00.Trial[CONTA],Tab_00.Trial[S/A],"",0,1)</f>
        <v>A</v>
      </c>
      <c r="E55" s="2">
        <f>IF($I55="","",COUNTIFS(Tab_00.Trial[CONTA],$I55))</f>
        <v>1</v>
      </c>
      <c r="F55" s="4">
        <f>SUMIFS(Tab_11.Nov[SALDO
ATUAL],Tab_11.Nov[CONTA],$I55)</f>
        <v>4760.84</v>
      </c>
      <c r="G55" s="4">
        <f t="shared" si="2"/>
        <v>0</v>
      </c>
      <c r="H55" s="1"/>
      <c r="I55" s="3" t="s">
        <v>306</v>
      </c>
      <c r="J55" s="3" t="s">
        <v>307</v>
      </c>
      <c r="K55" s="4">
        <v>4760.84</v>
      </c>
      <c r="L55" s="4">
        <v>0</v>
      </c>
      <c r="M55" s="4">
        <v>0</v>
      </c>
      <c r="N55" s="4">
        <v>4760.84</v>
      </c>
      <c r="O55" s="4">
        <f t="shared" si="3"/>
        <v>0</v>
      </c>
    </row>
    <row r="56" spans="2:15" x14ac:dyDescent="0.3">
      <c r="B56" s="2" t="str">
        <f>_xlfn.XLOOKUP($I56,Tab_00.Trial[CONTA],Tab_00.Trial[TP],"",0,1)</f>
        <v>A</v>
      </c>
      <c r="C56" s="2">
        <f>_xlfn.XLOOKUP($I56,Tab_00.Trial[CONTA],Tab_00.Trial[NV],"",0,1)</f>
        <v>5</v>
      </c>
      <c r="D56" s="2" t="str">
        <f>_xlfn.XLOOKUP($I56,Tab_00.Trial[CONTA],Tab_00.Trial[S/A],"",0,1)</f>
        <v>S</v>
      </c>
      <c r="E56" s="2">
        <f>IF($I56="","",COUNTIFS(Tab_00.Trial[CONTA],$I56))</f>
        <v>1</v>
      </c>
      <c r="F56" s="4">
        <f>SUMIFS(Tab_11.Nov[SALDO
ATUAL],Tab_11.Nov[CONTA],$I56)</f>
        <v>26322642</v>
      </c>
      <c r="G56" s="4">
        <f t="shared" si="2"/>
        <v>0</v>
      </c>
      <c r="H56" s="1"/>
      <c r="I56" s="3" t="s">
        <v>557</v>
      </c>
      <c r="J56" s="3" t="s">
        <v>309</v>
      </c>
      <c r="K56" s="4">
        <v>26322642</v>
      </c>
      <c r="L56" s="4">
        <v>908</v>
      </c>
      <c r="M56" s="4">
        <v>140357</v>
      </c>
      <c r="N56" s="4">
        <v>26183193</v>
      </c>
      <c r="O56" s="4">
        <f t="shared" si="3"/>
        <v>-139449</v>
      </c>
    </row>
    <row r="57" spans="2:15" x14ac:dyDescent="0.3">
      <c r="B57" s="2" t="str">
        <f>_xlfn.XLOOKUP($I57,Tab_00.Trial[CONTA],Tab_00.Trial[TP],"",0,1)</f>
        <v>A</v>
      </c>
      <c r="C57" s="2">
        <f>_xlfn.XLOOKUP($I57,Tab_00.Trial[CONTA],Tab_00.Trial[NV],"",0,1)</f>
        <v>5</v>
      </c>
      <c r="D57" s="2" t="str">
        <f>_xlfn.XLOOKUP($I57,Tab_00.Trial[CONTA],Tab_00.Trial[S/A],"",0,1)</f>
        <v>A</v>
      </c>
      <c r="E57" s="2">
        <f>IF($I57="","",COUNTIFS(Tab_00.Trial[CONTA],$I57))</f>
        <v>1</v>
      </c>
      <c r="F57" s="4">
        <f>SUMIFS(Tab_11.Nov[SALDO
ATUAL],Tab_11.Nov[CONTA],$I57)</f>
        <v>26322642</v>
      </c>
      <c r="G57" s="4">
        <f t="shared" si="2"/>
        <v>0</v>
      </c>
      <c r="H57" s="1"/>
      <c r="I57" s="3" t="s">
        <v>308</v>
      </c>
      <c r="J57" s="3" t="s">
        <v>309</v>
      </c>
      <c r="K57" s="4">
        <v>26322642</v>
      </c>
      <c r="L57" s="4">
        <v>908</v>
      </c>
      <c r="M57" s="4">
        <v>140357</v>
      </c>
      <c r="N57" s="4">
        <v>26183193</v>
      </c>
      <c r="O57" s="4">
        <f t="shared" si="3"/>
        <v>-139449</v>
      </c>
    </row>
    <row r="58" spans="2:15" x14ac:dyDescent="0.3">
      <c r="B58" s="2" t="str">
        <f>_xlfn.XLOOKUP($I58,Tab_00.Trial[CONTA],Tab_00.Trial[TP],"",0,1)</f>
        <v>A</v>
      </c>
      <c r="C58" s="2">
        <f>_xlfn.XLOOKUP($I58,Tab_00.Trial[CONTA],Tab_00.Trial[NV],"",0,1)</f>
        <v>5</v>
      </c>
      <c r="D58" s="2" t="str">
        <f>_xlfn.XLOOKUP($I58,Tab_00.Trial[CONTA],Tab_00.Trial[S/A],"",0,1)</f>
        <v>S</v>
      </c>
      <c r="E58" s="2">
        <f>IF($I58="","",COUNTIFS(Tab_00.Trial[CONTA],$I58))</f>
        <v>1</v>
      </c>
      <c r="F58" s="4">
        <f>SUMIFS(Tab_11.Nov[SALDO
ATUAL],Tab_11.Nov[CONTA],$I58)</f>
        <v>2354549.81</v>
      </c>
      <c r="G58" s="4">
        <f t="shared" si="2"/>
        <v>0</v>
      </c>
      <c r="H58" s="1"/>
      <c r="I58" s="3" t="s">
        <v>213</v>
      </c>
      <c r="J58" s="3" t="s">
        <v>35</v>
      </c>
      <c r="K58" s="4">
        <v>2354549.81</v>
      </c>
      <c r="L58" s="4">
        <v>5006.28</v>
      </c>
      <c r="M58" s="4">
        <v>3666.75</v>
      </c>
      <c r="N58" s="4">
        <v>2355889.34</v>
      </c>
      <c r="O58" s="4">
        <f t="shared" si="3"/>
        <v>1339.53</v>
      </c>
    </row>
    <row r="59" spans="2:15" x14ac:dyDescent="0.3">
      <c r="B59" s="2" t="str">
        <f>_xlfn.XLOOKUP($I59,Tab_00.Trial[CONTA],Tab_00.Trial[TP],"",0,1)</f>
        <v>A</v>
      </c>
      <c r="C59" s="2">
        <f>_xlfn.XLOOKUP($I59,Tab_00.Trial[CONTA],Tab_00.Trial[NV],"",0,1)</f>
        <v>5</v>
      </c>
      <c r="D59" s="2" t="str">
        <f>_xlfn.XLOOKUP($I59,Tab_00.Trial[CONTA],Tab_00.Trial[S/A],"",0,1)</f>
        <v>S</v>
      </c>
      <c r="E59" s="2">
        <f>IF($I59="","",COUNTIFS(Tab_00.Trial[CONTA],$I59))</f>
        <v>1</v>
      </c>
      <c r="F59" s="4">
        <f>SUMIFS(Tab_11.Nov[SALDO
ATUAL],Tab_11.Nov[CONTA],$I59)</f>
        <v>3549939.31</v>
      </c>
      <c r="G59" s="4">
        <f t="shared" si="2"/>
        <v>0</v>
      </c>
      <c r="H59" s="1"/>
      <c r="I59" s="3" t="s">
        <v>214</v>
      </c>
      <c r="J59" s="3" t="s">
        <v>651</v>
      </c>
      <c r="K59" s="4">
        <v>3549939.31</v>
      </c>
      <c r="L59" s="4">
        <v>5006.28</v>
      </c>
      <c r="M59" s="4">
        <v>0</v>
      </c>
      <c r="N59" s="4">
        <v>3554945.59</v>
      </c>
      <c r="O59" s="4">
        <f t="shared" si="3"/>
        <v>5006.28</v>
      </c>
    </row>
    <row r="60" spans="2:15" x14ac:dyDescent="0.3">
      <c r="B60" s="2" t="str">
        <f>_xlfn.XLOOKUP($I60,Tab_00.Trial[CONTA],Tab_00.Trial[TP],"",0,1)</f>
        <v>A</v>
      </c>
      <c r="C60" s="2">
        <f>_xlfn.XLOOKUP($I60,Tab_00.Trial[CONTA],Tab_00.Trial[NV],"",0,1)</f>
        <v>5</v>
      </c>
      <c r="D60" s="2" t="str">
        <f>_xlfn.XLOOKUP($I60,Tab_00.Trial[CONTA],Tab_00.Trial[S/A],"",0,1)</f>
        <v>A</v>
      </c>
      <c r="E60" s="2">
        <f>IF($I60="","",COUNTIFS(Tab_00.Trial[CONTA],$I60))</f>
        <v>1</v>
      </c>
      <c r="F60" s="4">
        <f>SUMIFS(Tab_11.Nov[SALDO
ATUAL],Tab_11.Nov[CONTA],$I60)</f>
        <v>1379260.84</v>
      </c>
      <c r="G60" s="4">
        <f t="shared" si="2"/>
        <v>0</v>
      </c>
      <c r="H60" s="1"/>
      <c r="I60" s="3" t="s">
        <v>310</v>
      </c>
      <c r="J60" s="3" t="s">
        <v>311</v>
      </c>
      <c r="K60" s="4">
        <v>1379260.84</v>
      </c>
      <c r="L60" s="4">
        <v>0</v>
      </c>
      <c r="M60" s="4">
        <v>0</v>
      </c>
      <c r="N60" s="4">
        <v>1379260.84</v>
      </c>
      <c r="O60" s="4">
        <f t="shared" si="3"/>
        <v>0</v>
      </c>
    </row>
    <row r="61" spans="2:15" x14ac:dyDescent="0.3">
      <c r="B61" s="2" t="str">
        <f>_xlfn.XLOOKUP($I61,Tab_00.Trial[CONTA],Tab_00.Trial[TP],"",0,1)</f>
        <v>A</v>
      </c>
      <c r="C61" s="2">
        <f>_xlfn.XLOOKUP($I61,Tab_00.Trial[CONTA],Tab_00.Trial[NV],"",0,1)</f>
        <v>5</v>
      </c>
      <c r="D61" s="2" t="str">
        <f>_xlfn.XLOOKUP($I61,Tab_00.Trial[CONTA],Tab_00.Trial[S/A],"",0,1)</f>
        <v>A</v>
      </c>
      <c r="E61" s="2">
        <f>IF($I61="","",COUNTIFS(Tab_00.Trial[CONTA],$I61))</f>
        <v>1</v>
      </c>
      <c r="F61" s="4">
        <f>SUMIFS(Tab_11.Nov[SALDO
ATUAL],Tab_11.Nov[CONTA],$I61)</f>
        <v>1293371.25</v>
      </c>
      <c r="G61" s="4">
        <f t="shared" si="2"/>
        <v>0</v>
      </c>
      <c r="H61" s="1"/>
      <c r="I61" s="3" t="s">
        <v>312</v>
      </c>
      <c r="J61" s="3" t="s">
        <v>313</v>
      </c>
      <c r="K61" s="4">
        <v>1293371.25</v>
      </c>
      <c r="L61" s="4">
        <v>3333.34</v>
      </c>
      <c r="M61" s="4">
        <v>0</v>
      </c>
      <c r="N61" s="4">
        <v>1296704.5900000001</v>
      </c>
      <c r="O61" s="4">
        <f t="shared" si="3"/>
        <v>3333.34</v>
      </c>
    </row>
    <row r="62" spans="2:15" x14ac:dyDescent="0.3">
      <c r="B62" s="2" t="str">
        <f>_xlfn.XLOOKUP($I62,Tab_00.Trial[CONTA],Tab_00.Trial[TP],"",0,1)</f>
        <v>A</v>
      </c>
      <c r="C62" s="2">
        <f>_xlfn.XLOOKUP($I62,Tab_00.Trial[CONTA],Tab_00.Trial[NV],"",0,1)</f>
        <v>5</v>
      </c>
      <c r="D62" s="2" t="str">
        <f>_xlfn.XLOOKUP($I62,Tab_00.Trial[CONTA],Tab_00.Trial[S/A],"",0,1)</f>
        <v>A</v>
      </c>
      <c r="E62" s="2">
        <f>IF($I62="","",COUNTIFS(Tab_00.Trial[CONTA],$I62))</f>
        <v>1</v>
      </c>
      <c r="F62" s="4">
        <f>SUMIFS(Tab_11.Nov[SALDO
ATUAL],Tab_11.Nov[CONTA],$I62)</f>
        <v>23000</v>
      </c>
      <c r="G62" s="4">
        <f t="shared" si="2"/>
        <v>0</v>
      </c>
      <c r="H62" s="1"/>
      <c r="I62" s="3" t="s">
        <v>181</v>
      </c>
      <c r="J62" s="3" t="s">
        <v>314</v>
      </c>
      <c r="K62" s="4">
        <v>23000</v>
      </c>
      <c r="L62" s="4">
        <v>0</v>
      </c>
      <c r="M62" s="4">
        <v>0</v>
      </c>
      <c r="N62" s="4">
        <v>23000</v>
      </c>
      <c r="O62" s="4">
        <f t="shared" si="3"/>
        <v>0</v>
      </c>
    </row>
    <row r="63" spans="2:15" x14ac:dyDescent="0.3">
      <c r="B63" s="2" t="str">
        <f>_xlfn.XLOOKUP($I63,Tab_00.Trial[CONTA],Tab_00.Trial[TP],"",0,1)</f>
        <v>A</v>
      </c>
      <c r="C63" s="2">
        <f>_xlfn.XLOOKUP($I63,Tab_00.Trial[CONTA],Tab_00.Trial[NV],"",0,1)</f>
        <v>5</v>
      </c>
      <c r="D63" s="2" t="str">
        <f>_xlfn.XLOOKUP($I63,Tab_00.Trial[CONTA],Tab_00.Trial[S/A],"",0,1)</f>
        <v>A</v>
      </c>
      <c r="E63" s="2">
        <f>IF($I63="","",COUNTIFS(Tab_00.Trial[CONTA],$I63))</f>
        <v>1</v>
      </c>
      <c r="F63" s="4">
        <f>SUMIFS(Tab_11.Nov[SALDO
ATUAL],Tab_11.Nov[CONTA],$I63)</f>
        <v>12594</v>
      </c>
      <c r="G63" s="4">
        <f t="shared" si="2"/>
        <v>0</v>
      </c>
      <c r="H63" s="1"/>
      <c r="I63" s="3" t="s">
        <v>182</v>
      </c>
      <c r="J63" s="3" t="s">
        <v>315</v>
      </c>
      <c r="K63" s="4">
        <v>12594</v>
      </c>
      <c r="L63" s="4">
        <v>0</v>
      </c>
      <c r="M63" s="4">
        <v>0</v>
      </c>
      <c r="N63" s="4">
        <v>12594</v>
      </c>
      <c r="O63" s="4">
        <f t="shared" si="3"/>
        <v>0</v>
      </c>
    </row>
    <row r="64" spans="2:15" x14ac:dyDescent="0.3">
      <c r="B64" s="2" t="str">
        <f>_xlfn.XLOOKUP($I64,Tab_00.Trial[CONTA],Tab_00.Trial[TP],"",0,1)</f>
        <v>A</v>
      </c>
      <c r="C64" s="2">
        <f>_xlfn.XLOOKUP($I64,Tab_00.Trial[CONTA],Tab_00.Trial[NV],"",0,1)</f>
        <v>5</v>
      </c>
      <c r="D64" s="2" t="str">
        <f>_xlfn.XLOOKUP($I64,Tab_00.Trial[CONTA],Tab_00.Trial[S/A],"",0,1)</f>
        <v>A</v>
      </c>
      <c r="E64" s="2">
        <f>IF($I64="","",COUNTIFS(Tab_00.Trial[CONTA],$I64))</f>
        <v>1</v>
      </c>
      <c r="F64" s="4">
        <f>SUMIFS(Tab_11.Nov[SALDO
ATUAL],Tab_11.Nov[CONTA],$I64)</f>
        <v>224642.85</v>
      </c>
      <c r="G64" s="4">
        <f t="shared" si="2"/>
        <v>0</v>
      </c>
      <c r="H64" s="1"/>
      <c r="I64" s="3" t="s">
        <v>183</v>
      </c>
      <c r="J64" s="3" t="s">
        <v>316</v>
      </c>
      <c r="K64" s="4">
        <v>224642.85</v>
      </c>
      <c r="L64" s="4">
        <v>1672.94</v>
      </c>
      <c r="M64" s="4">
        <v>0</v>
      </c>
      <c r="N64" s="4">
        <v>226315.79</v>
      </c>
      <c r="O64" s="4">
        <f t="shared" si="3"/>
        <v>1672.94</v>
      </c>
    </row>
    <row r="65" spans="2:15" x14ac:dyDescent="0.3">
      <c r="B65" s="2" t="str">
        <f>_xlfn.XLOOKUP($I65,Tab_00.Trial[CONTA],Tab_00.Trial[TP],"",0,1)</f>
        <v>A</v>
      </c>
      <c r="C65" s="2">
        <f>_xlfn.XLOOKUP($I65,Tab_00.Trial[CONTA],Tab_00.Trial[NV],"",0,1)</f>
        <v>5</v>
      </c>
      <c r="D65" s="2" t="str">
        <f>_xlfn.XLOOKUP($I65,Tab_00.Trial[CONTA],Tab_00.Trial[S/A],"",0,1)</f>
        <v>A</v>
      </c>
      <c r="E65" s="2">
        <f>IF($I65="","",COUNTIFS(Tab_00.Trial[CONTA],$I65))</f>
        <v>1</v>
      </c>
      <c r="F65" s="4">
        <f>SUMIFS(Tab_11.Nov[SALDO
ATUAL],Tab_11.Nov[CONTA],$I65)</f>
        <v>8689.9</v>
      </c>
      <c r="G65" s="4">
        <f t="shared" si="2"/>
        <v>0</v>
      </c>
      <c r="H65" s="1"/>
      <c r="I65" s="3" t="s">
        <v>317</v>
      </c>
      <c r="J65" s="3" t="s">
        <v>318</v>
      </c>
      <c r="K65" s="4">
        <v>8689.9</v>
      </c>
      <c r="L65" s="4">
        <v>0</v>
      </c>
      <c r="M65" s="4">
        <v>0</v>
      </c>
      <c r="N65" s="4">
        <v>8689.9</v>
      </c>
      <c r="O65" s="4">
        <f t="shared" si="3"/>
        <v>0</v>
      </c>
    </row>
    <row r="66" spans="2:15" x14ac:dyDescent="0.3">
      <c r="B66" s="2" t="str">
        <f>_xlfn.XLOOKUP($I66,Tab_00.Trial[CONTA],Tab_00.Trial[TP],"",0,1)</f>
        <v>A</v>
      </c>
      <c r="C66" s="2">
        <f>_xlfn.XLOOKUP($I66,Tab_00.Trial[CONTA],Tab_00.Trial[NV],"",0,1)</f>
        <v>5</v>
      </c>
      <c r="D66" s="2" t="str">
        <f>_xlfn.XLOOKUP($I66,Tab_00.Trial[CONTA],Tab_00.Trial[S/A],"",0,1)</f>
        <v>A</v>
      </c>
      <c r="E66" s="2">
        <f>IF($I66="","",COUNTIFS(Tab_00.Trial[CONTA],$I66))</f>
        <v>1</v>
      </c>
      <c r="F66" s="4">
        <f>SUMIFS(Tab_11.Nov[SALDO
ATUAL],Tab_11.Nov[CONTA],$I66)</f>
        <v>128697.03</v>
      </c>
      <c r="G66" s="4">
        <f t="shared" si="2"/>
        <v>0</v>
      </c>
      <c r="H66" s="1"/>
      <c r="I66" s="3" t="s">
        <v>184</v>
      </c>
      <c r="J66" s="3" t="s">
        <v>319</v>
      </c>
      <c r="K66" s="4">
        <v>128697.03</v>
      </c>
      <c r="L66" s="4">
        <v>0</v>
      </c>
      <c r="M66" s="4">
        <v>0</v>
      </c>
      <c r="N66" s="4">
        <v>128697.03</v>
      </c>
      <c r="O66" s="4">
        <f t="shared" si="3"/>
        <v>0</v>
      </c>
    </row>
    <row r="67" spans="2:15" x14ac:dyDescent="0.3">
      <c r="B67" s="2" t="str">
        <f>_xlfn.XLOOKUP($I67,Tab_00.Trial[CONTA],Tab_00.Trial[TP],"",0,1)</f>
        <v>A</v>
      </c>
      <c r="C67" s="2">
        <f>_xlfn.XLOOKUP($I67,Tab_00.Trial[CONTA],Tab_00.Trial[NV],"",0,1)</f>
        <v>5</v>
      </c>
      <c r="D67" s="2" t="str">
        <f>_xlfn.XLOOKUP($I67,Tab_00.Trial[CONTA],Tab_00.Trial[S/A],"",0,1)</f>
        <v>A</v>
      </c>
      <c r="E67" s="2">
        <f>IF($I67="","",COUNTIFS(Tab_00.Trial[CONTA],$I67))</f>
        <v>1</v>
      </c>
      <c r="F67" s="4">
        <f>SUMIFS(Tab_11.Nov[SALDO
ATUAL],Tab_11.Nov[CONTA],$I67)</f>
        <v>15029.74</v>
      </c>
      <c r="G67" s="4">
        <f t="shared" si="2"/>
        <v>0</v>
      </c>
      <c r="H67" s="1"/>
      <c r="I67" s="3" t="s">
        <v>185</v>
      </c>
      <c r="J67" s="3" t="s">
        <v>320</v>
      </c>
      <c r="K67" s="4">
        <v>15029.74</v>
      </c>
      <c r="L67" s="4">
        <v>0</v>
      </c>
      <c r="M67" s="4">
        <v>0</v>
      </c>
      <c r="N67" s="4">
        <v>15029.74</v>
      </c>
      <c r="O67" s="4">
        <f t="shared" si="3"/>
        <v>0</v>
      </c>
    </row>
    <row r="68" spans="2:15" x14ac:dyDescent="0.3">
      <c r="B68" s="2" t="str">
        <f>_xlfn.XLOOKUP($I68,Tab_00.Trial[CONTA],Tab_00.Trial[TP],"",0,1)</f>
        <v>A</v>
      </c>
      <c r="C68" s="2">
        <f>_xlfn.XLOOKUP($I68,Tab_00.Trial[CONTA],Tab_00.Trial[NV],"",0,1)</f>
        <v>5</v>
      </c>
      <c r="D68" s="2" t="str">
        <f>_xlfn.XLOOKUP($I68,Tab_00.Trial[CONTA],Tab_00.Trial[S/A],"",0,1)</f>
        <v>A</v>
      </c>
      <c r="E68" s="2">
        <f>IF($I68="","",COUNTIFS(Tab_00.Trial[CONTA],$I68))</f>
        <v>1</v>
      </c>
      <c r="F68" s="4">
        <f>SUMIFS(Tab_11.Nov[SALDO
ATUAL],Tab_11.Nov[CONTA],$I68)</f>
        <v>464653.7</v>
      </c>
      <c r="G68" s="4">
        <f t="shared" si="2"/>
        <v>0</v>
      </c>
      <c r="H68" s="1"/>
      <c r="I68" s="3" t="s">
        <v>321</v>
      </c>
      <c r="J68" s="3" t="s">
        <v>322</v>
      </c>
      <c r="K68" s="4">
        <v>464653.7</v>
      </c>
      <c r="L68" s="4">
        <v>0</v>
      </c>
      <c r="M68" s="4">
        <v>0</v>
      </c>
      <c r="N68" s="4">
        <v>464653.7</v>
      </c>
      <c r="O68" s="4">
        <f t="shared" si="3"/>
        <v>0</v>
      </c>
    </row>
    <row r="69" spans="2:15" x14ac:dyDescent="0.3">
      <c r="B69" s="2" t="str">
        <f>_xlfn.XLOOKUP($I69,Tab_00.Trial[CONTA],Tab_00.Trial[TP],"",0,1)</f>
        <v>A</v>
      </c>
      <c r="C69" s="2">
        <f>_xlfn.XLOOKUP($I69,Tab_00.Trial[CONTA],Tab_00.Trial[NV],"",0,1)</f>
        <v>5</v>
      </c>
      <c r="D69" s="2" t="str">
        <f>_xlfn.XLOOKUP($I69,Tab_00.Trial[CONTA],Tab_00.Trial[S/A],"",0,1)</f>
        <v>S</v>
      </c>
      <c r="E69" s="2">
        <f>IF($I69="","",COUNTIFS(Tab_00.Trial[CONTA],$I69))</f>
        <v>1</v>
      </c>
      <c r="F69" s="4">
        <f>SUMIFS(Tab_11.Nov[SALDO
ATUAL],Tab_11.Nov[CONTA],$I69)</f>
        <v>-1195389.5</v>
      </c>
      <c r="G69" s="4">
        <f t="shared" si="2"/>
        <v>0</v>
      </c>
      <c r="H69" s="1"/>
      <c r="I69" s="3" t="s">
        <v>215</v>
      </c>
      <c r="J69" s="3" t="s">
        <v>652</v>
      </c>
      <c r="K69" s="4">
        <v>-1195389.5</v>
      </c>
      <c r="L69" s="4">
        <v>0</v>
      </c>
      <c r="M69" s="4">
        <v>3666.75</v>
      </c>
      <c r="N69" s="4">
        <v>-1199056.25</v>
      </c>
      <c r="O69" s="4">
        <f t="shared" si="3"/>
        <v>-3666.75</v>
      </c>
    </row>
    <row r="70" spans="2:15" x14ac:dyDescent="0.3">
      <c r="B70" s="2" t="str">
        <f>_xlfn.XLOOKUP($I70,Tab_00.Trial[CONTA],Tab_00.Trial[TP],"",0,1)</f>
        <v>A</v>
      </c>
      <c r="C70" s="2">
        <f>_xlfn.XLOOKUP($I70,Tab_00.Trial[CONTA],Tab_00.Trial[NV],"",0,1)</f>
        <v>5</v>
      </c>
      <c r="D70" s="2" t="str">
        <f>_xlfn.XLOOKUP($I70,Tab_00.Trial[CONTA],Tab_00.Trial[S/A],"",0,1)</f>
        <v>A</v>
      </c>
      <c r="E70" s="2">
        <f>IF($I70="","",COUNTIFS(Tab_00.Trial[CONTA],$I70))</f>
        <v>1</v>
      </c>
      <c r="F70" s="4">
        <f>SUMIFS(Tab_11.Nov[SALDO
ATUAL],Tab_11.Nov[CONTA],$I70)</f>
        <v>-676858.34</v>
      </c>
      <c r="G70" s="4">
        <f t="shared" si="2"/>
        <v>0</v>
      </c>
      <c r="H70" s="1"/>
      <c r="I70" s="3" t="s">
        <v>186</v>
      </c>
      <c r="J70" s="3" t="s">
        <v>313</v>
      </c>
      <c r="K70" s="4">
        <v>-676858.34</v>
      </c>
      <c r="L70" s="4">
        <v>0</v>
      </c>
      <c r="M70" s="4">
        <v>2997.93</v>
      </c>
      <c r="N70" s="4">
        <v>-679856.27</v>
      </c>
      <c r="O70" s="4">
        <f t="shared" si="3"/>
        <v>-2997.93</v>
      </c>
    </row>
    <row r="71" spans="2:15" x14ac:dyDescent="0.3">
      <c r="B71" s="2" t="str">
        <f>_xlfn.XLOOKUP($I71,Tab_00.Trial[CONTA],Tab_00.Trial[TP],"",0,1)</f>
        <v>A</v>
      </c>
      <c r="C71" s="2">
        <f>_xlfn.XLOOKUP($I71,Tab_00.Trial[CONTA],Tab_00.Trial[NV],"",0,1)</f>
        <v>5</v>
      </c>
      <c r="D71" s="2" t="str">
        <f>_xlfn.XLOOKUP($I71,Tab_00.Trial[CONTA],Tab_00.Trial[S/A],"",0,1)</f>
        <v>A</v>
      </c>
      <c r="E71" s="2">
        <f>IF($I71="","",COUNTIFS(Tab_00.Trial[CONTA],$I71))</f>
        <v>1</v>
      </c>
      <c r="F71" s="4">
        <f>SUMIFS(Tab_11.Nov[SALDO
ATUAL],Tab_11.Nov[CONTA],$I71)</f>
        <v>-21973.23</v>
      </c>
      <c r="G71" s="4">
        <f t="shared" si="2"/>
        <v>0</v>
      </c>
      <c r="H71" s="1"/>
      <c r="I71" s="3" t="s">
        <v>187</v>
      </c>
      <c r="J71" s="3" t="s">
        <v>314</v>
      </c>
      <c r="K71" s="4">
        <v>-21973.23</v>
      </c>
      <c r="L71" s="4">
        <v>0</v>
      </c>
      <c r="M71" s="4">
        <v>191.67</v>
      </c>
      <c r="N71" s="4">
        <v>-22164.9</v>
      </c>
      <c r="O71" s="4">
        <f t="shared" si="3"/>
        <v>-191.67</v>
      </c>
    </row>
    <row r="72" spans="2:15" x14ac:dyDescent="0.3">
      <c r="B72" s="2" t="str">
        <f>_xlfn.XLOOKUP($I72,Tab_00.Trial[CONTA],Tab_00.Trial[TP],"",0,1)</f>
        <v>A</v>
      </c>
      <c r="C72" s="2">
        <f>_xlfn.XLOOKUP($I72,Tab_00.Trial[CONTA],Tab_00.Trial[NV],"",0,1)</f>
        <v>5</v>
      </c>
      <c r="D72" s="2" t="str">
        <f>_xlfn.XLOOKUP($I72,Tab_00.Trial[CONTA],Tab_00.Trial[S/A],"",0,1)</f>
        <v>A</v>
      </c>
      <c r="E72" s="2">
        <f>IF($I72="","",COUNTIFS(Tab_00.Trial[CONTA],$I72))</f>
        <v>1</v>
      </c>
      <c r="F72" s="4">
        <f>SUMIFS(Tab_11.Nov[SALDO
ATUAL],Tab_11.Nov[CONTA],$I72)</f>
        <v>-7208.56</v>
      </c>
      <c r="G72" s="4">
        <f t="shared" si="2"/>
        <v>0</v>
      </c>
      <c r="H72" s="1"/>
      <c r="I72" s="3" t="s">
        <v>188</v>
      </c>
      <c r="J72" s="3" t="s">
        <v>315</v>
      </c>
      <c r="K72" s="4">
        <v>-7208.56</v>
      </c>
      <c r="L72" s="4">
        <v>0</v>
      </c>
      <c r="M72" s="4">
        <v>104.95</v>
      </c>
      <c r="N72" s="4">
        <v>-7313.51</v>
      </c>
      <c r="O72" s="4">
        <f t="shared" si="3"/>
        <v>-104.95</v>
      </c>
    </row>
    <row r="73" spans="2:15" x14ac:dyDescent="0.3">
      <c r="B73" s="2" t="str">
        <f>_xlfn.XLOOKUP($I73,Tab_00.Trial[CONTA],Tab_00.Trial[TP],"",0,1)</f>
        <v>A</v>
      </c>
      <c r="C73" s="2">
        <f>_xlfn.XLOOKUP($I73,Tab_00.Trial[CONTA],Tab_00.Trial[NV],"",0,1)</f>
        <v>5</v>
      </c>
      <c r="D73" s="2" t="str">
        <f>_xlfn.XLOOKUP($I73,Tab_00.Trial[CONTA],Tab_00.Trial[S/A],"",0,1)</f>
        <v>A</v>
      </c>
      <c r="E73" s="2">
        <f>IF($I73="","",COUNTIFS(Tab_00.Trial[CONTA],$I73))</f>
        <v>1</v>
      </c>
      <c r="F73" s="4">
        <f>SUMIFS(Tab_11.Nov[SALDO
ATUAL],Tab_11.Nov[CONTA],$I73)</f>
        <v>-224642.85</v>
      </c>
      <c r="G73" s="4">
        <f t="shared" si="2"/>
        <v>0</v>
      </c>
      <c r="H73" s="1"/>
      <c r="I73" s="3" t="s">
        <v>189</v>
      </c>
      <c r="J73" s="3" t="s">
        <v>316</v>
      </c>
      <c r="K73" s="4">
        <v>-224642.85</v>
      </c>
      <c r="L73" s="4">
        <v>0</v>
      </c>
      <c r="M73" s="4">
        <v>0</v>
      </c>
      <c r="N73" s="4">
        <v>-224642.85</v>
      </c>
      <c r="O73" s="4">
        <f t="shared" si="3"/>
        <v>0</v>
      </c>
    </row>
    <row r="74" spans="2:15" x14ac:dyDescent="0.3">
      <c r="B74" s="2" t="str">
        <f>_xlfn.XLOOKUP($I74,Tab_00.Trial[CONTA],Tab_00.Trial[TP],"",0,1)</f>
        <v>A</v>
      </c>
      <c r="C74" s="2">
        <f>_xlfn.XLOOKUP($I74,Tab_00.Trial[CONTA],Tab_00.Trial[NV],"",0,1)</f>
        <v>5</v>
      </c>
      <c r="D74" s="2" t="str">
        <f>_xlfn.XLOOKUP($I74,Tab_00.Trial[CONTA],Tab_00.Trial[S/A],"",0,1)</f>
        <v>A</v>
      </c>
      <c r="E74" s="2">
        <f>IF($I74="","",COUNTIFS(Tab_00.Trial[CONTA],$I74))</f>
        <v>1</v>
      </c>
      <c r="F74" s="4">
        <f>SUMIFS(Tab_11.Nov[SALDO
ATUAL],Tab_11.Nov[CONTA],$I74)</f>
        <v>-4675.84</v>
      </c>
      <c r="G74" s="4">
        <f t="shared" si="2"/>
        <v>0</v>
      </c>
      <c r="H74" s="1"/>
      <c r="I74" s="3" t="s">
        <v>190</v>
      </c>
      <c r="J74" s="3" t="s">
        <v>318</v>
      </c>
      <c r="K74" s="4">
        <v>-4675.84</v>
      </c>
      <c r="L74" s="4">
        <v>0</v>
      </c>
      <c r="M74" s="4">
        <v>0</v>
      </c>
      <c r="N74" s="4">
        <v>-4675.84</v>
      </c>
      <c r="O74" s="4">
        <f t="shared" si="3"/>
        <v>0</v>
      </c>
    </row>
    <row r="75" spans="2:15" x14ac:dyDescent="0.3">
      <c r="B75" s="2" t="str">
        <f>_xlfn.XLOOKUP($I75,Tab_00.Trial[CONTA],Tab_00.Trial[TP],"",0,1)</f>
        <v>A</v>
      </c>
      <c r="C75" s="2">
        <f>_xlfn.XLOOKUP($I75,Tab_00.Trial[CONTA],Tab_00.Trial[NV],"",0,1)</f>
        <v>5</v>
      </c>
      <c r="D75" s="2" t="str">
        <f>_xlfn.XLOOKUP($I75,Tab_00.Trial[CONTA],Tab_00.Trial[S/A],"",0,1)</f>
        <v>A</v>
      </c>
      <c r="E75" s="2">
        <f>IF($I75="","",COUNTIFS(Tab_00.Trial[CONTA],$I75))</f>
        <v>1</v>
      </c>
      <c r="F75" s="4">
        <f>SUMIFS(Tab_11.Nov[SALDO
ATUAL],Tab_11.Nov[CONTA],$I75)</f>
        <v>-128819.23</v>
      </c>
      <c r="G75" s="4">
        <f t="shared" si="2"/>
        <v>0</v>
      </c>
      <c r="H75" s="1"/>
      <c r="I75" s="3" t="s">
        <v>323</v>
      </c>
      <c r="J75" s="3" t="s">
        <v>319</v>
      </c>
      <c r="K75" s="4">
        <v>-128819.23</v>
      </c>
      <c r="L75" s="4">
        <v>0</v>
      </c>
      <c r="M75" s="4">
        <v>122.2</v>
      </c>
      <c r="N75" s="4">
        <v>-128941.43</v>
      </c>
      <c r="O75" s="4">
        <f t="shared" si="3"/>
        <v>-122.2</v>
      </c>
    </row>
    <row r="76" spans="2:15" x14ac:dyDescent="0.3">
      <c r="B76" s="2" t="str">
        <f>_xlfn.XLOOKUP($I76,Tab_00.Trial[CONTA],Tab_00.Trial[TP],"",0,1)</f>
        <v>A</v>
      </c>
      <c r="C76" s="2">
        <f>_xlfn.XLOOKUP($I76,Tab_00.Trial[CONTA],Tab_00.Trial[NV],"",0,1)</f>
        <v>5</v>
      </c>
      <c r="D76" s="2" t="str">
        <f>_xlfn.XLOOKUP($I76,Tab_00.Trial[CONTA],Tab_00.Trial[S/A],"",0,1)</f>
        <v>A</v>
      </c>
      <c r="E76" s="2">
        <f>IF($I76="","",COUNTIFS(Tab_00.Trial[CONTA],$I76))</f>
        <v>1</v>
      </c>
      <c r="F76" s="4">
        <f>SUMIFS(Tab_11.Nov[SALDO
ATUAL],Tab_11.Nov[CONTA],$I76)</f>
        <v>-15029.74</v>
      </c>
      <c r="G76" s="4">
        <f t="shared" si="2"/>
        <v>0</v>
      </c>
      <c r="H76" s="1"/>
      <c r="I76" s="3" t="s">
        <v>324</v>
      </c>
      <c r="J76" s="3" t="s">
        <v>320</v>
      </c>
      <c r="K76" s="4">
        <v>-15029.74</v>
      </c>
      <c r="L76" s="4">
        <v>0</v>
      </c>
      <c r="M76" s="4">
        <v>0</v>
      </c>
      <c r="N76" s="4">
        <v>-15029.74</v>
      </c>
      <c r="O76" s="4">
        <f t="shared" si="3"/>
        <v>0</v>
      </c>
    </row>
    <row r="77" spans="2:15" x14ac:dyDescent="0.3">
      <c r="B77" s="2" t="str">
        <f>_xlfn.XLOOKUP($I77,Tab_00.Trial[CONTA],Tab_00.Trial[TP],"",0,1)</f>
        <v>A</v>
      </c>
      <c r="C77" s="2">
        <f>_xlfn.XLOOKUP($I77,Tab_00.Trial[CONTA],Tab_00.Trial[NV],"",0,1)</f>
        <v>5</v>
      </c>
      <c r="D77" s="2" t="str">
        <f>_xlfn.XLOOKUP($I77,Tab_00.Trial[CONTA],Tab_00.Trial[S/A],"",0,1)</f>
        <v>A</v>
      </c>
      <c r="E77" s="2">
        <f>IF($I77="","",COUNTIFS(Tab_00.Trial[CONTA],$I77))</f>
        <v>1</v>
      </c>
      <c r="F77" s="4">
        <f>SUMIFS(Tab_11.Nov[SALDO
ATUAL],Tab_11.Nov[CONTA],$I77)</f>
        <v>-116181.71</v>
      </c>
      <c r="G77" s="4">
        <f t="shared" si="2"/>
        <v>0</v>
      </c>
      <c r="H77" s="1"/>
      <c r="I77" s="3" t="s">
        <v>325</v>
      </c>
      <c r="J77" s="3" t="s">
        <v>322</v>
      </c>
      <c r="K77" s="4">
        <v>-116181.71</v>
      </c>
      <c r="L77" s="4">
        <v>0</v>
      </c>
      <c r="M77" s="4">
        <v>250</v>
      </c>
      <c r="N77" s="4">
        <v>-116431.71</v>
      </c>
      <c r="O77" s="4">
        <f t="shared" si="3"/>
        <v>-250</v>
      </c>
    </row>
    <row r="78" spans="2:15" x14ac:dyDescent="0.3">
      <c r="B78" s="2" t="str">
        <f>_xlfn.XLOOKUP($I78,Tab_00.Trial[CONTA],Tab_00.Trial[TP],"",0,1)</f>
        <v>P</v>
      </c>
      <c r="C78" s="2">
        <f>_xlfn.XLOOKUP($I78,Tab_00.Trial[CONTA],Tab_00.Trial[NV],"",0,1)</f>
        <v>1</v>
      </c>
      <c r="D78" s="2" t="str">
        <f>_xlfn.XLOOKUP($I78,Tab_00.Trial[CONTA],Tab_00.Trial[S/A],"",0,1)</f>
        <v>S</v>
      </c>
      <c r="E78" s="2">
        <f>IF($I78="","",COUNTIFS(Tab_00.Trial[CONTA],$I78))</f>
        <v>1</v>
      </c>
      <c r="F78" s="4">
        <f>SUMIFS(Tab_11.Nov[SALDO
ATUAL],Tab_11.Nov[CONTA],$I78)</f>
        <v>-83158151.450000003</v>
      </c>
      <c r="G78" s="4">
        <f t="shared" si="2"/>
        <v>0</v>
      </c>
      <c r="H78" s="1"/>
      <c r="I78" s="3">
        <v>2</v>
      </c>
      <c r="J78" s="3" t="s">
        <v>653</v>
      </c>
      <c r="K78" s="4">
        <v>-83158151.450000003</v>
      </c>
      <c r="L78" s="4">
        <v>2783373.55</v>
      </c>
      <c r="M78" s="4">
        <v>3168527.1</v>
      </c>
      <c r="N78" s="4">
        <v>-83543305</v>
      </c>
      <c r="O78" s="4">
        <f t="shared" si="3"/>
        <v>-385153.55</v>
      </c>
    </row>
    <row r="79" spans="2:15" x14ac:dyDescent="0.3">
      <c r="B79" s="2" t="str">
        <f>_xlfn.XLOOKUP($I79,Tab_00.Trial[CONTA],Tab_00.Trial[TP],"",0,1)</f>
        <v>P</v>
      </c>
      <c r="C79" s="2">
        <f>_xlfn.XLOOKUP($I79,Tab_00.Trial[CONTA],Tab_00.Trial[NV],"",0,1)</f>
        <v>2</v>
      </c>
      <c r="D79" s="2" t="str">
        <f>_xlfn.XLOOKUP($I79,Tab_00.Trial[CONTA],Tab_00.Trial[S/A],"",0,1)</f>
        <v>S</v>
      </c>
      <c r="E79" s="2">
        <f>IF($I79="","",COUNTIFS(Tab_00.Trial[CONTA],$I79))</f>
        <v>1</v>
      </c>
      <c r="F79" s="4">
        <f>SUMIFS(Tab_11.Nov[SALDO
ATUAL],Tab_11.Nov[CONTA],$I79)</f>
        <v>-1255686.92</v>
      </c>
      <c r="G79" s="4">
        <f t="shared" ref="G79:G142" si="4">$F79-$K79</f>
        <v>0</v>
      </c>
      <c r="H79" s="1"/>
      <c r="I79" s="3" t="s">
        <v>216</v>
      </c>
      <c r="J79" s="3" t="s">
        <v>31</v>
      </c>
      <c r="K79" s="4">
        <v>-1255686.92</v>
      </c>
      <c r="L79" s="4">
        <v>2558318.2000000002</v>
      </c>
      <c r="M79" s="4">
        <v>1952574.55</v>
      </c>
      <c r="N79" s="4">
        <v>-649943.27</v>
      </c>
      <c r="O79" s="4">
        <f t="shared" ref="O79:O142" si="5">$L79-$M79</f>
        <v>605743.65</v>
      </c>
    </row>
    <row r="80" spans="2:15" x14ac:dyDescent="0.3">
      <c r="B80" s="2" t="str">
        <f>_xlfn.XLOOKUP($I80,Tab_00.Trial[CONTA],Tab_00.Trial[TP],"",0,1)</f>
        <v>P</v>
      </c>
      <c r="C80" s="2">
        <f>_xlfn.XLOOKUP($I80,Tab_00.Trial[CONTA],Tab_00.Trial[NV],"",0,1)</f>
        <v>5</v>
      </c>
      <c r="D80" s="2" t="str">
        <f>_xlfn.XLOOKUP($I80,Tab_00.Trial[CONTA],Tab_00.Trial[S/A],"",0,1)</f>
        <v>S</v>
      </c>
      <c r="E80" s="2">
        <f>IF($I80="","",COUNTIFS(Tab_00.Trial[CONTA],$I80))</f>
        <v>1</v>
      </c>
      <c r="F80" s="4">
        <f>SUMIFS(Tab_11.Nov[SALDO
ATUAL],Tab_11.Nov[CONTA],$I80)</f>
        <v>-372008.81</v>
      </c>
      <c r="G80" s="4">
        <f t="shared" si="4"/>
        <v>0</v>
      </c>
      <c r="H80" s="1"/>
      <c r="I80" s="3" t="s">
        <v>558</v>
      </c>
      <c r="J80" s="3" t="s">
        <v>654</v>
      </c>
      <c r="K80" s="4">
        <v>-372008.81</v>
      </c>
      <c r="L80" s="4">
        <v>374846.87</v>
      </c>
      <c r="M80" s="4">
        <v>271621.78999999998</v>
      </c>
      <c r="N80" s="4">
        <v>-268783.73</v>
      </c>
      <c r="O80" s="4">
        <f t="shared" si="5"/>
        <v>103225.08</v>
      </c>
    </row>
    <row r="81" spans="2:15" x14ac:dyDescent="0.3">
      <c r="B81" s="2" t="str">
        <f>_xlfn.XLOOKUP($I81,Tab_00.Trial[CONTA],Tab_00.Trial[TP],"",0,1)</f>
        <v>P</v>
      </c>
      <c r="C81" s="2">
        <f>_xlfn.XLOOKUP($I81,Tab_00.Trial[CONTA],Tab_00.Trial[NV],"",0,1)</f>
        <v>5</v>
      </c>
      <c r="D81" s="2" t="str">
        <f>_xlfn.XLOOKUP($I81,Tab_00.Trial[CONTA],Tab_00.Trial[S/A],"",0,1)</f>
        <v>S</v>
      </c>
      <c r="E81" s="2">
        <f>IF($I81="","",COUNTIFS(Tab_00.Trial[CONTA],$I81))</f>
        <v>1</v>
      </c>
      <c r="F81" s="4">
        <f>SUMIFS(Tab_11.Nov[SALDO
ATUAL],Tab_11.Nov[CONTA],$I81)</f>
        <v>0</v>
      </c>
      <c r="G81" s="4">
        <f t="shared" si="4"/>
        <v>0</v>
      </c>
      <c r="H81" s="1"/>
      <c r="I81" s="3" t="s">
        <v>559</v>
      </c>
      <c r="J81" s="3" t="s">
        <v>655</v>
      </c>
      <c r="K81" s="4">
        <v>0</v>
      </c>
      <c r="L81" s="4">
        <v>158343.13</v>
      </c>
      <c r="M81" s="4">
        <v>158343.13</v>
      </c>
      <c r="N81" s="4">
        <v>0</v>
      </c>
      <c r="O81" s="4">
        <f t="shared" si="5"/>
        <v>0</v>
      </c>
    </row>
    <row r="82" spans="2:15" x14ac:dyDescent="0.3">
      <c r="B82" s="2" t="str">
        <f>_xlfn.XLOOKUP($I82,Tab_00.Trial[CONTA],Tab_00.Trial[TP],"",0,1)</f>
        <v>P</v>
      </c>
      <c r="C82" s="2">
        <f>_xlfn.XLOOKUP($I82,Tab_00.Trial[CONTA],Tab_00.Trial[NV],"",0,1)</f>
        <v>5</v>
      </c>
      <c r="D82" s="2" t="str">
        <f>_xlfn.XLOOKUP($I82,Tab_00.Trial[CONTA],Tab_00.Trial[S/A],"",0,1)</f>
        <v>A</v>
      </c>
      <c r="E82" s="2">
        <f>IF($I82="","",COUNTIFS(Tab_00.Trial[CONTA],$I82))</f>
        <v>1</v>
      </c>
      <c r="F82" s="4">
        <f>SUMIFS(Tab_11.Nov[SALDO
ATUAL],Tab_11.Nov[CONTA],$I82)</f>
        <v>0</v>
      </c>
      <c r="G82" s="4">
        <f t="shared" si="4"/>
        <v>0</v>
      </c>
      <c r="H82" s="1"/>
      <c r="I82" s="3" t="s">
        <v>326</v>
      </c>
      <c r="J82" s="3" t="s">
        <v>327</v>
      </c>
      <c r="K82" s="4">
        <v>0</v>
      </c>
      <c r="L82" s="4">
        <v>158343.13</v>
      </c>
      <c r="M82" s="4">
        <v>158343.13</v>
      </c>
      <c r="N82" s="4">
        <v>0</v>
      </c>
      <c r="O82" s="4">
        <f t="shared" si="5"/>
        <v>0</v>
      </c>
    </row>
    <row r="83" spans="2:15" x14ac:dyDescent="0.3">
      <c r="B83" s="2" t="str">
        <f>_xlfn.XLOOKUP($I83,Tab_00.Trial[CONTA],Tab_00.Trial[TP],"",0,1)</f>
        <v>P</v>
      </c>
      <c r="C83" s="2">
        <f>_xlfn.XLOOKUP($I83,Tab_00.Trial[CONTA],Tab_00.Trial[NV],"",0,1)</f>
        <v>5</v>
      </c>
      <c r="D83" s="2" t="str">
        <f>_xlfn.XLOOKUP($I83,Tab_00.Trial[CONTA],Tab_00.Trial[S/A],"",0,1)</f>
        <v>S</v>
      </c>
      <c r="E83" s="2">
        <f>IF($I83="","",COUNTIFS(Tab_00.Trial[CONTA],$I83))</f>
        <v>1</v>
      </c>
      <c r="F83" s="4">
        <f>SUMIFS(Tab_11.Nov[SALDO
ATUAL],Tab_11.Nov[CONTA],$I83)</f>
        <v>-127113.01</v>
      </c>
      <c r="G83" s="4">
        <f t="shared" si="4"/>
        <v>0</v>
      </c>
      <c r="H83" s="1"/>
      <c r="I83" s="3" t="s">
        <v>560</v>
      </c>
      <c r="J83" s="3" t="s">
        <v>656</v>
      </c>
      <c r="K83" s="4">
        <v>-127113.01</v>
      </c>
      <c r="L83" s="4">
        <v>137275.10999999999</v>
      </c>
      <c r="M83" s="4">
        <v>10162.1</v>
      </c>
      <c r="N83" s="4">
        <v>0</v>
      </c>
      <c r="O83" s="4">
        <f t="shared" si="5"/>
        <v>127113.01</v>
      </c>
    </row>
    <row r="84" spans="2:15" x14ac:dyDescent="0.3">
      <c r="B84" s="2" t="str">
        <f>_xlfn.XLOOKUP($I84,Tab_00.Trial[CONTA],Tab_00.Trial[TP],"",0,1)</f>
        <v>P</v>
      </c>
      <c r="C84" s="2">
        <f>_xlfn.XLOOKUP($I84,Tab_00.Trial[CONTA],Tab_00.Trial[NV],"",0,1)</f>
        <v>5</v>
      </c>
      <c r="D84" s="2" t="str">
        <f>_xlfn.XLOOKUP($I84,Tab_00.Trial[CONTA],Tab_00.Trial[S/A],"",0,1)</f>
        <v>A</v>
      </c>
      <c r="E84" s="2">
        <f>IF($I84="","",COUNTIFS(Tab_00.Trial[CONTA],$I84))</f>
        <v>1</v>
      </c>
      <c r="F84" s="4">
        <f>SUMIFS(Tab_11.Nov[SALDO
ATUAL],Tab_11.Nov[CONTA],$I84)</f>
        <v>-93473.41</v>
      </c>
      <c r="G84" s="4">
        <f t="shared" si="4"/>
        <v>0</v>
      </c>
      <c r="H84" s="1"/>
      <c r="I84" s="3" t="s">
        <v>332</v>
      </c>
      <c r="J84" s="3" t="s">
        <v>333</v>
      </c>
      <c r="K84" s="4">
        <v>-93473.41</v>
      </c>
      <c r="L84" s="4">
        <v>100666.14</v>
      </c>
      <c r="M84" s="4">
        <v>7192.73</v>
      </c>
      <c r="N84" s="4">
        <v>0</v>
      </c>
      <c r="O84" s="4">
        <f t="shared" si="5"/>
        <v>93473.41</v>
      </c>
    </row>
    <row r="85" spans="2:15" x14ac:dyDescent="0.3">
      <c r="B85" s="2" t="str">
        <f>_xlfn.XLOOKUP($I85,Tab_00.Trial[CONTA],Tab_00.Trial[TP],"",0,1)</f>
        <v>P</v>
      </c>
      <c r="C85" s="2">
        <f>_xlfn.XLOOKUP($I85,Tab_00.Trial[CONTA],Tab_00.Trial[NV],"",0,1)</f>
        <v>5</v>
      </c>
      <c r="D85" s="2" t="str">
        <f>_xlfn.XLOOKUP($I85,Tab_00.Trial[CONTA],Tab_00.Trial[S/A],"",0,1)</f>
        <v>A</v>
      </c>
      <c r="E85" s="2">
        <f>IF($I85="","",COUNTIFS(Tab_00.Trial[CONTA],$I85))</f>
        <v>1</v>
      </c>
      <c r="F85" s="4">
        <f>SUMIFS(Tab_11.Nov[SALDO
ATUAL],Tab_11.Nov[CONTA],$I85)</f>
        <v>-7477.8</v>
      </c>
      <c r="G85" s="4">
        <f t="shared" si="4"/>
        <v>0</v>
      </c>
      <c r="H85" s="1"/>
      <c r="I85" s="3" t="s">
        <v>784</v>
      </c>
      <c r="J85" s="3" t="s">
        <v>785</v>
      </c>
      <c r="K85" s="4">
        <v>-7477.8</v>
      </c>
      <c r="L85" s="4">
        <v>8141.36</v>
      </c>
      <c r="M85" s="4">
        <v>663.56</v>
      </c>
      <c r="N85" s="4">
        <v>0</v>
      </c>
      <c r="O85" s="4">
        <f t="shared" si="5"/>
        <v>7477.8</v>
      </c>
    </row>
    <row r="86" spans="2:15" x14ac:dyDescent="0.3">
      <c r="B86" s="2" t="str">
        <f>_xlfn.XLOOKUP($I86,Tab_00.Trial[CONTA],Tab_00.Trial[TP],"",0,1)</f>
        <v>P</v>
      </c>
      <c r="C86" s="2">
        <f>_xlfn.XLOOKUP($I86,Tab_00.Trial[CONTA],Tab_00.Trial[NV],"",0,1)</f>
        <v>5</v>
      </c>
      <c r="D86" s="2" t="str">
        <f>_xlfn.XLOOKUP($I86,Tab_00.Trial[CONTA],Tab_00.Trial[S/A],"",0,1)</f>
        <v>A</v>
      </c>
      <c r="E86" s="2">
        <f>IF($I86="","",COUNTIFS(Tab_00.Trial[CONTA],$I86))</f>
        <v>1</v>
      </c>
      <c r="F86" s="4">
        <f>SUMIFS(Tab_11.Nov[SALDO
ATUAL],Tab_11.Nov[CONTA],$I86)</f>
        <v>-941.08</v>
      </c>
      <c r="G86" s="4">
        <f t="shared" si="4"/>
        <v>0</v>
      </c>
      <c r="H86" s="1"/>
      <c r="I86" s="3" t="s">
        <v>786</v>
      </c>
      <c r="J86" s="3" t="s">
        <v>787</v>
      </c>
      <c r="K86" s="4">
        <v>-941.08</v>
      </c>
      <c r="L86" s="4">
        <v>1024.02</v>
      </c>
      <c r="M86" s="4">
        <v>82.94</v>
      </c>
      <c r="N86" s="4">
        <v>0</v>
      </c>
      <c r="O86" s="4">
        <f t="shared" si="5"/>
        <v>941.08</v>
      </c>
    </row>
    <row r="87" spans="2:15" x14ac:dyDescent="0.3">
      <c r="B87" s="2" t="str">
        <f>_xlfn.XLOOKUP($I87,Tab_00.Trial[CONTA],Tab_00.Trial[TP],"",0,1)</f>
        <v>P</v>
      </c>
      <c r="C87" s="2">
        <f>_xlfn.XLOOKUP($I87,Tab_00.Trial[CONTA],Tab_00.Trial[NV],"",0,1)</f>
        <v>5</v>
      </c>
      <c r="D87" s="2" t="str">
        <f>_xlfn.XLOOKUP($I87,Tab_00.Trial[CONTA],Tab_00.Trial[S/A],"",0,1)</f>
        <v>A</v>
      </c>
      <c r="E87" s="2">
        <f>IF($I87="","",COUNTIFS(Tab_00.Trial[CONTA],$I87))</f>
        <v>1</v>
      </c>
      <c r="F87" s="4">
        <f>SUMIFS(Tab_11.Nov[SALDO
ATUAL],Tab_11.Nov[CONTA],$I87)</f>
        <v>-25220.720000000001</v>
      </c>
      <c r="G87" s="4">
        <f t="shared" si="4"/>
        <v>0</v>
      </c>
      <c r="H87" s="1"/>
      <c r="I87" s="3" t="s">
        <v>788</v>
      </c>
      <c r="J87" s="3" t="s">
        <v>789</v>
      </c>
      <c r="K87" s="4">
        <v>-25220.720000000001</v>
      </c>
      <c r="L87" s="4">
        <v>27443.59</v>
      </c>
      <c r="M87" s="4">
        <v>2222.87</v>
      </c>
      <c r="N87" s="4">
        <v>0</v>
      </c>
      <c r="O87" s="4">
        <f t="shared" si="5"/>
        <v>25220.720000000001</v>
      </c>
    </row>
    <row r="88" spans="2:15" x14ac:dyDescent="0.3">
      <c r="B88" s="2" t="str">
        <f>_xlfn.XLOOKUP($I88,Tab_00.Trial[CONTA],Tab_00.Trial[TP],"",0,1)</f>
        <v>P</v>
      </c>
      <c r="C88" s="2">
        <f>_xlfn.XLOOKUP($I88,Tab_00.Trial[CONTA],Tab_00.Trial[NV],"",0,1)</f>
        <v>5</v>
      </c>
      <c r="D88" s="2" t="str">
        <f>_xlfn.XLOOKUP($I88,Tab_00.Trial[CONTA],Tab_00.Trial[S/A],"",0,1)</f>
        <v>S</v>
      </c>
      <c r="E88" s="2">
        <f>IF($I88="","",COUNTIFS(Tab_00.Trial[CONTA],$I88))</f>
        <v>1</v>
      </c>
      <c r="F88" s="4">
        <f>SUMIFS(Tab_11.Nov[SALDO
ATUAL],Tab_11.Nov[CONTA],$I88)</f>
        <v>-199706.11</v>
      </c>
      <c r="G88" s="4">
        <f t="shared" si="4"/>
        <v>0</v>
      </c>
      <c r="H88" s="1"/>
      <c r="I88" s="3" t="s">
        <v>561</v>
      </c>
      <c r="J88" s="3" t="s">
        <v>657</v>
      </c>
      <c r="K88" s="4">
        <v>-199706.11</v>
      </c>
      <c r="L88" s="4">
        <v>679.28</v>
      </c>
      <c r="M88" s="4">
        <v>17109.63</v>
      </c>
      <c r="N88" s="4">
        <v>-216136.46</v>
      </c>
      <c r="O88" s="4">
        <f t="shared" si="5"/>
        <v>-16430.349999999999</v>
      </c>
    </row>
    <row r="89" spans="2:15" x14ac:dyDescent="0.3">
      <c r="B89" s="2" t="str">
        <f>_xlfn.XLOOKUP($I89,Tab_00.Trial[CONTA],Tab_00.Trial[TP],"",0,1)</f>
        <v>P</v>
      </c>
      <c r="C89" s="2">
        <f>_xlfn.XLOOKUP($I89,Tab_00.Trial[CONTA],Tab_00.Trial[NV],"",0,1)</f>
        <v>5</v>
      </c>
      <c r="D89" s="2" t="str">
        <f>_xlfn.XLOOKUP($I89,Tab_00.Trial[CONTA],Tab_00.Trial[S/A],"",0,1)</f>
        <v>A</v>
      </c>
      <c r="E89" s="2">
        <f>IF($I89="","",COUNTIFS(Tab_00.Trial[CONTA],$I89))</f>
        <v>1</v>
      </c>
      <c r="F89" s="4">
        <f>SUMIFS(Tab_11.Nov[SALDO
ATUAL],Tab_11.Nov[CONTA],$I89)</f>
        <v>-147005.94</v>
      </c>
      <c r="G89" s="4">
        <f t="shared" si="4"/>
        <v>0</v>
      </c>
      <c r="H89" s="1"/>
      <c r="I89" s="3" t="s">
        <v>334</v>
      </c>
      <c r="J89" s="3" t="s">
        <v>335</v>
      </c>
      <c r="K89" s="4">
        <v>-147005.94</v>
      </c>
      <c r="L89" s="4">
        <v>679.28</v>
      </c>
      <c r="M89" s="4">
        <v>12630.74</v>
      </c>
      <c r="N89" s="4">
        <v>-158957.4</v>
      </c>
      <c r="O89" s="4">
        <f t="shared" si="5"/>
        <v>-11951.46</v>
      </c>
    </row>
    <row r="90" spans="2:15" x14ac:dyDescent="0.3">
      <c r="B90" s="2" t="str">
        <f>_xlfn.XLOOKUP($I90,Tab_00.Trial[CONTA],Tab_00.Trial[TP],"",0,1)</f>
        <v>P</v>
      </c>
      <c r="C90" s="2">
        <f>_xlfn.XLOOKUP($I90,Tab_00.Trial[CONTA],Tab_00.Trial[NV],"",0,1)</f>
        <v>5</v>
      </c>
      <c r="D90" s="2" t="str">
        <f>_xlfn.XLOOKUP($I90,Tab_00.Trial[CONTA],Tab_00.Trial[S/A],"",0,1)</f>
        <v>A</v>
      </c>
      <c r="E90" s="2">
        <f>IF($I90="","",COUNTIFS(Tab_00.Trial[CONTA],$I90))</f>
        <v>1</v>
      </c>
      <c r="F90" s="4">
        <f>SUMIFS(Tab_11.Nov[SALDO
ATUAL],Tab_11.Nov[CONTA],$I90)</f>
        <v>-11730.99</v>
      </c>
      <c r="G90" s="4">
        <f t="shared" si="4"/>
        <v>0</v>
      </c>
      <c r="H90" s="1"/>
      <c r="I90" s="3" t="s">
        <v>790</v>
      </c>
      <c r="J90" s="3" t="s">
        <v>791</v>
      </c>
      <c r="K90" s="4">
        <v>-11730.99</v>
      </c>
      <c r="L90" s="4">
        <v>0</v>
      </c>
      <c r="M90" s="4">
        <v>1003.1</v>
      </c>
      <c r="N90" s="4">
        <v>-12734.09</v>
      </c>
      <c r="O90" s="4">
        <f t="shared" si="5"/>
        <v>-1003.1</v>
      </c>
    </row>
    <row r="91" spans="2:15" x14ac:dyDescent="0.3">
      <c r="B91" s="2" t="str">
        <f>_xlfn.XLOOKUP($I91,Tab_00.Trial[CONTA],Tab_00.Trial[TP],"",0,1)</f>
        <v>P</v>
      </c>
      <c r="C91" s="2">
        <f>_xlfn.XLOOKUP($I91,Tab_00.Trial[CONTA],Tab_00.Trial[NV],"",0,1)</f>
        <v>5</v>
      </c>
      <c r="D91" s="2" t="str">
        <f>_xlfn.XLOOKUP($I91,Tab_00.Trial[CONTA],Tab_00.Trial[S/A],"",0,1)</f>
        <v>A</v>
      </c>
      <c r="E91" s="2">
        <f>IF($I91="","",COUNTIFS(Tab_00.Trial[CONTA],$I91))</f>
        <v>1</v>
      </c>
      <c r="F91" s="4">
        <f>SUMIFS(Tab_11.Nov[SALDO
ATUAL],Tab_11.Nov[CONTA],$I91)</f>
        <v>-1669.81</v>
      </c>
      <c r="G91" s="4">
        <f t="shared" si="4"/>
        <v>0</v>
      </c>
      <c r="H91" s="1"/>
      <c r="I91" s="3" t="s">
        <v>792</v>
      </c>
      <c r="J91" s="3" t="s">
        <v>793</v>
      </c>
      <c r="K91" s="4">
        <v>-1669.81</v>
      </c>
      <c r="L91" s="4">
        <v>0</v>
      </c>
      <c r="M91" s="4">
        <v>115.37</v>
      </c>
      <c r="N91" s="4">
        <v>-1785.18</v>
      </c>
      <c r="O91" s="4">
        <f t="shared" si="5"/>
        <v>-115.37</v>
      </c>
    </row>
    <row r="92" spans="2:15" x14ac:dyDescent="0.3">
      <c r="B92" s="2" t="str">
        <f>_xlfn.XLOOKUP($I92,Tab_00.Trial[CONTA],Tab_00.Trial[TP],"",0,1)</f>
        <v>P</v>
      </c>
      <c r="C92" s="2">
        <f>_xlfn.XLOOKUP($I92,Tab_00.Trial[CONTA],Tab_00.Trial[NV],"",0,1)</f>
        <v>5</v>
      </c>
      <c r="D92" s="2" t="str">
        <f>_xlfn.XLOOKUP($I92,Tab_00.Trial[CONTA],Tab_00.Trial[S/A],"",0,1)</f>
        <v>A</v>
      </c>
      <c r="E92" s="2">
        <f>IF($I92="","",COUNTIFS(Tab_00.Trial[CONTA],$I92))</f>
        <v>1</v>
      </c>
      <c r="F92" s="4">
        <f>SUMIFS(Tab_11.Nov[SALDO
ATUAL],Tab_11.Nov[CONTA],$I92)</f>
        <v>-39299.370000000003</v>
      </c>
      <c r="G92" s="4">
        <f t="shared" si="4"/>
        <v>0</v>
      </c>
      <c r="H92" s="1"/>
      <c r="I92" s="3" t="s">
        <v>794</v>
      </c>
      <c r="J92" s="3" t="s">
        <v>795</v>
      </c>
      <c r="K92" s="4">
        <v>-39299.370000000003</v>
      </c>
      <c r="L92" s="4">
        <v>0</v>
      </c>
      <c r="M92" s="4">
        <v>3360.42</v>
      </c>
      <c r="N92" s="4">
        <v>-42659.79</v>
      </c>
      <c r="O92" s="4">
        <f t="shared" si="5"/>
        <v>-3360.42</v>
      </c>
    </row>
    <row r="93" spans="2:15" x14ac:dyDescent="0.3">
      <c r="B93" s="2" t="str">
        <f>_xlfn.XLOOKUP($I93,Tab_00.Trial[CONTA],Tab_00.Trial[TP],"",0,1)</f>
        <v>P</v>
      </c>
      <c r="C93" s="2">
        <f>_xlfn.XLOOKUP($I93,Tab_00.Trial[CONTA],Tab_00.Trial[NV],"",0,1)</f>
        <v>5</v>
      </c>
      <c r="D93" s="2" t="str">
        <f>_xlfn.XLOOKUP($I93,Tab_00.Trial[CONTA],Tab_00.Trial[S/A],"",0,1)</f>
        <v>S</v>
      </c>
      <c r="E93" s="2">
        <f>IF($I93="","",COUNTIFS(Tab_00.Trial[CONTA],$I93))</f>
        <v>1</v>
      </c>
      <c r="F93" s="4">
        <f>SUMIFS(Tab_11.Nov[SALDO
ATUAL],Tab_11.Nov[CONTA],$I93)</f>
        <v>-35631.67</v>
      </c>
      <c r="G93" s="4">
        <f t="shared" si="4"/>
        <v>0</v>
      </c>
      <c r="H93" s="1"/>
      <c r="I93" s="3" t="s">
        <v>562</v>
      </c>
      <c r="J93" s="3" t="s">
        <v>658</v>
      </c>
      <c r="K93" s="4">
        <v>-35631.67</v>
      </c>
      <c r="L93" s="4">
        <v>68050.5</v>
      </c>
      <c r="M93" s="4">
        <v>67642.080000000002</v>
      </c>
      <c r="N93" s="4">
        <v>-35223.25</v>
      </c>
      <c r="O93" s="4">
        <f t="shared" si="5"/>
        <v>408.42</v>
      </c>
    </row>
    <row r="94" spans="2:15" x14ac:dyDescent="0.3">
      <c r="B94" s="2" t="str">
        <f>_xlfn.XLOOKUP($I94,Tab_00.Trial[CONTA],Tab_00.Trial[TP],"",0,1)</f>
        <v>P</v>
      </c>
      <c r="C94" s="2">
        <f>_xlfn.XLOOKUP($I94,Tab_00.Trial[CONTA],Tab_00.Trial[NV],"",0,1)</f>
        <v>5</v>
      </c>
      <c r="D94" s="2" t="str">
        <f>_xlfn.XLOOKUP($I94,Tab_00.Trial[CONTA],Tab_00.Trial[S/A],"",0,1)</f>
        <v>A</v>
      </c>
      <c r="E94" s="2">
        <f>IF($I94="","",COUNTIFS(Tab_00.Trial[CONTA],$I94))</f>
        <v>1</v>
      </c>
      <c r="F94" s="4">
        <f>SUMIFS(Tab_11.Nov[SALDO
ATUAL],Tab_11.Nov[CONTA],$I94)</f>
        <v>-35088.22</v>
      </c>
      <c r="G94" s="4">
        <f t="shared" si="4"/>
        <v>0</v>
      </c>
      <c r="H94" s="1"/>
      <c r="I94" s="3" t="s">
        <v>336</v>
      </c>
      <c r="J94" s="3" t="s">
        <v>337</v>
      </c>
      <c r="K94" s="4">
        <v>-35088.22</v>
      </c>
      <c r="L94" s="4">
        <v>67507.05</v>
      </c>
      <c r="M94" s="4">
        <v>67098.63</v>
      </c>
      <c r="N94" s="4">
        <v>-34679.800000000003</v>
      </c>
      <c r="O94" s="4">
        <f t="shared" si="5"/>
        <v>408.42</v>
      </c>
    </row>
    <row r="95" spans="2:15" x14ac:dyDescent="0.3">
      <c r="B95" s="2" t="str">
        <f>_xlfn.XLOOKUP($I95,Tab_00.Trial[CONTA],Tab_00.Trial[TP],"",0,1)</f>
        <v>P</v>
      </c>
      <c r="C95" s="2">
        <f>_xlfn.XLOOKUP($I95,Tab_00.Trial[CONTA],Tab_00.Trial[NV],"",0,1)</f>
        <v>5</v>
      </c>
      <c r="D95" s="2" t="str">
        <f>_xlfn.XLOOKUP($I95,Tab_00.Trial[CONTA],Tab_00.Trial[S/A],"",0,1)</f>
        <v>A</v>
      </c>
      <c r="E95" s="2">
        <f>IF($I95="","",COUNTIFS(Tab_00.Trial[CONTA],$I95))</f>
        <v>1</v>
      </c>
      <c r="F95" s="4">
        <f>SUMIFS(Tab_11.Nov[SALDO
ATUAL],Tab_11.Nov[CONTA],$I95)</f>
        <v>-543.45000000000005</v>
      </c>
      <c r="G95" s="4">
        <f t="shared" si="4"/>
        <v>0</v>
      </c>
      <c r="H95" s="1"/>
      <c r="I95" s="3" t="s">
        <v>338</v>
      </c>
      <c r="J95" s="3" t="s">
        <v>339</v>
      </c>
      <c r="K95" s="4">
        <v>-543.45000000000005</v>
      </c>
      <c r="L95" s="4">
        <v>543.45000000000005</v>
      </c>
      <c r="M95" s="4">
        <v>543.45000000000005</v>
      </c>
      <c r="N95" s="4">
        <v>-543.45000000000005</v>
      </c>
      <c r="O95" s="4">
        <f t="shared" si="5"/>
        <v>0</v>
      </c>
    </row>
    <row r="96" spans="2:15" x14ac:dyDescent="0.3">
      <c r="B96" s="2" t="str">
        <f>_xlfn.XLOOKUP($I96,Tab_00.Trial[CONTA],Tab_00.Trial[TP],"",0,1)</f>
        <v>P</v>
      </c>
      <c r="C96" s="2">
        <f>_xlfn.XLOOKUP($I96,Tab_00.Trial[CONTA],Tab_00.Trial[NV],"",0,1)</f>
        <v>5</v>
      </c>
      <c r="D96" s="2" t="str">
        <f>_xlfn.XLOOKUP($I96,Tab_00.Trial[CONTA],Tab_00.Trial[S/A],"",0,1)</f>
        <v>S</v>
      </c>
      <c r="E96" s="2">
        <f>IF($I96="","",COUNTIFS(Tab_00.Trial[CONTA],$I96))</f>
        <v>1</v>
      </c>
      <c r="F96" s="4">
        <f>SUMIFS(Tab_11.Nov[SALDO
ATUAL],Tab_11.Nov[CONTA],$I96)</f>
        <v>-9558.02</v>
      </c>
      <c r="G96" s="4">
        <f t="shared" si="4"/>
        <v>0</v>
      </c>
      <c r="H96" s="1"/>
      <c r="I96" s="3" t="s">
        <v>563</v>
      </c>
      <c r="J96" s="3" t="s">
        <v>659</v>
      </c>
      <c r="K96" s="4">
        <v>-9558.02</v>
      </c>
      <c r="L96" s="4">
        <v>10498.85</v>
      </c>
      <c r="M96" s="4">
        <v>18364.849999999999</v>
      </c>
      <c r="N96" s="4">
        <v>-17424.02</v>
      </c>
      <c r="O96" s="4">
        <f t="shared" si="5"/>
        <v>-7866</v>
      </c>
    </row>
    <row r="97" spans="2:15" x14ac:dyDescent="0.3">
      <c r="B97" s="2" t="str">
        <f>_xlfn.XLOOKUP($I97,Tab_00.Trial[CONTA],Tab_00.Trial[TP],"",0,1)</f>
        <v>P</v>
      </c>
      <c r="C97" s="2">
        <f>_xlfn.XLOOKUP($I97,Tab_00.Trial[CONTA],Tab_00.Trial[NV],"",0,1)</f>
        <v>5</v>
      </c>
      <c r="D97" s="2" t="str">
        <f>_xlfn.XLOOKUP($I97,Tab_00.Trial[CONTA],Tab_00.Trial[S/A],"",0,1)</f>
        <v>A</v>
      </c>
      <c r="E97" s="2">
        <f>IF($I97="","",COUNTIFS(Tab_00.Trial[CONTA],$I97))</f>
        <v>1</v>
      </c>
      <c r="F97" s="4">
        <f>SUMIFS(Tab_11.Nov[SALDO
ATUAL],Tab_11.Nov[CONTA],$I97)</f>
        <v>-8430.9500000000007</v>
      </c>
      <c r="G97" s="4">
        <f t="shared" si="4"/>
        <v>0</v>
      </c>
      <c r="H97" s="1"/>
      <c r="I97" s="3" t="s">
        <v>340</v>
      </c>
      <c r="J97" s="3" t="s">
        <v>341</v>
      </c>
      <c r="K97" s="4">
        <v>-8430.9500000000007</v>
      </c>
      <c r="L97" s="4">
        <v>8430.9500000000007</v>
      </c>
      <c r="M97" s="4">
        <v>16384.63</v>
      </c>
      <c r="N97" s="4">
        <v>-16384.63</v>
      </c>
      <c r="O97" s="4">
        <f t="shared" si="5"/>
        <v>-7953.68</v>
      </c>
    </row>
    <row r="98" spans="2:15" x14ac:dyDescent="0.3">
      <c r="B98" s="2" t="str">
        <f>_xlfn.XLOOKUP($I98,Tab_00.Trial[CONTA],Tab_00.Trial[TP],"",0,1)</f>
        <v>P</v>
      </c>
      <c r="C98" s="2">
        <f>_xlfn.XLOOKUP($I98,Tab_00.Trial[CONTA],Tab_00.Trial[NV],"",0,1)</f>
        <v>5</v>
      </c>
      <c r="D98" s="2" t="str">
        <f>_xlfn.XLOOKUP($I98,Tab_00.Trial[CONTA],Tab_00.Trial[S/A],"",0,1)</f>
        <v>A</v>
      </c>
      <c r="E98" s="2">
        <f>IF($I98="","",COUNTIFS(Tab_00.Trial[CONTA],$I98))</f>
        <v>1</v>
      </c>
      <c r="F98" s="4">
        <f>SUMIFS(Tab_11.Nov[SALDO
ATUAL],Tab_11.Nov[CONTA],$I98)</f>
        <v>-1127.07</v>
      </c>
      <c r="G98" s="4">
        <f t="shared" si="4"/>
        <v>0</v>
      </c>
      <c r="H98" s="1"/>
      <c r="I98" s="3" t="s">
        <v>342</v>
      </c>
      <c r="J98" s="3" t="s">
        <v>343</v>
      </c>
      <c r="K98" s="4">
        <v>-1127.07</v>
      </c>
      <c r="L98" s="4">
        <v>2067.9</v>
      </c>
      <c r="M98" s="4">
        <v>1980.22</v>
      </c>
      <c r="N98" s="4">
        <v>-1039.3900000000001</v>
      </c>
      <c r="O98" s="4">
        <f t="shared" si="5"/>
        <v>87.68</v>
      </c>
    </row>
    <row r="99" spans="2:15" x14ac:dyDescent="0.3">
      <c r="B99" s="2" t="str">
        <f>_xlfn.XLOOKUP($I99,Tab_00.Trial[CONTA],Tab_00.Trial[TP],"",0,1)</f>
        <v>P</v>
      </c>
      <c r="C99" s="2">
        <f>_xlfn.XLOOKUP($I99,Tab_00.Trial[CONTA],Tab_00.Trial[NV],"",0,1)</f>
        <v>5</v>
      </c>
      <c r="D99" s="2" t="str">
        <f>_xlfn.XLOOKUP($I99,Tab_00.Trial[CONTA],Tab_00.Trial[S/A],"",0,1)</f>
        <v>S</v>
      </c>
      <c r="E99" s="2">
        <f>IF($I99="","",COUNTIFS(Tab_00.Trial[CONTA],$I99))</f>
        <v>1</v>
      </c>
      <c r="F99" s="4">
        <f>SUMIFS(Tab_11.Nov[SALDO
ATUAL],Tab_11.Nov[CONTA],$I99)</f>
        <v>-833406.21</v>
      </c>
      <c r="G99" s="4">
        <f t="shared" si="4"/>
        <v>0</v>
      </c>
      <c r="H99" s="1"/>
      <c r="I99" s="3" t="s">
        <v>218</v>
      </c>
      <c r="J99" s="3" t="s">
        <v>660</v>
      </c>
      <c r="K99" s="4">
        <v>-833406.21</v>
      </c>
      <c r="L99" s="4">
        <v>2143157.9</v>
      </c>
      <c r="M99" s="4">
        <v>1659900.62</v>
      </c>
      <c r="N99" s="4">
        <v>-350148.93</v>
      </c>
      <c r="O99" s="4">
        <f t="shared" si="5"/>
        <v>483257.28</v>
      </c>
    </row>
    <row r="100" spans="2:15" x14ac:dyDescent="0.3">
      <c r="B100" s="2" t="str">
        <f>_xlfn.XLOOKUP($I100,Tab_00.Trial[CONTA],Tab_00.Trial[TP],"",0,1)</f>
        <v>P</v>
      </c>
      <c r="C100" s="2">
        <f>_xlfn.XLOOKUP($I100,Tab_00.Trial[CONTA],Tab_00.Trial[NV],"",0,1)</f>
        <v>5</v>
      </c>
      <c r="D100" s="2" t="str">
        <f>_xlfn.XLOOKUP($I100,Tab_00.Trial[CONTA],Tab_00.Trial[S/A],"",0,1)</f>
        <v>S</v>
      </c>
      <c r="E100" s="2">
        <f>IF($I100="","",COUNTIFS(Tab_00.Trial[CONTA],$I100))</f>
        <v>1</v>
      </c>
      <c r="F100" s="4">
        <f>SUMIFS(Tab_11.Nov[SALDO
ATUAL],Tab_11.Nov[CONTA],$I100)</f>
        <v>-84057.62</v>
      </c>
      <c r="G100" s="4">
        <f t="shared" si="4"/>
        <v>0</v>
      </c>
      <c r="H100" s="1"/>
      <c r="I100" s="3" t="s">
        <v>219</v>
      </c>
      <c r="J100" s="3" t="s">
        <v>56</v>
      </c>
      <c r="K100" s="4">
        <v>-84057.62</v>
      </c>
      <c r="L100" s="4">
        <v>802808.3</v>
      </c>
      <c r="M100" s="4">
        <v>760693.29</v>
      </c>
      <c r="N100" s="4">
        <v>-41942.61</v>
      </c>
      <c r="O100" s="4">
        <f t="shared" si="5"/>
        <v>42115.01</v>
      </c>
    </row>
    <row r="101" spans="2:15" x14ac:dyDescent="0.3">
      <c r="B101" s="2" t="str">
        <f>_xlfn.XLOOKUP($I101,Tab_00.Trial[CONTA],Tab_00.Trial[TP],"",0,1)</f>
        <v>P</v>
      </c>
      <c r="C101" s="2">
        <f>_xlfn.XLOOKUP($I101,Tab_00.Trial[CONTA],Tab_00.Trial[NV],"",0,1)</f>
        <v>5</v>
      </c>
      <c r="D101" s="2" t="str">
        <f>_xlfn.XLOOKUP($I101,Tab_00.Trial[CONTA],Tab_00.Trial[S/A],"",0,1)</f>
        <v>A</v>
      </c>
      <c r="E101" s="2">
        <f>IF($I101="","",COUNTIFS(Tab_00.Trial[CONTA],$I101))</f>
        <v>1</v>
      </c>
      <c r="F101" s="4">
        <f>SUMIFS(Tab_11.Nov[SALDO
ATUAL],Tab_11.Nov[CONTA],$I101)</f>
        <v>-84057.62</v>
      </c>
      <c r="G101" s="4">
        <f t="shared" si="4"/>
        <v>0</v>
      </c>
      <c r="H101" s="1"/>
      <c r="I101" s="3" t="s">
        <v>344</v>
      </c>
      <c r="J101" s="3" t="s">
        <v>56</v>
      </c>
      <c r="K101" s="4">
        <v>-84057.62</v>
      </c>
      <c r="L101" s="4">
        <v>802808.3</v>
      </c>
      <c r="M101" s="4">
        <v>760693.29</v>
      </c>
      <c r="N101" s="4">
        <v>-41942.61</v>
      </c>
      <c r="O101" s="4">
        <f t="shared" si="5"/>
        <v>42115.01</v>
      </c>
    </row>
    <row r="102" spans="2:15" x14ac:dyDescent="0.3">
      <c r="B102" s="2" t="str">
        <f>_xlfn.XLOOKUP($I102,Tab_00.Trial[CONTA],Tab_00.Trial[TP],"",0,1)</f>
        <v>P</v>
      </c>
      <c r="C102" s="2">
        <f>_xlfn.XLOOKUP($I102,Tab_00.Trial[CONTA],Tab_00.Trial[NV],"",0,1)</f>
        <v>5</v>
      </c>
      <c r="D102" s="2" t="str">
        <f>_xlfn.XLOOKUP($I102,Tab_00.Trial[CONTA],Tab_00.Trial[S/A],"",0,1)</f>
        <v>S</v>
      </c>
      <c r="E102" s="2">
        <f>IF($I102="","",COUNTIFS(Tab_00.Trial[CONTA],$I102))</f>
        <v>1</v>
      </c>
      <c r="F102" s="4">
        <f>SUMIFS(Tab_11.Nov[SALDO
ATUAL],Tab_11.Nov[CONTA],$I102)</f>
        <v>-749348.59</v>
      </c>
      <c r="G102" s="4">
        <f t="shared" si="4"/>
        <v>0</v>
      </c>
      <c r="H102" s="1"/>
      <c r="I102" s="3" t="s">
        <v>220</v>
      </c>
      <c r="J102" s="3" t="s">
        <v>346</v>
      </c>
      <c r="K102" s="4">
        <v>-749348.59</v>
      </c>
      <c r="L102" s="4">
        <v>1340349.6000000001</v>
      </c>
      <c r="M102" s="4">
        <v>899207.33</v>
      </c>
      <c r="N102" s="4">
        <v>-308206.32</v>
      </c>
      <c r="O102" s="4">
        <f t="shared" si="5"/>
        <v>441142.27</v>
      </c>
    </row>
    <row r="103" spans="2:15" x14ac:dyDescent="0.3">
      <c r="B103" s="2" t="str">
        <f>_xlfn.XLOOKUP($I103,Tab_00.Trial[CONTA],Tab_00.Trial[TP],"",0,1)</f>
        <v>P</v>
      </c>
      <c r="C103" s="2">
        <f>_xlfn.XLOOKUP($I103,Tab_00.Trial[CONTA],Tab_00.Trial[NV],"",0,1)</f>
        <v>5</v>
      </c>
      <c r="D103" s="2" t="str">
        <f>_xlfn.XLOOKUP($I103,Tab_00.Trial[CONTA],Tab_00.Trial[S/A],"",0,1)</f>
        <v>A</v>
      </c>
      <c r="E103" s="2">
        <f>IF($I103="","",COUNTIFS(Tab_00.Trial[CONTA],$I103))</f>
        <v>1</v>
      </c>
      <c r="F103" s="4">
        <f>SUMIFS(Tab_11.Nov[SALDO
ATUAL],Tab_11.Nov[CONTA],$I103)</f>
        <v>-749348.59</v>
      </c>
      <c r="G103" s="4">
        <f t="shared" si="4"/>
        <v>0</v>
      </c>
      <c r="H103" s="1"/>
      <c r="I103" s="3" t="s">
        <v>345</v>
      </c>
      <c r="J103" s="3" t="s">
        <v>346</v>
      </c>
      <c r="K103" s="4">
        <v>-749348.59</v>
      </c>
      <c r="L103" s="4">
        <v>1340349.6000000001</v>
      </c>
      <c r="M103" s="4">
        <v>899207.33</v>
      </c>
      <c r="N103" s="4">
        <v>-308206.32</v>
      </c>
      <c r="O103" s="4">
        <f t="shared" si="5"/>
        <v>441142.27</v>
      </c>
    </row>
    <row r="104" spans="2:15" x14ac:dyDescent="0.3">
      <c r="B104" s="2" t="str">
        <f>_xlfn.XLOOKUP($I104,Tab_00.Trial[CONTA],Tab_00.Trial[TP],"",0,1)</f>
        <v>P</v>
      </c>
      <c r="C104" s="2">
        <f>_xlfn.XLOOKUP($I104,Tab_00.Trial[CONTA],Tab_00.Trial[NV],"",0,1)</f>
        <v>5</v>
      </c>
      <c r="D104" s="2" t="str">
        <f>_xlfn.XLOOKUP($I104,Tab_00.Trial[CONTA],Tab_00.Trial[S/A],"",0,1)</f>
        <v>S</v>
      </c>
      <c r="E104" s="2">
        <f>IF($I104="","",COUNTIFS(Tab_00.Trial[CONTA],$I104))</f>
        <v>1</v>
      </c>
      <c r="F104" s="4">
        <f>SUMIFS(Tab_11.Nov[SALDO
ATUAL],Tab_11.Nov[CONTA],$I104)</f>
        <v>-23349.07</v>
      </c>
      <c r="G104" s="4">
        <f t="shared" si="4"/>
        <v>0</v>
      </c>
      <c r="H104" s="1"/>
      <c r="I104" s="3" t="s">
        <v>221</v>
      </c>
      <c r="J104" s="3" t="s">
        <v>661</v>
      </c>
      <c r="K104" s="4">
        <v>-23349.07</v>
      </c>
      <c r="L104" s="4">
        <v>19822.64</v>
      </c>
      <c r="M104" s="4">
        <v>20436.04</v>
      </c>
      <c r="N104" s="4">
        <v>-23962.47</v>
      </c>
      <c r="O104" s="4">
        <f t="shared" si="5"/>
        <v>-613.4</v>
      </c>
    </row>
    <row r="105" spans="2:15" x14ac:dyDescent="0.3">
      <c r="B105" s="2" t="str">
        <f>_xlfn.XLOOKUP($I105,Tab_00.Trial[CONTA],Tab_00.Trial[TP],"",0,1)</f>
        <v>P</v>
      </c>
      <c r="C105" s="2">
        <f>_xlfn.XLOOKUP($I105,Tab_00.Trial[CONTA],Tab_00.Trial[NV],"",0,1)</f>
        <v>5</v>
      </c>
      <c r="D105" s="2" t="str">
        <f>_xlfn.XLOOKUP($I105,Tab_00.Trial[CONTA],Tab_00.Trial[S/A],"",0,1)</f>
        <v>S</v>
      </c>
      <c r="E105" s="2">
        <f>IF($I105="","",COUNTIFS(Tab_00.Trial[CONTA],$I105))</f>
        <v>1</v>
      </c>
      <c r="F105" s="4">
        <f>SUMIFS(Tab_11.Nov[SALDO
ATUAL],Tab_11.Nov[CONTA],$I105)</f>
        <v>-23349.07</v>
      </c>
      <c r="G105" s="4">
        <f t="shared" si="4"/>
        <v>0</v>
      </c>
      <c r="H105" s="1"/>
      <c r="I105" s="3" t="s">
        <v>222</v>
      </c>
      <c r="J105" s="3" t="s">
        <v>662</v>
      </c>
      <c r="K105" s="4">
        <v>-23349.07</v>
      </c>
      <c r="L105" s="4">
        <v>19557.02</v>
      </c>
      <c r="M105" s="4">
        <v>20170.419999999998</v>
      </c>
      <c r="N105" s="4">
        <v>-23962.47</v>
      </c>
      <c r="O105" s="4">
        <f t="shared" si="5"/>
        <v>-613.4</v>
      </c>
    </row>
    <row r="106" spans="2:15" x14ac:dyDescent="0.3">
      <c r="B106" s="2" t="str">
        <f>_xlfn.XLOOKUP($I106,Tab_00.Trial[CONTA],Tab_00.Trial[TP],"",0,1)</f>
        <v>P</v>
      </c>
      <c r="C106" s="2">
        <f>_xlfn.XLOOKUP($I106,Tab_00.Trial[CONTA],Tab_00.Trial[NV],"",0,1)</f>
        <v>5</v>
      </c>
      <c r="D106" s="2" t="str">
        <f>_xlfn.XLOOKUP($I106,Tab_00.Trial[CONTA],Tab_00.Trial[S/A],"",0,1)</f>
        <v>A</v>
      </c>
      <c r="E106" s="2">
        <f>IF($I106="","",COUNTIFS(Tab_00.Trial[CONTA],$I106))</f>
        <v>1</v>
      </c>
      <c r="F106" s="4">
        <f>SUMIFS(Tab_11.Nov[SALDO
ATUAL],Tab_11.Nov[CONTA],$I106)</f>
        <v>-2182.15</v>
      </c>
      <c r="G106" s="4">
        <f t="shared" si="4"/>
        <v>0</v>
      </c>
      <c r="H106" s="1"/>
      <c r="I106" s="3" t="s">
        <v>191</v>
      </c>
      <c r="J106" s="3" t="s">
        <v>347</v>
      </c>
      <c r="K106" s="4">
        <v>-2182.15</v>
      </c>
      <c r="L106" s="4">
        <v>1348.14</v>
      </c>
      <c r="M106" s="4">
        <v>1012.27</v>
      </c>
      <c r="N106" s="4">
        <v>-1846.28</v>
      </c>
      <c r="O106" s="4">
        <f t="shared" si="5"/>
        <v>335.87</v>
      </c>
    </row>
    <row r="107" spans="2:15" x14ac:dyDescent="0.3">
      <c r="B107" s="2" t="str">
        <f>_xlfn.XLOOKUP($I107,Tab_00.Trial[CONTA],Tab_00.Trial[TP],"",0,1)</f>
        <v>P</v>
      </c>
      <c r="C107" s="2">
        <f>_xlfn.XLOOKUP($I107,Tab_00.Trial[CONTA],Tab_00.Trial[NV],"",0,1)</f>
        <v>5</v>
      </c>
      <c r="D107" s="2" t="str">
        <f>_xlfn.XLOOKUP($I107,Tab_00.Trial[CONTA],Tab_00.Trial[S/A],"",0,1)</f>
        <v>A</v>
      </c>
      <c r="E107" s="2">
        <f>IF($I107="","",COUNTIFS(Tab_00.Trial[CONTA],$I107))</f>
        <v>1</v>
      </c>
      <c r="F107" s="4">
        <f>SUMIFS(Tab_11.Nov[SALDO
ATUAL],Tab_11.Nov[CONTA],$I107)</f>
        <v>-14692.56</v>
      </c>
      <c r="G107" s="4">
        <f t="shared" si="4"/>
        <v>0</v>
      </c>
      <c r="H107" s="1"/>
      <c r="I107" s="3" t="s">
        <v>192</v>
      </c>
      <c r="J107" s="3" t="s">
        <v>348</v>
      </c>
      <c r="K107" s="4">
        <v>-14692.56</v>
      </c>
      <c r="L107" s="4">
        <v>14692.56</v>
      </c>
      <c r="M107" s="4">
        <v>15708.71</v>
      </c>
      <c r="N107" s="4">
        <v>-15708.71</v>
      </c>
      <c r="O107" s="4">
        <f t="shared" si="5"/>
        <v>-1016.15</v>
      </c>
    </row>
    <row r="108" spans="2:15" x14ac:dyDescent="0.3">
      <c r="B108" s="2" t="str">
        <f>_xlfn.XLOOKUP($I108,Tab_00.Trial[CONTA],Tab_00.Trial[TP],"",0,1)</f>
        <v>P</v>
      </c>
      <c r="C108" s="2">
        <f>_xlfn.XLOOKUP($I108,Tab_00.Trial[CONTA],Tab_00.Trial[NV],"",0,1)</f>
        <v>5</v>
      </c>
      <c r="D108" s="2" t="str">
        <f>_xlfn.XLOOKUP($I108,Tab_00.Trial[CONTA],Tab_00.Trial[S/A],"",0,1)</f>
        <v>A</v>
      </c>
      <c r="E108" s="2">
        <f>IF($I108="","",COUNTIFS(Tab_00.Trial[CONTA],$I108))</f>
        <v>1</v>
      </c>
      <c r="F108" s="4">
        <f>SUMIFS(Tab_11.Nov[SALDO
ATUAL],Tab_11.Nov[CONTA],$I108)</f>
        <v>-6463.08</v>
      </c>
      <c r="G108" s="4">
        <f t="shared" si="4"/>
        <v>0</v>
      </c>
      <c r="H108" s="1"/>
      <c r="I108" s="3" t="s">
        <v>350</v>
      </c>
      <c r="J108" s="3" t="s">
        <v>351</v>
      </c>
      <c r="K108" s="4">
        <v>-6463.08</v>
      </c>
      <c r="L108" s="4">
        <v>3505.04</v>
      </c>
      <c r="M108" s="4">
        <v>3437.73</v>
      </c>
      <c r="N108" s="4">
        <v>-6395.77</v>
      </c>
      <c r="O108" s="4">
        <f t="shared" si="5"/>
        <v>67.31</v>
      </c>
    </row>
    <row r="109" spans="2:15" x14ac:dyDescent="0.3">
      <c r="B109" s="2" t="str">
        <f>_xlfn.XLOOKUP($I109,Tab_00.Trial[CONTA],Tab_00.Trial[TP],"",0,1)</f>
        <v>P</v>
      </c>
      <c r="C109" s="2">
        <f>_xlfn.XLOOKUP($I109,Tab_00.Trial[CONTA],Tab_00.Trial[NV],"",0,1)</f>
        <v>5</v>
      </c>
      <c r="D109" s="2" t="str">
        <f>_xlfn.XLOOKUP($I109,Tab_00.Trial[CONTA],Tab_00.Trial[S/A],"",0,1)</f>
        <v>A</v>
      </c>
      <c r="E109" s="2">
        <f>IF($I109="","",COUNTIFS(Tab_00.Trial[CONTA],$I109))</f>
        <v>1</v>
      </c>
      <c r="F109" s="4">
        <f>SUMIFS(Tab_11.Nov[SALDO
ATUAL],Tab_11.Nov[CONTA],$I109)</f>
        <v>-11.28</v>
      </c>
      <c r="G109" s="4">
        <f t="shared" si="4"/>
        <v>0</v>
      </c>
      <c r="H109" s="1"/>
      <c r="I109" s="3" t="s">
        <v>352</v>
      </c>
      <c r="J109" s="3" t="s">
        <v>353</v>
      </c>
      <c r="K109" s="4">
        <v>-11.28</v>
      </c>
      <c r="L109" s="4">
        <v>11.28</v>
      </c>
      <c r="M109" s="4">
        <v>11.71</v>
      </c>
      <c r="N109" s="4">
        <v>-11.71</v>
      </c>
      <c r="O109" s="4">
        <f t="shared" si="5"/>
        <v>-0.43</v>
      </c>
    </row>
    <row r="110" spans="2:15" x14ac:dyDescent="0.3">
      <c r="B110" s="2" t="str">
        <f>_xlfn.XLOOKUP($I110,Tab_00.Trial[CONTA],Tab_00.Trial[TP],"",0,1)</f>
        <v>P</v>
      </c>
      <c r="C110" s="2">
        <f>_xlfn.XLOOKUP($I110,Tab_00.Trial[CONTA],Tab_00.Trial[NV],"",0,1)</f>
        <v>5</v>
      </c>
      <c r="D110" s="2" t="str">
        <f>_xlfn.XLOOKUP($I110,Tab_00.Trial[CONTA],Tab_00.Trial[S/A],"",0,1)</f>
        <v>S</v>
      </c>
      <c r="E110" s="2">
        <f>IF($I110="","",COUNTIFS(Tab_00.Trial[CONTA],$I110))</f>
        <v>1</v>
      </c>
      <c r="F110" s="4">
        <f>SUMIFS(Tab_11.Nov[SALDO
ATUAL],Tab_11.Nov[CONTA],$I110)</f>
        <v>0</v>
      </c>
      <c r="G110" s="4">
        <f t="shared" si="4"/>
        <v>0</v>
      </c>
      <c r="H110" s="1"/>
      <c r="I110" s="3" t="s">
        <v>223</v>
      </c>
      <c r="J110" s="3" t="s">
        <v>663</v>
      </c>
      <c r="K110" s="4">
        <v>0</v>
      </c>
      <c r="L110" s="4">
        <v>265.62</v>
      </c>
      <c r="M110" s="4">
        <v>265.62</v>
      </c>
      <c r="N110" s="4">
        <v>0</v>
      </c>
      <c r="O110" s="4">
        <f t="shared" si="5"/>
        <v>0</v>
      </c>
    </row>
    <row r="111" spans="2:15" x14ac:dyDescent="0.3">
      <c r="B111" s="2" t="str">
        <f>_xlfn.XLOOKUP($I111,Tab_00.Trial[CONTA],Tab_00.Trial[TP],"",0,1)</f>
        <v>P</v>
      </c>
      <c r="C111" s="2">
        <f>_xlfn.XLOOKUP($I111,Tab_00.Trial[CONTA],Tab_00.Trial[NV],"",0,1)</f>
        <v>5</v>
      </c>
      <c r="D111" s="2" t="str">
        <f>_xlfn.XLOOKUP($I111,Tab_00.Trial[CONTA],Tab_00.Trial[S/A],"",0,1)</f>
        <v>A</v>
      </c>
      <c r="E111" s="2">
        <f>IF($I111="","",COUNTIFS(Tab_00.Trial[CONTA],$I111))</f>
        <v>1</v>
      </c>
      <c r="F111" s="4">
        <f>SUMIFS(Tab_11.Nov[SALDO
ATUAL],Tab_11.Nov[CONTA],$I111)</f>
        <v>0</v>
      </c>
      <c r="G111" s="4">
        <f t="shared" si="4"/>
        <v>0</v>
      </c>
      <c r="H111" s="1"/>
      <c r="I111" s="3" t="s">
        <v>354</v>
      </c>
      <c r="J111" s="3" t="s">
        <v>355</v>
      </c>
      <c r="K111" s="4">
        <v>0</v>
      </c>
      <c r="L111" s="4">
        <v>265.62</v>
      </c>
      <c r="M111" s="4">
        <v>265.62</v>
      </c>
      <c r="N111" s="4">
        <v>0</v>
      </c>
      <c r="O111" s="4">
        <f t="shared" si="5"/>
        <v>0</v>
      </c>
    </row>
    <row r="112" spans="2:15" x14ac:dyDescent="0.3">
      <c r="B112" s="2" t="str">
        <f>_xlfn.XLOOKUP($I112,Tab_00.Trial[CONTA],Tab_00.Trial[TP],"",0,1)</f>
        <v>P</v>
      </c>
      <c r="C112" s="2">
        <f>_xlfn.XLOOKUP($I112,Tab_00.Trial[CONTA],Tab_00.Trial[NV],"",0,1)</f>
        <v>5</v>
      </c>
      <c r="D112" s="2" t="str">
        <f>_xlfn.XLOOKUP($I112,Tab_00.Trial[CONTA],Tab_00.Trial[S/A],"",0,1)</f>
        <v>S</v>
      </c>
      <c r="E112" s="2">
        <f>IF($I112="","",COUNTIFS(Tab_00.Trial[CONTA],$I112))</f>
        <v>1</v>
      </c>
      <c r="F112" s="4">
        <f>SUMIFS(Tab_11.Nov[SALDO
ATUAL],Tab_11.Nov[CONTA],$I112)</f>
        <v>-23073.63</v>
      </c>
      <c r="G112" s="4">
        <f t="shared" si="4"/>
        <v>0</v>
      </c>
      <c r="H112" s="1"/>
      <c r="I112" s="3" t="s">
        <v>224</v>
      </c>
      <c r="J112" s="3" t="s">
        <v>664</v>
      </c>
      <c r="K112" s="4">
        <v>-23073.63</v>
      </c>
      <c r="L112" s="4">
        <v>20490.79</v>
      </c>
      <c r="M112" s="4">
        <v>616.1</v>
      </c>
      <c r="N112" s="4">
        <v>-3198.94</v>
      </c>
      <c r="O112" s="4">
        <f t="shared" si="5"/>
        <v>19874.689999999999</v>
      </c>
    </row>
    <row r="113" spans="2:15" x14ac:dyDescent="0.3">
      <c r="B113" s="2" t="str">
        <f>_xlfn.XLOOKUP($I113,Tab_00.Trial[CONTA],Tab_00.Trial[TP],"",0,1)</f>
        <v>P</v>
      </c>
      <c r="C113" s="2">
        <f>_xlfn.XLOOKUP($I113,Tab_00.Trial[CONTA],Tab_00.Trial[NV],"",0,1)</f>
        <v>5</v>
      </c>
      <c r="D113" s="2" t="str">
        <f>_xlfn.XLOOKUP($I113,Tab_00.Trial[CONTA],Tab_00.Trial[S/A],"",0,1)</f>
        <v>S</v>
      </c>
      <c r="E113" s="2">
        <f>IF($I113="","",COUNTIFS(Tab_00.Trial[CONTA],$I113))</f>
        <v>1</v>
      </c>
      <c r="F113" s="4">
        <f>SUMIFS(Tab_11.Nov[SALDO
ATUAL],Tab_11.Nov[CONTA],$I113)</f>
        <v>-23073.63</v>
      </c>
      <c r="G113" s="4">
        <f t="shared" si="4"/>
        <v>0</v>
      </c>
      <c r="H113" s="1"/>
      <c r="I113" s="3" t="s">
        <v>225</v>
      </c>
      <c r="J113" s="3" t="s">
        <v>665</v>
      </c>
      <c r="K113" s="4">
        <v>-23073.63</v>
      </c>
      <c r="L113" s="4">
        <v>20490.79</v>
      </c>
      <c r="M113" s="4">
        <v>616.1</v>
      </c>
      <c r="N113" s="4">
        <v>-3198.94</v>
      </c>
      <c r="O113" s="4">
        <f t="shared" si="5"/>
        <v>19874.689999999999</v>
      </c>
    </row>
    <row r="114" spans="2:15" x14ac:dyDescent="0.3">
      <c r="B114" s="2" t="str">
        <f>_xlfn.XLOOKUP($I114,Tab_00.Trial[CONTA],Tab_00.Trial[TP],"",0,1)</f>
        <v>P</v>
      </c>
      <c r="C114" s="2">
        <f>_xlfn.XLOOKUP($I114,Tab_00.Trial[CONTA],Tab_00.Trial[NV],"",0,1)</f>
        <v>5</v>
      </c>
      <c r="D114" s="2" t="str">
        <f>_xlfn.XLOOKUP($I114,Tab_00.Trial[CONTA],Tab_00.Trial[S/A],"",0,1)</f>
        <v>A</v>
      </c>
      <c r="E114" s="2">
        <f>IF($I114="","",COUNTIFS(Tab_00.Trial[CONTA],$I114))</f>
        <v>1</v>
      </c>
      <c r="F114" s="4">
        <f>SUMIFS(Tab_11.Nov[SALDO
ATUAL],Tab_11.Nov[CONTA],$I114)</f>
        <v>-23073.63</v>
      </c>
      <c r="G114" s="4">
        <f t="shared" si="4"/>
        <v>0</v>
      </c>
      <c r="H114" s="1"/>
      <c r="I114" s="3" t="s">
        <v>356</v>
      </c>
      <c r="J114" s="3" t="s">
        <v>357</v>
      </c>
      <c r="K114" s="4">
        <v>-23073.63</v>
      </c>
      <c r="L114" s="4">
        <v>20490.79</v>
      </c>
      <c r="M114" s="4">
        <v>616.1</v>
      </c>
      <c r="N114" s="4">
        <v>-3198.94</v>
      </c>
      <c r="O114" s="4">
        <f t="shared" si="5"/>
        <v>19874.689999999999</v>
      </c>
    </row>
    <row r="115" spans="2:15" x14ac:dyDescent="0.3">
      <c r="B115" s="2" t="str">
        <f>_xlfn.XLOOKUP($I115,Tab_00.Trial[CONTA],Tab_00.Trial[TP],"",0,1)</f>
        <v>P</v>
      </c>
      <c r="C115" s="2">
        <f>_xlfn.XLOOKUP($I115,Tab_00.Trial[CONTA],Tab_00.Trial[NV],"",0,1)</f>
        <v>5</v>
      </c>
      <c r="D115" s="2" t="str">
        <f>_xlfn.XLOOKUP($I115,Tab_00.Trial[CONTA],Tab_00.Trial[S/A],"",0,1)</f>
        <v>S</v>
      </c>
      <c r="E115" s="2">
        <f>IF($I115="","",COUNTIFS(Tab_00.Trial[CONTA],$I115))</f>
        <v>1</v>
      </c>
      <c r="F115" s="4">
        <f>SUMIFS(Tab_11.Nov[SALDO
ATUAL],Tab_11.Nov[CONTA],$I115)</f>
        <v>-3849.2</v>
      </c>
      <c r="G115" s="4">
        <f t="shared" si="4"/>
        <v>0</v>
      </c>
      <c r="H115" s="1"/>
      <c r="I115" s="3" t="s">
        <v>564</v>
      </c>
      <c r="J115" s="3" t="s">
        <v>666</v>
      </c>
      <c r="K115" s="4">
        <v>-3849.2</v>
      </c>
      <c r="L115" s="4">
        <v>0</v>
      </c>
      <c r="M115" s="4">
        <v>0</v>
      </c>
      <c r="N115" s="4">
        <v>-3849.2</v>
      </c>
      <c r="O115" s="4">
        <f t="shared" si="5"/>
        <v>0</v>
      </c>
    </row>
    <row r="116" spans="2:15" x14ac:dyDescent="0.3">
      <c r="B116" s="2" t="str">
        <f>_xlfn.XLOOKUP($I116,Tab_00.Trial[CONTA],Tab_00.Trial[TP],"",0,1)</f>
        <v>P</v>
      </c>
      <c r="C116" s="2">
        <f>_xlfn.XLOOKUP($I116,Tab_00.Trial[CONTA],Tab_00.Trial[NV],"",0,1)</f>
        <v>5</v>
      </c>
      <c r="D116" s="2" t="str">
        <f>_xlfn.XLOOKUP($I116,Tab_00.Trial[CONTA],Tab_00.Trial[S/A],"",0,1)</f>
        <v>S</v>
      </c>
      <c r="E116" s="2">
        <f>IF($I116="","",COUNTIFS(Tab_00.Trial[CONTA],$I116))</f>
        <v>1</v>
      </c>
      <c r="F116" s="4">
        <f>SUMIFS(Tab_11.Nov[SALDO
ATUAL],Tab_11.Nov[CONTA],$I116)</f>
        <v>-3849.2</v>
      </c>
      <c r="G116" s="4">
        <f t="shared" si="4"/>
        <v>0</v>
      </c>
      <c r="H116" s="1"/>
      <c r="I116" s="3" t="s">
        <v>565</v>
      </c>
      <c r="J116" s="3" t="s">
        <v>667</v>
      </c>
      <c r="K116" s="4">
        <v>-3849.2</v>
      </c>
      <c r="L116" s="4">
        <v>0</v>
      </c>
      <c r="M116" s="4">
        <v>0</v>
      </c>
      <c r="N116" s="4">
        <v>-3849.2</v>
      </c>
      <c r="O116" s="4">
        <f t="shared" si="5"/>
        <v>0</v>
      </c>
    </row>
    <row r="117" spans="2:15" x14ac:dyDescent="0.3">
      <c r="B117" s="2" t="str">
        <f>_xlfn.XLOOKUP($I117,Tab_00.Trial[CONTA],Tab_00.Trial[TP],"",0,1)</f>
        <v>P</v>
      </c>
      <c r="C117" s="2">
        <f>_xlfn.XLOOKUP($I117,Tab_00.Trial[CONTA],Tab_00.Trial[NV],"",0,1)</f>
        <v>5</v>
      </c>
      <c r="D117" s="2" t="str">
        <f>_xlfn.XLOOKUP($I117,Tab_00.Trial[CONTA],Tab_00.Trial[S/A],"",0,1)</f>
        <v>A</v>
      </c>
      <c r="E117" s="2">
        <f>IF($I117="","",COUNTIFS(Tab_00.Trial[CONTA],$I117))</f>
        <v>1</v>
      </c>
      <c r="F117" s="4">
        <f>SUMIFS(Tab_11.Nov[SALDO
ATUAL],Tab_11.Nov[CONTA],$I117)</f>
        <v>-3849.2</v>
      </c>
      <c r="G117" s="4">
        <f t="shared" si="4"/>
        <v>0</v>
      </c>
      <c r="H117" s="1"/>
      <c r="I117" s="3" t="s">
        <v>358</v>
      </c>
      <c r="J117" s="3" t="s">
        <v>359</v>
      </c>
      <c r="K117" s="4">
        <v>-3849.2</v>
      </c>
      <c r="L117" s="4">
        <v>0</v>
      </c>
      <c r="M117" s="4">
        <v>0</v>
      </c>
      <c r="N117" s="4">
        <v>-3849.2</v>
      </c>
      <c r="O117" s="4">
        <f t="shared" si="5"/>
        <v>0</v>
      </c>
    </row>
    <row r="118" spans="2:15" x14ac:dyDescent="0.3">
      <c r="B118" s="2" t="str">
        <f>_xlfn.XLOOKUP($I118,Tab_00.Trial[CONTA],Tab_00.Trial[TP],"",0,1)</f>
        <v>P</v>
      </c>
      <c r="C118" s="2">
        <f>_xlfn.XLOOKUP($I118,Tab_00.Trial[CONTA],Tab_00.Trial[NV],"",0,1)</f>
        <v>2</v>
      </c>
      <c r="D118" s="2" t="str">
        <f>_xlfn.XLOOKUP($I118,Tab_00.Trial[CONTA],Tab_00.Trial[S/A],"",0,1)</f>
        <v>S</v>
      </c>
      <c r="E118" s="2">
        <f>IF($I118="","",COUNTIFS(Tab_00.Trial[CONTA],$I118))</f>
        <v>1</v>
      </c>
      <c r="F118" s="4">
        <f>SUMIFS(Tab_11.Nov[SALDO
ATUAL],Tab_11.Nov[CONTA],$I118)</f>
        <v>-46934.04</v>
      </c>
      <c r="G118" s="4">
        <f t="shared" si="4"/>
        <v>0</v>
      </c>
      <c r="H118" s="1"/>
      <c r="I118" s="3" t="s">
        <v>226</v>
      </c>
      <c r="J118" s="3" t="s">
        <v>76</v>
      </c>
      <c r="K118" s="4">
        <v>-46934.04</v>
      </c>
      <c r="L118" s="4">
        <v>46934.04</v>
      </c>
      <c r="M118" s="4">
        <v>0</v>
      </c>
      <c r="N118" s="4">
        <v>0</v>
      </c>
      <c r="O118" s="4">
        <f t="shared" si="5"/>
        <v>46934.04</v>
      </c>
    </row>
    <row r="119" spans="2:15" x14ac:dyDescent="0.3">
      <c r="B119" s="2" t="str">
        <f>_xlfn.XLOOKUP($I119,Tab_00.Trial[CONTA],Tab_00.Trial[TP],"",0,1)</f>
        <v>P</v>
      </c>
      <c r="C119" s="2">
        <f>_xlfn.XLOOKUP($I119,Tab_00.Trial[CONTA],Tab_00.Trial[NV],"",0,1)</f>
        <v>5</v>
      </c>
      <c r="D119" s="2" t="str">
        <f>_xlfn.XLOOKUP($I119,Tab_00.Trial[CONTA],Tab_00.Trial[S/A],"",0,1)</f>
        <v>S</v>
      </c>
      <c r="E119" s="2">
        <f>IF($I119="","",COUNTIFS(Tab_00.Trial[CONTA],$I119))</f>
        <v>1</v>
      </c>
      <c r="F119" s="4">
        <f>SUMIFS(Tab_11.Nov[SALDO
ATUAL],Tab_11.Nov[CONTA],$I119)</f>
        <v>-46934.04</v>
      </c>
      <c r="G119" s="4">
        <f t="shared" si="4"/>
        <v>0</v>
      </c>
      <c r="H119" s="1"/>
      <c r="I119" s="3" t="s">
        <v>566</v>
      </c>
      <c r="J119" s="3" t="s">
        <v>668</v>
      </c>
      <c r="K119" s="4">
        <v>-46934.04</v>
      </c>
      <c r="L119" s="4">
        <v>46934.04</v>
      </c>
      <c r="M119" s="4">
        <v>0</v>
      </c>
      <c r="N119" s="4">
        <v>0</v>
      </c>
      <c r="O119" s="4">
        <f t="shared" si="5"/>
        <v>46934.04</v>
      </c>
    </row>
    <row r="120" spans="2:15" x14ac:dyDescent="0.3">
      <c r="B120" s="2" t="str">
        <f>_xlfn.XLOOKUP($I120,Tab_00.Trial[CONTA],Tab_00.Trial[TP],"",0,1)</f>
        <v>P</v>
      </c>
      <c r="C120" s="2">
        <f>_xlfn.XLOOKUP($I120,Tab_00.Trial[CONTA],Tab_00.Trial[NV],"",0,1)</f>
        <v>5</v>
      </c>
      <c r="D120" s="2" t="str">
        <f>_xlfn.XLOOKUP($I120,Tab_00.Trial[CONTA],Tab_00.Trial[S/A],"",0,1)</f>
        <v>S</v>
      </c>
      <c r="E120" s="2">
        <f>IF($I120="","",COUNTIFS(Tab_00.Trial[CONTA],$I120))</f>
        <v>1</v>
      </c>
      <c r="F120" s="4">
        <f>SUMIFS(Tab_11.Nov[SALDO
ATUAL],Tab_11.Nov[CONTA],$I120)</f>
        <v>-46934.04</v>
      </c>
      <c r="G120" s="4">
        <f t="shared" si="4"/>
        <v>0</v>
      </c>
      <c r="H120" s="1"/>
      <c r="I120" s="3" t="s">
        <v>567</v>
      </c>
      <c r="J120" s="3" t="s">
        <v>669</v>
      </c>
      <c r="K120" s="4">
        <v>-46934.04</v>
      </c>
      <c r="L120" s="4">
        <v>46934.04</v>
      </c>
      <c r="M120" s="4">
        <v>0</v>
      </c>
      <c r="N120" s="4">
        <v>0</v>
      </c>
      <c r="O120" s="4">
        <f t="shared" si="5"/>
        <v>46934.04</v>
      </c>
    </row>
    <row r="121" spans="2:15" x14ac:dyDescent="0.3">
      <c r="B121" s="2" t="str">
        <f>_xlfn.XLOOKUP($I121,Tab_00.Trial[CONTA],Tab_00.Trial[TP],"",0,1)</f>
        <v>P</v>
      </c>
      <c r="C121" s="2">
        <f>_xlfn.XLOOKUP($I121,Tab_00.Trial[CONTA],Tab_00.Trial[NV],"",0,1)</f>
        <v>5</v>
      </c>
      <c r="D121" s="2" t="str">
        <f>_xlfn.XLOOKUP($I121,Tab_00.Trial[CONTA],Tab_00.Trial[S/A],"",0,1)</f>
        <v>A</v>
      </c>
      <c r="E121" s="2">
        <f>IF($I121="","",COUNTIFS(Tab_00.Trial[CONTA],$I121))</f>
        <v>1</v>
      </c>
      <c r="F121" s="4">
        <f>SUMIFS(Tab_11.Nov[SALDO
ATUAL],Tab_11.Nov[CONTA],$I121)</f>
        <v>-31934.04</v>
      </c>
      <c r="G121" s="4">
        <f t="shared" si="4"/>
        <v>0</v>
      </c>
      <c r="H121" s="1"/>
      <c r="I121" s="3" t="s">
        <v>360</v>
      </c>
      <c r="J121" s="3" t="s">
        <v>361</v>
      </c>
      <c r="K121" s="4">
        <v>-31934.04</v>
      </c>
      <c r="L121" s="4">
        <v>31934.04</v>
      </c>
      <c r="M121" s="4">
        <v>0</v>
      </c>
      <c r="N121" s="4">
        <v>0</v>
      </c>
      <c r="O121" s="4">
        <f t="shared" si="5"/>
        <v>31934.04</v>
      </c>
    </row>
    <row r="122" spans="2:15" x14ac:dyDescent="0.3">
      <c r="B122" s="2" t="str">
        <f>_xlfn.XLOOKUP($I122,Tab_00.Trial[CONTA],Tab_00.Trial[TP],"",0,1)</f>
        <v>P</v>
      </c>
      <c r="C122" s="2">
        <f>_xlfn.XLOOKUP($I122,Tab_00.Trial[CONTA],Tab_00.Trial[NV],"",0,1)</f>
        <v>5</v>
      </c>
      <c r="D122" s="2" t="str">
        <f>_xlfn.XLOOKUP($I122,Tab_00.Trial[CONTA],Tab_00.Trial[S/A],"",0,1)</f>
        <v>A</v>
      </c>
      <c r="E122" s="2">
        <f>IF($I122="","",COUNTIFS(Tab_00.Trial[CONTA],$I122))</f>
        <v>1</v>
      </c>
      <c r="F122" s="4">
        <f>SUMIFS(Tab_11.Nov[SALDO
ATUAL],Tab_11.Nov[CONTA],$I122)</f>
        <v>-15000</v>
      </c>
      <c r="G122" s="4">
        <f t="shared" si="4"/>
        <v>0</v>
      </c>
      <c r="H122" s="1"/>
      <c r="I122" s="3" t="s">
        <v>362</v>
      </c>
      <c r="J122" s="3" t="s">
        <v>363</v>
      </c>
      <c r="K122" s="4">
        <v>-15000</v>
      </c>
      <c r="L122" s="4">
        <v>15000</v>
      </c>
      <c r="M122" s="4">
        <v>0</v>
      </c>
      <c r="N122" s="4">
        <v>0</v>
      </c>
      <c r="O122" s="4">
        <f t="shared" si="5"/>
        <v>15000</v>
      </c>
    </row>
    <row r="123" spans="2:15" x14ac:dyDescent="0.3">
      <c r="B123" s="2" t="str">
        <f>_xlfn.XLOOKUP($I123,Tab_00.Trial[CONTA],Tab_00.Trial[TP],"",0,1)</f>
        <v>P</v>
      </c>
      <c r="C123" s="2">
        <f>_xlfn.XLOOKUP($I123,Tab_00.Trial[CONTA],Tab_00.Trial[NV],"",0,1)</f>
        <v>2</v>
      </c>
      <c r="D123" s="2" t="str">
        <f>_xlfn.XLOOKUP($I123,Tab_00.Trial[CONTA],Tab_00.Trial[S/A],"",0,1)</f>
        <v>S</v>
      </c>
      <c r="E123" s="2">
        <f>IF($I123="","",COUNTIFS(Tab_00.Trial[CONTA],$I123))</f>
        <v>1</v>
      </c>
      <c r="F123" s="4">
        <f>SUMIFS(Tab_11.Nov[SALDO
ATUAL],Tab_11.Nov[CONTA],$I123)</f>
        <v>-81855530.489999995</v>
      </c>
      <c r="G123" s="4">
        <f t="shared" si="4"/>
        <v>0</v>
      </c>
      <c r="H123" s="1"/>
      <c r="I123" s="3" t="s">
        <v>228</v>
      </c>
      <c r="J123" s="3" t="s">
        <v>670</v>
      </c>
      <c r="K123" s="4">
        <v>-81855530.489999995</v>
      </c>
      <c r="L123" s="4">
        <v>178121.31</v>
      </c>
      <c r="M123" s="4">
        <v>1215952.55</v>
      </c>
      <c r="N123" s="4">
        <v>-82893361.730000004</v>
      </c>
      <c r="O123" s="4">
        <f t="shared" si="5"/>
        <v>-1037831.24</v>
      </c>
    </row>
    <row r="124" spans="2:15" x14ac:dyDescent="0.3">
      <c r="B124" s="2" t="str">
        <f>_xlfn.XLOOKUP($I124,Tab_00.Trial[CONTA],Tab_00.Trial[TP],"",0,1)</f>
        <v>P</v>
      </c>
      <c r="C124" s="2">
        <f>_xlfn.XLOOKUP($I124,Tab_00.Trial[CONTA],Tab_00.Trial[NV],"",0,1)</f>
        <v>5</v>
      </c>
      <c r="D124" s="2" t="str">
        <f>_xlfn.XLOOKUP($I124,Tab_00.Trial[CONTA],Tab_00.Trial[S/A],"",0,1)</f>
        <v>S</v>
      </c>
      <c r="E124" s="2">
        <f>IF($I124="","",COUNTIFS(Tab_00.Trial[CONTA],$I124))</f>
        <v>1</v>
      </c>
      <c r="F124" s="4">
        <f>SUMIFS(Tab_11.Nov[SALDO
ATUAL],Tab_11.Nov[CONTA],$I124)</f>
        <v>-81855530.489999995</v>
      </c>
      <c r="G124" s="4">
        <f t="shared" si="4"/>
        <v>0</v>
      </c>
      <c r="H124" s="1"/>
      <c r="I124" s="3" t="s">
        <v>229</v>
      </c>
      <c r="J124" s="3" t="s">
        <v>670</v>
      </c>
      <c r="K124" s="4">
        <v>-81855530.489999995</v>
      </c>
      <c r="L124" s="4">
        <v>178121.31</v>
      </c>
      <c r="M124" s="4">
        <v>1215952.55</v>
      </c>
      <c r="N124" s="4">
        <v>-82893361.730000004</v>
      </c>
      <c r="O124" s="4">
        <f t="shared" si="5"/>
        <v>-1037831.24</v>
      </c>
    </row>
    <row r="125" spans="2:15" x14ac:dyDescent="0.3">
      <c r="B125" s="2" t="str">
        <f>_xlfn.XLOOKUP($I125,Tab_00.Trial[CONTA],Tab_00.Trial[TP],"",0,1)</f>
        <v>P</v>
      </c>
      <c r="C125" s="2">
        <f>_xlfn.XLOOKUP($I125,Tab_00.Trial[CONTA],Tab_00.Trial[NV],"",0,1)</f>
        <v>5</v>
      </c>
      <c r="D125" s="2" t="str">
        <f>_xlfn.XLOOKUP($I125,Tab_00.Trial[CONTA],Tab_00.Trial[S/A],"",0,1)</f>
        <v>S</v>
      </c>
      <c r="E125" s="2">
        <f>IF($I125="","",COUNTIFS(Tab_00.Trial[CONTA],$I125))</f>
        <v>1</v>
      </c>
      <c r="F125" s="4">
        <f>SUMIFS(Tab_11.Nov[SALDO
ATUAL],Tab_11.Nov[CONTA],$I125)</f>
        <v>-104784619.59999999</v>
      </c>
      <c r="G125" s="4">
        <f t="shared" si="4"/>
        <v>0</v>
      </c>
      <c r="H125" s="1"/>
      <c r="I125" s="3" t="s">
        <v>230</v>
      </c>
      <c r="J125" s="3" t="s">
        <v>364</v>
      </c>
      <c r="K125" s="4">
        <v>-104784619.59999999</v>
      </c>
      <c r="L125" s="4">
        <v>0</v>
      </c>
      <c r="M125" s="4">
        <v>0</v>
      </c>
      <c r="N125" s="4">
        <v>-104784619.59999999</v>
      </c>
      <c r="O125" s="4">
        <f t="shared" si="5"/>
        <v>0</v>
      </c>
    </row>
    <row r="126" spans="2:15" x14ac:dyDescent="0.3">
      <c r="B126" s="2" t="str">
        <f>_xlfn.XLOOKUP($I126,Tab_00.Trial[CONTA],Tab_00.Trial[TP],"",0,1)</f>
        <v>P</v>
      </c>
      <c r="C126" s="2">
        <f>_xlfn.XLOOKUP($I126,Tab_00.Trial[CONTA],Tab_00.Trial[NV],"",0,1)</f>
        <v>5</v>
      </c>
      <c r="D126" s="2" t="str">
        <f>_xlfn.XLOOKUP($I126,Tab_00.Trial[CONTA],Tab_00.Trial[S/A],"",0,1)</f>
        <v>A</v>
      </c>
      <c r="E126" s="2">
        <f>IF($I126="","",COUNTIFS(Tab_00.Trial[CONTA],$I126))</f>
        <v>1</v>
      </c>
      <c r="F126" s="4">
        <f>SUMIFS(Tab_11.Nov[SALDO
ATUAL],Tab_11.Nov[CONTA],$I126)</f>
        <v>-104784619.59999999</v>
      </c>
      <c r="G126" s="4">
        <f t="shared" si="4"/>
        <v>0</v>
      </c>
      <c r="H126" s="1"/>
      <c r="I126" s="3" t="s">
        <v>193</v>
      </c>
      <c r="J126" s="3" t="s">
        <v>364</v>
      </c>
      <c r="K126" s="4">
        <v>-104784619.59999999</v>
      </c>
      <c r="L126" s="4">
        <v>0</v>
      </c>
      <c r="M126" s="4">
        <v>0</v>
      </c>
      <c r="N126" s="4">
        <v>-104784619.59999999</v>
      </c>
      <c r="O126" s="4">
        <f t="shared" si="5"/>
        <v>0</v>
      </c>
    </row>
    <row r="127" spans="2:15" x14ac:dyDescent="0.3">
      <c r="B127" s="2" t="str">
        <f>_xlfn.XLOOKUP($I127,Tab_00.Trial[CONTA],Tab_00.Trial[TP],"",0,1)</f>
        <v>P</v>
      </c>
      <c r="C127" s="2">
        <f>_xlfn.XLOOKUP($I127,Tab_00.Trial[CONTA],Tab_00.Trial[NV],"",0,1)</f>
        <v>5</v>
      </c>
      <c r="D127" s="2" t="str">
        <f>_xlfn.XLOOKUP($I127,Tab_00.Trial[CONTA],Tab_00.Trial[S/A],"",0,1)</f>
        <v>S</v>
      </c>
      <c r="E127" s="2">
        <f>IF($I127="","",COUNTIFS(Tab_00.Trial[CONTA],$I127))</f>
        <v>1</v>
      </c>
      <c r="F127" s="4">
        <f>SUMIFS(Tab_11.Nov[SALDO
ATUAL],Tab_11.Nov[CONTA],$I127)</f>
        <v>32587250.850000001</v>
      </c>
      <c r="G127" s="4">
        <f t="shared" si="4"/>
        <v>0</v>
      </c>
      <c r="H127" s="1"/>
      <c r="I127" s="3" t="s">
        <v>568</v>
      </c>
      <c r="J127" s="3" t="s">
        <v>671</v>
      </c>
      <c r="K127" s="4">
        <v>32587250.850000001</v>
      </c>
      <c r="L127" s="4">
        <v>0</v>
      </c>
      <c r="M127" s="4">
        <v>0</v>
      </c>
      <c r="N127" s="4">
        <v>32587250.850000001</v>
      </c>
      <c r="O127" s="4">
        <f t="shared" si="5"/>
        <v>0</v>
      </c>
    </row>
    <row r="128" spans="2:15" x14ac:dyDescent="0.3">
      <c r="B128" s="2" t="str">
        <f>_xlfn.XLOOKUP($I128,Tab_00.Trial[CONTA],Tab_00.Trial[TP],"",0,1)</f>
        <v>P</v>
      </c>
      <c r="C128" s="2">
        <f>_xlfn.XLOOKUP($I128,Tab_00.Trial[CONTA],Tab_00.Trial[NV],"",0,1)</f>
        <v>5</v>
      </c>
      <c r="D128" s="2" t="str">
        <f>_xlfn.XLOOKUP($I128,Tab_00.Trial[CONTA],Tab_00.Trial[S/A],"",0,1)</f>
        <v>A</v>
      </c>
      <c r="E128" s="2">
        <f>IF($I128="","",COUNTIFS(Tab_00.Trial[CONTA],$I128))</f>
        <v>1</v>
      </c>
      <c r="F128" s="4">
        <f>SUMIFS(Tab_11.Nov[SALDO
ATUAL],Tab_11.Nov[CONTA],$I128)</f>
        <v>-827719.82</v>
      </c>
      <c r="G128" s="4">
        <f t="shared" si="4"/>
        <v>0</v>
      </c>
      <c r="H128" s="1"/>
      <c r="I128" s="3" t="s">
        <v>743</v>
      </c>
      <c r="J128" s="3" t="s">
        <v>744</v>
      </c>
      <c r="K128" s="4">
        <v>-827719.82</v>
      </c>
      <c r="L128" s="4">
        <v>0</v>
      </c>
      <c r="M128" s="4">
        <v>0</v>
      </c>
      <c r="N128" s="4">
        <v>-827719.82</v>
      </c>
      <c r="O128" s="4">
        <f t="shared" si="5"/>
        <v>0</v>
      </c>
    </row>
    <row r="129" spans="2:19" x14ac:dyDescent="0.3">
      <c r="B129" s="2" t="str">
        <f>_xlfn.XLOOKUP($I129,Tab_00.Trial[CONTA],Tab_00.Trial[TP],"",0,1)</f>
        <v>P</v>
      </c>
      <c r="C129" s="2">
        <f>_xlfn.XLOOKUP($I129,Tab_00.Trial[CONTA],Tab_00.Trial[NV],"",0,1)</f>
        <v>5</v>
      </c>
      <c r="D129" s="2" t="str">
        <f>_xlfn.XLOOKUP($I129,Tab_00.Trial[CONTA],Tab_00.Trial[S/A],"",0,1)</f>
        <v>A</v>
      </c>
      <c r="E129" s="2">
        <f>IF($I129="","",COUNTIFS(Tab_00.Trial[CONTA],$I129))</f>
        <v>1</v>
      </c>
      <c r="F129" s="4">
        <f>SUMIFS(Tab_11.Nov[SALDO
ATUAL],Tab_11.Nov[CONTA],$I129)</f>
        <v>33414970.670000002</v>
      </c>
      <c r="G129" s="4">
        <f t="shared" si="4"/>
        <v>0</v>
      </c>
      <c r="H129" s="1"/>
      <c r="I129" s="3" t="s">
        <v>365</v>
      </c>
      <c r="J129" s="3" t="s">
        <v>366</v>
      </c>
      <c r="K129" s="4">
        <v>33414970.670000002</v>
      </c>
      <c r="L129" s="4">
        <v>0</v>
      </c>
      <c r="M129" s="4">
        <v>0</v>
      </c>
      <c r="N129" s="4">
        <v>33414970.670000002</v>
      </c>
      <c r="O129" s="4">
        <f t="shared" si="5"/>
        <v>0</v>
      </c>
    </row>
    <row r="130" spans="2:19" x14ac:dyDescent="0.3">
      <c r="B130" s="2" t="str">
        <f>_xlfn.XLOOKUP($I130,Tab_00.Trial[CONTA],Tab_00.Trial[TP],"",0,1)</f>
        <v>P</v>
      </c>
      <c r="C130" s="2">
        <f>_xlfn.XLOOKUP($I130,Tab_00.Trial[CONTA],Tab_00.Trial[NV],"",0,1)</f>
        <v>5</v>
      </c>
      <c r="D130" s="2" t="str">
        <f>_xlfn.XLOOKUP($I130,Tab_00.Trial[CONTA],Tab_00.Trial[S/A],"",0,1)</f>
        <v>S</v>
      </c>
      <c r="E130" s="2">
        <f>IF($I130="","",COUNTIFS(Tab_00.Trial[CONTA],$I130))</f>
        <v>1</v>
      </c>
      <c r="F130" s="4">
        <f>SUMIFS(Tab_11.Nov[SALDO
ATUAL],Tab_11.Nov[CONTA],$I130)</f>
        <v>-9658161.7400000002</v>
      </c>
      <c r="G130" s="4">
        <f t="shared" si="4"/>
        <v>0</v>
      </c>
      <c r="H130" s="1"/>
      <c r="I130" s="3" t="s">
        <v>745</v>
      </c>
      <c r="J130" s="3" t="s">
        <v>746</v>
      </c>
      <c r="K130" s="4">
        <v>-9658161.7400000002</v>
      </c>
      <c r="L130" s="4">
        <v>178121.31</v>
      </c>
      <c r="M130" s="4">
        <v>1215952.55</v>
      </c>
      <c r="N130" s="4">
        <v>-10695992.98</v>
      </c>
      <c r="O130" s="4">
        <f t="shared" si="5"/>
        <v>-1037831.24</v>
      </c>
    </row>
    <row r="131" spans="2:19" x14ac:dyDescent="0.3">
      <c r="B131" s="2" t="str">
        <f>_xlfn.XLOOKUP($I131,Tab_00.Trial[CONTA],Tab_00.Trial[TP],"",0,1)</f>
        <v>P</v>
      </c>
      <c r="C131" s="2">
        <f>_xlfn.XLOOKUP($I131,Tab_00.Trial[CONTA],Tab_00.Trial[NV],"",0,1)</f>
        <v>5</v>
      </c>
      <c r="D131" s="2" t="str">
        <f>_xlfn.XLOOKUP($I131,Tab_00.Trial[CONTA],Tab_00.Trial[S/A],"",0,1)</f>
        <v>A</v>
      </c>
      <c r="E131" s="2">
        <f>IF($I131="","",COUNTIFS(Tab_00.Trial[CONTA],$I131))</f>
        <v>1</v>
      </c>
      <c r="F131" s="4">
        <f>SUMIFS(Tab_11.Nov[SALDO
ATUAL],Tab_11.Nov[CONTA],$I131)</f>
        <v>-9658161.7400000002</v>
      </c>
      <c r="G131" s="4">
        <f t="shared" si="4"/>
        <v>0</v>
      </c>
      <c r="H131" s="1"/>
      <c r="I131" s="3" t="s">
        <v>747</v>
      </c>
      <c r="J131" s="3" t="s">
        <v>746</v>
      </c>
      <c r="K131" s="4">
        <v>-9658161.7400000002</v>
      </c>
      <c r="L131" s="4">
        <v>178121.31</v>
      </c>
      <c r="M131" s="4">
        <v>1215952.55</v>
      </c>
      <c r="N131" s="4">
        <v>-10695992.98</v>
      </c>
      <c r="O131" s="4">
        <f t="shared" si="5"/>
        <v>-1037831.24</v>
      </c>
    </row>
    <row r="132" spans="2:19" x14ac:dyDescent="0.3">
      <c r="B132" s="2" t="str">
        <f>_xlfn.XLOOKUP($I132,Tab_00.Trial[CONTA],Tab_00.Trial[TP],"",0,1)</f>
        <v>R</v>
      </c>
      <c r="C132" s="2">
        <f>_xlfn.XLOOKUP($I132,Tab_00.Trial[CONTA],Tab_00.Trial[NV],"",0,1)</f>
        <v>1</v>
      </c>
      <c r="D132" s="2" t="str">
        <f>_xlfn.XLOOKUP($I132,Tab_00.Trial[CONTA],Tab_00.Trial[S/A],"",0,1)</f>
        <v>S</v>
      </c>
      <c r="E132" s="2">
        <f>IF($I132="","",COUNTIFS(Tab_00.Trial[CONTA],$I132))</f>
        <v>1</v>
      </c>
      <c r="F132" s="4">
        <f>SUMIFS(Tab_11.Nov[SALDO
ATUAL],Tab_11.Nov[CONTA],$I132)</f>
        <v>-14138020.289999999</v>
      </c>
      <c r="G132" s="4">
        <f t="shared" si="4"/>
        <v>0</v>
      </c>
      <c r="H132" s="1"/>
      <c r="I132" s="3">
        <v>3</v>
      </c>
      <c r="J132" s="3" t="s">
        <v>672</v>
      </c>
      <c r="K132" s="4">
        <v>-14138020.289999999</v>
      </c>
      <c r="L132" s="4">
        <v>139724.62</v>
      </c>
      <c r="M132" s="4">
        <v>1520168.9</v>
      </c>
      <c r="N132" s="4">
        <v>-15518464.57</v>
      </c>
      <c r="O132" s="4">
        <f t="shared" si="5"/>
        <v>-1380444.28</v>
      </c>
    </row>
    <row r="133" spans="2:19" x14ac:dyDescent="0.3">
      <c r="B133" s="2" t="str">
        <f>_xlfn.XLOOKUP($I133,Tab_00.Trial[CONTA],Tab_00.Trial[TP],"",0,1)</f>
        <v>R</v>
      </c>
      <c r="C133" s="2">
        <f>_xlfn.XLOOKUP($I133,Tab_00.Trial[CONTA],Tab_00.Trial[NV],"",0,1)</f>
        <v>2</v>
      </c>
      <c r="D133" s="2" t="str">
        <f>_xlfn.XLOOKUP($I133,Tab_00.Trial[CONTA],Tab_00.Trial[S/A],"",0,1)</f>
        <v>S</v>
      </c>
      <c r="E133" s="2">
        <f>IF($I133="","",COUNTIFS(Tab_00.Trial[CONTA],$I133))</f>
        <v>1</v>
      </c>
      <c r="F133" s="4">
        <f>SUMIFS(Tab_11.Nov[SALDO
ATUAL],Tab_11.Nov[CONTA],$I133)</f>
        <v>-6497921.6600000001</v>
      </c>
      <c r="G133" s="4">
        <f t="shared" si="4"/>
        <v>0</v>
      </c>
      <c r="H133" s="1"/>
      <c r="I133" s="3" t="s">
        <v>231</v>
      </c>
      <c r="J133" s="3" t="s">
        <v>673</v>
      </c>
      <c r="K133" s="4">
        <v>-6497921.6600000001</v>
      </c>
      <c r="L133" s="4">
        <v>1600</v>
      </c>
      <c r="M133" s="4">
        <v>1033731.29</v>
      </c>
      <c r="N133" s="4">
        <v>-7530052.9500000002</v>
      </c>
      <c r="O133" s="4">
        <f t="shared" si="5"/>
        <v>-1032131.29</v>
      </c>
    </row>
    <row r="134" spans="2:19" x14ac:dyDescent="0.3">
      <c r="B134" s="2" t="str">
        <f>_xlfn.XLOOKUP($I134,Tab_00.Trial[CONTA],Tab_00.Trial[TP],"",0,1)</f>
        <v>R</v>
      </c>
      <c r="C134" s="2">
        <f>_xlfn.XLOOKUP($I134,Tab_00.Trial[CONTA],Tab_00.Trial[NV],"",0,1)</f>
        <v>5</v>
      </c>
      <c r="D134" s="2" t="str">
        <f>_xlfn.XLOOKUP($I134,Tab_00.Trial[CONTA],Tab_00.Trial[S/A],"",0,1)</f>
        <v>S</v>
      </c>
      <c r="E134" s="2">
        <f>IF($I134="","",COUNTIFS(Tab_00.Trial[CONTA],$I134))</f>
        <v>1</v>
      </c>
      <c r="F134" s="4">
        <f>SUMIFS(Tab_11.Nov[SALDO
ATUAL],Tab_11.Nov[CONTA],$I134)</f>
        <v>-4186433.71</v>
      </c>
      <c r="G134" s="4">
        <f t="shared" si="4"/>
        <v>0</v>
      </c>
      <c r="H134" s="1"/>
      <c r="I134" s="3" t="s">
        <v>232</v>
      </c>
      <c r="J134" s="3" t="s">
        <v>674</v>
      </c>
      <c r="K134" s="4">
        <v>-4186433.71</v>
      </c>
      <c r="L134" s="4">
        <v>0</v>
      </c>
      <c r="M134" s="4">
        <v>555424.06000000006</v>
      </c>
      <c r="N134" s="4">
        <v>-4741857.7699999996</v>
      </c>
      <c r="O134" s="4">
        <f t="shared" si="5"/>
        <v>-555424.06000000006</v>
      </c>
    </row>
    <row r="135" spans="2:19" x14ac:dyDescent="0.3">
      <c r="B135" s="2" t="str">
        <f>_xlfn.XLOOKUP($I135,Tab_00.Trial[CONTA],Tab_00.Trial[TP],"",0,1)</f>
        <v>R</v>
      </c>
      <c r="C135" s="2">
        <f>_xlfn.XLOOKUP($I135,Tab_00.Trial[CONTA],Tab_00.Trial[NV],"",0,1)</f>
        <v>5</v>
      </c>
      <c r="D135" s="2" t="str">
        <f>_xlfn.XLOOKUP($I135,Tab_00.Trial[CONTA],Tab_00.Trial[S/A],"",0,1)</f>
        <v>S</v>
      </c>
      <c r="E135" s="2">
        <f>IF($I135="","",COUNTIFS(Tab_00.Trial[CONTA],$I135))</f>
        <v>1</v>
      </c>
      <c r="F135" s="4">
        <f>SUMIFS(Tab_11.Nov[SALDO
ATUAL],Tab_11.Nov[CONTA],$I135)</f>
        <v>-1443114.24</v>
      </c>
      <c r="G135" s="4">
        <f t="shared" si="4"/>
        <v>0</v>
      </c>
      <c r="H135" s="1"/>
      <c r="I135" s="3" t="s">
        <v>233</v>
      </c>
      <c r="J135" s="3" t="s">
        <v>675</v>
      </c>
      <c r="K135" s="4">
        <v>-1443114.24</v>
      </c>
      <c r="L135" s="4">
        <v>0</v>
      </c>
      <c r="M135" s="4">
        <v>112795.04</v>
      </c>
      <c r="N135" s="4">
        <v>-1555909.28</v>
      </c>
      <c r="O135" s="4">
        <f t="shared" si="5"/>
        <v>-112795.04</v>
      </c>
    </row>
    <row r="136" spans="2:19" x14ac:dyDescent="0.3">
      <c r="B136" s="2" t="str">
        <f>_xlfn.XLOOKUP($I136,Tab_00.Trial[CONTA],Tab_00.Trial[TP],"",0,1)</f>
        <v>R</v>
      </c>
      <c r="C136" s="2">
        <f>_xlfn.XLOOKUP($I136,Tab_00.Trial[CONTA],Tab_00.Trial[NV],"",0,1)</f>
        <v>5</v>
      </c>
      <c r="D136" s="2" t="str">
        <f>_xlfn.XLOOKUP($I136,Tab_00.Trial[CONTA],Tab_00.Trial[S/A],"",0,1)</f>
        <v>A</v>
      </c>
      <c r="E136" s="2">
        <f>IF($I136="","",COUNTIFS(Tab_00.Trial[CONTA],$I136))</f>
        <v>1</v>
      </c>
      <c r="F136" s="4">
        <f>SUMIFS(Tab_11.Nov[SALDO
ATUAL],Tab_11.Nov[CONTA],$I136)</f>
        <v>-1443114.24</v>
      </c>
      <c r="G136" s="4">
        <f t="shared" si="4"/>
        <v>0</v>
      </c>
      <c r="H136" s="1"/>
      <c r="I136" s="3" t="s">
        <v>194</v>
      </c>
      <c r="J136" s="3" t="s">
        <v>367</v>
      </c>
      <c r="K136" s="4">
        <v>-1443114.24</v>
      </c>
      <c r="L136" s="4">
        <v>0</v>
      </c>
      <c r="M136" s="4">
        <v>112795.04</v>
      </c>
      <c r="N136" s="4">
        <v>-1555909.28</v>
      </c>
      <c r="O136" s="4">
        <f t="shared" si="5"/>
        <v>-112795.04</v>
      </c>
    </row>
    <row r="137" spans="2:19" x14ac:dyDescent="0.3">
      <c r="B137" s="2" t="str">
        <f>_xlfn.XLOOKUP($I137,Tab_00.Trial[CONTA],Tab_00.Trial[TP],"",0,1)</f>
        <v>R</v>
      </c>
      <c r="C137" s="2">
        <f>_xlfn.XLOOKUP($I137,Tab_00.Trial[CONTA],Tab_00.Trial[NV],"",0,1)</f>
        <v>5</v>
      </c>
      <c r="D137" s="2" t="str">
        <f>_xlfn.XLOOKUP($I137,Tab_00.Trial[CONTA],Tab_00.Trial[S/A],"",0,1)</f>
        <v>S</v>
      </c>
      <c r="E137" s="2">
        <f>IF($I137="","",COUNTIFS(Tab_00.Trial[CONTA],$I137))</f>
        <v>1</v>
      </c>
      <c r="F137" s="4">
        <f>SUMIFS(Tab_11.Nov[SALDO
ATUAL],Tab_11.Nov[CONTA],$I137)</f>
        <v>-2743319.47</v>
      </c>
      <c r="G137" s="4">
        <f t="shared" si="4"/>
        <v>0</v>
      </c>
      <c r="H137" s="1"/>
      <c r="I137" s="3" t="s">
        <v>735</v>
      </c>
      <c r="J137" s="3" t="s">
        <v>736</v>
      </c>
      <c r="K137" s="4">
        <v>-2743319.47</v>
      </c>
      <c r="L137" s="4">
        <v>0</v>
      </c>
      <c r="M137" s="4">
        <v>442629.02</v>
      </c>
      <c r="N137" s="4">
        <v>-3185948.49</v>
      </c>
      <c r="O137" s="4">
        <f t="shared" si="5"/>
        <v>-442629.02</v>
      </c>
    </row>
    <row r="138" spans="2:19" x14ac:dyDescent="0.3">
      <c r="B138" s="2" t="str">
        <f>_xlfn.XLOOKUP($I138,Tab_00.Trial[CONTA],Tab_00.Trial[TP],"",0,1)</f>
        <v>R</v>
      </c>
      <c r="C138" s="2">
        <f>_xlfn.XLOOKUP($I138,Tab_00.Trial[CONTA],Tab_00.Trial[NV],"",0,1)</f>
        <v>5</v>
      </c>
      <c r="D138" s="2" t="str">
        <f>_xlfn.XLOOKUP($I138,Tab_00.Trial[CONTA],Tab_00.Trial[S/A],"",0,1)</f>
        <v>A</v>
      </c>
      <c r="E138" s="2">
        <f>IF($I138="","",COUNTIFS(Tab_00.Trial[CONTA],$I138))</f>
        <v>1</v>
      </c>
      <c r="F138" s="4">
        <f>SUMIFS(Tab_11.Nov[SALDO
ATUAL],Tab_11.Nov[CONTA],$I138)</f>
        <v>-2743319.47</v>
      </c>
      <c r="G138" s="4">
        <f t="shared" si="4"/>
        <v>0</v>
      </c>
      <c r="H138" s="1"/>
      <c r="I138" s="3" t="s">
        <v>737</v>
      </c>
      <c r="J138" s="3" t="s">
        <v>820</v>
      </c>
      <c r="K138" s="4">
        <v>-2743319.47</v>
      </c>
      <c r="L138" s="4">
        <v>0</v>
      </c>
      <c r="M138" s="4">
        <v>442629.02</v>
      </c>
      <c r="N138" s="4">
        <v>-3185948.49</v>
      </c>
      <c r="O138" s="4">
        <f t="shared" si="5"/>
        <v>-442629.02</v>
      </c>
    </row>
    <row r="139" spans="2:19" x14ac:dyDescent="0.3">
      <c r="B139" s="2" t="str">
        <f>_xlfn.XLOOKUP($I139,Tab_00.Trial[CONTA],Tab_00.Trial[TP],"",0,1)</f>
        <v>R</v>
      </c>
      <c r="C139" s="2">
        <f>_xlfn.XLOOKUP($I139,Tab_00.Trial[CONTA],Tab_00.Trial[NV],"",0,1)</f>
        <v>5</v>
      </c>
      <c r="D139" s="2" t="str">
        <f>_xlfn.XLOOKUP($I139,Tab_00.Trial[CONTA],Tab_00.Trial[S/A],"",0,1)</f>
        <v>S</v>
      </c>
      <c r="E139" s="2">
        <f>IF($I139="","",COUNTIFS(Tab_00.Trial[CONTA],$I139))</f>
        <v>1</v>
      </c>
      <c r="F139" s="4">
        <f>SUMIFS(Tab_11.Nov[SALDO
ATUAL],Tab_11.Nov[CONTA],$I139)</f>
        <v>-2311487.9500000002</v>
      </c>
      <c r="G139" s="4">
        <f t="shared" si="4"/>
        <v>0</v>
      </c>
      <c r="H139" s="1"/>
      <c r="I139" s="3" t="s">
        <v>569</v>
      </c>
      <c r="J139" s="3" t="s">
        <v>676</v>
      </c>
      <c r="K139" s="4">
        <v>-2311487.9500000002</v>
      </c>
      <c r="L139" s="4">
        <v>1600</v>
      </c>
      <c r="M139" s="4">
        <v>478307.23</v>
      </c>
      <c r="N139" s="4">
        <v>-2788195.18</v>
      </c>
      <c r="O139" s="4">
        <f t="shared" si="5"/>
        <v>-476707.23</v>
      </c>
    </row>
    <row r="140" spans="2:19" x14ac:dyDescent="0.3">
      <c r="B140" s="2" t="str">
        <f>_xlfn.XLOOKUP($I140,Tab_00.Trial[CONTA],Tab_00.Trial[TP],"",0,1)</f>
        <v>R</v>
      </c>
      <c r="C140" s="2">
        <f>_xlfn.XLOOKUP($I140,Tab_00.Trial[CONTA],Tab_00.Trial[NV],"",0,1)</f>
        <v>5</v>
      </c>
      <c r="D140" s="2" t="str">
        <f>_xlfn.XLOOKUP($I140,Tab_00.Trial[CONTA],Tab_00.Trial[S/A],"",0,1)</f>
        <v>S</v>
      </c>
      <c r="E140" s="2">
        <f>IF($I140="","",COUNTIFS(Tab_00.Trial[CONTA],$I140))</f>
        <v>1</v>
      </c>
      <c r="F140" s="4">
        <f>SUMIFS(Tab_11.Nov[SALDO
ATUAL],Tab_11.Nov[CONTA],$I140)</f>
        <v>-1398861.06</v>
      </c>
      <c r="G140" s="4">
        <f t="shared" si="4"/>
        <v>0</v>
      </c>
      <c r="H140" s="1"/>
      <c r="I140" s="3" t="s">
        <v>570</v>
      </c>
      <c r="J140" s="3" t="s">
        <v>677</v>
      </c>
      <c r="K140" s="4">
        <v>-1398861.06</v>
      </c>
      <c r="L140" s="4">
        <v>1600</v>
      </c>
      <c r="M140" s="4">
        <v>395341.15</v>
      </c>
      <c r="N140" s="4">
        <v>-1792602.21</v>
      </c>
      <c r="O140" s="4">
        <f t="shared" si="5"/>
        <v>-393741.15</v>
      </c>
      <c r="R140" s="1">
        <v>440101001</v>
      </c>
      <c r="S140" s="1" t="s">
        <v>836</v>
      </c>
    </row>
    <row r="141" spans="2:19" x14ac:dyDescent="0.3">
      <c r="B141" s="2" t="str">
        <f>_xlfn.XLOOKUP($I141,Tab_00.Trial[CONTA],Tab_00.Trial[TP],"",0,1)</f>
        <v>R</v>
      </c>
      <c r="C141" s="2">
        <f>_xlfn.XLOOKUP($I141,Tab_00.Trial[CONTA],Tab_00.Trial[NV],"",0,1)</f>
        <v>5</v>
      </c>
      <c r="D141" s="2" t="str">
        <f>_xlfn.XLOOKUP($I141,Tab_00.Trial[CONTA],Tab_00.Trial[S/A],"",0,1)</f>
        <v>A</v>
      </c>
      <c r="E141" s="2">
        <f>IF($I141="","",COUNTIFS(Tab_00.Trial[CONTA],$I141))</f>
        <v>1</v>
      </c>
      <c r="F141" s="4">
        <f>SUMIFS(Tab_11.Nov[SALDO
ATUAL],Tab_11.Nov[CONTA],$I141)</f>
        <v>-504398.45</v>
      </c>
      <c r="G141" s="4">
        <f t="shared" si="4"/>
        <v>0</v>
      </c>
      <c r="H141" s="1"/>
      <c r="I141" s="3" t="s">
        <v>368</v>
      </c>
      <c r="J141" s="3" t="s">
        <v>369</v>
      </c>
      <c r="K141" s="4">
        <v>-504398.45</v>
      </c>
      <c r="L141" s="4">
        <v>0</v>
      </c>
      <c r="M141" s="4">
        <v>3900</v>
      </c>
      <c r="N141" s="4">
        <v>-508298.45</v>
      </c>
      <c r="O141" s="4">
        <f t="shared" si="5"/>
        <v>-3900</v>
      </c>
    </row>
    <row r="142" spans="2:19" x14ac:dyDescent="0.3">
      <c r="B142" s="2" t="str">
        <f>_xlfn.XLOOKUP($I142,Tab_00.Trial[CONTA],Tab_00.Trial[TP],"",0,1)</f>
        <v>R</v>
      </c>
      <c r="C142" s="2">
        <f>_xlfn.XLOOKUP($I142,Tab_00.Trial[CONTA],Tab_00.Trial[NV],"",0,1)</f>
        <v>5</v>
      </c>
      <c r="D142" s="2" t="str">
        <f>_xlfn.XLOOKUP($I142,Tab_00.Trial[CONTA],Tab_00.Trial[S/A],"",0,1)</f>
        <v>A</v>
      </c>
      <c r="E142" s="2">
        <f>IF($I142="","",COUNTIFS(Tab_00.Trial[CONTA],$I142))</f>
        <v>1</v>
      </c>
      <c r="F142" s="4">
        <f>SUMIFS(Tab_11.Nov[SALDO
ATUAL],Tab_11.Nov[CONTA],$I142)</f>
        <v>-798298.19</v>
      </c>
      <c r="G142" s="4">
        <f t="shared" si="4"/>
        <v>0</v>
      </c>
      <c r="H142" s="1"/>
      <c r="I142" s="3" t="s">
        <v>370</v>
      </c>
      <c r="J142" s="3" t="s">
        <v>371</v>
      </c>
      <c r="K142" s="4">
        <v>-798298.19</v>
      </c>
      <c r="L142" s="4">
        <v>1600</v>
      </c>
      <c r="M142" s="4">
        <v>391441.15</v>
      </c>
      <c r="N142" s="4">
        <v>-1188139.3400000001</v>
      </c>
      <c r="O142" s="4">
        <f t="shared" si="5"/>
        <v>-389841.15</v>
      </c>
    </row>
    <row r="143" spans="2:19" x14ac:dyDescent="0.3">
      <c r="B143" s="2" t="str">
        <f>_xlfn.XLOOKUP($I143,Tab_00.Trial[CONTA],Tab_00.Trial[TP],"",0,1)</f>
        <v>R</v>
      </c>
      <c r="C143" s="2">
        <f>_xlfn.XLOOKUP($I143,Tab_00.Trial[CONTA],Tab_00.Trial[NV],"",0,1)</f>
        <v>5</v>
      </c>
      <c r="D143" s="2" t="str">
        <f>_xlfn.XLOOKUP($I143,Tab_00.Trial[CONTA],Tab_00.Trial[S/A],"",0,1)</f>
        <v>A</v>
      </c>
      <c r="E143" s="2">
        <f>IF($I143="","",COUNTIFS(Tab_00.Trial[CONTA],$I143))</f>
        <v>1</v>
      </c>
      <c r="F143" s="4">
        <f>SUMIFS(Tab_11.Nov[SALDO
ATUAL],Tab_11.Nov[CONTA],$I143)</f>
        <v>-6547.36</v>
      </c>
      <c r="G143" s="4">
        <f t="shared" ref="G143:G206" si="6">$F143-$K143</f>
        <v>0</v>
      </c>
      <c r="H143" s="1"/>
      <c r="I143" s="3" t="s">
        <v>372</v>
      </c>
      <c r="J143" s="3" t="s">
        <v>373</v>
      </c>
      <c r="K143" s="4">
        <v>-6547.36</v>
      </c>
      <c r="L143" s="4">
        <v>0</v>
      </c>
      <c r="M143" s="4">
        <v>0</v>
      </c>
      <c r="N143" s="4">
        <v>-6547.36</v>
      </c>
      <c r="O143" s="4">
        <f t="shared" ref="O143:O206" si="7">$L143-$M143</f>
        <v>0</v>
      </c>
    </row>
    <row r="144" spans="2:19" x14ac:dyDescent="0.3">
      <c r="B144" s="2" t="str">
        <f>_xlfn.XLOOKUP($I144,Tab_00.Trial[CONTA],Tab_00.Trial[TP],"",0,1)</f>
        <v>R</v>
      </c>
      <c r="C144" s="2">
        <f>_xlfn.XLOOKUP($I144,Tab_00.Trial[CONTA],Tab_00.Trial[NV],"",0,1)</f>
        <v>5</v>
      </c>
      <c r="D144" s="2" t="str">
        <f>_xlfn.XLOOKUP($I144,Tab_00.Trial[CONTA],Tab_00.Trial[S/A],"",0,1)</f>
        <v>A</v>
      </c>
      <c r="E144" s="2">
        <f>IF($I144="","",COUNTIFS(Tab_00.Trial[CONTA],$I144))</f>
        <v>1</v>
      </c>
      <c r="F144" s="4">
        <f>SUMIFS(Tab_11.Nov[SALDO
ATUAL],Tab_11.Nov[CONTA],$I144)</f>
        <v>-89617.06</v>
      </c>
      <c r="G144" s="4">
        <f t="shared" si="6"/>
        <v>0</v>
      </c>
      <c r="H144" s="1"/>
      <c r="I144" s="3" t="s">
        <v>851</v>
      </c>
      <c r="J144" s="3" t="s">
        <v>852</v>
      </c>
      <c r="K144" s="4">
        <v>-89617.06</v>
      </c>
      <c r="L144" s="4">
        <v>0</v>
      </c>
      <c r="M144" s="4">
        <v>0</v>
      </c>
      <c r="N144" s="4">
        <v>-89617.06</v>
      </c>
      <c r="O144" s="4">
        <f t="shared" si="7"/>
        <v>0</v>
      </c>
    </row>
    <row r="145" spans="2:18" x14ac:dyDescent="0.3">
      <c r="B145" s="2" t="str">
        <f>_xlfn.XLOOKUP($I145,Tab_00.Trial[CONTA],Tab_00.Trial[TP],"",0,1)</f>
        <v>R</v>
      </c>
      <c r="C145" s="2">
        <f>_xlfn.XLOOKUP($I145,Tab_00.Trial[CONTA],Tab_00.Trial[NV],"",0,1)</f>
        <v>5</v>
      </c>
      <c r="D145" s="2" t="str">
        <f>_xlfn.XLOOKUP($I145,Tab_00.Trial[CONTA],Tab_00.Trial[S/A],"",0,1)</f>
        <v>S</v>
      </c>
      <c r="E145" s="2">
        <f>IF($I145="","",COUNTIFS(Tab_00.Trial[CONTA],$I145))</f>
        <v>1</v>
      </c>
      <c r="F145" s="4">
        <f>SUMIFS(Tab_11.Nov[SALDO
ATUAL],Tab_11.Nov[CONTA],$I145)</f>
        <v>-912626.89</v>
      </c>
      <c r="G145" s="4">
        <f t="shared" si="6"/>
        <v>0</v>
      </c>
      <c r="H145" s="1"/>
      <c r="I145" s="3" t="s">
        <v>571</v>
      </c>
      <c r="J145" s="3" t="s">
        <v>377</v>
      </c>
      <c r="K145" s="4">
        <v>-912626.89</v>
      </c>
      <c r="L145" s="4">
        <v>0</v>
      </c>
      <c r="M145" s="4">
        <v>82966.080000000002</v>
      </c>
      <c r="N145" s="4">
        <v>-995592.97</v>
      </c>
      <c r="O145" s="4">
        <f t="shared" si="7"/>
        <v>-82966.080000000002</v>
      </c>
    </row>
    <row r="146" spans="2:18" x14ac:dyDescent="0.3">
      <c r="B146" s="2" t="str">
        <f>_xlfn.XLOOKUP($I146,Tab_00.Trial[CONTA],Tab_00.Trial[TP],"",0,1)</f>
        <v>R</v>
      </c>
      <c r="C146" s="2">
        <f>_xlfn.XLOOKUP($I146,Tab_00.Trial[CONTA],Tab_00.Trial[NV],"",0,1)</f>
        <v>5</v>
      </c>
      <c r="D146" s="2" t="str">
        <f>_xlfn.XLOOKUP($I146,Tab_00.Trial[CONTA],Tab_00.Trial[S/A],"",0,1)</f>
        <v>A</v>
      </c>
      <c r="E146" s="2">
        <f>IF($I146="","",COUNTIFS(Tab_00.Trial[CONTA],$I146))</f>
        <v>1</v>
      </c>
      <c r="F146" s="4">
        <f>SUMIFS(Tab_11.Nov[SALDO
ATUAL],Tab_11.Nov[CONTA],$I146)</f>
        <v>-912626.89</v>
      </c>
      <c r="G146" s="4">
        <f t="shared" si="6"/>
        <v>0</v>
      </c>
      <c r="H146" s="1"/>
      <c r="I146" s="3" t="s">
        <v>376</v>
      </c>
      <c r="J146" s="3" t="s">
        <v>377</v>
      </c>
      <c r="K146" s="4">
        <v>-912626.89</v>
      </c>
      <c r="L146" s="4">
        <v>0</v>
      </c>
      <c r="M146" s="4">
        <v>82966.080000000002</v>
      </c>
      <c r="N146" s="4">
        <v>-995592.97</v>
      </c>
      <c r="O146" s="4">
        <f t="shared" si="7"/>
        <v>-82966.080000000002</v>
      </c>
    </row>
    <row r="147" spans="2:18" x14ac:dyDescent="0.3">
      <c r="B147" s="2" t="str">
        <f>_xlfn.XLOOKUP($I147,Tab_00.Trial[CONTA],Tab_00.Trial[TP],"",0,1)</f>
        <v>R</v>
      </c>
      <c r="C147" s="2">
        <f>_xlfn.XLOOKUP($I147,Tab_00.Trial[CONTA],Tab_00.Trial[NV],"",0,1)</f>
        <v>2</v>
      </c>
      <c r="D147" s="2" t="str">
        <f>_xlfn.XLOOKUP($I147,Tab_00.Trial[CONTA],Tab_00.Trial[S/A],"",0,1)</f>
        <v>S</v>
      </c>
      <c r="E147" s="2">
        <f>IF($I147="","",COUNTIFS(Tab_00.Trial[CONTA],$I147))</f>
        <v>1</v>
      </c>
      <c r="F147" s="4">
        <f>SUMIFS(Tab_11.Nov[SALDO
ATUAL],Tab_11.Nov[CONTA],$I147)</f>
        <v>-4884356.84</v>
      </c>
      <c r="G147" s="4">
        <f t="shared" si="6"/>
        <v>0</v>
      </c>
      <c r="H147" s="1"/>
      <c r="I147" s="3" t="s">
        <v>574</v>
      </c>
      <c r="J147" s="3" t="s">
        <v>680</v>
      </c>
      <c r="K147" s="4">
        <v>-4884356.84</v>
      </c>
      <c r="L147" s="4">
        <v>265.62</v>
      </c>
      <c r="M147" s="4">
        <v>441965.87</v>
      </c>
      <c r="N147" s="4">
        <v>-5326057.09</v>
      </c>
      <c r="O147" s="4">
        <f t="shared" si="7"/>
        <v>-441700.25</v>
      </c>
    </row>
    <row r="148" spans="2:18" x14ac:dyDescent="0.3">
      <c r="B148" s="2" t="str">
        <f>_xlfn.XLOOKUP($I148,Tab_00.Trial[CONTA],Tab_00.Trial[TP],"",0,1)</f>
        <v>R</v>
      </c>
      <c r="C148" s="2">
        <f>_xlfn.XLOOKUP($I148,Tab_00.Trial[CONTA],Tab_00.Trial[NV],"",0,1)</f>
        <v>5</v>
      </c>
      <c r="D148" s="2" t="str">
        <f>_xlfn.XLOOKUP($I148,Tab_00.Trial[CONTA],Tab_00.Trial[S/A],"",0,1)</f>
        <v>S</v>
      </c>
      <c r="E148" s="2">
        <f>IF($I148="","",COUNTIFS(Tab_00.Trial[CONTA],$I148))</f>
        <v>1</v>
      </c>
      <c r="F148" s="4">
        <f>SUMIFS(Tab_11.Nov[SALDO
ATUAL],Tab_11.Nov[CONTA],$I148)</f>
        <v>-13734.16</v>
      </c>
      <c r="G148" s="4">
        <f t="shared" si="6"/>
        <v>0</v>
      </c>
      <c r="H148" s="1"/>
      <c r="I148" s="3" t="s">
        <v>575</v>
      </c>
      <c r="J148" s="3" t="s">
        <v>681</v>
      </c>
      <c r="K148" s="4">
        <v>-13734.16</v>
      </c>
      <c r="L148" s="4">
        <v>0</v>
      </c>
      <c r="M148" s="4">
        <v>1321.45</v>
      </c>
      <c r="N148" s="4">
        <v>-15055.61</v>
      </c>
      <c r="O148" s="4">
        <f t="shared" si="7"/>
        <v>-1321.45</v>
      </c>
    </row>
    <row r="149" spans="2:18" x14ac:dyDescent="0.3">
      <c r="B149" s="2" t="str">
        <f>_xlfn.XLOOKUP($I149,Tab_00.Trial[CONTA],Tab_00.Trial[TP],"",0,1)</f>
        <v>R</v>
      </c>
      <c r="C149" s="2">
        <f>_xlfn.XLOOKUP($I149,Tab_00.Trial[CONTA],Tab_00.Trial[NV],"",0,1)</f>
        <v>5</v>
      </c>
      <c r="D149" s="2" t="str">
        <f>_xlfn.XLOOKUP($I149,Tab_00.Trial[CONTA],Tab_00.Trial[S/A],"",0,1)</f>
        <v>S</v>
      </c>
      <c r="E149" s="2">
        <f>IF($I149="","",COUNTIFS(Tab_00.Trial[CONTA],$I149))</f>
        <v>1</v>
      </c>
      <c r="F149" s="4">
        <f>SUMIFS(Tab_11.Nov[SALDO
ATUAL],Tab_11.Nov[CONTA],$I149)</f>
        <v>-13734.16</v>
      </c>
      <c r="G149" s="4">
        <f t="shared" si="6"/>
        <v>0</v>
      </c>
      <c r="H149" s="1"/>
      <c r="I149" s="3" t="s">
        <v>576</v>
      </c>
      <c r="J149" s="3" t="s">
        <v>821</v>
      </c>
      <c r="K149" s="4">
        <v>-13734.16</v>
      </c>
      <c r="L149" s="4">
        <v>0</v>
      </c>
      <c r="M149" s="4">
        <v>1321.45</v>
      </c>
      <c r="N149" s="4">
        <v>-15055.61</v>
      </c>
      <c r="O149" s="4">
        <f t="shared" si="7"/>
        <v>-1321.45</v>
      </c>
    </row>
    <row r="150" spans="2:18" x14ac:dyDescent="0.3">
      <c r="B150" s="2" t="str">
        <f>_xlfn.XLOOKUP($I150,Tab_00.Trial[CONTA],Tab_00.Trial[TP],"",0,1)</f>
        <v>R</v>
      </c>
      <c r="C150" s="2">
        <f>_xlfn.XLOOKUP($I150,Tab_00.Trial[CONTA],Tab_00.Trial[NV],"",0,1)</f>
        <v>5</v>
      </c>
      <c r="D150" s="2" t="str">
        <f>_xlfn.XLOOKUP($I150,Tab_00.Trial[CONTA],Tab_00.Trial[S/A],"",0,1)</f>
        <v>A</v>
      </c>
      <c r="E150" s="2">
        <f>IF($I150="","",COUNTIFS(Tab_00.Trial[CONTA],$I150))</f>
        <v>1</v>
      </c>
      <c r="F150" s="4">
        <f>SUMIFS(Tab_11.Nov[SALDO
ATUAL],Tab_11.Nov[CONTA],$I150)</f>
        <v>-13734.16</v>
      </c>
      <c r="G150" s="4">
        <f t="shared" si="6"/>
        <v>0</v>
      </c>
      <c r="H150" s="1"/>
      <c r="I150" s="3" t="s">
        <v>382</v>
      </c>
      <c r="J150" s="3" t="s">
        <v>292</v>
      </c>
      <c r="K150" s="4">
        <v>-13734.16</v>
      </c>
      <c r="L150" s="4">
        <v>0</v>
      </c>
      <c r="M150" s="4">
        <v>1321.45</v>
      </c>
      <c r="N150" s="4">
        <v>-15055.61</v>
      </c>
      <c r="O150" s="4">
        <f t="shared" si="7"/>
        <v>-1321.45</v>
      </c>
    </row>
    <row r="151" spans="2:18" x14ac:dyDescent="0.3">
      <c r="B151" s="2" t="str">
        <f>_xlfn.XLOOKUP($I151,Tab_00.Trial[CONTA],Tab_00.Trial[TP],"",0,1)</f>
        <v>R</v>
      </c>
      <c r="C151" s="2">
        <f>_xlfn.XLOOKUP($I151,Tab_00.Trial[CONTA],Tab_00.Trial[NV],"",0,1)</f>
        <v>5</v>
      </c>
      <c r="D151" s="2" t="str">
        <f>_xlfn.XLOOKUP($I151,Tab_00.Trial[CONTA],Tab_00.Trial[S/A],"",0,1)</f>
        <v>S</v>
      </c>
      <c r="E151" s="2">
        <f>IF($I151="","",COUNTIFS(Tab_00.Trial[CONTA],$I151))</f>
        <v>1</v>
      </c>
      <c r="F151" s="4">
        <f>SUMIFS(Tab_11.Nov[SALDO
ATUAL],Tab_11.Nov[CONTA],$I151)</f>
        <v>14038.16</v>
      </c>
      <c r="G151" s="4">
        <f t="shared" si="6"/>
        <v>0</v>
      </c>
      <c r="H151" s="1"/>
      <c r="I151" s="3" t="s">
        <v>577</v>
      </c>
      <c r="J151" s="3" t="s">
        <v>683</v>
      </c>
      <c r="K151" s="4">
        <v>14038.16</v>
      </c>
      <c r="L151" s="4">
        <v>265.62</v>
      </c>
      <c r="M151" s="4">
        <v>0</v>
      </c>
      <c r="N151" s="4">
        <v>14303.78</v>
      </c>
      <c r="O151" s="4">
        <f t="shared" si="7"/>
        <v>265.62</v>
      </c>
    </row>
    <row r="152" spans="2:18" x14ac:dyDescent="0.3">
      <c r="B152" s="2" t="str">
        <f>_xlfn.XLOOKUP($I152,Tab_00.Trial[CONTA],Tab_00.Trial[TP],"",0,1)</f>
        <v>R</v>
      </c>
      <c r="C152" s="2">
        <f>_xlfn.XLOOKUP($I152,Tab_00.Trial[CONTA],Tab_00.Trial[NV],"",0,1)</f>
        <v>5</v>
      </c>
      <c r="D152" s="2" t="str">
        <f>_xlfn.XLOOKUP($I152,Tab_00.Trial[CONTA],Tab_00.Trial[S/A],"",0,1)</f>
        <v>S</v>
      </c>
      <c r="E152" s="2">
        <f>IF($I152="","",COUNTIFS(Tab_00.Trial[CONTA],$I152))</f>
        <v>1</v>
      </c>
      <c r="F152" s="4">
        <f>SUMIFS(Tab_11.Nov[SALDO
ATUAL],Tab_11.Nov[CONTA],$I152)</f>
        <v>14038.16</v>
      </c>
      <c r="G152" s="4">
        <f t="shared" si="6"/>
        <v>0</v>
      </c>
      <c r="H152" s="1"/>
      <c r="I152" s="3" t="s">
        <v>853</v>
      </c>
      <c r="J152" s="3" t="s">
        <v>854</v>
      </c>
      <c r="K152" s="4">
        <v>14038.16</v>
      </c>
      <c r="L152" s="4">
        <v>265.62</v>
      </c>
      <c r="M152" s="4">
        <v>0</v>
      </c>
      <c r="N152" s="4">
        <v>14303.78</v>
      </c>
      <c r="O152" s="4">
        <f t="shared" si="7"/>
        <v>265.62</v>
      </c>
    </row>
    <row r="153" spans="2:18" x14ac:dyDescent="0.3">
      <c r="B153" s="2" t="str">
        <f>_xlfn.XLOOKUP($I153,Tab_00.Trial[CONTA],Tab_00.Trial[TP],"",0,1)</f>
        <v>R</v>
      </c>
      <c r="C153" s="2">
        <f>_xlfn.XLOOKUP($I153,Tab_00.Trial[CONTA],Tab_00.Trial[NV],"",0,1)</f>
        <v>5</v>
      </c>
      <c r="D153" s="2" t="str">
        <f>_xlfn.XLOOKUP($I153,Tab_00.Trial[CONTA],Tab_00.Trial[S/A],"",0,1)</f>
        <v>A</v>
      </c>
      <c r="E153" s="2">
        <f>IF($I153="","",COUNTIFS(Tab_00.Trial[CONTA],$I153))</f>
        <v>1</v>
      </c>
      <c r="F153" s="4">
        <f>SUMIFS(Tab_11.Nov[SALDO
ATUAL],Tab_11.Nov[CONTA],$I153)</f>
        <v>14038.16</v>
      </c>
      <c r="G153" s="4">
        <f t="shared" si="6"/>
        <v>0</v>
      </c>
      <c r="H153" s="1"/>
      <c r="I153" s="3" t="s">
        <v>855</v>
      </c>
      <c r="J153" s="3" t="s">
        <v>856</v>
      </c>
      <c r="K153" s="4">
        <v>14038.16</v>
      </c>
      <c r="L153" s="4">
        <v>265.62</v>
      </c>
      <c r="M153" s="4">
        <v>0</v>
      </c>
      <c r="N153" s="4">
        <v>14303.78</v>
      </c>
      <c r="O153" s="4">
        <f t="shared" si="7"/>
        <v>265.62</v>
      </c>
    </row>
    <row r="154" spans="2:18" x14ac:dyDescent="0.3">
      <c r="B154" s="2" t="str">
        <f>_xlfn.XLOOKUP($I154,Tab_00.Trial[CONTA],Tab_00.Trial[TP],"",0,1)</f>
        <v>R</v>
      </c>
      <c r="C154" s="2">
        <f>_xlfn.XLOOKUP($I154,Tab_00.Trial[CONTA],Tab_00.Trial[NV],"",0,1)</f>
        <v>5</v>
      </c>
      <c r="D154" s="2" t="str">
        <f>_xlfn.XLOOKUP($I154,Tab_00.Trial[CONTA],Tab_00.Trial[S/A],"",0,1)</f>
        <v>S</v>
      </c>
      <c r="E154" s="2">
        <f>IF($I154="","",COUNTIFS(Tab_00.Trial[CONTA],$I154))</f>
        <v>1</v>
      </c>
      <c r="F154" s="4">
        <f>SUMIFS(Tab_11.Nov[SALDO
ATUAL],Tab_11.Nov[CONTA],$I154)</f>
        <v>-4884660.84</v>
      </c>
      <c r="G154" s="4">
        <f t="shared" si="6"/>
        <v>0</v>
      </c>
      <c r="H154" s="1"/>
      <c r="I154" s="3" t="s">
        <v>580</v>
      </c>
      <c r="J154" s="3" t="s">
        <v>822</v>
      </c>
      <c r="K154" s="4">
        <v>-4884660.84</v>
      </c>
      <c r="L154" s="4">
        <v>0</v>
      </c>
      <c r="M154" s="4">
        <v>440644.42</v>
      </c>
      <c r="N154" s="4">
        <v>-5325305.26</v>
      </c>
      <c r="O154" s="4">
        <f t="shared" si="7"/>
        <v>-440644.42</v>
      </c>
    </row>
    <row r="155" spans="2:18" x14ac:dyDescent="0.3">
      <c r="B155" s="2" t="str">
        <f>_xlfn.XLOOKUP($I155,Tab_00.Trial[CONTA],Tab_00.Trial[TP],"",0,1)</f>
        <v>R</v>
      </c>
      <c r="C155" s="2">
        <f>_xlfn.XLOOKUP($I155,Tab_00.Trial[CONTA],Tab_00.Trial[NV],"",0,1)</f>
        <v>5</v>
      </c>
      <c r="D155" s="2" t="str">
        <f>_xlfn.XLOOKUP($I155,Tab_00.Trial[CONTA],Tab_00.Trial[S/A],"",0,1)</f>
        <v>S</v>
      </c>
      <c r="E155" s="2">
        <f>IF($I155="","",COUNTIFS(Tab_00.Trial[CONTA],$I155))</f>
        <v>1</v>
      </c>
      <c r="F155" s="4">
        <f>SUMIFS(Tab_11.Nov[SALDO
ATUAL],Tab_11.Nov[CONTA],$I155)</f>
        <v>-4884660.84</v>
      </c>
      <c r="G155" s="4">
        <f t="shared" si="6"/>
        <v>0</v>
      </c>
      <c r="H155" s="1"/>
      <c r="I155" s="3" t="s">
        <v>581</v>
      </c>
      <c r="J155" s="3" t="s">
        <v>687</v>
      </c>
      <c r="K155" s="4">
        <v>-4884660.84</v>
      </c>
      <c r="L155" s="4">
        <v>0</v>
      </c>
      <c r="M155" s="4">
        <v>440644.42</v>
      </c>
      <c r="N155" s="4">
        <v>-5325305.26</v>
      </c>
      <c r="O155" s="4">
        <f t="shared" si="7"/>
        <v>-440644.42</v>
      </c>
    </row>
    <row r="156" spans="2:18" x14ac:dyDescent="0.3">
      <c r="B156" s="2" t="str">
        <f>_xlfn.XLOOKUP($I156,Tab_00.Trial[CONTA],Tab_00.Trial[TP],"",0,1)</f>
        <v>R</v>
      </c>
      <c r="C156" s="2">
        <f>_xlfn.XLOOKUP($I156,Tab_00.Trial[CONTA],Tab_00.Trial[NV],"",0,1)</f>
        <v>5</v>
      </c>
      <c r="D156" s="2" t="str">
        <f>_xlfn.XLOOKUP($I156,Tab_00.Trial[CONTA],Tab_00.Trial[S/A],"",0,1)</f>
        <v>A</v>
      </c>
      <c r="E156" s="2">
        <f>IF($I156="","",COUNTIFS(Tab_00.Trial[CONTA],$I156))</f>
        <v>1</v>
      </c>
      <c r="F156" s="4">
        <f>SUMIFS(Tab_11.Nov[SALDO
ATUAL],Tab_11.Nov[CONTA],$I156)</f>
        <v>-4787785.58</v>
      </c>
      <c r="G156" s="4">
        <f t="shared" si="6"/>
        <v>0</v>
      </c>
      <c r="H156" s="1"/>
      <c r="I156" s="3" t="s">
        <v>387</v>
      </c>
      <c r="J156" s="3" t="s">
        <v>388</v>
      </c>
      <c r="K156" s="4">
        <v>-4787785.58</v>
      </c>
      <c r="L156" s="4">
        <v>0</v>
      </c>
      <c r="M156" s="4">
        <v>440421.58</v>
      </c>
      <c r="N156" s="4">
        <v>-5228207.16</v>
      </c>
      <c r="O156" s="4">
        <f t="shared" si="7"/>
        <v>-440421.58</v>
      </c>
    </row>
    <row r="157" spans="2:18" x14ac:dyDescent="0.3">
      <c r="B157" s="2" t="str">
        <f>_xlfn.XLOOKUP($I157,Tab_00.Trial[CONTA],Tab_00.Trial[TP],"",0,1)</f>
        <v>R</v>
      </c>
      <c r="C157" s="2">
        <f>_xlfn.XLOOKUP($I157,Tab_00.Trial[CONTA],Tab_00.Trial[NV],"",0,1)</f>
        <v>5</v>
      </c>
      <c r="D157" s="2" t="str">
        <f>_xlfn.XLOOKUP($I157,Tab_00.Trial[CONTA],Tab_00.Trial[S/A],"",0,1)</f>
        <v>A</v>
      </c>
      <c r="E157" s="2">
        <f>IF($I157="","",COUNTIFS(Tab_00.Trial[CONTA],$I157))</f>
        <v>1</v>
      </c>
      <c r="F157" s="4">
        <f>SUMIFS(Tab_11.Nov[SALDO
ATUAL],Tab_11.Nov[CONTA],$I157)</f>
        <v>-96875.26</v>
      </c>
      <c r="G157" s="4">
        <f t="shared" si="6"/>
        <v>0</v>
      </c>
      <c r="H157" s="1"/>
      <c r="I157" s="3" t="s">
        <v>389</v>
      </c>
      <c r="J157" s="3" t="s">
        <v>390</v>
      </c>
      <c r="K157" s="4">
        <v>-96875.26</v>
      </c>
      <c r="L157" s="4">
        <v>0</v>
      </c>
      <c r="M157" s="4">
        <v>222.84</v>
      </c>
      <c r="N157" s="4">
        <v>-97098.1</v>
      </c>
      <c r="O157" s="4">
        <f t="shared" si="7"/>
        <v>-222.84</v>
      </c>
    </row>
    <row r="158" spans="2:18" x14ac:dyDescent="0.3">
      <c r="B158" s="2" t="str">
        <f>_xlfn.XLOOKUP($I158,Tab_00.Trial[CONTA],Tab_00.Trial[TP],"",0,1)</f>
        <v>R</v>
      </c>
      <c r="C158" s="2">
        <f>_xlfn.XLOOKUP($I158,Tab_00.Trial[CONTA],Tab_00.Trial[NV],"",0,1)</f>
        <v>2</v>
      </c>
      <c r="D158" s="2" t="str">
        <f>_xlfn.XLOOKUP($I158,Tab_00.Trial[CONTA],Tab_00.Trial[S/A],"",0,1)</f>
        <v>S</v>
      </c>
      <c r="E158" s="2">
        <f>IF($I158="","",COUNTIFS(Tab_00.Trial[CONTA],$I158))</f>
        <v>1</v>
      </c>
      <c r="F158" s="4">
        <f>SUMIFS(Tab_11.Nov[SALDO
ATUAL],Tab_11.Nov[CONTA],$I158)</f>
        <v>-2748291.79</v>
      </c>
      <c r="G158" s="4">
        <f t="shared" si="6"/>
        <v>0</v>
      </c>
      <c r="H158" s="1"/>
      <c r="I158" s="3" t="s">
        <v>582</v>
      </c>
      <c r="J158" s="3" t="s">
        <v>688</v>
      </c>
      <c r="K158" s="4">
        <v>-2748291.79</v>
      </c>
      <c r="L158" s="4">
        <v>137859</v>
      </c>
      <c r="M158" s="4">
        <v>44471.74</v>
      </c>
      <c r="N158" s="4">
        <v>-2654904.5299999998</v>
      </c>
      <c r="O158" s="4">
        <f t="shared" si="7"/>
        <v>93387.26</v>
      </c>
    </row>
    <row r="159" spans="2:18" x14ac:dyDescent="0.3">
      <c r="B159" s="2" t="str">
        <f>_xlfn.XLOOKUP($I159,Tab_00.Trial[CONTA],Tab_00.Trial[TP],"",0,1)</f>
        <v>R</v>
      </c>
      <c r="C159" s="2">
        <f>_xlfn.XLOOKUP($I159,Tab_00.Trial[CONTA],Tab_00.Trial[NV],"",0,1)</f>
        <v>5</v>
      </c>
      <c r="D159" s="2" t="str">
        <f>_xlfn.XLOOKUP($I159,Tab_00.Trial[CONTA],Tab_00.Trial[S/A],"",0,1)</f>
        <v>S</v>
      </c>
      <c r="E159" s="2">
        <f>IF($I159="","",COUNTIFS(Tab_00.Trial[CONTA],$I159))</f>
        <v>1</v>
      </c>
      <c r="F159" s="4">
        <f>SUMIFS(Tab_11.Nov[SALDO
ATUAL],Tab_11.Nov[CONTA],$I159)</f>
        <v>-2008.76</v>
      </c>
      <c r="G159" s="4">
        <f t="shared" si="6"/>
        <v>0</v>
      </c>
      <c r="H159" s="1"/>
      <c r="I159" s="3" t="s">
        <v>583</v>
      </c>
      <c r="J159" s="3" t="s">
        <v>689</v>
      </c>
      <c r="K159" s="4">
        <v>-2008.76</v>
      </c>
      <c r="L159" s="4">
        <v>0</v>
      </c>
      <c r="M159" s="4">
        <v>0.01</v>
      </c>
      <c r="N159" s="4">
        <v>-2008.77</v>
      </c>
      <c r="O159" s="4">
        <f t="shared" si="7"/>
        <v>-0.01</v>
      </c>
    </row>
    <row r="160" spans="2:18" x14ac:dyDescent="0.3">
      <c r="B160" s="2" t="str">
        <f>_xlfn.XLOOKUP($I160,Tab_00.Trial[CONTA],Tab_00.Trial[TP],"",0,1)</f>
        <v>R</v>
      </c>
      <c r="C160" s="2">
        <f>_xlfn.XLOOKUP($I160,Tab_00.Trial[CONTA],Tab_00.Trial[NV],"",0,1)</f>
        <v>5</v>
      </c>
      <c r="D160" s="2" t="str">
        <f>_xlfn.XLOOKUP($I160,Tab_00.Trial[CONTA],Tab_00.Trial[S/A],"",0,1)</f>
        <v>S</v>
      </c>
      <c r="E160" s="2">
        <f>IF($I160="","",COUNTIFS(Tab_00.Trial[CONTA],$I160))</f>
        <v>1</v>
      </c>
      <c r="F160" s="4">
        <f>SUMIFS(Tab_11.Nov[SALDO
ATUAL],Tab_11.Nov[CONTA],$I160)</f>
        <v>-2008.76</v>
      </c>
      <c r="G160" s="4">
        <f t="shared" si="6"/>
        <v>0</v>
      </c>
      <c r="H160" s="1"/>
      <c r="I160" s="3" t="s">
        <v>584</v>
      </c>
      <c r="J160" s="3" t="s">
        <v>689</v>
      </c>
      <c r="K160" s="4">
        <v>-2008.76</v>
      </c>
      <c r="L160" s="4">
        <v>0</v>
      </c>
      <c r="M160" s="4">
        <v>0.01</v>
      </c>
      <c r="N160" s="4">
        <v>-2008.77</v>
      </c>
      <c r="O160" s="4">
        <f t="shared" si="7"/>
        <v>-0.01</v>
      </c>
      <c r="R160" s="1">
        <v>440101001</v>
      </c>
    </row>
    <row r="161" spans="2:15" x14ac:dyDescent="0.3">
      <c r="B161" s="2" t="str">
        <f>_xlfn.XLOOKUP($I161,Tab_00.Trial[CONTA],Tab_00.Trial[TP],"",0,1)</f>
        <v>R</v>
      </c>
      <c r="C161" s="2">
        <f>_xlfn.XLOOKUP($I161,Tab_00.Trial[CONTA],Tab_00.Trial[NV],"",0,1)</f>
        <v>5</v>
      </c>
      <c r="D161" s="2" t="str">
        <f>_xlfn.XLOOKUP($I161,Tab_00.Trial[CONTA],Tab_00.Trial[S/A],"",0,1)</f>
        <v>A</v>
      </c>
      <c r="E161" s="2">
        <f>IF($I161="","",COUNTIFS(Tab_00.Trial[CONTA],$I161))</f>
        <v>1</v>
      </c>
      <c r="F161" s="4">
        <f>SUMIFS(Tab_11.Nov[SALDO
ATUAL],Tab_11.Nov[CONTA],$I161)</f>
        <v>-2008.76</v>
      </c>
      <c r="G161" s="4">
        <f t="shared" si="6"/>
        <v>0</v>
      </c>
      <c r="H161" s="1"/>
      <c r="I161" s="3" t="s">
        <v>391</v>
      </c>
      <c r="J161" s="3" t="s">
        <v>392</v>
      </c>
      <c r="K161" s="4">
        <v>-2008.76</v>
      </c>
      <c r="L161" s="4">
        <v>0</v>
      </c>
      <c r="M161" s="4">
        <v>0.01</v>
      </c>
      <c r="N161" s="4">
        <v>-2008.77</v>
      </c>
      <c r="O161" s="4">
        <f t="shared" si="7"/>
        <v>-0.01</v>
      </c>
    </row>
    <row r="162" spans="2:15" x14ac:dyDescent="0.3">
      <c r="B162" s="2" t="str">
        <f>_xlfn.XLOOKUP($I162,Tab_00.Trial[CONTA],Tab_00.Trial[TP],"",0,1)</f>
        <v>R</v>
      </c>
      <c r="C162" s="2">
        <f>_xlfn.XLOOKUP($I162,Tab_00.Trial[CONTA],Tab_00.Trial[NV],"",0,1)</f>
        <v>5</v>
      </c>
      <c r="D162" s="2" t="str">
        <f>_xlfn.XLOOKUP($I162,Tab_00.Trial[CONTA],Tab_00.Trial[S/A],"",0,1)</f>
        <v>S</v>
      </c>
      <c r="E162" s="2">
        <f>IF($I162="","",COUNTIFS(Tab_00.Trial[CONTA],$I162))</f>
        <v>1</v>
      </c>
      <c r="F162" s="4">
        <f>SUMIFS(Tab_11.Nov[SALDO
ATUAL],Tab_11.Nov[CONTA],$I162)</f>
        <v>-2746283.03</v>
      </c>
      <c r="G162" s="4">
        <f t="shared" si="6"/>
        <v>0</v>
      </c>
      <c r="H162" s="1"/>
      <c r="I162" s="3" t="s">
        <v>585</v>
      </c>
      <c r="J162" s="3" t="s">
        <v>690</v>
      </c>
      <c r="K162" s="4">
        <v>-2746283.03</v>
      </c>
      <c r="L162" s="4">
        <v>137859</v>
      </c>
      <c r="M162" s="4">
        <v>44471.73</v>
      </c>
      <c r="N162" s="4">
        <v>-2652895.7599999998</v>
      </c>
      <c r="O162" s="4">
        <f t="shared" si="7"/>
        <v>93387.27</v>
      </c>
    </row>
    <row r="163" spans="2:15" x14ac:dyDescent="0.3">
      <c r="B163" s="2" t="str">
        <f>_xlfn.XLOOKUP($I163,Tab_00.Trial[CONTA],Tab_00.Trial[TP],"",0,1)</f>
        <v>R</v>
      </c>
      <c r="C163" s="2">
        <f>_xlfn.XLOOKUP($I163,Tab_00.Trial[CONTA],Tab_00.Trial[NV],"",0,1)</f>
        <v>5</v>
      </c>
      <c r="D163" s="2" t="str">
        <f>_xlfn.XLOOKUP($I163,Tab_00.Trial[CONTA],Tab_00.Trial[S/A],"",0,1)</f>
        <v>S</v>
      </c>
      <c r="E163" s="2">
        <f>IF($I163="","",COUNTIFS(Tab_00.Trial[CONTA],$I163))</f>
        <v>1</v>
      </c>
      <c r="F163" s="4">
        <f>SUMIFS(Tab_11.Nov[SALDO
ATUAL],Tab_11.Nov[CONTA],$I163)</f>
        <v>-2746283.03</v>
      </c>
      <c r="G163" s="4">
        <f t="shared" si="6"/>
        <v>0</v>
      </c>
      <c r="H163" s="1"/>
      <c r="I163" s="3" t="s">
        <v>586</v>
      </c>
      <c r="J163" s="3" t="s">
        <v>394</v>
      </c>
      <c r="K163" s="4">
        <v>-2746283.03</v>
      </c>
      <c r="L163" s="4">
        <v>137859</v>
      </c>
      <c r="M163" s="4">
        <v>44471.73</v>
      </c>
      <c r="N163" s="4">
        <v>-2652895.7599999998</v>
      </c>
      <c r="O163" s="4">
        <f t="shared" si="7"/>
        <v>93387.27</v>
      </c>
    </row>
    <row r="164" spans="2:15" x14ac:dyDescent="0.3">
      <c r="B164" s="2" t="str">
        <f>_xlfn.XLOOKUP($I164,Tab_00.Trial[CONTA],Tab_00.Trial[TP],"",0,1)</f>
        <v>R</v>
      </c>
      <c r="C164" s="2">
        <f>_xlfn.XLOOKUP($I164,Tab_00.Trial[CONTA],Tab_00.Trial[NV],"",0,1)</f>
        <v>5</v>
      </c>
      <c r="D164" s="2" t="str">
        <f>_xlfn.XLOOKUP($I164,Tab_00.Trial[CONTA],Tab_00.Trial[S/A],"",0,1)</f>
        <v>A</v>
      </c>
      <c r="E164" s="2">
        <f>IF($I164="","",COUNTIFS(Tab_00.Trial[CONTA],$I164))</f>
        <v>1</v>
      </c>
      <c r="F164" s="4">
        <f>SUMIFS(Tab_11.Nov[SALDO
ATUAL],Tab_11.Nov[CONTA],$I164)</f>
        <v>-2746283.03</v>
      </c>
      <c r="G164" s="4">
        <f t="shared" si="6"/>
        <v>0</v>
      </c>
      <c r="H164" s="1"/>
      <c r="I164" s="3" t="s">
        <v>393</v>
      </c>
      <c r="J164" s="3" t="s">
        <v>394</v>
      </c>
      <c r="K164" s="4">
        <v>-2746283.03</v>
      </c>
      <c r="L164" s="4">
        <v>137859</v>
      </c>
      <c r="M164" s="4">
        <v>44471.73</v>
      </c>
      <c r="N164" s="4">
        <v>-2652895.7599999998</v>
      </c>
      <c r="O164" s="4">
        <f t="shared" si="7"/>
        <v>93387.27</v>
      </c>
    </row>
    <row r="165" spans="2:15" x14ac:dyDescent="0.3">
      <c r="B165" s="2" t="str">
        <f>_xlfn.XLOOKUP($I165,Tab_00.Trial[CONTA],Tab_00.Trial[TP],"",0,1)</f>
        <v>R</v>
      </c>
      <c r="C165" s="2">
        <f>_xlfn.XLOOKUP($I165,Tab_00.Trial[CONTA],Tab_00.Trial[NV],"",0,1)</f>
        <v>2</v>
      </c>
      <c r="D165" s="2" t="str">
        <f>_xlfn.XLOOKUP($I165,Tab_00.Trial[CONTA],Tab_00.Trial[S/A],"",0,1)</f>
        <v>S</v>
      </c>
      <c r="E165" s="2">
        <f>IF($I165="","",COUNTIFS(Tab_00.Trial[CONTA],$I165))</f>
        <v>1</v>
      </c>
      <c r="F165" s="4">
        <f>SUMIFS(Tab_11.Nov[SALDO
ATUAL],Tab_11.Nov[CONTA],$I165)</f>
        <v>-7450</v>
      </c>
      <c r="G165" s="4">
        <f t="shared" si="6"/>
        <v>0</v>
      </c>
      <c r="H165" s="1"/>
      <c r="I165" s="3" t="s">
        <v>587</v>
      </c>
      <c r="J165" s="3" t="s">
        <v>691</v>
      </c>
      <c r="K165" s="4">
        <v>-7450</v>
      </c>
      <c r="L165" s="4">
        <v>0</v>
      </c>
      <c r="M165" s="4">
        <v>0</v>
      </c>
      <c r="N165" s="4">
        <v>-7450</v>
      </c>
      <c r="O165" s="4">
        <f t="shared" si="7"/>
        <v>0</v>
      </c>
    </row>
    <row r="166" spans="2:15" x14ac:dyDescent="0.3">
      <c r="B166" s="2" t="str">
        <f>_xlfn.XLOOKUP($I166,Tab_00.Trial[CONTA],Tab_00.Trial[TP],"",0,1)</f>
        <v>R</v>
      </c>
      <c r="C166" s="2">
        <f>_xlfn.XLOOKUP($I166,Tab_00.Trial[CONTA],Tab_00.Trial[NV],"",0,1)</f>
        <v>5</v>
      </c>
      <c r="D166" s="2" t="str">
        <f>_xlfn.XLOOKUP($I166,Tab_00.Trial[CONTA],Tab_00.Trial[S/A],"",0,1)</f>
        <v>S</v>
      </c>
      <c r="E166" s="2">
        <f>IF($I166="","",COUNTIFS(Tab_00.Trial[CONTA],$I166))</f>
        <v>1</v>
      </c>
      <c r="F166" s="4">
        <f>SUMIFS(Tab_11.Nov[SALDO
ATUAL],Tab_11.Nov[CONTA],$I166)</f>
        <v>-7450</v>
      </c>
      <c r="G166" s="4">
        <f t="shared" si="6"/>
        <v>0</v>
      </c>
      <c r="H166" s="1"/>
      <c r="I166" s="3" t="s">
        <v>588</v>
      </c>
      <c r="J166" s="3" t="s">
        <v>692</v>
      </c>
      <c r="K166" s="4">
        <v>-7450</v>
      </c>
      <c r="L166" s="4">
        <v>0</v>
      </c>
      <c r="M166" s="4">
        <v>0</v>
      </c>
      <c r="N166" s="4">
        <v>-7450</v>
      </c>
      <c r="O166" s="4">
        <f t="shared" si="7"/>
        <v>0</v>
      </c>
    </row>
    <row r="167" spans="2:15" x14ac:dyDescent="0.3">
      <c r="B167" s="2" t="str">
        <f>_xlfn.XLOOKUP($I167,Tab_00.Trial[CONTA],Tab_00.Trial[TP],"",0,1)</f>
        <v>R</v>
      </c>
      <c r="C167" s="2">
        <f>_xlfn.XLOOKUP($I167,Tab_00.Trial[CONTA],Tab_00.Trial[NV],"",0,1)</f>
        <v>5</v>
      </c>
      <c r="D167" s="2" t="str">
        <f>_xlfn.XLOOKUP($I167,Tab_00.Trial[CONTA],Tab_00.Trial[S/A],"",0,1)</f>
        <v>S</v>
      </c>
      <c r="E167" s="2">
        <f>IF($I167="","",COUNTIFS(Tab_00.Trial[CONTA],$I167))</f>
        <v>1</v>
      </c>
      <c r="F167" s="4">
        <f>SUMIFS(Tab_11.Nov[SALDO
ATUAL],Tab_11.Nov[CONTA],$I167)</f>
        <v>-7450</v>
      </c>
      <c r="G167" s="4">
        <f t="shared" si="6"/>
        <v>0</v>
      </c>
      <c r="H167" s="1"/>
      <c r="I167" s="3" t="s">
        <v>589</v>
      </c>
      <c r="J167" s="3" t="s">
        <v>692</v>
      </c>
      <c r="K167" s="4">
        <v>-7450</v>
      </c>
      <c r="L167" s="4">
        <v>0</v>
      </c>
      <c r="M167" s="4">
        <v>0</v>
      </c>
      <c r="N167" s="4">
        <v>-7450</v>
      </c>
      <c r="O167" s="4">
        <f t="shared" si="7"/>
        <v>0</v>
      </c>
    </row>
    <row r="168" spans="2:15" x14ac:dyDescent="0.3">
      <c r="B168" s="2" t="str">
        <f>_xlfn.XLOOKUP($I168,Tab_00.Trial[CONTA],Tab_00.Trial[TP],"",0,1)</f>
        <v>R</v>
      </c>
      <c r="C168" s="2">
        <f>_xlfn.XLOOKUP($I168,Tab_00.Trial[CONTA],Tab_00.Trial[NV],"",0,1)</f>
        <v>5</v>
      </c>
      <c r="D168" s="2" t="str">
        <f>_xlfn.XLOOKUP($I168,Tab_00.Trial[CONTA],Tab_00.Trial[S/A],"",0,1)</f>
        <v>A</v>
      </c>
      <c r="E168" s="2">
        <f>IF($I168="","",COUNTIFS(Tab_00.Trial[CONTA],$I168))</f>
        <v>1</v>
      </c>
      <c r="F168" s="4">
        <f>SUMIFS(Tab_11.Nov[SALDO
ATUAL],Tab_11.Nov[CONTA],$I168)</f>
        <v>-7450</v>
      </c>
      <c r="G168" s="4">
        <f t="shared" si="6"/>
        <v>0</v>
      </c>
      <c r="H168" s="1"/>
      <c r="I168" s="3" t="s">
        <v>395</v>
      </c>
      <c r="J168" s="3" t="s">
        <v>396</v>
      </c>
      <c r="K168" s="4">
        <v>-7450</v>
      </c>
      <c r="L168" s="4">
        <v>0</v>
      </c>
      <c r="M168" s="4">
        <v>0</v>
      </c>
      <c r="N168" s="4">
        <v>-7450</v>
      </c>
      <c r="O168" s="4">
        <f t="shared" si="7"/>
        <v>0</v>
      </c>
    </row>
    <row r="169" spans="2:15" x14ac:dyDescent="0.3">
      <c r="B169" s="2" t="str">
        <f>_xlfn.XLOOKUP($I169,Tab_00.Trial[CONTA],Tab_00.Trial[TP],"",0,1)</f>
        <v>C</v>
      </c>
      <c r="C169" s="2">
        <f>_xlfn.XLOOKUP($I169,Tab_00.Trial[CONTA],Tab_00.Trial[NV],"",0,1)</f>
        <v>1</v>
      </c>
      <c r="D169" s="2" t="str">
        <f>_xlfn.XLOOKUP($I169,Tab_00.Trial[CONTA],Tab_00.Trial[S/A],"",0,1)</f>
        <v>S</v>
      </c>
      <c r="E169" s="2">
        <f>IF($I169="","",COUNTIFS(Tab_00.Trial[CONTA],$I169))</f>
        <v>1</v>
      </c>
      <c r="F169" s="4">
        <f>SUMIFS(Tab_11.Nov[SALDO
ATUAL],Tab_11.Nov[CONTA],$I169)</f>
        <v>8701775.5600000005</v>
      </c>
      <c r="G169" s="4">
        <f t="shared" si="6"/>
        <v>0</v>
      </c>
      <c r="H169" s="1"/>
      <c r="I169" s="3">
        <v>4</v>
      </c>
      <c r="J169" s="3" t="s">
        <v>693</v>
      </c>
      <c r="K169" s="4">
        <v>8701775.5600000005</v>
      </c>
      <c r="L169" s="4">
        <v>1627365.18</v>
      </c>
      <c r="M169" s="4">
        <v>15179.07</v>
      </c>
      <c r="N169" s="4">
        <v>10313961.67</v>
      </c>
      <c r="O169" s="4">
        <f t="shared" si="7"/>
        <v>1612186.11</v>
      </c>
    </row>
    <row r="170" spans="2:15" x14ac:dyDescent="0.3">
      <c r="B170" s="2" t="str">
        <f>_xlfn.XLOOKUP($I170,Tab_00.Trial[CONTA],Tab_00.Trial[TP],"",0,1)</f>
        <v>C</v>
      </c>
      <c r="C170" s="2">
        <f>_xlfn.XLOOKUP($I170,Tab_00.Trial[CONTA],Tab_00.Trial[NV],"",0,1)</f>
        <v>2</v>
      </c>
      <c r="D170" s="2" t="str">
        <f>_xlfn.XLOOKUP($I170,Tab_00.Trial[CONTA],Tab_00.Trial[S/A],"",0,1)</f>
        <v>S</v>
      </c>
      <c r="E170" s="2">
        <f>IF($I170="","",COUNTIFS(Tab_00.Trial[CONTA],$I170))</f>
        <v>1</v>
      </c>
      <c r="F170" s="4">
        <f>SUMIFS(Tab_11.Nov[SALDO
ATUAL],Tab_11.Nov[CONTA],$I170)</f>
        <v>8701775.5600000005</v>
      </c>
      <c r="G170" s="4">
        <f t="shared" si="6"/>
        <v>0</v>
      </c>
      <c r="H170" s="1"/>
      <c r="I170" s="3" t="s">
        <v>234</v>
      </c>
      <c r="J170" s="3" t="s">
        <v>823</v>
      </c>
      <c r="K170" s="4">
        <v>8701775.5600000005</v>
      </c>
      <c r="L170" s="4">
        <v>1627365.18</v>
      </c>
      <c r="M170" s="4">
        <v>15179.07</v>
      </c>
      <c r="N170" s="4">
        <v>10313961.67</v>
      </c>
      <c r="O170" s="4">
        <f t="shared" si="7"/>
        <v>1612186.11</v>
      </c>
    </row>
    <row r="171" spans="2:15" x14ac:dyDescent="0.3">
      <c r="B171" s="2" t="str">
        <f>_xlfn.XLOOKUP($I171,Tab_00.Trial[CONTA],Tab_00.Trial[TP],"",0,1)</f>
        <v>C</v>
      </c>
      <c r="C171" s="2">
        <f>_xlfn.XLOOKUP($I171,Tab_00.Trial[CONTA],Tab_00.Trial[NV],"",0,1)</f>
        <v>5</v>
      </c>
      <c r="D171" s="2" t="str">
        <f>_xlfn.XLOOKUP($I171,Tab_00.Trial[CONTA],Tab_00.Trial[S/A],"",0,1)</f>
        <v>S</v>
      </c>
      <c r="E171" s="2">
        <f>IF($I171="","",COUNTIFS(Tab_00.Trial[CONTA],$I171))</f>
        <v>1</v>
      </c>
      <c r="F171" s="4">
        <f>SUMIFS(Tab_11.Nov[SALDO
ATUAL],Tab_11.Nov[CONTA],$I171)</f>
        <v>1687544.4</v>
      </c>
      <c r="G171" s="4">
        <f t="shared" si="6"/>
        <v>0</v>
      </c>
      <c r="H171" s="1"/>
      <c r="I171" s="3" t="s">
        <v>235</v>
      </c>
      <c r="J171" s="3" t="s">
        <v>824</v>
      </c>
      <c r="K171" s="4">
        <v>1687544.4</v>
      </c>
      <c r="L171" s="4">
        <v>172733.79</v>
      </c>
      <c r="M171" s="4">
        <v>15179.07</v>
      </c>
      <c r="N171" s="4">
        <v>1845099.12</v>
      </c>
      <c r="O171" s="4">
        <f t="shared" si="7"/>
        <v>157554.72</v>
      </c>
    </row>
    <row r="172" spans="2:15" x14ac:dyDescent="0.3">
      <c r="B172" s="2" t="str">
        <f>_xlfn.XLOOKUP($I172,Tab_00.Trial[CONTA],Tab_00.Trial[TP],"",0,1)</f>
        <v>C</v>
      </c>
      <c r="C172" s="2">
        <f>_xlfn.XLOOKUP($I172,Tab_00.Trial[CONTA],Tab_00.Trial[NV],"",0,1)</f>
        <v>5</v>
      </c>
      <c r="D172" s="2" t="str">
        <f>_xlfn.XLOOKUP($I172,Tab_00.Trial[CONTA],Tab_00.Trial[S/A],"",0,1)</f>
        <v>S</v>
      </c>
      <c r="E172" s="2">
        <f>IF($I172="","",COUNTIFS(Tab_00.Trial[CONTA],$I172))</f>
        <v>1</v>
      </c>
      <c r="F172" s="4">
        <f>SUMIFS(Tab_11.Nov[SALDO
ATUAL],Tab_11.Nov[CONTA],$I172)</f>
        <v>760522.57</v>
      </c>
      <c r="G172" s="4">
        <f t="shared" si="6"/>
        <v>0</v>
      </c>
      <c r="H172" s="1"/>
      <c r="I172" s="3" t="s">
        <v>236</v>
      </c>
      <c r="J172" s="3" t="s">
        <v>696</v>
      </c>
      <c r="K172" s="4">
        <v>760522.57</v>
      </c>
      <c r="L172" s="4">
        <v>95060.66</v>
      </c>
      <c r="M172" s="4">
        <v>10700.4</v>
      </c>
      <c r="N172" s="4">
        <v>844882.83</v>
      </c>
      <c r="O172" s="4">
        <f t="shared" si="7"/>
        <v>84360.26</v>
      </c>
    </row>
    <row r="173" spans="2:15" x14ac:dyDescent="0.3">
      <c r="B173" s="2" t="str">
        <f>_xlfn.XLOOKUP($I173,Tab_00.Trial[CONTA],Tab_00.Trial[TP],"",0,1)</f>
        <v>C</v>
      </c>
      <c r="C173" s="2">
        <f>_xlfn.XLOOKUP($I173,Tab_00.Trial[CONTA],Tab_00.Trial[NV],"",0,1)</f>
        <v>5</v>
      </c>
      <c r="D173" s="2" t="str">
        <f>_xlfn.XLOOKUP($I173,Tab_00.Trial[CONTA],Tab_00.Trial[S/A],"",0,1)</f>
        <v>A</v>
      </c>
      <c r="E173" s="2">
        <f>IF($I173="","",COUNTIFS(Tab_00.Trial[CONTA],$I173))</f>
        <v>1</v>
      </c>
      <c r="F173" s="4">
        <f>SUMIFS(Tab_11.Nov[SALDO
ATUAL],Tab_11.Nov[CONTA],$I173)</f>
        <v>549917.99</v>
      </c>
      <c r="G173" s="4">
        <f t="shared" si="6"/>
        <v>0</v>
      </c>
      <c r="H173" s="1"/>
      <c r="I173" s="3" t="s">
        <v>195</v>
      </c>
      <c r="J173" s="3" t="s">
        <v>427</v>
      </c>
      <c r="K173" s="4">
        <v>549917.99</v>
      </c>
      <c r="L173" s="4">
        <v>71795.7</v>
      </c>
      <c r="M173" s="4">
        <v>9309.68</v>
      </c>
      <c r="N173" s="4">
        <v>612404.01</v>
      </c>
      <c r="O173" s="4">
        <f t="shared" si="7"/>
        <v>62486.02</v>
      </c>
    </row>
    <row r="174" spans="2:15" x14ac:dyDescent="0.3">
      <c r="B174" s="2" t="str">
        <f>_xlfn.XLOOKUP($I174,Tab_00.Trial[CONTA],Tab_00.Trial[TP],"",0,1)</f>
        <v>C</v>
      </c>
      <c r="C174" s="2">
        <f>_xlfn.XLOOKUP($I174,Tab_00.Trial[CONTA],Tab_00.Trial[NV],"",0,1)</f>
        <v>5</v>
      </c>
      <c r="D174" s="2" t="str">
        <f>_xlfn.XLOOKUP($I174,Tab_00.Trial[CONTA],Tab_00.Trial[S/A],"",0,1)</f>
        <v>A</v>
      </c>
      <c r="E174" s="2">
        <f>IF($I174="","",COUNTIFS(Tab_00.Trial[CONTA],$I174))</f>
        <v>1</v>
      </c>
      <c r="F174" s="4">
        <f>SUMIFS(Tab_11.Nov[SALDO
ATUAL],Tab_11.Nov[CONTA],$I174)</f>
        <v>93631.43</v>
      </c>
      <c r="G174" s="4">
        <f t="shared" si="6"/>
        <v>0</v>
      </c>
      <c r="H174" s="1"/>
      <c r="I174" s="3" t="s">
        <v>430</v>
      </c>
      <c r="J174" s="3" t="s">
        <v>431</v>
      </c>
      <c r="K174" s="4">
        <v>93631.43</v>
      </c>
      <c r="L174" s="4">
        <v>12630.74</v>
      </c>
      <c r="M174" s="4">
        <v>0</v>
      </c>
      <c r="N174" s="4">
        <v>106262.17</v>
      </c>
      <c r="O174" s="4">
        <f t="shared" si="7"/>
        <v>12630.74</v>
      </c>
    </row>
    <row r="175" spans="2:15" x14ac:dyDescent="0.3">
      <c r="B175" s="2" t="str">
        <f>_xlfn.XLOOKUP($I175,Tab_00.Trial[CONTA],Tab_00.Trial[TP],"",0,1)</f>
        <v>C</v>
      </c>
      <c r="C175" s="2">
        <f>_xlfn.XLOOKUP($I175,Tab_00.Trial[CONTA],Tab_00.Trial[NV],"",0,1)</f>
        <v>5</v>
      </c>
      <c r="D175" s="2" t="str">
        <f>_xlfn.XLOOKUP($I175,Tab_00.Trial[CONTA],Tab_00.Trial[S/A],"",0,1)</f>
        <v>A</v>
      </c>
      <c r="E175" s="2">
        <f>IF($I175="","",COUNTIFS(Tab_00.Trial[CONTA],$I175))</f>
        <v>1</v>
      </c>
      <c r="F175" s="4">
        <f>SUMIFS(Tab_11.Nov[SALDO
ATUAL],Tab_11.Nov[CONTA],$I175)</f>
        <v>48912.75</v>
      </c>
      <c r="G175" s="4">
        <f t="shared" si="6"/>
        <v>0</v>
      </c>
      <c r="H175" s="1"/>
      <c r="I175" s="3" t="s">
        <v>432</v>
      </c>
      <c r="J175" s="3" t="s">
        <v>433</v>
      </c>
      <c r="K175" s="4">
        <v>48912.75</v>
      </c>
      <c r="L175" s="4">
        <v>4475.91</v>
      </c>
      <c r="M175" s="4">
        <v>1041.45</v>
      </c>
      <c r="N175" s="4">
        <v>52347.21</v>
      </c>
      <c r="O175" s="4">
        <f t="shared" si="7"/>
        <v>3434.46</v>
      </c>
    </row>
    <row r="176" spans="2:15" x14ac:dyDescent="0.3">
      <c r="B176" s="2" t="str">
        <f>_xlfn.XLOOKUP($I176,Tab_00.Trial[CONTA],Tab_00.Trial[TP],"",0,1)</f>
        <v>C</v>
      </c>
      <c r="C176" s="2">
        <f>_xlfn.XLOOKUP($I176,Tab_00.Trial[CONTA],Tab_00.Trial[NV],"",0,1)</f>
        <v>5</v>
      </c>
      <c r="D176" s="2" t="str">
        <f>_xlfn.XLOOKUP($I176,Tab_00.Trial[CONTA],Tab_00.Trial[S/A],"",0,1)</f>
        <v>A</v>
      </c>
      <c r="E176" s="2">
        <f>IF($I176="","",COUNTIFS(Tab_00.Trial[CONTA],$I176))</f>
        <v>1</v>
      </c>
      <c r="F176" s="4">
        <f>SUMIFS(Tab_11.Nov[SALDO
ATUAL],Tab_11.Nov[CONTA],$I176)</f>
        <v>46469.52</v>
      </c>
      <c r="G176" s="4">
        <f t="shared" si="6"/>
        <v>0</v>
      </c>
      <c r="H176" s="1"/>
      <c r="I176" s="3" t="s">
        <v>796</v>
      </c>
      <c r="J176" s="3" t="s">
        <v>797</v>
      </c>
      <c r="K176" s="4">
        <v>46469.52</v>
      </c>
      <c r="L176" s="4">
        <v>3360.42</v>
      </c>
      <c r="M176" s="4">
        <v>0</v>
      </c>
      <c r="N176" s="4">
        <v>49829.94</v>
      </c>
      <c r="O176" s="4">
        <f t="shared" si="7"/>
        <v>3360.42</v>
      </c>
    </row>
    <row r="177" spans="2:15" x14ac:dyDescent="0.3">
      <c r="B177" s="2" t="str">
        <f>_xlfn.XLOOKUP($I177,Tab_00.Trial[CONTA],Tab_00.Trial[TP],"",0,1)</f>
        <v>C</v>
      </c>
      <c r="C177" s="2">
        <f>_xlfn.XLOOKUP($I177,Tab_00.Trial[CONTA],Tab_00.Trial[NV],"",0,1)</f>
        <v>5</v>
      </c>
      <c r="D177" s="2" t="str">
        <f>_xlfn.XLOOKUP($I177,Tab_00.Trial[CONTA],Tab_00.Trial[S/A],"",0,1)</f>
        <v>A</v>
      </c>
      <c r="E177" s="2">
        <f>IF($I177="","",COUNTIFS(Tab_00.Trial[CONTA],$I177))</f>
        <v>1</v>
      </c>
      <c r="F177" s="4">
        <f>SUMIFS(Tab_11.Nov[SALDO
ATUAL],Tab_11.Nov[CONTA],$I177)</f>
        <v>3853.21</v>
      </c>
      <c r="G177" s="4">
        <f t="shared" si="6"/>
        <v>0</v>
      </c>
      <c r="H177" s="1"/>
      <c r="I177" s="3" t="s">
        <v>798</v>
      </c>
      <c r="J177" s="3" t="s">
        <v>799</v>
      </c>
      <c r="K177" s="4">
        <v>3853.21</v>
      </c>
      <c r="L177" s="4">
        <v>1003.1</v>
      </c>
      <c r="M177" s="4">
        <v>0</v>
      </c>
      <c r="N177" s="4">
        <v>4856.3100000000004</v>
      </c>
      <c r="O177" s="4">
        <f t="shared" si="7"/>
        <v>1003.1</v>
      </c>
    </row>
    <row r="178" spans="2:15" x14ac:dyDescent="0.3">
      <c r="B178" s="2" t="str">
        <f>_xlfn.XLOOKUP($I178,Tab_00.Trial[CONTA],Tab_00.Trial[TP],"",0,1)</f>
        <v>C</v>
      </c>
      <c r="C178" s="2">
        <f>_xlfn.XLOOKUP($I178,Tab_00.Trial[CONTA],Tab_00.Trial[NV],"",0,1)</f>
        <v>5</v>
      </c>
      <c r="D178" s="2" t="str">
        <f>_xlfn.XLOOKUP($I178,Tab_00.Trial[CONTA],Tab_00.Trial[S/A],"",0,1)</f>
        <v>A</v>
      </c>
      <c r="E178" s="2">
        <f>IF($I178="","",COUNTIFS(Tab_00.Trial[CONTA],$I178))</f>
        <v>1</v>
      </c>
      <c r="F178" s="4">
        <f>SUMIFS(Tab_11.Nov[SALDO
ATUAL],Tab_11.Nov[CONTA],$I178)</f>
        <v>365.56</v>
      </c>
      <c r="G178" s="4">
        <f t="shared" si="6"/>
        <v>0</v>
      </c>
      <c r="H178" s="1"/>
      <c r="I178" s="3" t="s">
        <v>800</v>
      </c>
      <c r="J178" s="3" t="s">
        <v>801</v>
      </c>
      <c r="K178" s="4">
        <v>365.56</v>
      </c>
      <c r="L178" s="4">
        <v>0</v>
      </c>
      <c r="M178" s="4">
        <v>0</v>
      </c>
      <c r="N178" s="4">
        <v>365.56</v>
      </c>
      <c r="O178" s="4">
        <f t="shared" si="7"/>
        <v>0</v>
      </c>
    </row>
    <row r="179" spans="2:15" x14ac:dyDescent="0.3">
      <c r="B179" s="2" t="str">
        <f>_xlfn.XLOOKUP($I179,Tab_00.Trial[CONTA],Tab_00.Trial[TP],"",0,1)</f>
        <v>C</v>
      </c>
      <c r="C179" s="2">
        <f>_xlfn.XLOOKUP($I179,Tab_00.Trial[CONTA],Tab_00.Trial[NV],"",0,1)</f>
        <v>5</v>
      </c>
      <c r="D179" s="2" t="str">
        <f>_xlfn.XLOOKUP($I179,Tab_00.Trial[CONTA],Tab_00.Trial[S/A],"",0,1)</f>
        <v>A</v>
      </c>
      <c r="E179" s="2">
        <f>IF($I179="","",COUNTIFS(Tab_00.Trial[CONTA],$I179))</f>
        <v>1</v>
      </c>
      <c r="F179" s="4">
        <f>SUMIFS(Tab_11.Nov[SALDO
ATUAL],Tab_11.Nov[CONTA],$I179)</f>
        <v>12943.65</v>
      </c>
      <c r="G179" s="4">
        <f t="shared" si="6"/>
        <v>0</v>
      </c>
      <c r="H179" s="1"/>
      <c r="I179" s="3" t="s">
        <v>802</v>
      </c>
      <c r="J179" s="3" t="s">
        <v>803</v>
      </c>
      <c r="K179" s="4">
        <v>12943.65</v>
      </c>
      <c r="L179" s="4">
        <v>1257.2</v>
      </c>
      <c r="M179" s="4">
        <v>267.45999999999998</v>
      </c>
      <c r="N179" s="4">
        <v>13933.39</v>
      </c>
      <c r="O179" s="4">
        <f t="shared" si="7"/>
        <v>989.74</v>
      </c>
    </row>
    <row r="180" spans="2:15" x14ac:dyDescent="0.3">
      <c r="B180" s="2" t="str">
        <f>_xlfn.XLOOKUP($I180,Tab_00.Trial[CONTA],Tab_00.Trial[TP],"",0,1)</f>
        <v>C</v>
      </c>
      <c r="C180" s="2">
        <f>_xlfn.XLOOKUP($I180,Tab_00.Trial[CONTA],Tab_00.Trial[NV],"",0,1)</f>
        <v>5</v>
      </c>
      <c r="D180" s="2" t="str">
        <f>_xlfn.XLOOKUP($I180,Tab_00.Trial[CONTA],Tab_00.Trial[S/A],"",0,1)</f>
        <v>A</v>
      </c>
      <c r="E180" s="2">
        <f>IF($I180="","",COUNTIFS(Tab_00.Trial[CONTA],$I180))</f>
        <v>1</v>
      </c>
      <c r="F180" s="4">
        <f>SUMIFS(Tab_11.Nov[SALDO
ATUAL],Tab_11.Nov[CONTA],$I180)</f>
        <v>3913</v>
      </c>
      <c r="G180" s="4">
        <f t="shared" si="6"/>
        <v>0</v>
      </c>
      <c r="H180" s="1"/>
      <c r="I180" s="3" t="s">
        <v>804</v>
      </c>
      <c r="J180" s="3" t="s">
        <v>805</v>
      </c>
      <c r="K180" s="4">
        <v>3913</v>
      </c>
      <c r="L180" s="4">
        <v>375.3</v>
      </c>
      <c r="M180" s="4">
        <v>71.83</v>
      </c>
      <c r="N180" s="4">
        <v>4216.47</v>
      </c>
      <c r="O180" s="4">
        <f t="shared" si="7"/>
        <v>303.47000000000003</v>
      </c>
    </row>
    <row r="181" spans="2:15" x14ac:dyDescent="0.3">
      <c r="B181" s="2" t="str">
        <f>_xlfn.XLOOKUP($I181,Tab_00.Trial[CONTA],Tab_00.Trial[TP],"",0,1)</f>
        <v>C</v>
      </c>
      <c r="C181" s="2">
        <f>_xlfn.XLOOKUP($I181,Tab_00.Trial[CONTA],Tab_00.Trial[NV],"",0,1)</f>
        <v>5</v>
      </c>
      <c r="D181" s="2" t="str">
        <f>_xlfn.XLOOKUP($I181,Tab_00.Trial[CONTA],Tab_00.Trial[S/A],"",0,1)</f>
        <v>A</v>
      </c>
      <c r="E181" s="2">
        <f>IF($I181="","",COUNTIFS(Tab_00.Trial[CONTA],$I181))</f>
        <v>1</v>
      </c>
      <c r="F181" s="4">
        <f>SUMIFS(Tab_11.Nov[SALDO
ATUAL],Tab_11.Nov[CONTA],$I181)</f>
        <v>515.46</v>
      </c>
      <c r="G181" s="4">
        <f t="shared" si="6"/>
        <v>0</v>
      </c>
      <c r="H181" s="1"/>
      <c r="I181" s="3" t="s">
        <v>806</v>
      </c>
      <c r="J181" s="3" t="s">
        <v>807</v>
      </c>
      <c r="K181" s="4">
        <v>515.46</v>
      </c>
      <c r="L181" s="4">
        <v>162.29</v>
      </c>
      <c r="M181" s="4">
        <v>9.98</v>
      </c>
      <c r="N181" s="4">
        <v>667.77</v>
      </c>
      <c r="O181" s="4">
        <f t="shared" si="7"/>
        <v>152.31</v>
      </c>
    </row>
    <row r="182" spans="2:15" x14ac:dyDescent="0.3">
      <c r="B182" s="2" t="str">
        <f>_xlfn.XLOOKUP($I182,Tab_00.Trial[CONTA],Tab_00.Trial[TP],"",0,1)</f>
        <v>C</v>
      </c>
      <c r="C182" s="2">
        <f>_xlfn.XLOOKUP($I182,Tab_00.Trial[CONTA],Tab_00.Trial[NV],"",0,1)</f>
        <v>5</v>
      </c>
      <c r="D182" s="2" t="str">
        <f>_xlfn.XLOOKUP($I182,Tab_00.Trial[CONTA],Tab_00.Trial[S/A],"",0,1)</f>
        <v>S</v>
      </c>
      <c r="E182" s="2">
        <f>IF($I182="","",COUNTIFS(Tab_00.Trial[CONTA],$I182))</f>
        <v>1</v>
      </c>
      <c r="F182" s="4">
        <f>SUMIFS(Tab_11.Nov[SALDO
ATUAL],Tab_11.Nov[CONTA],$I182)</f>
        <v>274047.57</v>
      </c>
      <c r="G182" s="4">
        <f t="shared" si="6"/>
        <v>0</v>
      </c>
      <c r="H182" s="1"/>
      <c r="I182" s="3" t="s">
        <v>590</v>
      </c>
      <c r="J182" s="3" t="s">
        <v>697</v>
      </c>
      <c r="K182" s="4">
        <v>274047.57</v>
      </c>
      <c r="L182" s="4">
        <v>25971.57</v>
      </c>
      <c r="M182" s="4">
        <v>4478.67</v>
      </c>
      <c r="N182" s="4">
        <v>295540.46999999997</v>
      </c>
      <c r="O182" s="4">
        <f t="shared" si="7"/>
        <v>21492.9</v>
      </c>
    </row>
    <row r="183" spans="2:15" x14ac:dyDescent="0.3">
      <c r="B183" s="2" t="str">
        <f>_xlfn.XLOOKUP($I183,Tab_00.Trial[CONTA],Tab_00.Trial[TP],"",0,1)</f>
        <v>C</v>
      </c>
      <c r="C183" s="2">
        <f>_xlfn.XLOOKUP($I183,Tab_00.Trial[CONTA],Tab_00.Trial[NV],"",0,1)</f>
        <v>5</v>
      </c>
      <c r="D183" s="2" t="str">
        <f>_xlfn.XLOOKUP($I183,Tab_00.Trial[CONTA],Tab_00.Trial[S/A],"",0,1)</f>
        <v>A</v>
      </c>
      <c r="E183" s="2">
        <f>IF($I183="","",COUNTIFS(Tab_00.Trial[CONTA],$I183))</f>
        <v>1</v>
      </c>
      <c r="F183" s="4">
        <f>SUMIFS(Tab_11.Nov[SALDO
ATUAL],Tab_11.Nov[CONTA],$I183)</f>
        <v>268466.71999999997</v>
      </c>
      <c r="G183" s="4">
        <f t="shared" si="6"/>
        <v>0</v>
      </c>
      <c r="H183" s="1"/>
      <c r="I183" s="3" t="s">
        <v>434</v>
      </c>
      <c r="J183" s="3" t="s">
        <v>435</v>
      </c>
      <c r="K183" s="4">
        <v>268466.71999999997</v>
      </c>
      <c r="L183" s="4">
        <v>25971.57</v>
      </c>
      <c r="M183" s="4">
        <v>3163.54</v>
      </c>
      <c r="N183" s="4">
        <v>291274.75</v>
      </c>
      <c r="O183" s="4">
        <f t="shared" si="7"/>
        <v>22808.03</v>
      </c>
    </row>
    <row r="184" spans="2:15" x14ac:dyDescent="0.3">
      <c r="B184" s="2" t="str">
        <f>_xlfn.XLOOKUP($I184,Tab_00.Trial[CONTA],Tab_00.Trial[TP],"",0,1)</f>
        <v>C</v>
      </c>
      <c r="C184" s="2">
        <f>_xlfn.XLOOKUP($I184,Tab_00.Trial[CONTA],Tab_00.Trial[NV],"",0,1)</f>
        <v>5</v>
      </c>
      <c r="D184" s="2" t="str">
        <f>_xlfn.XLOOKUP($I184,Tab_00.Trial[CONTA],Tab_00.Trial[S/A],"",0,1)</f>
        <v>A</v>
      </c>
      <c r="E184" s="2">
        <f>IF($I184="","",COUNTIFS(Tab_00.Trial[CONTA],$I184))</f>
        <v>1</v>
      </c>
      <c r="F184" s="4">
        <f>SUMIFS(Tab_11.Nov[SALDO
ATUAL],Tab_11.Nov[CONTA],$I184)</f>
        <v>5580.85</v>
      </c>
      <c r="G184" s="4">
        <f t="shared" si="6"/>
        <v>0</v>
      </c>
      <c r="H184" s="1"/>
      <c r="I184" s="3" t="s">
        <v>750</v>
      </c>
      <c r="J184" s="3" t="s">
        <v>751</v>
      </c>
      <c r="K184" s="4">
        <v>5580.85</v>
      </c>
      <c r="L184" s="4">
        <v>0</v>
      </c>
      <c r="M184" s="4">
        <v>1315.13</v>
      </c>
      <c r="N184" s="4">
        <v>4265.72</v>
      </c>
      <c r="O184" s="4">
        <f t="shared" si="7"/>
        <v>-1315.13</v>
      </c>
    </row>
    <row r="185" spans="2:15" x14ac:dyDescent="0.3">
      <c r="B185" s="2" t="str">
        <f>_xlfn.XLOOKUP($I185,Tab_00.Trial[CONTA],Tab_00.Trial[TP],"",0,1)</f>
        <v>C</v>
      </c>
      <c r="C185" s="2">
        <f>_xlfn.XLOOKUP($I185,Tab_00.Trial[CONTA],Tab_00.Trial[NV],"",0,1)</f>
        <v>5</v>
      </c>
      <c r="D185" s="2" t="str">
        <f>_xlfn.XLOOKUP($I185,Tab_00.Trial[CONTA],Tab_00.Trial[S/A],"",0,1)</f>
        <v>S</v>
      </c>
      <c r="E185" s="2">
        <f>IF($I185="","",COUNTIFS(Tab_00.Trial[CONTA],$I185))</f>
        <v>1</v>
      </c>
      <c r="F185" s="4">
        <f>SUMIFS(Tab_11.Nov[SALDO
ATUAL],Tab_11.Nov[CONTA],$I185)</f>
        <v>225903.28</v>
      </c>
      <c r="G185" s="4">
        <f t="shared" si="6"/>
        <v>0</v>
      </c>
      <c r="H185" s="1"/>
      <c r="I185" s="3" t="s">
        <v>591</v>
      </c>
      <c r="J185" s="3" t="s">
        <v>698</v>
      </c>
      <c r="K185" s="4">
        <v>225903.28</v>
      </c>
      <c r="L185" s="4">
        <v>21657.37</v>
      </c>
      <c r="M185" s="4">
        <v>0</v>
      </c>
      <c r="N185" s="4">
        <v>247560.65</v>
      </c>
      <c r="O185" s="4">
        <f t="shared" si="7"/>
        <v>21657.37</v>
      </c>
    </row>
    <row r="186" spans="2:15" x14ac:dyDescent="0.3">
      <c r="B186" s="2" t="str">
        <f>_xlfn.XLOOKUP($I186,Tab_00.Trial[CONTA],Tab_00.Trial[TP],"",0,1)</f>
        <v>C</v>
      </c>
      <c r="C186" s="2">
        <f>_xlfn.XLOOKUP($I186,Tab_00.Trial[CONTA],Tab_00.Trial[NV],"",0,1)</f>
        <v>5</v>
      </c>
      <c r="D186" s="2" t="str">
        <f>_xlfn.XLOOKUP($I186,Tab_00.Trial[CONTA],Tab_00.Trial[S/A],"",0,1)</f>
        <v>A</v>
      </c>
      <c r="E186" s="2">
        <f>IF($I186="","",COUNTIFS(Tab_00.Trial[CONTA],$I186))</f>
        <v>1</v>
      </c>
      <c r="F186" s="4">
        <f>SUMIFS(Tab_11.Nov[SALDO
ATUAL],Tab_11.Nov[CONTA],$I186)</f>
        <v>175882.43</v>
      </c>
      <c r="G186" s="4">
        <f t="shared" si="6"/>
        <v>0</v>
      </c>
      <c r="H186" s="1"/>
      <c r="I186" s="3" t="s">
        <v>436</v>
      </c>
      <c r="J186" s="3" t="s">
        <v>437</v>
      </c>
      <c r="K186" s="4">
        <v>175882.43</v>
      </c>
      <c r="L186" s="4">
        <v>16267.6</v>
      </c>
      <c r="M186" s="4">
        <v>0</v>
      </c>
      <c r="N186" s="4">
        <v>192150.03</v>
      </c>
      <c r="O186" s="4">
        <f t="shared" si="7"/>
        <v>16267.6</v>
      </c>
    </row>
    <row r="187" spans="2:15" x14ac:dyDescent="0.3">
      <c r="B187" s="2" t="str">
        <f>_xlfn.XLOOKUP($I187,Tab_00.Trial[CONTA],Tab_00.Trial[TP],"",0,1)</f>
        <v>C</v>
      </c>
      <c r="C187" s="2">
        <f>_xlfn.XLOOKUP($I187,Tab_00.Trial[CONTA],Tab_00.Trial[NV],"",0,1)</f>
        <v>5</v>
      </c>
      <c r="D187" s="2" t="str">
        <f>_xlfn.XLOOKUP($I187,Tab_00.Trial[CONTA],Tab_00.Trial[S/A],"",0,1)</f>
        <v>A</v>
      </c>
      <c r="E187" s="2">
        <f>IF($I187="","",COUNTIFS(Tab_00.Trial[CONTA],$I187))</f>
        <v>1</v>
      </c>
      <c r="F187" s="4">
        <f>SUMIFS(Tab_11.Nov[SALDO
ATUAL],Tab_11.Nov[CONTA],$I187)</f>
        <v>43762.63</v>
      </c>
      <c r="G187" s="4">
        <f t="shared" si="6"/>
        <v>0</v>
      </c>
      <c r="H187" s="1"/>
      <c r="I187" s="3" t="s">
        <v>438</v>
      </c>
      <c r="J187" s="3" t="s">
        <v>196</v>
      </c>
      <c r="K187" s="4">
        <v>43762.63</v>
      </c>
      <c r="L187" s="4">
        <v>4855.9799999999996</v>
      </c>
      <c r="M187" s="4">
        <v>0</v>
      </c>
      <c r="N187" s="4">
        <v>48618.61</v>
      </c>
      <c r="O187" s="4">
        <f t="shared" si="7"/>
        <v>4855.9799999999996</v>
      </c>
    </row>
    <row r="188" spans="2:15" x14ac:dyDescent="0.3">
      <c r="B188" s="2" t="str">
        <f>_xlfn.XLOOKUP($I188,Tab_00.Trial[CONTA],Tab_00.Trial[TP],"",0,1)</f>
        <v>C</v>
      </c>
      <c r="C188" s="2">
        <f>_xlfn.XLOOKUP($I188,Tab_00.Trial[CONTA],Tab_00.Trial[NV],"",0,1)</f>
        <v>5</v>
      </c>
      <c r="D188" s="2" t="str">
        <f>_xlfn.XLOOKUP($I188,Tab_00.Trial[CONTA],Tab_00.Trial[S/A],"",0,1)</f>
        <v>A</v>
      </c>
      <c r="E188" s="2">
        <f>IF($I188="","",COUNTIFS(Tab_00.Trial[CONTA],$I188))</f>
        <v>1</v>
      </c>
      <c r="F188" s="4">
        <f>SUMIFS(Tab_11.Nov[SALDO
ATUAL],Tab_11.Nov[CONTA],$I188)</f>
        <v>6258.22</v>
      </c>
      <c r="G188" s="4">
        <f t="shared" si="6"/>
        <v>0</v>
      </c>
      <c r="H188" s="1"/>
      <c r="I188" s="3" t="s">
        <v>439</v>
      </c>
      <c r="J188" s="3" t="s">
        <v>440</v>
      </c>
      <c r="K188" s="4">
        <v>6258.22</v>
      </c>
      <c r="L188" s="4">
        <v>533.79</v>
      </c>
      <c r="M188" s="4">
        <v>0</v>
      </c>
      <c r="N188" s="4">
        <v>6792.01</v>
      </c>
      <c r="O188" s="4">
        <f t="shared" si="7"/>
        <v>533.79</v>
      </c>
    </row>
    <row r="189" spans="2:15" x14ac:dyDescent="0.3">
      <c r="B189" s="2" t="str">
        <f>_xlfn.XLOOKUP($I189,Tab_00.Trial[CONTA],Tab_00.Trial[TP],"",0,1)</f>
        <v>C</v>
      </c>
      <c r="C189" s="2">
        <f>_xlfn.XLOOKUP($I189,Tab_00.Trial[CONTA],Tab_00.Trial[NV],"",0,1)</f>
        <v>5</v>
      </c>
      <c r="D189" s="2" t="str">
        <f>_xlfn.XLOOKUP($I189,Tab_00.Trial[CONTA],Tab_00.Trial[S/A],"",0,1)</f>
        <v>S</v>
      </c>
      <c r="E189" s="2">
        <f>IF($I189="","",COUNTIFS(Tab_00.Trial[CONTA],$I189))</f>
        <v>1</v>
      </c>
      <c r="F189" s="4">
        <f>SUMIFS(Tab_11.Nov[SALDO
ATUAL],Tab_11.Nov[CONTA],$I189)</f>
        <v>12548.87</v>
      </c>
      <c r="G189" s="4">
        <f t="shared" si="6"/>
        <v>0</v>
      </c>
      <c r="H189" s="1"/>
      <c r="I189" s="3" t="s">
        <v>592</v>
      </c>
      <c r="J189" s="3" t="s">
        <v>699</v>
      </c>
      <c r="K189" s="4">
        <v>12548.87</v>
      </c>
      <c r="L189" s="4">
        <v>1359.52</v>
      </c>
      <c r="M189" s="4">
        <v>0</v>
      </c>
      <c r="N189" s="4">
        <v>13908.39</v>
      </c>
      <c r="O189" s="4">
        <f t="shared" si="7"/>
        <v>1359.52</v>
      </c>
    </row>
    <row r="190" spans="2:15" x14ac:dyDescent="0.3">
      <c r="B190" s="2" t="str">
        <f>_xlfn.XLOOKUP($I190,Tab_00.Trial[CONTA],Tab_00.Trial[TP],"",0,1)</f>
        <v>C</v>
      </c>
      <c r="C190" s="2">
        <f>_xlfn.XLOOKUP($I190,Tab_00.Trial[CONTA],Tab_00.Trial[NV],"",0,1)</f>
        <v>5</v>
      </c>
      <c r="D190" s="2" t="str">
        <f>_xlfn.XLOOKUP($I190,Tab_00.Trial[CONTA],Tab_00.Trial[S/A],"",0,1)</f>
        <v>A</v>
      </c>
      <c r="E190" s="2">
        <f>IF($I190="","",COUNTIFS(Tab_00.Trial[CONTA],$I190))</f>
        <v>1</v>
      </c>
      <c r="F190" s="4">
        <f>SUMIFS(Tab_11.Nov[SALDO
ATUAL],Tab_11.Nov[CONTA],$I190)</f>
        <v>10917.24</v>
      </c>
      <c r="G190" s="4">
        <f t="shared" si="6"/>
        <v>0</v>
      </c>
      <c r="H190" s="1"/>
      <c r="I190" s="3" t="s">
        <v>397</v>
      </c>
      <c r="J190" s="3" t="s">
        <v>398</v>
      </c>
      <c r="K190" s="4">
        <v>10917.24</v>
      </c>
      <c r="L190" s="4">
        <v>1359.52</v>
      </c>
      <c r="M190" s="4">
        <v>0</v>
      </c>
      <c r="N190" s="4">
        <v>12276.76</v>
      </c>
      <c r="O190" s="4">
        <f t="shared" si="7"/>
        <v>1359.52</v>
      </c>
    </row>
    <row r="191" spans="2:15" x14ac:dyDescent="0.3">
      <c r="B191" s="2" t="str">
        <f>_xlfn.XLOOKUP($I191,Tab_00.Trial[CONTA],Tab_00.Trial[TP],"",0,1)</f>
        <v>C</v>
      </c>
      <c r="C191" s="2">
        <f>_xlfn.XLOOKUP($I191,Tab_00.Trial[CONTA],Tab_00.Trial[NV],"",0,1)</f>
        <v>5</v>
      </c>
      <c r="D191" s="2" t="str">
        <f>_xlfn.XLOOKUP($I191,Tab_00.Trial[CONTA],Tab_00.Trial[S/A],"",0,1)</f>
        <v>A</v>
      </c>
      <c r="E191" s="2">
        <f>IF($I191="","",COUNTIFS(Tab_00.Trial[CONTA],$I191))</f>
        <v>1</v>
      </c>
      <c r="F191" s="4">
        <f>SUMIFS(Tab_11.Nov[SALDO
ATUAL],Tab_11.Nov[CONTA],$I191)</f>
        <v>1631.63</v>
      </c>
      <c r="G191" s="4">
        <f t="shared" si="6"/>
        <v>0</v>
      </c>
      <c r="H191" s="1"/>
      <c r="I191" s="3" t="s">
        <v>399</v>
      </c>
      <c r="J191" s="3" t="s">
        <v>400</v>
      </c>
      <c r="K191" s="4">
        <v>1631.63</v>
      </c>
      <c r="L191" s="4">
        <v>0</v>
      </c>
      <c r="M191" s="4">
        <v>0</v>
      </c>
      <c r="N191" s="4">
        <v>1631.63</v>
      </c>
      <c r="O191" s="4">
        <f t="shared" si="7"/>
        <v>0</v>
      </c>
    </row>
    <row r="192" spans="2:15" x14ac:dyDescent="0.3">
      <c r="B192" s="2" t="str">
        <f>_xlfn.XLOOKUP($I192,Tab_00.Trial[CONTA],Tab_00.Trial[TP],"",0,1)</f>
        <v>C</v>
      </c>
      <c r="C192" s="2">
        <f>_xlfn.XLOOKUP($I192,Tab_00.Trial[CONTA],Tab_00.Trial[NV],"",0,1)</f>
        <v>5</v>
      </c>
      <c r="D192" s="2" t="str">
        <f>_xlfn.XLOOKUP($I192,Tab_00.Trial[CONTA],Tab_00.Trial[S/A],"",0,1)</f>
        <v>S</v>
      </c>
      <c r="E192" s="2">
        <f>IF($I192="","",COUNTIFS(Tab_00.Trial[CONTA],$I192))</f>
        <v>1</v>
      </c>
      <c r="F192" s="4">
        <f>SUMIFS(Tab_11.Nov[SALDO
ATUAL],Tab_11.Nov[CONTA],$I192)</f>
        <v>398262.2</v>
      </c>
      <c r="G192" s="4">
        <f t="shared" si="6"/>
        <v>0</v>
      </c>
      <c r="H192" s="1"/>
      <c r="I192" s="3" t="s">
        <v>593</v>
      </c>
      <c r="J192" s="3" t="s">
        <v>711</v>
      </c>
      <c r="K192" s="4">
        <v>398262.2</v>
      </c>
      <c r="L192" s="4">
        <v>27305.96</v>
      </c>
      <c r="M192" s="4">
        <v>0</v>
      </c>
      <c r="N192" s="4">
        <v>425568.16</v>
      </c>
      <c r="O192" s="4">
        <f t="shared" si="7"/>
        <v>27305.96</v>
      </c>
    </row>
    <row r="193" spans="2:15" x14ac:dyDescent="0.3">
      <c r="B193" s="2" t="str">
        <f>_xlfn.XLOOKUP($I193,Tab_00.Trial[CONTA],Tab_00.Trial[TP],"",0,1)</f>
        <v>C</v>
      </c>
      <c r="C193" s="2">
        <f>_xlfn.XLOOKUP($I193,Tab_00.Trial[CONTA],Tab_00.Trial[NV],"",0,1)</f>
        <v>5</v>
      </c>
      <c r="D193" s="2" t="str">
        <f>_xlfn.XLOOKUP($I193,Tab_00.Trial[CONTA],Tab_00.Trial[S/A],"",0,1)</f>
        <v>A</v>
      </c>
      <c r="E193" s="2">
        <f>IF($I193="","",COUNTIFS(Tab_00.Trial[CONTA],$I193))</f>
        <v>1</v>
      </c>
      <c r="F193" s="4">
        <f>SUMIFS(Tab_11.Nov[SALDO
ATUAL],Tab_11.Nov[CONTA],$I193)</f>
        <v>48374.95</v>
      </c>
      <c r="G193" s="4">
        <f t="shared" si="6"/>
        <v>0</v>
      </c>
      <c r="H193" s="1"/>
      <c r="I193" s="3" t="s">
        <v>403</v>
      </c>
      <c r="J193" s="3" t="s">
        <v>404</v>
      </c>
      <c r="K193" s="4">
        <v>48374.95</v>
      </c>
      <c r="L193" s="4">
        <v>4585.96</v>
      </c>
      <c r="M193" s="4">
        <v>0</v>
      </c>
      <c r="N193" s="4">
        <v>52960.91</v>
      </c>
      <c r="O193" s="4">
        <f t="shared" si="7"/>
        <v>4585.96</v>
      </c>
    </row>
    <row r="194" spans="2:15" x14ac:dyDescent="0.3">
      <c r="B194" s="2" t="str">
        <f>_xlfn.XLOOKUP($I194,Tab_00.Trial[CONTA],Tab_00.Trial[TP],"",0,1)</f>
        <v>C</v>
      </c>
      <c r="C194" s="2">
        <f>_xlfn.XLOOKUP($I194,Tab_00.Trial[CONTA],Tab_00.Trial[NV],"",0,1)</f>
        <v>5</v>
      </c>
      <c r="D194" s="2" t="str">
        <f>_xlfn.XLOOKUP($I194,Tab_00.Trial[CONTA],Tab_00.Trial[S/A],"",0,1)</f>
        <v>A</v>
      </c>
      <c r="E194" s="2">
        <f>IF($I194="","",COUNTIFS(Tab_00.Trial[CONTA],$I194))</f>
        <v>1</v>
      </c>
      <c r="F194" s="4">
        <f>SUMIFS(Tab_11.Nov[SALDO
ATUAL],Tab_11.Nov[CONTA],$I194)</f>
        <v>329522</v>
      </c>
      <c r="G194" s="4">
        <f t="shared" si="6"/>
        <v>0</v>
      </c>
      <c r="H194" s="1"/>
      <c r="I194" s="3" t="s">
        <v>405</v>
      </c>
      <c r="J194" s="3" t="s">
        <v>406</v>
      </c>
      <c r="K194" s="4">
        <v>329522</v>
      </c>
      <c r="L194" s="4">
        <v>22720</v>
      </c>
      <c r="M194" s="4">
        <v>0</v>
      </c>
      <c r="N194" s="4">
        <v>352242</v>
      </c>
      <c r="O194" s="4">
        <f t="shared" si="7"/>
        <v>22720</v>
      </c>
    </row>
    <row r="195" spans="2:15" x14ac:dyDescent="0.3">
      <c r="B195" s="2" t="str">
        <f>_xlfn.XLOOKUP($I195,Tab_00.Trial[CONTA],Tab_00.Trial[TP],"",0,1)</f>
        <v>C</v>
      </c>
      <c r="C195" s="2">
        <f>_xlfn.XLOOKUP($I195,Tab_00.Trial[CONTA],Tab_00.Trial[NV],"",0,1)</f>
        <v>5</v>
      </c>
      <c r="D195" s="2" t="str">
        <f>_xlfn.XLOOKUP($I195,Tab_00.Trial[CONTA],Tab_00.Trial[S/A],"",0,1)</f>
        <v>A</v>
      </c>
      <c r="E195" s="2">
        <f>IF($I195="","",COUNTIFS(Tab_00.Trial[CONTA],$I195))</f>
        <v>1</v>
      </c>
      <c r="F195" s="4">
        <f>SUMIFS(Tab_11.Nov[SALDO
ATUAL],Tab_11.Nov[CONTA],$I195)</f>
        <v>20365.25</v>
      </c>
      <c r="G195" s="4">
        <f t="shared" si="6"/>
        <v>0</v>
      </c>
      <c r="H195" s="1"/>
      <c r="I195" s="3" t="s">
        <v>407</v>
      </c>
      <c r="J195" s="3" t="s">
        <v>408</v>
      </c>
      <c r="K195" s="4">
        <v>20365.25</v>
      </c>
      <c r="L195" s="4">
        <v>0</v>
      </c>
      <c r="M195" s="4">
        <v>0</v>
      </c>
      <c r="N195" s="4">
        <v>20365.25</v>
      </c>
      <c r="O195" s="4">
        <f t="shared" si="7"/>
        <v>0</v>
      </c>
    </row>
    <row r="196" spans="2:15" x14ac:dyDescent="0.3">
      <c r="B196" s="2" t="str">
        <f>_xlfn.XLOOKUP($I196,Tab_00.Trial[CONTA],Tab_00.Trial[TP],"",0,1)</f>
        <v>C</v>
      </c>
      <c r="C196" s="2">
        <f>_xlfn.XLOOKUP($I196,Tab_00.Trial[CONTA],Tab_00.Trial[NV],"",0,1)</f>
        <v>5</v>
      </c>
      <c r="D196" s="2" t="str">
        <f>_xlfn.XLOOKUP($I196,Tab_00.Trial[CONTA],Tab_00.Trial[S/A],"",0,1)</f>
        <v>S</v>
      </c>
      <c r="E196" s="2">
        <f>IF($I196="","",COUNTIFS(Tab_00.Trial[CONTA],$I196))</f>
        <v>1</v>
      </c>
      <c r="F196" s="4">
        <f>SUMIFS(Tab_11.Nov[SALDO
ATUAL],Tab_11.Nov[CONTA],$I196)</f>
        <v>9164.7800000000007</v>
      </c>
      <c r="G196" s="4">
        <f t="shared" si="6"/>
        <v>0</v>
      </c>
      <c r="H196" s="1"/>
      <c r="I196" s="3" t="s">
        <v>594</v>
      </c>
      <c r="J196" s="3" t="s">
        <v>825</v>
      </c>
      <c r="K196" s="4">
        <v>9164.7800000000007</v>
      </c>
      <c r="L196" s="4">
        <v>951.45</v>
      </c>
      <c r="M196" s="4">
        <v>0</v>
      </c>
      <c r="N196" s="4">
        <v>10116.23</v>
      </c>
      <c r="O196" s="4">
        <f t="shared" si="7"/>
        <v>951.45</v>
      </c>
    </row>
    <row r="197" spans="2:15" x14ac:dyDescent="0.3">
      <c r="B197" s="2" t="str">
        <f>_xlfn.XLOOKUP($I197,Tab_00.Trial[CONTA],Tab_00.Trial[TP],"",0,1)</f>
        <v>C</v>
      </c>
      <c r="C197" s="2">
        <f>_xlfn.XLOOKUP($I197,Tab_00.Trial[CONTA],Tab_00.Trial[NV],"",0,1)</f>
        <v>5</v>
      </c>
      <c r="D197" s="2" t="str">
        <f>_xlfn.XLOOKUP($I197,Tab_00.Trial[CONTA],Tab_00.Trial[S/A],"",0,1)</f>
        <v>A</v>
      </c>
      <c r="E197" s="2">
        <f>IF($I197="","",COUNTIFS(Tab_00.Trial[CONTA],$I197))</f>
        <v>1</v>
      </c>
      <c r="F197" s="4">
        <f>SUMIFS(Tab_11.Nov[SALDO
ATUAL],Tab_11.Nov[CONTA],$I197)</f>
        <v>300</v>
      </c>
      <c r="G197" s="4">
        <f t="shared" si="6"/>
        <v>0</v>
      </c>
      <c r="H197" s="1"/>
      <c r="I197" s="3" t="s">
        <v>411</v>
      </c>
      <c r="J197" s="3" t="s">
        <v>412</v>
      </c>
      <c r="K197" s="4">
        <v>300</v>
      </c>
      <c r="L197" s="4">
        <v>0</v>
      </c>
      <c r="M197" s="4">
        <v>0</v>
      </c>
      <c r="N197" s="4">
        <v>300</v>
      </c>
      <c r="O197" s="4">
        <f t="shared" si="7"/>
        <v>0</v>
      </c>
    </row>
    <row r="198" spans="2:15" x14ac:dyDescent="0.3">
      <c r="B198" s="2" t="str">
        <f>_xlfn.XLOOKUP($I198,Tab_00.Trial[CONTA],Tab_00.Trial[TP],"",0,1)</f>
        <v>C</v>
      </c>
      <c r="C198" s="2">
        <f>_xlfn.XLOOKUP($I198,Tab_00.Trial[CONTA],Tab_00.Trial[NV],"",0,1)</f>
        <v>5</v>
      </c>
      <c r="D198" s="2" t="str">
        <f>_xlfn.XLOOKUP($I198,Tab_00.Trial[CONTA],Tab_00.Trial[S/A],"",0,1)</f>
        <v>A</v>
      </c>
      <c r="E198" s="2">
        <f>IF($I198="","",COUNTIFS(Tab_00.Trial[CONTA],$I198))</f>
        <v>1</v>
      </c>
      <c r="F198" s="4">
        <f>SUMIFS(Tab_11.Nov[SALDO
ATUAL],Tab_11.Nov[CONTA],$I198)</f>
        <v>8812.32</v>
      </c>
      <c r="G198" s="4">
        <f t="shared" si="6"/>
        <v>0</v>
      </c>
      <c r="H198" s="1"/>
      <c r="I198" s="3" t="s">
        <v>413</v>
      </c>
      <c r="J198" s="3" t="s">
        <v>414</v>
      </c>
      <c r="K198" s="4">
        <v>8812.32</v>
      </c>
      <c r="L198" s="4">
        <v>951.45</v>
      </c>
      <c r="M198" s="4">
        <v>0</v>
      </c>
      <c r="N198" s="4">
        <v>9763.77</v>
      </c>
      <c r="O198" s="4">
        <f t="shared" si="7"/>
        <v>951.45</v>
      </c>
    </row>
    <row r="199" spans="2:15" x14ac:dyDescent="0.3">
      <c r="B199" s="2" t="str">
        <f>_xlfn.XLOOKUP($I199,Tab_00.Trial[CONTA],Tab_00.Trial[TP],"",0,1)</f>
        <v>C</v>
      </c>
      <c r="C199" s="2">
        <f>_xlfn.XLOOKUP($I199,Tab_00.Trial[CONTA],Tab_00.Trial[NV],"",0,1)</f>
        <v>5</v>
      </c>
      <c r="D199" s="2" t="str">
        <f>_xlfn.XLOOKUP($I199,Tab_00.Trial[CONTA],Tab_00.Trial[S/A],"",0,1)</f>
        <v>A</v>
      </c>
      <c r="E199" s="2">
        <f>IF($I199="","",COUNTIFS(Tab_00.Trial[CONTA],$I199))</f>
        <v>1</v>
      </c>
      <c r="F199" s="4">
        <f>SUMIFS(Tab_11.Nov[SALDO
ATUAL],Tab_11.Nov[CONTA],$I199)</f>
        <v>52.46</v>
      </c>
      <c r="G199" s="4">
        <f t="shared" si="6"/>
        <v>0</v>
      </c>
      <c r="H199" s="1"/>
      <c r="I199" s="3" t="s">
        <v>417</v>
      </c>
      <c r="J199" s="3" t="s">
        <v>418</v>
      </c>
      <c r="K199" s="4">
        <v>52.46</v>
      </c>
      <c r="L199" s="4">
        <v>0</v>
      </c>
      <c r="M199" s="4">
        <v>0</v>
      </c>
      <c r="N199" s="4">
        <v>52.46</v>
      </c>
      <c r="O199" s="4">
        <f t="shared" si="7"/>
        <v>0</v>
      </c>
    </row>
    <row r="200" spans="2:15" x14ac:dyDescent="0.3">
      <c r="B200" s="2" t="str">
        <f>_xlfn.XLOOKUP($I200,Tab_00.Trial[CONTA],Tab_00.Trial[TP],"",0,1)</f>
        <v>C</v>
      </c>
      <c r="C200" s="2">
        <f>_xlfn.XLOOKUP($I200,Tab_00.Trial[CONTA],Tab_00.Trial[NV],"",0,1)</f>
        <v>5</v>
      </c>
      <c r="D200" s="2" t="str">
        <f>_xlfn.XLOOKUP($I200,Tab_00.Trial[CONTA],Tab_00.Trial[S/A],"",0,1)</f>
        <v>S</v>
      </c>
      <c r="E200" s="2">
        <f>IF($I200="","",COUNTIFS(Tab_00.Trial[CONTA],$I200))</f>
        <v>1</v>
      </c>
      <c r="F200" s="4">
        <f>SUMIFS(Tab_11.Nov[SALDO
ATUAL],Tab_11.Nov[CONTA],$I200)</f>
        <v>7095.13</v>
      </c>
      <c r="G200" s="4">
        <f t="shared" si="6"/>
        <v>0</v>
      </c>
      <c r="H200" s="1"/>
      <c r="I200" s="3" t="s">
        <v>595</v>
      </c>
      <c r="J200" s="3" t="s">
        <v>420</v>
      </c>
      <c r="K200" s="4">
        <v>7095.13</v>
      </c>
      <c r="L200" s="4">
        <v>427.26</v>
      </c>
      <c r="M200" s="4">
        <v>0</v>
      </c>
      <c r="N200" s="4">
        <v>7522.39</v>
      </c>
      <c r="O200" s="4">
        <f t="shared" si="7"/>
        <v>427.26</v>
      </c>
    </row>
    <row r="201" spans="2:15" x14ac:dyDescent="0.3">
      <c r="B201" s="2" t="str">
        <f>_xlfn.XLOOKUP($I201,Tab_00.Trial[CONTA],Tab_00.Trial[TP],"",0,1)</f>
        <v>C</v>
      </c>
      <c r="C201" s="2">
        <f>_xlfn.XLOOKUP($I201,Tab_00.Trial[CONTA],Tab_00.Trial[NV],"",0,1)</f>
        <v>5</v>
      </c>
      <c r="D201" s="2" t="str">
        <f>_xlfn.XLOOKUP($I201,Tab_00.Trial[CONTA],Tab_00.Trial[S/A],"",0,1)</f>
        <v>A</v>
      </c>
      <c r="E201" s="2">
        <f>IF($I201="","",COUNTIFS(Tab_00.Trial[CONTA],$I201))</f>
        <v>1</v>
      </c>
      <c r="F201" s="4">
        <f>SUMIFS(Tab_11.Nov[SALDO
ATUAL],Tab_11.Nov[CONTA],$I201)</f>
        <v>7095.13</v>
      </c>
      <c r="G201" s="4">
        <f t="shared" si="6"/>
        <v>0</v>
      </c>
      <c r="H201" s="1"/>
      <c r="I201" s="3" t="s">
        <v>419</v>
      </c>
      <c r="J201" s="3" t="s">
        <v>420</v>
      </c>
      <c r="K201" s="4">
        <v>7095.13</v>
      </c>
      <c r="L201" s="4">
        <v>427.26</v>
      </c>
      <c r="M201" s="4">
        <v>0</v>
      </c>
      <c r="N201" s="4">
        <v>7522.39</v>
      </c>
      <c r="O201" s="4">
        <f t="shared" si="7"/>
        <v>427.26</v>
      </c>
    </row>
    <row r="202" spans="2:15" x14ac:dyDescent="0.3">
      <c r="B202" s="2" t="str">
        <f>_xlfn.XLOOKUP($I202,Tab_00.Trial[CONTA],Tab_00.Trial[TP],"",0,1)</f>
        <v>C</v>
      </c>
      <c r="C202" s="2">
        <f>_xlfn.XLOOKUP($I202,Tab_00.Trial[CONTA],Tab_00.Trial[NV],"",0,1)</f>
        <v>5</v>
      </c>
      <c r="D202" s="2" t="str">
        <f>_xlfn.XLOOKUP($I202,Tab_00.Trial[CONTA],Tab_00.Trial[S/A],"",0,1)</f>
        <v>S</v>
      </c>
      <c r="E202" s="2">
        <f>IF($I202="","",COUNTIFS(Tab_00.Trial[CONTA],$I202))</f>
        <v>1</v>
      </c>
      <c r="F202" s="4">
        <f>SUMIFS(Tab_11.Nov[SALDO
ATUAL],Tab_11.Nov[CONTA],$I202)</f>
        <v>7014231.1600000001</v>
      </c>
      <c r="G202" s="4">
        <f t="shared" si="6"/>
        <v>0</v>
      </c>
      <c r="H202" s="1"/>
      <c r="I202" s="3" t="s">
        <v>237</v>
      </c>
      <c r="J202" s="3" t="s">
        <v>702</v>
      </c>
      <c r="K202" s="4">
        <v>7014231.1600000001</v>
      </c>
      <c r="L202" s="4">
        <v>1454631.39</v>
      </c>
      <c r="M202" s="4">
        <v>0</v>
      </c>
      <c r="N202" s="4">
        <v>8468862.5500000007</v>
      </c>
      <c r="O202" s="4">
        <f t="shared" si="7"/>
        <v>1454631.39</v>
      </c>
    </row>
    <row r="203" spans="2:15" x14ac:dyDescent="0.3">
      <c r="B203" s="2" t="str">
        <f>_xlfn.XLOOKUP($I203,Tab_00.Trial[CONTA],Tab_00.Trial[TP],"",0,1)</f>
        <v>C</v>
      </c>
      <c r="C203" s="2">
        <f>_xlfn.XLOOKUP($I203,Tab_00.Trial[CONTA],Tab_00.Trial[NV],"",0,1)</f>
        <v>5</v>
      </c>
      <c r="D203" s="2" t="str">
        <f>_xlfn.XLOOKUP($I203,Tab_00.Trial[CONTA],Tab_00.Trial[S/A],"",0,1)</f>
        <v>S</v>
      </c>
      <c r="E203" s="2">
        <f>IF($I203="","",COUNTIFS(Tab_00.Trial[CONTA],$I203))</f>
        <v>1</v>
      </c>
      <c r="F203" s="4">
        <f>SUMIFS(Tab_11.Nov[SALDO
ATUAL],Tab_11.Nov[CONTA],$I203)</f>
        <v>7014231.1600000001</v>
      </c>
      <c r="G203" s="4">
        <f t="shared" si="6"/>
        <v>0</v>
      </c>
      <c r="H203" s="1"/>
      <c r="I203" s="3" t="s">
        <v>238</v>
      </c>
      <c r="J203" s="3" t="s">
        <v>826</v>
      </c>
      <c r="K203" s="4">
        <v>7014231.1600000001</v>
      </c>
      <c r="L203" s="4">
        <v>1454631.39</v>
      </c>
      <c r="M203" s="4">
        <v>0</v>
      </c>
      <c r="N203" s="4">
        <v>8468862.5500000007</v>
      </c>
      <c r="O203" s="4">
        <f t="shared" si="7"/>
        <v>1454631.39</v>
      </c>
    </row>
    <row r="204" spans="2:15" x14ac:dyDescent="0.3">
      <c r="B204" s="2" t="str">
        <f>_xlfn.XLOOKUP($I204,Tab_00.Trial[CONTA],Tab_00.Trial[TP],"",0,1)</f>
        <v>C</v>
      </c>
      <c r="C204" s="2">
        <f>_xlfn.XLOOKUP($I204,Tab_00.Trial[CONTA],Tab_00.Trial[NV],"",0,1)</f>
        <v>5</v>
      </c>
      <c r="D204" s="2" t="str">
        <f>_xlfn.XLOOKUP($I204,Tab_00.Trial[CONTA],Tab_00.Trial[S/A],"",0,1)</f>
        <v>A</v>
      </c>
      <c r="E204" s="2">
        <f>IF($I204="","",COUNTIFS(Tab_00.Trial[CONTA],$I204))</f>
        <v>1</v>
      </c>
      <c r="F204" s="4">
        <f>SUMIFS(Tab_11.Nov[SALDO
ATUAL],Tab_11.Nov[CONTA],$I204)</f>
        <v>2743319.47</v>
      </c>
      <c r="G204" s="4">
        <f t="shared" si="6"/>
        <v>0</v>
      </c>
      <c r="H204" s="1"/>
      <c r="I204" s="3" t="s">
        <v>421</v>
      </c>
      <c r="J204" s="3" t="s">
        <v>422</v>
      </c>
      <c r="K204" s="4">
        <v>2743319.47</v>
      </c>
      <c r="L204" s="4">
        <v>442629.02</v>
      </c>
      <c r="M204" s="4">
        <v>0</v>
      </c>
      <c r="N204" s="4">
        <v>3185948.49</v>
      </c>
      <c r="O204" s="4">
        <f t="shared" si="7"/>
        <v>442629.02</v>
      </c>
    </row>
    <row r="205" spans="2:15" x14ac:dyDescent="0.3">
      <c r="B205" s="2" t="str">
        <f>_xlfn.XLOOKUP($I205,Tab_00.Trial[CONTA],Tab_00.Trial[TP],"",0,1)</f>
        <v>C</v>
      </c>
      <c r="C205" s="2">
        <f>_xlfn.XLOOKUP($I205,Tab_00.Trial[CONTA],Tab_00.Trial[NV],"",0,1)</f>
        <v>5</v>
      </c>
      <c r="D205" s="2" t="str">
        <f>_xlfn.XLOOKUP($I205,Tab_00.Trial[CONTA],Tab_00.Trial[S/A],"",0,1)</f>
        <v>A</v>
      </c>
      <c r="E205" s="2">
        <f>IF($I205="","",COUNTIFS(Tab_00.Trial[CONTA],$I205))</f>
        <v>1</v>
      </c>
      <c r="F205" s="4">
        <f>SUMIFS(Tab_11.Nov[SALDO
ATUAL],Tab_11.Nov[CONTA],$I205)</f>
        <v>1443114.24</v>
      </c>
      <c r="G205" s="4">
        <f t="shared" si="6"/>
        <v>0</v>
      </c>
      <c r="H205" s="1"/>
      <c r="I205" s="3" t="s">
        <v>738</v>
      </c>
      <c r="J205" s="3" t="s">
        <v>367</v>
      </c>
      <c r="K205" s="4">
        <v>1443114.24</v>
      </c>
      <c r="L205" s="4">
        <v>112795.04</v>
      </c>
      <c r="M205" s="4">
        <v>0</v>
      </c>
      <c r="N205" s="4">
        <v>1555909.28</v>
      </c>
      <c r="O205" s="4">
        <f t="shared" si="7"/>
        <v>112795.04</v>
      </c>
    </row>
    <row r="206" spans="2:15" x14ac:dyDescent="0.3">
      <c r="B206" s="2" t="str">
        <f>_xlfn.XLOOKUP($I206,Tab_00.Trial[CONTA],Tab_00.Trial[TP],"",0,1)</f>
        <v>C</v>
      </c>
      <c r="C206" s="2">
        <f>_xlfn.XLOOKUP($I206,Tab_00.Trial[CONTA],Tab_00.Trial[NV],"",0,1)</f>
        <v>5</v>
      </c>
      <c r="D206" s="2" t="str">
        <f>_xlfn.XLOOKUP($I206,Tab_00.Trial[CONTA],Tab_00.Trial[S/A],"",0,1)</f>
        <v>A</v>
      </c>
      <c r="E206" s="2">
        <f>IF($I206="","",COUNTIFS(Tab_00.Trial[CONTA],$I206))</f>
        <v>1</v>
      </c>
      <c r="F206" s="4">
        <f>SUMIFS(Tab_11.Nov[SALDO
ATUAL],Tab_11.Nov[CONTA],$I206)</f>
        <v>2827797.45</v>
      </c>
      <c r="G206" s="4">
        <f t="shared" si="6"/>
        <v>0</v>
      </c>
      <c r="H206" s="1"/>
      <c r="I206" s="3" t="s">
        <v>423</v>
      </c>
      <c r="J206" s="3" t="s">
        <v>424</v>
      </c>
      <c r="K206" s="4">
        <v>2827797.45</v>
      </c>
      <c r="L206" s="4">
        <v>899207.33</v>
      </c>
      <c r="M206" s="4">
        <v>0</v>
      </c>
      <c r="N206" s="4">
        <v>3727004.78</v>
      </c>
      <c r="O206" s="4">
        <f t="shared" si="7"/>
        <v>899207.33</v>
      </c>
    </row>
    <row r="207" spans="2:15" x14ac:dyDescent="0.3">
      <c r="B207" s="2" t="str">
        <f>_xlfn.XLOOKUP($I207,Tab_00.Trial[CONTA],Tab_00.Trial[TP],"",0,1)</f>
        <v>C</v>
      </c>
      <c r="C207" s="2">
        <f>_xlfn.XLOOKUP($I207,Tab_00.Trial[CONTA],Tab_00.Trial[NV],"",0,1)</f>
        <v>1</v>
      </c>
      <c r="D207" s="2" t="str">
        <f>_xlfn.XLOOKUP($I207,Tab_00.Trial[CONTA],Tab_00.Trial[S/A],"",0,1)</f>
        <v>S</v>
      </c>
      <c r="E207" s="2">
        <f>IF($I207="","",COUNTIFS(Tab_00.Trial[CONTA],$I207))</f>
        <v>1</v>
      </c>
      <c r="F207" s="4">
        <f>SUMIFS(Tab_11.Nov[SALDO
ATUAL],Tab_11.Nov[CONTA],$I207)</f>
        <v>3104688.85</v>
      </c>
      <c r="G207" s="4">
        <f t="shared" ref="G207:G218" si="8">$F207-$K207</f>
        <v>0</v>
      </c>
      <c r="H207" s="1"/>
      <c r="I207" s="3">
        <v>5</v>
      </c>
      <c r="J207" s="3" t="s">
        <v>705</v>
      </c>
      <c r="K207" s="4">
        <v>3104688.85</v>
      </c>
      <c r="L207" s="4">
        <v>291915.83</v>
      </c>
      <c r="M207" s="4">
        <v>32615.86</v>
      </c>
      <c r="N207" s="4">
        <v>3363988.82</v>
      </c>
      <c r="O207" s="4">
        <f t="shared" ref="O207:O218" si="9">$L207-$M207</f>
        <v>259299.97</v>
      </c>
    </row>
    <row r="208" spans="2:15" x14ac:dyDescent="0.3">
      <c r="B208" s="2" t="str">
        <f>_xlfn.XLOOKUP($I208,Tab_00.Trial[CONTA],Tab_00.Trial[TP],"",0,1)</f>
        <v>C</v>
      </c>
      <c r="C208" s="2">
        <f>_xlfn.XLOOKUP($I208,Tab_00.Trial[CONTA],Tab_00.Trial[NV],"",0,1)</f>
        <v>2</v>
      </c>
      <c r="D208" s="2" t="str">
        <f>_xlfn.XLOOKUP($I208,Tab_00.Trial[CONTA],Tab_00.Trial[S/A],"",0,1)</f>
        <v>S</v>
      </c>
      <c r="E208" s="2">
        <f>IF($I208="","",COUNTIFS(Tab_00.Trial[CONTA],$I208))</f>
        <v>1</v>
      </c>
      <c r="F208" s="4">
        <f>SUMIFS(Tab_11.Nov[SALDO
ATUAL],Tab_11.Nov[CONTA],$I208)</f>
        <v>3104472.85</v>
      </c>
      <c r="G208" s="4">
        <f t="shared" si="8"/>
        <v>0</v>
      </c>
      <c r="H208" s="1"/>
      <c r="I208" s="3" t="s">
        <v>599</v>
      </c>
      <c r="J208" s="3" t="s">
        <v>827</v>
      </c>
      <c r="K208" s="4">
        <v>3104472.85</v>
      </c>
      <c r="L208" s="4">
        <v>291915.83</v>
      </c>
      <c r="M208" s="4">
        <v>32615.86</v>
      </c>
      <c r="N208" s="4">
        <v>3363772.82</v>
      </c>
      <c r="O208" s="4">
        <f t="shared" si="9"/>
        <v>259299.97</v>
      </c>
    </row>
    <row r="209" spans="2:15" x14ac:dyDescent="0.3">
      <c r="B209" s="2" t="str">
        <f>_xlfn.XLOOKUP($I209,Tab_00.Trial[CONTA],Tab_00.Trial[TP],"",0,1)</f>
        <v>C</v>
      </c>
      <c r="C209" s="2">
        <f>_xlfn.XLOOKUP($I209,Tab_00.Trial[CONTA],Tab_00.Trial[NV],"",0,1)</f>
        <v>5</v>
      </c>
      <c r="D209" s="2" t="str">
        <f>_xlfn.XLOOKUP($I209,Tab_00.Trial[CONTA],Tab_00.Trial[S/A],"",0,1)</f>
        <v>S</v>
      </c>
      <c r="E209" s="2">
        <f>IF($I209="","",COUNTIFS(Tab_00.Trial[CONTA],$I209))</f>
        <v>1</v>
      </c>
      <c r="F209" s="4">
        <f>SUMIFS(Tab_11.Nov[SALDO
ATUAL],Tab_11.Nov[CONTA],$I209)</f>
        <v>1086533.54</v>
      </c>
      <c r="G209" s="4">
        <f t="shared" si="8"/>
        <v>0</v>
      </c>
      <c r="H209" s="1"/>
      <c r="I209" s="3" t="s">
        <v>600</v>
      </c>
      <c r="J209" s="3" t="s">
        <v>706</v>
      </c>
      <c r="K209" s="4">
        <v>1086533.54</v>
      </c>
      <c r="L209" s="4">
        <v>81209.149999999994</v>
      </c>
      <c r="M209" s="4">
        <v>32579.86</v>
      </c>
      <c r="N209" s="4">
        <v>1135162.83</v>
      </c>
      <c r="O209" s="4">
        <f t="shared" si="9"/>
        <v>48629.29</v>
      </c>
    </row>
    <row r="210" spans="2:15" x14ac:dyDescent="0.3">
      <c r="B210" s="2" t="str">
        <f>_xlfn.XLOOKUP($I210,Tab_00.Trial[CONTA],Tab_00.Trial[TP],"",0,1)</f>
        <v>C</v>
      </c>
      <c r="C210" s="2">
        <f>_xlfn.XLOOKUP($I210,Tab_00.Trial[CONTA],Tab_00.Trial[NV],"",0,1)</f>
        <v>5</v>
      </c>
      <c r="D210" s="2" t="str">
        <f>_xlfn.XLOOKUP($I210,Tab_00.Trial[CONTA],Tab_00.Trial[S/A],"",0,1)</f>
        <v>S</v>
      </c>
      <c r="E210" s="2">
        <f>IF($I210="","",COUNTIFS(Tab_00.Trial[CONTA],$I210))</f>
        <v>1</v>
      </c>
      <c r="F210" s="4">
        <f>SUMIFS(Tab_11.Nov[SALDO
ATUAL],Tab_11.Nov[CONTA],$I210)</f>
        <v>728347.62</v>
      </c>
      <c r="G210" s="4">
        <f t="shared" si="8"/>
        <v>0</v>
      </c>
      <c r="H210" s="1"/>
      <c r="I210" s="3" t="s">
        <v>601</v>
      </c>
      <c r="J210" s="3" t="s">
        <v>707</v>
      </c>
      <c r="K210" s="4">
        <v>728347.62</v>
      </c>
      <c r="L210" s="4">
        <v>60137.21</v>
      </c>
      <c r="M210" s="4">
        <v>32579.86</v>
      </c>
      <c r="N210" s="4">
        <v>755904.97</v>
      </c>
      <c r="O210" s="4">
        <f t="shared" si="9"/>
        <v>27557.35</v>
      </c>
    </row>
    <row r="211" spans="2:15" x14ac:dyDescent="0.3">
      <c r="B211" s="2" t="str">
        <f>_xlfn.XLOOKUP($I211,Tab_00.Trial[CONTA],Tab_00.Trial[TP],"",0,1)</f>
        <v>C</v>
      </c>
      <c r="C211" s="2">
        <f>_xlfn.XLOOKUP($I211,Tab_00.Trial[CONTA],Tab_00.Trial[NV],"",0,1)</f>
        <v>5</v>
      </c>
      <c r="D211" s="2" t="str">
        <f>_xlfn.XLOOKUP($I211,Tab_00.Trial[CONTA],Tab_00.Trial[S/A],"",0,1)</f>
        <v>A</v>
      </c>
      <c r="E211" s="2">
        <f>IF($I211="","",COUNTIFS(Tab_00.Trial[CONTA],$I211))</f>
        <v>1</v>
      </c>
      <c r="F211" s="4">
        <f>SUMIFS(Tab_11.Nov[SALDO
ATUAL],Tab_11.Nov[CONTA],$I211)</f>
        <v>488045.75</v>
      </c>
      <c r="G211" s="4">
        <f t="shared" si="8"/>
        <v>0</v>
      </c>
      <c r="H211" s="1"/>
      <c r="I211" s="3" t="s">
        <v>441</v>
      </c>
      <c r="J211" s="3" t="s">
        <v>427</v>
      </c>
      <c r="K211" s="4">
        <v>488045.75</v>
      </c>
      <c r="L211" s="4">
        <v>56130.44</v>
      </c>
      <c r="M211" s="4">
        <v>11432.48</v>
      </c>
      <c r="N211" s="4">
        <v>532743.71</v>
      </c>
      <c r="O211" s="4">
        <f t="shared" si="9"/>
        <v>44697.96</v>
      </c>
    </row>
    <row r="212" spans="2:15" x14ac:dyDescent="0.3">
      <c r="B212" s="2" t="str">
        <f>_xlfn.XLOOKUP($I212,Tab_00.Trial[CONTA],Tab_00.Trial[TP],"",0,1)</f>
        <v>C</v>
      </c>
      <c r="C212" s="2">
        <f>_xlfn.XLOOKUP($I212,Tab_00.Trial[CONTA],Tab_00.Trial[NV],"",0,1)</f>
        <v>5</v>
      </c>
      <c r="D212" s="2" t="str">
        <f>_xlfn.XLOOKUP($I212,Tab_00.Trial[CONTA],Tab_00.Trial[S/A],"",0,1)</f>
        <v>A</v>
      </c>
      <c r="E212" s="2">
        <f>IF($I212="","",COUNTIFS(Tab_00.Trial[CONTA],$I212))</f>
        <v>1</v>
      </c>
      <c r="F212" s="4">
        <f>SUMIFS(Tab_11.Nov[SALDO
ATUAL],Tab_11.Nov[CONTA],$I212)</f>
        <v>55069.19</v>
      </c>
      <c r="G212" s="4">
        <f t="shared" si="8"/>
        <v>0</v>
      </c>
      <c r="H212" s="1"/>
      <c r="I212" s="3" t="s">
        <v>443</v>
      </c>
      <c r="J212" s="3" t="s">
        <v>431</v>
      </c>
      <c r="K212" s="4">
        <v>55069.19</v>
      </c>
      <c r="L212" s="4">
        <v>0</v>
      </c>
      <c r="M212" s="4">
        <v>0</v>
      </c>
      <c r="N212" s="4">
        <v>55069.19</v>
      </c>
      <c r="O212" s="4">
        <f t="shared" si="9"/>
        <v>0</v>
      </c>
    </row>
    <row r="213" spans="2:15" x14ac:dyDescent="0.3">
      <c r="B213" s="2" t="str">
        <f>_xlfn.XLOOKUP($I213,Tab_00.Trial[CONTA],Tab_00.Trial[TP],"",0,1)</f>
        <v>C</v>
      </c>
      <c r="C213" s="2">
        <f>_xlfn.XLOOKUP($I213,Tab_00.Trial[CONTA],Tab_00.Trial[NV],"",0,1)</f>
        <v>5</v>
      </c>
      <c r="D213" s="2" t="str">
        <f>_xlfn.XLOOKUP($I213,Tab_00.Trial[CONTA],Tab_00.Trial[S/A],"",0,1)</f>
        <v>A</v>
      </c>
      <c r="E213" s="2">
        <f>IF($I213="","",COUNTIFS(Tab_00.Trial[CONTA],$I213))</f>
        <v>1</v>
      </c>
      <c r="F213" s="4">
        <f>SUMIFS(Tab_11.Nov[SALDO
ATUAL],Tab_11.Nov[CONTA],$I213)</f>
        <v>58502.32</v>
      </c>
      <c r="G213" s="4">
        <f t="shared" si="8"/>
        <v>0</v>
      </c>
      <c r="H213" s="1"/>
      <c r="I213" s="3" t="s">
        <v>444</v>
      </c>
      <c r="J213" s="3" t="s">
        <v>433</v>
      </c>
      <c r="K213" s="4">
        <v>58502.32</v>
      </c>
      <c r="L213" s="4">
        <v>2716.82</v>
      </c>
      <c r="M213" s="4">
        <v>21147.38</v>
      </c>
      <c r="N213" s="4">
        <v>40071.760000000002</v>
      </c>
      <c r="O213" s="4">
        <f t="shared" si="9"/>
        <v>-18430.560000000001</v>
      </c>
    </row>
    <row r="214" spans="2:15" x14ac:dyDescent="0.3">
      <c r="B214" s="2" t="str">
        <f>_xlfn.XLOOKUP($I214,Tab_00.Trial[CONTA],Tab_00.Trial[TP],"",0,1)</f>
        <v>C</v>
      </c>
      <c r="C214" s="2">
        <f>_xlfn.XLOOKUP($I214,Tab_00.Trial[CONTA],Tab_00.Trial[NV],"",0,1)</f>
        <v>5</v>
      </c>
      <c r="D214" s="2" t="str">
        <f>_xlfn.XLOOKUP($I214,Tab_00.Trial[CONTA],Tab_00.Trial[S/A],"",0,1)</f>
        <v>A</v>
      </c>
      <c r="E214" s="2">
        <f>IF($I214="","",COUNTIFS(Tab_00.Trial[CONTA],$I214))</f>
        <v>1</v>
      </c>
      <c r="F214" s="4">
        <f>SUMIFS(Tab_11.Nov[SALDO
ATUAL],Tab_11.Nov[CONTA],$I214)</f>
        <v>85959.77</v>
      </c>
      <c r="G214" s="4">
        <f t="shared" si="8"/>
        <v>0</v>
      </c>
      <c r="H214" s="1"/>
      <c r="I214" s="3" t="s">
        <v>777</v>
      </c>
      <c r="J214" s="3" t="s">
        <v>749</v>
      </c>
      <c r="K214" s="4">
        <v>85959.77</v>
      </c>
      <c r="L214" s="4">
        <v>0</v>
      </c>
      <c r="M214" s="4">
        <v>0</v>
      </c>
      <c r="N214" s="4">
        <v>85959.77</v>
      </c>
      <c r="O214" s="4">
        <f t="shared" si="9"/>
        <v>0</v>
      </c>
    </row>
    <row r="215" spans="2:15" x14ac:dyDescent="0.3">
      <c r="B215" s="2" t="str">
        <f>_xlfn.XLOOKUP($I215,Tab_00.Trial[CONTA],Tab_00.Trial[TP],"",0,1)</f>
        <v>C</v>
      </c>
      <c r="C215" s="2">
        <f>_xlfn.XLOOKUP($I215,Tab_00.Trial[CONTA],Tab_00.Trial[NV],"",0,1)</f>
        <v>5</v>
      </c>
      <c r="D215" s="2" t="str">
        <f>_xlfn.XLOOKUP($I215,Tab_00.Trial[CONTA],Tab_00.Trial[S/A],"",0,1)</f>
        <v>A</v>
      </c>
      <c r="E215" s="2">
        <f>IF($I215="","",COUNTIFS(Tab_00.Trial[CONTA],$I215))</f>
        <v>1</v>
      </c>
      <c r="F215" s="4">
        <f>SUMIFS(Tab_11.Nov[SALDO
ATUAL],Tab_11.Nov[CONTA],$I215)</f>
        <v>1576.67</v>
      </c>
      <c r="G215" s="4">
        <f t="shared" si="8"/>
        <v>0</v>
      </c>
      <c r="H215" s="1"/>
      <c r="I215" s="3" t="s">
        <v>447</v>
      </c>
      <c r="J215" s="3" t="s">
        <v>448</v>
      </c>
      <c r="K215" s="4">
        <v>1576.67</v>
      </c>
      <c r="L215" s="4">
        <v>0</v>
      </c>
      <c r="M215" s="4">
        <v>0</v>
      </c>
      <c r="N215" s="4">
        <v>1576.67</v>
      </c>
      <c r="O215" s="4">
        <f t="shared" si="9"/>
        <v>0</v>
      </c>
    </row>
    <row r="216" spans="2:15" x14ac:dyDescent="0.3">
      <c r="B216" s="2" t="str">
        <f>_xlfn.XLOOKUP($I216,Tab_00.Trial[CONTA],Tab_00.Trial[TP],"",0,1)</f>
        <v>C</v>
      </c>
      <c r="C216" s="2">
        <f>_xlfn.XLOOKUP($I216,Tab_00.Trial[CONTA],Tab_00.Trial[NV],"",0,1)</f>
        <v>5</v>
      </c>
      <c r="D216" s="2" t="str">
        <f>_xlfn.XLOOKUP($I216,Tab_00.Trial[CONTA],Tab_00.Trial[S/A],"",0,1)</f>
        <v>A</v>
      </c>
      <c r="E216" s="2">
        <f>IF($I216="","",COUNTIFS(Tab_00.Trial[CONTA],$I216))</f>
        <v>1</v>
      </c>
      <c r="F216" s="4">
        <f>SUMIFS(Tab_11.Nov[SALDO
ATUAL],Tab_11.Nov[CONTA],$I216)</f>
        <v>8227.25</v>
      </c>
      <c r="G216" s="4">
        <f t="shared" si="8"/>
        <v>0</v>
      </c>
      <c r="H216" s="1"/>
      <c r="I216" s="3" t="s">
        <v>808</v>
      </c>
      <c r="J216" s="3" t="s">
        <v>797</v>
      </c>
      <c r="K216" s="4">
        <v>8227.25</v>
      </c>
      <c r="L216" s="4">
        <v>0</v>
      </c>
      <c r="M216" s="4">
        <v>0</v>
      </c>
      <c r="N216" s="4">
        <v>8227.25</v>
      </c>
      <c r="O216" s="4">
        <f t="shared" si="9"/>
        <v>0</v>
      </c>
    </row>
    <row r="217" spans="2:15" x14ac:dyDescent="0.3">
      <c r="B217" s="2" t="str">
        <f>_xlfn.XLOOKUP($I217,Tab_00.Trial[CONTA],Tab_00.Trial[TP],"",0,1)</f>
        <v>C</v>
      </c>
      <c r="C217" s="2">
        <f>_xlfn.XLOOKUP($I217,Tab_00.Trial[CONTA],Tab_00.Trial[NV],"",0,1)</f>
        <v>5</v>
      </c>
      <c r="D217" s="2" t="str">
        <f>_xlfn.XLOOKUP($I217,Tab_00.Trial[CONTA],Tab_00.Trial[S/A],"",0,1)</f>
        <v>A</v>
      </c>
      <c r="E217" s="2">
        <f>IF($I217="","",COUNTIFS(Tab_00.Trial[CONTA],$I217))</f>
        <v>1</v>
      </c>
      <c r="F217" s="4">
        <f>SUMIFS(Tab_11.Nov[SALDO
ATUAL],Tab_11.Nov[CONTA],$I217)</f>
        <v>11878.87</v>
      </c>
      <c r="G217" s="4">
        <f t="shared" si="8"/>
        <v>0</v>
      </c>
      <c r="H217" s="1"/>
      <c r="I217" s="3" t="s">
        <v>809</v>
      </c>
      <c r="J217" s="3" t="s">
        <v>799</v>
      </c>
      <c r="K217" s="4">
        <v>11878.87</v>
      </c>
      <c r="L217" s="4">
        <v>0</v>
      </c>
      <c r="M217" s="4">
        <v>0</v>
      </c>
      <c r="N217" s="4">
        <v>11878.87</v>
      </c>
      <c r="O217" s="4">
        <f t="shared" si="9"/>
        <v>0</v>
      </c>
    </row>
    <row r="218" spans="2:15" x14ac:dyDescent="0.3">
      <c r="B218" s="2" t="str">
        <f>_xlfn.XLOOKUP($I218,Tab_00.Trial[CONTA],Tab_00.Trial[TP],"",0,1)</f>
        <v>C</v>
      </c>
      <c r="C218" s="2">
        <f>_xlfn.XLOOKUP($I218,Tab_00.Trial[CONTA],Tab_00.Trial[NV],"",0,1)</f>
        <v>5</v>
      </c>
      <c r="D218" s="2" t="str">
        <f>_xlfn.XLOOKUP($I218,Tab_00.Trial[CONTA],Tab_00.Trial[S/A],"",0,1)</f>
        <v>A</v>
      </c>
      <c r="E218" s="2">
        <f>IF($I218="","",COUNTIFS(Tab_00.Trial[CONTA],$I218))</f>
        <v>1</v>
      </c>
      <c r="F218" s="4">
        <f>SUMIFS(Tab_11.Nov[SALDO
ATUAL],Tab_11.Nov[CONTA],$I218)</f>
        <v>272.25</v>
      </c>
      <c r="G218" s="4">
        <f t="shared" si="8"/>
        <v>0</v>
      </c>
      <c r="H218" s="1"/>
      <c r="I218" s="3" t="s">
        <v>810</v>
      </c>
      <c r="J218" s="3" t="s">
        <v>801</v>
      </c>
      <c r="K218" s="4">
        <v>272.25</v>
      </c>
      <c r="L218" s="4">
        <v>0</v>
      </c>
      <c r="M218" s="4">
        <v>0</v>
      </c>
      <c r="N218" s="4">
        <v>272.25</v>
      </c>
      <c r="O218" s="4">
        <f t="shared" si="9"/>
        <v>0</v>
      </c>
    </row>
    <row r="219" spans="2:15" x14ac:dyDescent="0.3">
      <c r="B219" s="2" t="str">
        <f>_xlfn.XLOOKUP($I219,Tab_00.Trial[CONTA],Tab_00.Trial[TP],"",0,1)</f>
        <v>C</v>
      </c>
      <c r="C219" s="2">
        <f>_xlfn.XLOOKUP($I219,Tab_00.Trial[CONTA],Tab_00.Trial[NV],"",0,1)</f>
        <v>5</v>
      </c>
      <c r="D219" s="2" t="str">
        <f>_xlfn.XLOOKUP($I219,Tab_00.Trial[CONTA],Tab_00.Trial[S/A],"",0,1)</f>
        <v>A</v>
      </c>
      <c r="E219" s="2">
        <f>IF($I219="","",COUNTIFS(Tab_00.Trial[CONTA],$I219))</f>
        <v>1</v>
      </c>
      <c r="F219" s="4">
        <f>SUMIFS(Tab_11.Nov[SALDO
ATUAL],Tab_11.Nov[CONTA],$I219)</f>
        <v>14074.93</v>
      </c>
      <c r="G219" s="4">
        <f t="shared" ref="G219:G250" si="10">$F219-$K219</f>
        <v>0</v>
      </c>
      <c r="H219" s="1"/>
      <c r="I219" s="3" t="s">
        <v>811</v>
      </c>
      <c r="J219" s="3" t="s">
        <v>803</v>
      </c>
      <c r="K219" s="4">
        <v>14074.93</v>
      </c>
      <c r="L219" s="4">
        <v>965.67</v>
      </c>
      <c r="M219" s="4">
        <v>0</v>
      </c>
      <c r="N219" s="4">
        <v>15040.6</v>
      </c>
      <c r="O219" s="4">
        <f t="shared" ref="O219:O250" si="11">$L219-$M219</f>
        <v>965.67</v>
      </c>
    </row>
    <row r="220" spans="2:15" x14ac:dyDescent="0.3">
      <c r="B220" s="2" t="str">
        <f>_xlfn.XLOOKUP($I220,Tab_00.Trial[CONTA],Tab_00.Trial[TP],"",0,1)</f>
        <v>C</v>
      </c>
      <c r="C220" s="2">
        <f>_xlfn.XLOOKUP($I220,Tab_00.Trial[CONTA],Tab_00.Trial[NV],"",0,1)</f>
        <v>5</v>
      </c>
      <c r="D220" s="2" t="str">
        <f>_xlfn.XLOOKUP($I220,Tab_00.Trial[CONTA],Tab_00.Trial[S/A],"",0,1)</f>
        <v>A</v>
      </c>
      <c r="E220" s="2">
        <f>IF($I220="","",COUNTIFS(Tab_00.Trial[CONTA],$I220))</f>
        <v>1</v>
      </c>
      <c r="F220" s="4">
        <f>SUMIFS(Tab_11.Nov[SALDO
ATUAL],Tab_11.Nov[CONTA],$I220)</f>
        <v>4202.57</v>
      </c>
      <c r="G220" s="4">
        <f t="shared" si="10"/>
        <v>0</v>
      </c>
      <c r="H220" s="1"/>
      <c r="I220" s="3" t="s">
        <v>812</v>
      </c>
      <c r="J220" s="3" t="s">
        <v>805</v>
      </c>
      <c r="K220" s="4">
        <v>4202.57</v>
      </c>
      <c r="L220" s="4">
        <v>288.26</v>
      </c>
      <c r="M220" s="4">
        <v>0</v>
      </c>
      <c r="N220" s="4">
        <v>4490.83</v>
      </c>
      <c r="O220" s="4">
        <f t="shared" si="11"/>
        <v>288.26</v>
      </c>
    </row>
    <row r="221" spans="2:15" x14ac:dyDescent="0.3">
      <c r="B221" s="2" t="str">
        <f>_xlfn.XLOOKUP($I221,Tab_00.Trial[CONTA],Tab_00.Trial[TP],"",0,1)</f>
        <v>C</v>
      </c>
      <c r="C221" s="2">
        <f>_xlfn.XLOOKUP($I221,Tab_00.Trial[CONTA],Tab_00.Trial[NV],"",0,1)</f>
        <v>5</v>
      </c>
      <c r="D221" s="2" t="str">
        <f>_xlfn.XLOOKUP($I221,Tab_00.Trial[CONTA],Tab_00.Trial[S/A],"",0,1)</f>
        <v>A</v>
      </c>
      <c r="E221" s="2">
        <f>IF($I221="","",COUNTIFS(Tab_00.Trial[CONTA],$I221))</f>
        <v>1</v>
      </c>
      <c r="F221" s="4">
        <f>SUMIFS(Tab_11.Nov[SALDO
ATUAL],Tab_11.Nov[CONTA],$I221)</f>
        <v>538.04999999999995</v>
      </c>
      <c r="G221" s="4">
        <f t="shared" si="10"/>
        <v>0</v>
      </c>
      <c r="H221" s="1"/>
      <c r="I221" s="3" t="s">
        <v>813</v>
      </c>
      <c r="J221" s="3" t="s">
        <v>807</v>
      </c>
      <c r="K221" s="4">
        <v>538.04999999999995</v>
      </c>
      <c r="L221" s="4">
        <v>36.020000000000003</v>
      </c>
      <c r="M221" s="4">
        <v>0</v>
      </c>
      <c r="N221" s="4">
        <v>574.07000000000005</v>
      </c>
      <c r="O221" s="4">
        <f t="shared" si="11"/>
        <v>36.020000000000003</v>
      </c>
    </row>
    <row r="222" spans="2:15" x14ac:dyDescent="0.3">
      <c r="B222" s="2" t="str">
        <f>_xlfn.XLOOKUP($I222,Tab_00.Trial[CONTA],Tab_00.Trial[TP],"",0,1)</f>
        <v>C</v>
      </c>
      <c r="C222" s="2">
        <f>_xlfn.XLOOKUP($I222,Tab_00.Trial[CONTA],Tab_00.Trial[NV],"",0,1)</f>
        <v>5</v>
      </c>
      <c r="D222" s="2" t="str">
        <f>_xlfn.XLOOKUP($I222,Tab_00.Trial[CONTA],Tab_00.Trial[S/A],"",0,1)</f>
        <v>S</v>
      </c>
      <c r="E222" s="2">
        <f>IF($I222="","",COUNTIFS(Tab_00.Trial[CONTA],$I222))</f>
        <v>1</v>
      </c>
      <c r="F222" s="4">
        <f>SUMIFS(Tab_11.Nov[SALDO
ATUAL],Tab_11.Nov[CONTA],$I222)</f>
        <v>1014</v>
      </c>
      <c r="G222" s="4">
        <f t="shared" si="10"/>
        <v>0</v>
      </c>
      <c r="H222" s="1"/>
      <c r="I222" s="3" t="s">
        <v>602</v>
      </c>
      <c r="J222" s="3" t="s">
        <v>708</v>
      </c>
      <c r="K222" s="4">
        <v>1014</v>
      </c>
      <c r="L222" s="4">
        <v>119.61</v>
      </c>
      <c r="M222" s="4">
        <v>0</v>
      </c>
      <c r="N222" s="4">
        <v>1133.6099999999999</v>
      </c>
      <c r="O222" s="4">
        <f t="shared" si="11"/>
        <v>119.61</v>
      </c>
    </row>
    <row r="223" spans="2:15" x14ac:dyDescent="0.3">
      <c r="B223" s="2" t="str">
        <f>_xlfn.XLOOKUP($I223,Tab_00.Trial[CONTA],Tab_00.Trial[TP],"",0,1)</f>
        <v>C</v>
      </c>
      <c r="C223" s="2">
        <f>_xlfn.XLOOKUP($I223,Tab_00.Trial[CONTA],Tab_00.Trial[NV],"",0,1)</f>
        <v>5</v>
      </c>
      <c r="D223" s="2" t="str">
        <f>_xlfn.XLOOKUP($I223,Tab_00.Trial[CONTA],Tab_00.Trial[S/A],"",0,1)</f>
        <v>A</v>
      </c>
      <c r="E223" s="2">
        <f>IF($I223="","",COUNTIFS(Tab_00.Trial[CONTA],$I223))</f>
        <v>1</v>
      </c>
      <c r="F223" s="4">
        <f>SUMIFS(Tab_11.Nov[SALDO
ATUAL],Tab_11.Nov[CONTA],$I223)</f>
        <v>1014</v>
      </c>
      <c r="G223" s="4">
        <f t="shared" si="10"/>
        <v>0</v>
      </c>
      <c r="H223" s="1"/>
      <c r="I223" s="3" t="s">
        <v>455</v>
      </c>
      <c r="J223" s="3" t="s">
        <v>456</v>
      </c>
      <c r="K223" s="4">
        <v>1014</v>
      </c>
      <c r="L223" s="4">
        <v>119.61</v>
      </c>
      <c r="M223" s="4">
        <v>0</v>
      </c>
      <c r="N223" s="4">
        <v>1133.6099999999999</v>
      </c>
      <c r="O223" s="4">
        <f t="shared" si="11"/>
        <v>119.61</v>
      </c>
    </row>
    <row r="224" spans="2:15" x14ac:dyDescent="0.3">
      <c r="B224" s="2" t="str">
        <f>_xlfn.XLOOKUP($I224,Tab_00.Trial[CONTA],Tab_00.Trial[TP],"",0,1)</f>
        <v>C</v>
      </c>
      <c r="C224" s="2">
        <f>_xlfn.XLOOKUP($I224,Tab_00.Trial[CONTA],Tab_00.Trial[NV],"",0,1)</f>
        <v>5</v>
      </c>
      <c r="D224" s="2" t="str">
        <f>_xlfn.XLOOKUP($I224,Tab_00.Trial[CONTA],Tab_00.Trial[S/A],"",0,1)</f>
        <v>S</v>
      </c>
      <c r="E224" s="2">
        <f>IF($I224="","",COUNTIFS(Tab_00.Trial[CONTA],$I224))</f>
        <v>1</v>
      </c>
      <c r="F224" s="4">
        <f>SUMIFS(Tab_11.Nov[SALDO
ATUAL],Tab_11.Nov[CONTA],$I224)</f>
        <v>353776.92</v>
      </c>
      <c r="G224" s="4">
        <f t="shared" si="10"/>
        <v>0</v>
      </c>
      <c r="H224" s="1"/>
      <c r="I224" s="3" t="s">
        <v>603</v>
      </c>
      <c r="J224" s="3" t="s">
        <v>709</v>
      </c>
      <c r="K224" s="4">
        <v>353776.92</v>
      </c>
      <c r="L224" s="4">
        <v>20722.330000000002</v>
      </c>
      <c r="M224" s="4">
        <v>0</v>
      </c>
      <c r="N224" s="4">
        <v>374499.25</v>
      </c>
      <c r="O224" s="4">
        <f t="shared" si="11"/>
        <v>20722.330000000002</v>
      </c>
    </row>
    <row r="225" spans="2:15" x14ac:dyDescent="0.3">
      <c r="B225" s="2" t="str">
        <f>_xlfn.XLOOKUP($I225,Tab_00.Trial[CONTA],Tab_00.Trial[TP],"",0,1)</f>
        <v>C</v>
      </c>
      <c r="C225" s="2">
        <f>_xlfn.XLOOKUP($I225,Tab_00.Trial[CONTA],Tab_00.Trial[NV],"",0,1)</f>
        <v>5</v>
      </c>
      <c r="D225" s="2" t="str">
        <f>_xlfn.XLOOKUP($I225,Tab_00.Trial[CONTA],Tab_00.Trial[S/A],"",0,1)</f>
        <v>A</v>
      </c>
      <c r="E225" s="2">
        <f>IF($I225="","",COUNTIFS(Tab_00.Trial[CONTA],$I225))</f>
        <v>1</v>
      </c>
      <c r="F225" s="4">
        <f>SUMIFS(Tab_11.Nov[SALDO
ATUAL],Tab_11.Nov[CONTA],$I225)</f>
        <v>126982.38</v>
      </c>
      <c r="G225" s="4">
        <f t="shared" si="10"/>
        <v>0</v>
      </c>
      <c r="H225" s="1"/>
      <c r="I225" s="3" t="s">
        <v>451</v>
      </c>
      <c r="J225" s="3" t="s">
        <v>437</v>
      </c>
      <c r="K225" s="4">
        <v>126982.38</v>
      </c>
      <c r="L225" s="4">
        <v>16830.82</v>
      </c>
      <c r="M225" s="4">
        <v>0</v>
      </c>
      <c r="N225" s="4">
        <v>143813.20000000001</v>
      </c>
      <c r="O225" s="4">
        <f t="shared" si="11"/>
        <v>16830.82</v>
      </c>
    </row>
    <row r="226" spans="2:15" x14ac:dyDescent="0.3">
      <c r="B226" s="2" t="str">
        <f>_xlfn.XLOOKUP($I226,Tab_00.Trial[CONTA],Tab_00.Trial[TP],"",0,1)</f>
        <v>C</v>
      </c>
      <c r="C226" s="2">
        <f>_xlfn.XLOOKUP($I226,Tab_00.Trial[CONTA],Tab_00.Trial[NV],"",0,1)</f>
        <v>5</v>
      </c>
      <c r="D226" s="2" t="str">
        <f>_xlfn.XLOOKUP($I226,Tab_00.Trial[CONTA],Tab_00.Trial[S/A],"",0,1)</f>
        <v>A</v>
      </c>
      <c r="E226" s="2">
        <f>IF($I226="","",COUNTIFS(Tab_00.Trial[CONTA],$I226))</f>
        <v>1</v>
      </c>
      <c r="F226" s="4">
        <f>SUMIFS(Tab_11.Nov[SALDO
ATUAL],Tab_11.Nov[CONTA],$I226)</f>
        <v>222055.79</v>
      </c>
      <c r="G226" s="4">
        <f t="shared" si="10"/>
        <v>0</v>
      </c>
      <c r="H226" s="1"/>
      <c r="I226" s="3" t="s">
        <v>452</v>
      </c>
      <c r="J226" s="3" t="s">
        <v>196</v>
      </c>
      <c r="K226" s="4">
        <v>222055.79</v>
      </c>
      <c r="L226" s="4">
        <v>3459.12</v>
      </c>
      <c r="M226" s="4">
        <v>0</v>
      </c>
      <c r="N226" s="4">
        <v>225514.91</v>
      </c>
      <c r="O226" s="4">
        <f t="shared" si="11"/>
        <v>3459.12</v>
      </c>
    </row>
    <row r="227" spans="2:15" x14ac:dyDescent="0.3">
      <c r="B227" s="2" t="str">
        <f>_xlfn.XLOOKUP($I227,Tab_00.Trial[CONTA],Tab_00.Trial[TP],"",0,1)</f>
        <v>C</v>
      </c>
      <c r="C227" s="2">
        <f>_xlfn.XLOOKUP($I227,Tab_00.Trial[CONTA],Tab_00.Trial[NV],"",0,1)</f>
        <v>5</v>
      </c>
      <c r="D227" s="2" t="str">
        <f>_xlfn.XLOOKUP($I227,Tab_00.Trial[CONTA],Tab_00.Trial[S/A],"",0,1)</f>
        <v>A</v>
      </c>
      <c r="E227" s="2">
        <f>IF($I227="","",COUNTIFS(Tab_00.Trial[CONTA],$I227))</f>
        <v>1</v>
      </c>
      <c r="F227" s="4">
        <f>SUMIFS(Tab_11.Nov[SALDO
ATUAL],Tab_11.Nov[CONTA],$I227)</f>
        <v>4738.75</v>
      </c>
      <c r="G227" s="4">
        <f t="shared" si="10"/>
        <v>0</v>
      </c>
      <c r="H227" s="1"/>
      <c r="I227" s="3" t="s">
        <v>453</v>
      </c>
      <c r="J227" s="3" t="s">
        <v>454</v>
      </c>
      <c r="K227" s="4">
        <v>4738.75</v>
      </c>
      <c r="L227" s="4">
        <v>432.39</v>
      </c>
      <c r="M227" s="4">
        <v>0</v>
      </c>
      <c r="N227" s="4">
        <v>5171.1400000000003</v>
      </c>
      <c r="O227" s="4">
        <f t="shared" si="11"/>
        <v>432.39</v>
      </c>
    </row>
    <row r="228" spans="2:15" x14ac:dyDescent="0.3">
      <c r="B228" s="2" t="str">
        <f>_xlfn.XLOOKUP($I228,Tab_00.Trial[CONTA],Tab_00.Trial[TP],"",0,1)</f>
        <v>C</v>
      </c>
      <c r="C228" s="2">
        <f>_xlfn.XLOOKUP($I228,Tab_00.Trial[CONTA],Tab_00.Trial[NV],"",0,1)</f>
        <v>5</v>
      </c>
      <c r="D228" s="2" t="str">
        <f>_xlfn.XLOOKUP($I228,Tab_00.Trial[CONTA],Tab_00.Trial[S/A],"",0,1)</f>
        <v>S</v>
      </c>
      <c r="E228" s="2">
        <f>IF($I228="","",COUNTIFS(Tab_00.Trial[CONTA],$I228))</f>
        <v>1</v>
      </c>
      <c r="F228" s="4">
        <f>SUMIFS(Tab_11.Nov[SALDO
ATUAL],Tab_11.Nov[CONTA],$I228)</f>
        <v>3395</v>
      </c>
      <c r="G228" s="4">
        <f t="shared" si="10"/>
        <v>0</v>
      </c>
      <c r="H228" s="1"/>
      <c r="I228" s="3" t="s">
        <v>604</v>
      </c>
      <c r="J228" s="3" t="s">
        <v>710</v>
      </c>
      <c r="K228" s="4">
        <v>3395</v>
      </c>
      <c r="L228" s="4">
        <v>230</v>
      </c>
      <c r="M228" s="4">
        <v>0</v>
      </c>
      <c r="N228" s="4">
        <v>3625</v>
      </c>
      <c r="O228" s="4">
        <f t="shared" si="11"/>
        <v>230</v>
      </c>
    </row>
    <row r="229" spans="2:15" x14ac:dyDescent="0.3">
      <c r="B229" s="2" t="str">
        <f>_xlfn.XLOOKUP($I229,Tab_00.Trial[CONTA],Tab_00.Trial[TP],"",0,1)</f>
        <v>C</v>
      </c>
      <c r="C229" s="2">
        <f>_xlfn.XLOOKUP($I229,Tab_00.Trial[CONTA],Tab_00.Trial[NV],"",0,1)</f>
        <v>5</v>
      </c>
      <c r="D229" s="2" t="str">
        <f>_xlfn.XLOOKUP($I229,Tab_00.Trial[CONTA],Tab_00.Trial[S/A],"",0,1)</f>
        <v>A</v>
      </c>
      <c r="E229" s="2">
        <f>IF($I229="","",COUNTIFS(Tab_00.Trial[CONTA],$I229))</f>
        <v>1</v>
      </c>
      <c r="F229" s="4">
        <f>SUMIFS(Tab_11.Nov[SALDO
ATUAL],Tab_11.Nov[CONTA],$I229)</f>
        <v>3395</v>
      </c>
      <c r="G229" s="4">
        <f t="shared" si="10"/>
        <v>0</v>
      </c>
      <c r="H229" s="1"/>
      <c r="I229" s="3" t="s">
        <v>457</v>
      </c>
      <c r="J229" s="3" t="s">
        <v>458</v>
      </c>
      <c r="K229" s="4">
        <v>3395</v>
      </c>
      <c r="L229" s="4">
        <v>230</v>
      </c>
      <c r="M229" s="4">
        <v>0</v>
      </c>
      <c r="N229" s="4">
        <v>3625</v>
      </c>
      <c r="O229" s="4">
        <f t="shared" si="11"/>
        <v>230</v>
      </c>
    </row>
    <row r="230" spans="2:15" x14ac:dyDescent="0.3">
      <c r="B230" s="2" t="str">
        <f>_xlfn.XLOOKUP($I230,Tab_00.Trial[CONTA],Tab_00.Trial[TP],"",0,1)</f>
        <v>C</v>
      </c>
      <c r="C230" s="2">
        <f>_xlfn.XLOOKUP($I230,Tab_00.Trial[CONTA],Tab_00.Trial[NV],"",0,1)</f>
        <v>5</v>
      </c>
      <c r="D230" s="2" t="str">
        <f>_xlfn.XLOOKUP($I230,Tab_00.Trial[CONTA],Tab_00.Trial[S/A],"",0,1)</f>
        <v>S</v>
      </c>
      <c r="E230" s="2">
        <f>IF($I230="","",COUNTIFS(Tab_00.Trial[CONTA],$I230))</f>
        <v>1</v>
      </c>
      <c r="F230" s="4">
        <f>SUMIFS(Tab_11.Nov[SALDO
ATUAL],Tab_11.Nov[CONTA],$I230)</f>
        <v>1691374.48</v>
      </c>
      <c r="G230" s="4">
        <f t="shared" si="10"/>
        <v>0</v>
      </c>
      <c r="H230" s="1"/>
      <c r="I230" s="3" t="s">
        <v>605</v>
      </c>
      <c r="J230" s="3" t="s">
        <v>711</v>
      </c>
      <c r="K230" s="4">
        <v>1691374.48</v>
      </c>
      <c r="L230" s="4">
        <v>161172.53</v>
      </c>
      <c r="M230" s="4">
        <v>0</v>
      </c>
      <c r="N230" s="4">
        <v>1852547.01</v>
      </c>
      <c r="O230" s="4">
        <f t="shared" si="11"/>
        <v>161172.53</v>
      </c>
    </row>
    <row r="231" spans="2:15" x14ac:dyDescent="0.3">
      <c r="B231" s="2" t="str">
        <f>_xlfn.XLOOKUP($I231,Tab_00.Trial[CONTA],Tab_00.Trial[TP],"",0,1)</f>
        <v>C</v>
      </c>
      <c r="C231" s="2">
        <f>_xlfn.XLOOKUP($I231,Tab_00.Trial[CONTA],Tab_00.Trial[NV],"",0,1)</f>
        <v>5</v>
      </c>
      <c r="D231" s="2" t="str">
        <f>_xlfn.XLOOKUP($I231,Tab_00.Trial[CONTA],Tab_00.Trial[S/A],"",0,1)</f>
        <v>S</v>
      </c>
      <c r="E231" s="2">
        <f>IF($I231="","",COUNTIFS(Tab_00.Trial[CONTA],$I231))</f>
        <v>1</v>
      </c>
      <c r="F231" s="4">
        <f>SUMIFS(Tab_11.Nov[SALDO
ATUAL],Tab_11.Nov[CONTA],$I231)</f>
        <v>778747.59</v>
      </c>
      <c r="G231" s="4">
        <f t="shared" si="10"/>
        <v>0</v>
      </c>
      <c r="H231" s="1"/>
      <c r="I231" s="3" t="s">
        <v>606</v>
      </c>
      <c r="J231" s="3" t="s">
        <v>712</v>
      </c>
      <c r="K231" s="4">
        <v>778747.59</v>
      </c>
      <c r="L231" s="4">
        <v>78206.45</v>
      </c>
      <c r="M231" s="4">
        <v>0</v>
      </c>
      <c r="N231" s="4">
        <v>856954.04</v>
      </c>
      <c r="O231" s="4">
        <f t="shared" si="11"/>
        <v>78206.45</v>
      </c>
    </row>
    <row r="232" spans="2:15" x14ac:dyDescent="0.3">
      <c r="B232" s="2" t="str">
        <f>_xlfn.XLOOKUP($I232,Tab_00.Trial[CONTA],Tab_00.Trial[TP],"",0,1)</f>
        <v>C</v>
      </c>
      <c r="C232" s="2">
        <f>_xlfn.XLOOKUP($I232,Tab_00.Trial[CONTA],Tab_00.Trial[NV],"",0,1)</f>
        <v>5</v>
      </c>
      <c r="D232" s="2" t="str">
        <f>_xlfn.XLOOKUP($I232,Tab_00.Trial[CONTA],Tab_00.Trial[S/A],"",0,1)</f>
        <v>A</v>
      </c>
      <c r="E232" s="2">
        <f>IF($I232="","",COUNTIFS(Tab_00.Trial[CONTA],$I232))</f>
        <v>1</v>
      </c>
      <c r="F232" s="4">
        <f>SUMIFS(Tab_11.Nov[SALDO
ATUAL],Tab_11.Nov[CONTA],$I232)</f>
        <v>96874.240000000005</v>
      </c>
      <c r="G232" s="4">
        <f t="shared" si="10"/>
        <v>0</v>
      </c>
      <c r="H232" s="1"/>
      <c r="I232" s="3" t="s">
        <v>459</v>
      </c>
      <c r="J232" s="3" t="s">
        <v>460</v>
      </c>
      <c r="K232" s="4">
        <v>96874.240000000005</v>
      </c>
      <c r="L232" s="4">
        <v>9157.56</v>
      </c>
      <c r="M232" s="4">
        <v>0</v>
      </c>
      <c r="N232" s="4">
        <v>106031.8</v>
      </c>
      <c r="O232" s="4">
        <f t="shared" si="11"/>
        <v>9157.56</v>
      </c>
    </row>
    <row r="233" spans="2:15" x14ac:dyDescent="0.3">
      <c r="B233" s="2" t="str">
        <f>_xlfn.XLOOKUP($I233,Tab_00.Trial[CONTA],Tab_00.Trial[TP],"",0,1)</f>
        <v>C</v>
      </c>
      <c r="C233" s="2">
        <f>_xlfn.XLOOKUP($I233,Tab_00.Trial[CONTA],Tab_00.Trial[NV],"",0,1)</f>
        <v>5</v>
      </c>
      <c r="D233" s="2" t="str">
        <f>_xlfn.XLOOKUP($I233,Tab_00.Trial[CONTA],Tab_00.Trial[S/A],"",0,1)</f>
        <v>A</v>
      </c>
      <c r="E233" s="2">
        <f>IF($I233="","",COUNTIFS(Tab_00.Trial[CONTA],$I233))</f>
        <v>1</v>
      </c>
      <c r="F233" s="4">
        <f>SUMIFS(Tab_11.Nov[SALDO
ATUAL],Tab_11.Nov[CONTA],$I233)</f>
        <v>156172.1</v>
      </c>
      <c r="G233" s="4">
        <f t="shared" si="10"/>
        <v>0</v>
      </c>
      <c r="H233" s="1"/>
      <c r="I233" s="3" t="s">
        <v>461</v>
      </c>
      <c r="J233" s="3" t="s">
        <v>462</v>
      </c>
      <c r="K233" s="4">
        <v>156172.1</v>
      </c>
      <c r="L233" s="4">
        <v>12350</v>
      </c>
      <c r="M233" s="4">
        <v>0</v>
      </c>
      <c r="N233" s="4">
        <v>168522.1</v>
      </c>
      <c r="O233" s="4">
        <f t="shared" si="11"/>
        <v>12350</v>
      </c>
    </row>
    <row r="234" spans="2:15" x14ac:dyDescent="0.3">
      <c r="B234" s="2" t="str">
        <f>_xlfn.XLOOKUP($I234,Tab_00.Trial[CONTA],Tab_00.Trial[TP],"",0,1)</f>
        <v>C</v>
      </c>
      <c r="C234" s="2">
        <f>_xlfn.XLOOKUP($I234,Tab_00.Trial[CONTA],Tab_00.Trial[NV],"",0,1)</f>
        <v>5</v>
      </c>
      <c r="D234" s="2" t="str">
        <f>_xlfn.XLOOKUP($I234,Tab_00.Trial[CONTA],Tab_00.Trial[S/A],"",0,1)</f>
        <v>A</v>
      </c>
      <c r="E234" s="2">
        <f>IF($I234="","",COUNTIFS(Tab_00.Trial[CONTA],$I234))</f>
        <v>1</v>
      </c>
      <c r="F234" s="4">
        <f>SUMIFS(Tab_11.Nov[SALDO
ATUAL],Tab_11.Nov[CONTA],$I234)</f>
        <v>21500.01</v>
      </c>
      <c r="G234" s="4">
        <f t="shared" si="10"/>
        <v>0</v>
      </c>
      <c r="I234" s="3" t="s">
        <v>463</v>
      </c>
      <c r="J234" s="3" t="s">
        <v>464</v>
      </c>
      <c r="K234" s="4">
        <v>21500.01</v>
      </c>
      <c r="L234" s="4">
        <v>0</v>
      </c>
      <c r="M234" s="4">
        <v>0</v>
      </c>
      <c r="N234" s="4">
        <v>21500.01</v>
      </c>
      <c r="O234" s="4">
        <f t="shared" si="11"/>
        <v>0</v>
      </c>
    </row>
    <row r="235" spans="2:15" x14ac:dyDescent="0.3">
      <c r="B235" s="2" t="str">
        <f>_xlfn.XLOOKUP($I235,Tab_00.Trial[CONTA],Tab_00.Trial[TP],"",0,1)</f>
        <v>C</v>
      </c>
      <c r="C235" s="2">
        <f>_xlfn.XLOOKUP($I235,Tab_00.Trial[CONTA],Tab_00.Trial[NV],"",0,1)</f>
        <v>5</v>
      </c>
      <c r="D235" s="2" t="str">
        <f>_xlfn.XLOOKUP($I235,Tab_00.Trial[CONTA],Tab_00.Trial[S/A],"",0,1)</f>
        <v>A</v>
      </c>
      <c r="E235" s="2">
        <f>IF($I235="","",COUNTIFS(Tab_00.Trial[CONTA],$I235))</f>
        <v>1</v>
      </c>
      <c r="F235" s="4">
        <f>SUMIFS(Tab_11.Nov[SALDO
ATUAL],Tab_11.Nov[CONTA],$I235)</f>
        <v>332452.84000000003</v>
      </c>
      <c r="G235" s="4">
        <f t="shared" si="10"/>
        <v>0</v>
      </c>
      <c r="I235" s="3" t="s">
        <v>465</v>
      </c>
      <c r="J235" s="3" t="s">
        <v>466</v>
      </c>
      <c r="K235" s="4">
        <v>332452.84000000003</v>
      </c>
      <c r="L235" s="4">
        <v>42074.27</v>
      </c>
      <c r="M235" s="4">
        <v>0</v>
      </c>
      <c r="N235" s="4">
        <v>374527.11</v>
      </c>
      <c r="O235" s="4">
        <f t="shared" si="11"/>
        <v>42074.27</v>
      </c>
    </row>
    <row r="236" spans="2:15" x14ac:dyDescent="0.3">
      <c r="B236" s="2" t="str">
        <f>_xlfn.XLOOKUP($I236,Tab_00.Trial[CONTA],Tab_00.Trial[TP],"",0,1)</f>
        <v>C</v>
      </c>
      <c r="C236" s="2">
        <f>_xlfn.XLOOKUP($I236,Tab_00.Trial[CONTA],Tab_00.Trial[NV],"",0,1)</f>
        <v>5</v>
      </c>
      <c r="D236" s="2" t="str">
        <f>_xlfn.XLOOKUP($I236,Tab_00.Trial[CONTA],Tab_00.Trial[S/A],"",0,1)</f>
        <v>A</v>
      </c>
      <c r="E236" s="2">
        <f>IF($I236="","",COUNTIFS(Tab_00.Trial[CONTA],$I236))</f>
        <v>1</v>
      </c>
      <c r="F236" s="4">
        <f>SUMIFS(Tab_11.Nov[SALDO
ATUAL],Tab_11.Nov[CONTA],$I236)</f>
        <v>49500</v>
      </c>
      <c r="G236" s="4">
        <f t="shared" si="10"/>
        <v>0</v>
      </c>
      <c r="I236" s="3" t="s">
        <v>473</v>
      </c>
      <c r="J236" s="3" t="s">
        <v>474</v>
      </c>
      <c r="K236" s="4">
        <v>49500</v>
      </c>
      <c r="L236" s="4">
        <v>4500</v>
      </c>
      <c r="M236" s="4">
        <v>0</v>
      </c>
      <c r="N236" s="4">
        <v>54000</v>
      </c>
      <c r="O236" s="4">
        <f t="shared" si="11"/>
        <v>4500</v>
      </c>
    </row>
    <row r="237" spans="2:15" x14ac:dyDescent="0.3">
      <c r="B237" s="2" t="str">
        <f>_xlfn.XLOOKUP($I237,Tab_00.Trial[CONTA],Tab_00.Trial[TP],"",0,1)</f>
        <v>C</v>
      </c>
      <c r="C237" s="2">
        <f>_xlfn.XLOOKUP($I237,Tab_00.Trial[CONTA],Tab_00.Trial[NV],"",0,1)</f>
        <v>5</v>
      </c>
      <c r="D237" s="2" t="str">
        <f>_xlfn.XLOOKUP($I237,Tab_00.Trial[CONTA],Tab_00.Trial[S/A],"",0,1)</f>
        <v>A</v>
      </c>
      <c r="E237" s="2">
        <f>IF($I237="","",COUNTIFS(Tab_00.Trial[CONTA],$I237))</f>
        <v>1</v>
      </c>
      <c r="F237" s="4">
        <f>SUMIFS(Tab_11.Nov[SALDO
ATUAL],Tab_11.Nov[CONTA],$I237)</f>
        <v>2459.16</v>
      </c>
      <c r="G237" s="4">
        <f t="shared" si="10"/>
        <v>0</v>
      </c>
      <c r="I237" s="3" t="s">
        <v>467</v>
      </c>
      <c r="J237" s="3" t="s">
        <v>468</v>
      </c>
      <c r="K237" s="4">
        <v>2459.16</v>
      </c>
      <c r="L237" s="4">
        <v>234.21</v>
      </c>
      <c r="M237" s="4">
        <v>0</v>
      </c>
      <c r="N237" s="4">
        <v>2693.37</v>
      </c>
      <c r="O237" s="4">
        <f t="shared" si="11"/>
        <v>234.21</v>
      </c>
    </row>
    <row r="238" spans="2:15" x14ac:dyDescent="0.3">
      <c r="B238" s="2" t="str">
        <f>_xlfn.XLOOKUP($I238,Tab_00.Trial[CONTA],Tab_00.Trial[TP],"",0,1)</f>
        <v>C</v>
      </c>
      <c r="C238" s="2">
        <f>_xlfn.XLOOKUP($I238,Tab_00.Trial[CONTA],Tab_00.Trial[NV],"",0,1)</f>
        <v>5</v>
      </c>
      <c r="D238" s="2" t="str">
        <f>_xlfn.XLOOKUP($I238,Tab_00.Trial[CONTA],Tab_00.Trial[S/A],"",0,1)</f>
        <v>A</v>
      </c>
      <c r="E238" s="2">
        <f>IF($I238="","",COUNTIFS(Tab_00.Trial[CONTA],$I238))</f>
        <v>1</v>
      </c>
      <c r="F238" s="4">
        <f>SUMIFS(Tab_11.Nov[SALDO
ATUAL],Tab_11.Nov[CONTA],$I238)</f>
        <v>65998.740000000005</v>
      </c>
      <c r="G238" s="4">
        <f t="shared" si="10"/>
        <v>0</v>
      </c>
      <c r="I238" s="3" t="s">
        <v>469</v>
      </c>
      <c r="J238" s="3" t="s">
        <v>470</v>
      </c>
      <c r="K238" s="4">
        <v>65998.740000000005</v>
      </c>
      <c r="L238" s="4">
        <v>4950</v>
      </c>
      <c r="M238" s="4">
        <v>0</v>
      </c>
      <c r="N238" s="4">
        <v>70948.740000000005</v>
      </c>
      <c r="O238" s="4">
        <f t="shared" si="11"/>
        <v>4950</v>
      </c>
    </row>
    <row r="239" spans="2:15" x14ac:dyDescent="0.3">
      <c r="B239" s="2" t="str">
        <f>_xlfn.XLOOKUP($I239,Tab_00.Trial[CONTA],Tab_00.Trial[TP],"",0,1)</f>
        <v>C</v>
      </c>
      <c r="C239" s="2">
        <f>_xlfn.XLOOKUP($I239,Tab_00.Trial[CONTA],Tab_00.Trial[NV],"",0,1)</f>
        <v>5</v>
      </c>
      <c r="D239" s="2" t="str">
        <f>_xlfn.XLOOKUP($I239,Tab_00.Trial[CONTA],Tab_00.Trial[S/A],"",0,1)</f>
        <v>A</v>
      </c>
      <c r="E239" s="2">
        <f>IF($I239="","",COUNTIFS(Tab_00.Trial[CONTA],$I239))</f>
        <v>1</v>
      </c>
      <c r="F239" s="4">
        <f>SUMIFS(Tab_11.Nov[SALDO
ATUAL],Tab_11.Nov[CONTA],$I239)</f>
        <v>53790.5</v>
      </c>
      <c r="G239" s="4">
        <f t="shared" si="10"/>
        <v>0</v>
      </c>
      <c r="I239" s="3" t="s">
        <v>471</v>
      </c>
      <c r="J239" s="3" t="s">
        <v>472</v>
      </c>
      <c r="K239" s="4">
        <v>53790.5</v>
      </c>
      <c r="L239" s="4">
        <v>4940.41</v>
      </c>
      <c r="M239" s="4">
        <v>0</v>
      </c>
      <c r="N239" s="4">
        <v>58730.91</v>
      </c>
      <c r="O239" s="4">
        <f t="shared" si="11"/>
        <v>4940.41</v>
      </c>
    </row>
    <row r="240" spans="2:15" x14ac:dyDescent="0.3">
      <c r="B240" s="2" t="str">
        <f>_xlfn.XLOOKUP($I240,Tab_00.Trial[CONTA],Tab_00.Trial[TP],"",0,1)</f>
        <v>C</v>
      </c>
      <c r="C240" s="2">
        <f>_xlfn.XLOOKUP($I240,Tab_00.Trial[CONTA],Tab_00.Trial[NV],"",0,1)</f>
        <v>5</v>
      </c>
      <c r="D240" s="2" t="str">
        <f>_xlfn.XLOOKUP($I240,Tab_00.Trial[CONTA],Tab_00.Trial[S/A],"",0,1)</f>
        <v>S</v>
      </c>
      <c r="E240" s="2">
        <f>IF($I240="","",COUNTIFS(Tab_00.Trial[CONTA],$I240))</f>
        <v>1</v>
      </c>
      <c r="F240" s="4">
        <f>SUMIFS(Tab_11.Nov[SALDO
ATUAL],Tab_11.Nov[CONTA],$I240)</f>
        <v>912626.89</v>
      </c>
      <c r="G240" s="4">
        <f t="shared" si="10"/>
        <v>0</v>
      </c>
      <c r="I240" s="3" t="s">
        <v>608</v>
      </c>
      <c r="J240" s="3" t="s">
        <v>713</v>
      </c>
      <c r="K240" s="4">
        <v>912626.89</v>
      </c>
      <c r="L240" s="4">
        <v>82966.080000000002</v>
      </c>
      <c r="M240" s="4">
        <v>0</v>
      </c>
      <c r="N240" s="4">
        <v>995592.97</v>
      </c>
      <c r="O240" s="4">
        <f t="shared" si="11"/>
        <v>82966.080000000002</v>
      </c>
    </row>
    <row r="241" spans="2:15" x14ac:dyDescent="0.3">
      <c r="B241" s="2" t="str">
        <f>_xlfn.XLOOKUP($I241,Tab_00.Trial[CONTA],Tab_00.Trial[TP],"",0,1)</f>
        <v>C</v>
      </c>
      <c r="C241" s="2">
        <f>_xlfn.XLOOKUP($I241,Tab_00.Trial[CONTA],Tab_00.Trial[NV],"",0,1)</f>
        <v>5</v>
      </c>
      <c r="D241" s="2" t="str">
        <f>_xlfn.XLOOKUP($I241,Tab_00.Trial[CONTA],Tab_00.Trial[S/A],"",0,1)</f>
        <v>A</v>
      </c>
      <c r="E241" s="2">
        <f>IF($I241="","",COUNTIFS(Tab_00.Trial[CONTA],$I241))</f>
        <v>1</v>
      </c>
      <c r="F241" s="4">
        <f>SUMIFS(Tab_11.Nov[SALDO
ATUAL],Tab_11.Nov[CONTA],$I241)</f>
        <v>197780.89</v>
      </c>
      <c r="G241" s="4">
        <f t="shared" si="10"/>
        <v>0</v>
      </c>
      <c r="I241" s="3" t="s">
        <v>741</v>
      </c>
      <c r="J241" s="3" t="s">
        <v>742</v>
      </c>
      <c r="K241" s="4">
        <v>197780.89</v>
      </c>
      <c r="L241" s="4">
        <v>17980.080000000002</v>
      </c>
      <c r="M241" s="4">
        <v>0</v>
      </c>
      <c r="N241" s="4">
        <v>215760.97</v>
      </c>
      <c r="O241" s="4">
        <f t="shared" si="11"/>
        <v>17980.080000000002</v>
      </c>
    </row>
    <row r="242" spans="2:15" x14ac:dyDescent="0.3">
      <c r="B242" s="2" t="str">
        <f>_xlfn.XLOOKUP($I242,Tab_00.Trial[CONTA],Tab_00.Trial[TP],"",0,1)</f>
        <v>C</v>
      </c>
      <c r="C242" s="2">
        <f>_xlfn.XLOOKUP($I242,Tab_00.Trial[CONTA],Tab_00.Trial[NV],"",0,1)</f>
        <v>5</v>
      </c>
      <c r="D242" s="2" t="str">
        <f>_xlfn.XLOOKUP($I242,Tab_00.Trial[CONTA],Tab_00.Trial[S/A],"",0,1)</f>
        <v>A</v>
      </c>
      <c r="E242" s="2">
        <f>IF($I242="","",COUNTIFS(Tab_00.Trial[CONTA],$I242))</f>
        <v>1</v>
      </c>
      <c r="F242" s="4">
        <f>SUMIFS(Tab_11.Nov[SALDO
ATUAL],Tab_11.Nov[CONTA],$I242)</f>
        <v>82500</v>
      </c>
      <c r="G242" s="4">
        <f t="shared" si="10"/>
        <v>0</v>
      </c>
      <c r="I242" s="3" t="s">
        <v>839</v>
      </c>
      <c r="J242" s="3" t="s">
        <v>840</v>
      </c>
      <c r="K242" s="4">
        <v>82500</v>
      </c>
      <c r="L242" s="4">
        <v>7500</v>
      </c>
      <c r="M242" s="4">
        <v>0</v>
      </c>
      <c r="N242" s="4">
        <v>90000</v>
      </c>
      <c r="O242" s="4">
        <f t="shared" si="11"/>
        <v>7500</v>
      </c>
    </row>
    <row r="243" spans="2:15" x14ac:dyDescent="0.3">
      <c r="B243" s="2" t="str">
        <f>_xlfn.XLOOKUP($I243,Tab_00.Trial[CONTA],Tab_00.Trial[TP],"",0,1)</f>
        <v>C</v>
      </c>
      <c r="C243" s="2">
        <f>_xlfn.XLOOKUP($I243,Tab_00.Trial[CONTA],Tab_00.Trial[NV],"",0,1)</f>
        <v>5</v>
      </c>
      <c r="D243" s="2" t="str">
        <f>_xlfn.XLOOKUP($I243,Tab_00.Trial[CONTA],Tab_00.Trial[S/A],"",0,1)</f>
        <v>A</v>
      </c>
      <c r="E243" s="2">
        <f>IF($I243="","",COUNTIFS(Tab_00.Trial[CONTA],$I243))</f>
        <v>1</v>
      </c>
      <c r="F243" s="4">
        <f>SUMIFS(Tab_11.Nov[SALDO
ATUAL],Tab_11.Nov[CONTA],$I243)</f>
        <v>632346</v>
      </c>
      <c r="G243" s="4">
        <f t="shared" si="10"/>
        <v>0</v>
      </c>
      <c r="I243" s="3" t="s">
        <v>480</v>
      </c>
      <c r="J243" s="3" t="s">
        <v>481</v>
      </c>
      <c r="K243" s="4">
        <v>632346</v>
      </c>
      <c r="L243" s="4">
        <v>57486</v>
      </c>
      <c r="M243" s="4">
        <v>0</v>
      </c>
      <c r="N243" s="4">
        <v>689832</v>
      </c>
      <c r="O243" s="4">
        <f t="shared" si="11"/>
        <v>57486</v>
      </c>
    </row>
    <row r="244" spans="2:15" x14ac:dyDescent="0.3">
      <c r="B244" s="2" t="str">
        <f>_xlfn.XLOOKUP($I244,Tab_00.Trial[CONTA],Tab_00.Trial[TP],"",0,1)</f>
        <v>C</v>
      </c>
      <c r="C244" s="2">
        <f>_xlfn.XLOOKUP($I244,Tab_00.Trial[CONTA],Tab_00.Trial[NV],"",0,1)</f>
        <v>5</v>
      </c>
      <c r="D244" s="2" t="str">
        <f>_xlfn.XLOOKUP($I244,Tab_00.Trial[CONTA],Tab_00.Trial[S/A],"",0,1)</f>
        <v>S</v>
      </c>
      <c r="E244" s="2">
        <f>IF($I244="","",COUNTIFS(Tab_00.Trial[CONTA],$I244))</f>
        <v>1</v>
      </c>
      <c r="F244" s="4">
        <f>SUMIFS(Tab_11.Nov[SALDO
ATUAL],Tab_11.Nov[CONTA],$I244)</f>
        <v>22023.58</v>
      </c>
      <c r="G244" s="4">
        <f t="shared" si="10"/>
        <v>0</v>
      </c>
      <c r="I244" s="3" t="s">
        <v>609</v>
      </c>
      <c r="J244" s="3" t="s">
        <v>714</v>
      </c>
      <c r="K244" s="4">
        <v>22023.58</v>
      </c>
      <c r="L244" s="4">
        <v>168</v>
      </c>
      <c r="M244" s="4">
        <v>0</v>
      </c>
      <c r="N244" s="4">
        <v>22191.58</v>
      </c>
      <c r="O244" s="4">
        <f t="shared" si="11"/>
        <v>168</v>
      </c>
    </row>
    <row r="245" spans="2:15" x14ac:dyDescent="0.3">
      <c r="B245" s="2" t="str">
        <f>_xlfn.XLOOKUP($I245,Tab_00.Trial[CONTA],Tab_00.Trial[TP],"",0,1)</f>
        <v>C</v>
      </c>
      <c r="C245" s="2">
        <f>_xlfn.XLOOKUP($I245,Tab_00.Trial[CONTA],Tab_00.Trial[NV],"",0,1)</f>
        <v>5</v>
      </c>
      <c r="D245" s="2" t="str">
        <f>_xlfn.XLOOKUP($I245,Tab_00.Trial[CONTA],Tab_00.Trial[S/A],"",0,1)</f>
        <v>S</v>
      </c>
      <c r="E245" s="2">
        <f>IF($I245="","",COUNTIFS(Tab_00.Trial[CONTA],$I245))</f>
        <v>1</v>
      </c>
      <c r="F245" s="4">
        <f>SUMIFS(Tab_11.Nov[SALDO
ATUAL],Tab_11.Nov[CONTA],$I245)</f>
        <v>21795.58</v>
      </c>
      <c r="G245" s="4">
        <f t="shared" si="10"/>
        <v>0</v>
      </c>
      <c r="I245" s="3" t="s">
        <v>610</v>
      </c>
      <c r="J245" s="3" t="s">
        <v>714</v>
      </c>
      <c r="K245" s="4">
        <v>21795.58</v>
      </c>
      <c r="L245" s="4">
        <v>168</v>
      </c>
      <c r="M245" s="4">
        <v>0</v>
      </c>
      <c r="N245" s="4">
        <v>21963.58</v>
      </c>
      <c r="O245" s="4">
        <f t="shared" si="11"/>
        <v>168</v>
      </c>
    </row>
    <row r="246" spans="2:15" x14ac:dyDescent="0.3">
      <c r="B246" s="2" t="str">
        <f>_xlfn.XLOOKUP($I246,Tab_00.Trial[CONTA],Tab_00.Trial[TP],"",0,1)</f>
        <v>C</v>
      </c>
      <c r="C246" s="2">
        <f>_xlfn.XLOOKUP($I246,Tab_00.Trial[CONTA],Tab_00.Trial[NV],"",0,1)</f>
        <v>5</v>
      </c>
      <c r="D246" s="2" t="str">
        <f>_xlfn.XLOOKUP($I246,Tab_00.Trial[CONTA],Tab_00.Trial[S/A],"",0,1)</f>
        <v>A</v>
      </c>
      <c r="E246" s="2">
        <f>IF($I246="","",COUNTIFS(Tab_00.Trial[CONTA],$I246))</f>
        <v>1</v>
      </c>
      <c r="F246" s="4">
        <f>SUMIFS(Tab_11.Nov[SALDO
ATUAL],Tab_11.Nov[CONTA],$I246)</f>
        <v>7636.23</v>
      </c>
      <c r="G246" s="4">
        <f t="shared" si="10"/>
        <v>0</v>
      </c>
      <c r="I246" s="3" t="s">
        <v>482</v>
      </c>
      <c r="J246" s="3" t="s">
        <v>483</v>
      </c>
      <c r="K246" s="4">
        <v>7636.23</v>
      </c>
      <c r="L246" s="4">
        <v>168</v>
      </c>
      <c r="M246" s="4">
        <v>0</v>
      </c>
      <c r="N246" s="4">
        <v>7804.23</v>
      </c>
      <c r="O246" s="4">
        <f t="shared" si="11"/>
        <v>168</v>
      </c>
    </row>
    <row r="247" spans="2:15" x14ac:dyDescent="0.3">
      <c r="B247" s="2" t="str">
        <f>_xlfn.XLOOKUP($I247,Tab_00.Trial[CONTA],Tab_00.Trial[TP],"",0,1)</f>
        <v>C</v>
      </c>
      <c r="C247" s="2">
        <f>_xlfn.XLOOKUP($I247,Tab_00.Trial[CONTA],Tab_00.Trial[NV],"",0,1)</f>
        <v>5</v>
      </c>
      <c r="D247" s="2" t="str">
        <f>_xlfn.XLOOKUP($I247,Tab_00.Trial[CONTA],Tab_00.Trial[S/A],"",0,1)</f>
        <v>A</v>
      </c>
      <c r="E247" s="2">
        <f>IF($I247="","",COUNTIFS(Tab_00.Trial[CONTA],$I247))</f>
        <v>1</v>
      </c>
      <c r="F247" s="4">
        <f>SUMIFS(Tab_11.Nov[SALDO
ATUAL],Tab_11.Nov[CONTA],$I247)</f>
        <v>5000</v>
      </c>
      <c r="G247" s="4">
        <f t="shared" si="10"/>
        <v>0</v>
      </c>
      <c r="I247" s="3" t="s">
        <v>752</v>
      </c>
      <c r="J247" s="3" t="s">
        <v>753</v>
      </c>
      <c r="K247" s="4">
        <v>5000</v>
      </c>
      <c r="L247" s="4">
        <v>0</v>
      </c>
      <c r="M247" s="4">
        <v>0</v>
      </c>
      <c r="N247" s="4">
        <v>5000</v>
      </c>
      <c r="O247" s="4">
        <f t="shared" si="11"/>
        <v>0</v>
      </c>
    </row>
    <row r="248" spans="2:15" x14ac:dyDescent="0.3">
      <c r="B248" s="2" t="str">
        <f>_xlfn.XLOOKUP($I248,Tab_00.Trial[CONTA],Tab_00.Trial[TP],"",0,1)</f>
        <v>C</v>
      </c>
      <c r="C248" s="2">
        <f>_xlfn.XLOOKUP($I248,Tab_00.Trial[CONTA],Tab_00.Trial[NV],"",0,1)</f>
        <v>5</v>
      </c>
      <c r="D248" s="2" t="str">
        <f>_xlfn.XLOOKUP($I248,Tab_00.Trial[CONTA],Tab_00.Trial[S/A],"",0,1)</f>
        <v>A</v>
      </c>
      <c r="E248" s="2">
        <f>IF($I248="","",COUNTIFS(Tab_00.Trial[CONTA],$I248))</f>
        <v>1</v>
      </c>
      <c r="F248" s="4">
        <f>SUMIFS(Tab_11.Nov[SALDO
ATUAL],Tab_11.Nov[CONTA],$I248)</f>
        <v>9159.35</v>
      </c>
      <c r="G248" s="4">
        <f t="shared" si="10"/>
        <v>0</v>
      </c>
      <c r="I248" s="3" t="s">
        <v>484</v>
      </c>
      <c r="J248" s="3" t="s">
        <v>485</v>
      </c>
      <c r="K248" s="4">
        <v>9159.35</v>
      </c>
      <c r="L248" s="4">
        <v>0</v>
      </c>
      <c r="M248" s="4">
        <v>0</v>
      </c>
      <c r="N248" s="4">
        <v>9159.35</v>
      </c>
      <c r="O248" s="4">
        <f t="shared" si="11"/>
        <v>0</v>
      </c>
    </row>
    <row r="249" spans="2:15" x14ac:dyDescent="0.3">
      <c r="B249" s="2" t="str">
        <f>_xlfn.XLOOKUP($I249,Tab_00.Trial[CONTA],Tab_00.Trial[TP],"",0,1)</f>
        <v>C</v>
      </c>
      <c r="C249" s="2">
        <f>_xlfn.XLOOKUP($I249,Tab_00.Trial[CONTA],Tab_00.Trial[NV],"",0,1)</f>
        <v>5</v>
      </c>
      <c r="D249" s="2" t="str">
        <f>_xlfn.XLOOKUP($I249,Tab_00.Trial[CONTA],Tab_00.Trial[S/A],"",0,1)</f>
        <v>S</v>
      </c>
      <c r="E249" s="2">
        <f>IF($I249="","",COUNTIFS(Tab_00.Trial[CONTA],$I249))</f>
        <v>1</v>
      </c>
      <c r="F249" s="4">
        <f>SUMIFS(Tab_11.Nov[SALDO
ATUAL],Tab_11.Nov[CONTA],$I249)</f>
        <v>228</v>
      </c>
      <c r="G249" s="4">
        <f t="shared" si="10"/>
        <v>0</v>
      </c>
      <c r="I249" s="3" t="s">
        <v>611</v>
      </c>
      <c r="J249" s="3" t="s">
        <v>715</v>
      </c>
      <c r="K249" s="4">
        <v>228</v>
      </c>
      <c r="L249" s="4">
        <v>0</v>
      </c>
      <c r="M249" s="4">
        <v>0</v>
      </c>
      <c r="N249" s="4">
        <v>228</v>
      </c>
      <c r="O249" s="4">
        <f t="shared" si="11"/>
        <v>0</v>
      </c>
    </row>
    <row r="250" spans="2:15" x14ac:dyDescent="0.3">
      <c r="B250" s="2" t="str">
        <f>_xlfn.XLOOKUP($I250,Tab_00.Trial[CONTA],Tab_00.Trial[TP],"",0,1)</f>
        <v>C</v>
      </c>
      <c r="C250" s="2">
        <f>_xlfn.XLOOKUP($I250,Tab_00.Trial[CONTA],Tab_00.Trial[NV],"",0,1)</f>
        <v>5</v>
      </c>
      <c r="D250" s="2" t="str">
        <f>_xlfn.XLOOKUP($I250,Tab_00.Trial[CONTA],Tab_00.Trial[S/A],"",0,1)</f>
        <v>A</v>
      </c>
      <c r="E250" s="2">
        <f>IF($I250="","",COUNTIFS(Tab_00.Trial[CONTA],$I250))</f>
        <v>1</v>
      </c>
      <c r="F250" s="4">
        <f>SUMIFS(Tab_11.Nov[SALDO
ATUAL],Tab_11.Nov[CONTA],$I250)</f>
        <v>228</v>
      </c>
      <c r="G250" s="4">
        <f t="shared" si="10"/>
        <v>0</v>
      </c>
      <c r="I250" s="3" t="s">
        <v>489</v>
      </c>
      <c r="J250" s="3" t="s">
        <v>490</v>
      </c>
      <c r="K250" s="4">
        <v>228</v>
      </c>
      <c r="L250" s="4">
        <v>0</v>
      </c>
      <c r="M250" s="4">
        <v>0</v>
      </c>
      <c r="N250" s="4">
        <v>228</v>
      </c>
      <c r="O250" s="4">
        <f t="shared" si="11"/>
        <v>0</v>
      </c>
    </row>
    <row r="251" spans="2:15" x14ac:dyDescent="0.3">
      <c r="B251" s="2" t="str">
        <f>_xlfn.XLOOKUP($I251,Tab_00.Trial[CONTA],Tab_00.Trial[TP],"",0,1)</f>
        <v>C</v>
      </c>
      <c r="C251" s="2">
        <f>_xlfn.XLOOKUP($I251,Tab_00.Trial[CONTA],Tab_00.Trial[NV],"",0,1)</f>
        <v>5</v>
      </c>
      <c r="D251" s="2" t="str">
        <f>_xlfn.XLOOKUP($I251,Tab_00.Trial[CONTA],Tab_00.Trial[S/A],"",0,1)</f>
        <v>S</v>
      </c>
      <c r="E251" s="2">
        <f>IF($I251="","",COUNTIFS(Tab_00.Trial[CONTA],$I251))</f>
        <v>1</v>
      </c>
      <c r="F251" s="4">
        <f>SUMIFS(Tab_11.Nov[SALDO
ATUAL],Tab_11.Nov[CONTA],$I251)</f>
        <v>115066.41</v>
      </c>
      <c r="G251" s="4">
        <f t="shared" ref="G251:G281" si="12">$F251-$K251</f>
        <v>0</v>
      </c>
      <c r="I251" s="3" t="s">
        <v>612</v>
      </c>
      <c r="J251" s="3" t="s">
        <v>716</v>
      </c>
      <c r="K251" s="4">
        <v>115066.41</v>
      </c>
      <c r="L251" s="4">
        <v>30010.2</v>
      </c>
      <c r="M251" s="4">
        <v>36</v>
      </c>
      <c r="N251" s="4">
        <v>145040.60999999999</v>
      </c>
      <c r="O251" s="4">
        <f t="shared" ref="O251:O281" si="13">$L251-$M251</f>
        <v>29974.2</v>
      </c>
    </row>
    <row r="252" spans="2:15" x14ac:dyDescent="0.3">
      <c r="B252" s="2" t="str">
        <f>_xlfn.XLOOKUP($I252,Tab_00.Trial[CONTA],Tab_00.Trial[TP],"",0,1)</f>
        <v>C</v>
      </c>
      <c r="C252" s="2">
        <f>_xlfn.XLOOKUP($I252,Tab_00.Trial[CONTA],Tab_00.Trial[NV],"",0,1)</f>
        <v>5</v>
      </c>
      <c r="D252" s="2" t="str">
        <f>_xlfn.XLOOKUP($I252,Tab_00.Trial[CONTA],Tab_00.Trial[S/A],"",0,1)</f>
        <v>S</v>
      </c>
      <c r="E252" s="2">
        <f>IF($I252="","",COUNTIFS(Tab_00.Trial[CONTA],$I252))</f>
        <v>1</v>
      </c>
      <c r="F252" s="4">
        <f>SUMIFS(Tab_11.Nov[SALDO
ATUAL],Tab_11.Nov[CONTA],$I252)</f>
        <v>61714.9</v>
      </c>
      <c r="G252" s="4">
        <f t="shared" si="12"/>
        <v>0</v>
      </c>
      <c r="I252" s="3" t="s">
        <v>613</v>
      </c>
      <c r="J252" s="3" t="s">
        <v>717</v>
      </c>
      <c r="K252" s="4">
        <v>61714.9</v>
      </c>
      <c r="L252" s="4">
        <v>2833.93</v>
      </c>
      <c r="M252" s="4">
        <v>0</v>
      </c>
      <c r="N252" s="4">
        <v>64548.83</v>
      </c>
      <c r="O252" s="4">
        <f t="shared" si="13"/>
        <v>2833.93</v>
      </c>
    </row>
    <row r="253" spans="2:15" x14ac:dyDescent="0.3">
      <c r="B253" s="2" t="str">
        <f>_xlfn.XLOOKUP($I253,Tab_00.Trial[CONTA],Tab_00.Trial[TP],"",0,1)</f>
        <v>C</v>
      </c>
      <c r="C253" s="2">
        <f>_xlfn.XLOOKUP($I253,Tab_00.Trial[CONTA],Tab_00.Trial[NV],"",0,1)</f>
        <v>5</v>
      </c>
      <c r="D253" s="2" t="str">
        <f>_xlfn.XLOOKUP($I253,Tab_00.Trial[CONTA],Tab_00.Trial[S/A],"",0,1)</f>
        <v>A</v>
      </c>
      <c r="E253" s="2">
        <f>IF($I253="","",COUNTIFS(Tab_00.Trial[CONTA],$I253))</f>
        <v>1</v>
      </c>
      <c r="F253" s="4">
        <f>SUMIFS(Tab_11.Nov[SALDO
ATUAL],Tab_11.Nov[CONTA],$I253)</f>
        <v>29400.48</v>
      </c>
      <c r="G253" s="4">
        <f t="shared" si="12"/>
        <v>0</v>
      </c>
      <c r="I253" s="3" t="s">
        <v>491</v>
      </c>
      <c r="J253" s="3" t="s">
        <v>492</v>
      </c>
      <c r="K253" s="4">
        <v>29400.48</v>
      </c>
      <c r="L253" s="4">
        <v>0</v>
      </c>
      <c r="M253" s="4">
        <v>0</v>
      </c>
      <c r="N253" s="4">
        <v>29400.48</v>
      </c>
      <c r="O253" s="4">
        <f t="shared" si="13"/>
        <v>0</v>
      </c>
    </row>
    <row r="254" spans="2:15" x14ac:dyDescent="0.3">
      <c r="B254" s="2" t="str">
        <f>_xlfn.XLOOKUP($I254,Tab_00.Trial[CONTA],Tab_00.Trial[TP],"",0,1)</f>
        <v>C</v>
      </c>
      <c r="C254" s="2">
        <f>_xlfn.XLOOKUP($I254,Tab_00.Trial[CONTA],Tab_00.Trial[NV],"",0,1)</f>
        <v>5</v>
      </c>
      <c r="D254" s="2" t="str">
        <f>_xlfn.XLOOKUP($I254,Tab_00.Trial[CONTA],Tab_00.Trial[S/A],"",0,1)</f>
        <v>A</v>
      </c>
      <c r="E254" s="2">
        <f>IF($I254="","",COUNTIFS(Tab_00.Trial[CONTA],$I254))</f>
        <v>1</v>
      </c>
      <c r="F254" s="4">
        <f>SUMIFS(Tab_11.Nov[SALDO
ATUAL],Tab_11.Nov[CONTA],$I254)</f>
        <v>16538.13</v>
      </c>
      <c r="G254" s="4">
        <f t="shared" si="12"/>
        <v>0</v>
      </c>
      <c r="I254" s="3" t="s">
        <v>493</v>
      </c>
      <c r="J254" s="3" t="s">
        <v>494</v>
      </c>
      <c r="K254" s="4">
        <v>16538.13</v>
      </c>
      <c r="L254" s="4">
        <v>1374.07</v>
      </c>
      <c r="M254" s="4">
        <v>0</v>
      </c>
      <c r="N254" s="4">
        <v>17912.2</v>
      </c>
      <c r="O254" s="4">
        <f t="shared" si="13"/>
        <v>1374.07</v>
      </c>
    </row>
    <row r="255" spans="2:15" x14ac:dyDescent="0.3">
      <c r="B255" s="2" t="str">
        <f>_xlfn.XLOOKUP($I255,Tab_00.Trial[CONTA],Tab_00.Trial[TP],"",0,1)</f>
        <v>C</v>
      </c>
      <c r="C255" s="2">
        <f>_xlfn.XLOOKUP($I255,Tab_00.Trial[CONTA],Tab_00.Trial[NV],"",0,1)</f>
        <v>5</v>
      </c>
      <c r="D255" s="2" t="str">
        <f>_xlfn.XLOOKUP($I255,Tab_00.Trial[CONTA],Tab_00.Trial[S/A],"",0,1)</f>
        <v>A</v>
      </c>
      <c r="E255" s="2">
        <f>IF($I255="","",COUNTIFS(Tab_00.Trial[CONTA],$I255))</f>
        <v>1</v>
      </c>
      <c r="F255" s="4">
        <f>SUMIFS(Tab_11.Nov[SALDO
ATUAL],Tab_11.Nov[CONTA],$I255)</f>
        <v>15776.29</v>
      </c>
      <c r="G255" s="4">
        <f t="shared" si="12"/>
        <v>0</v>
      </c>
      <c r="I255" s="3" t="s">
        <v>495</v>
      </c>
      <c r="J255" s="3" t="s">
        <v>496</v>
      </c>
      <c r="K255" s="4">
        <v>15776.29</v>
      </c>
      <c r="L255" s="4">
        <v>1459.86</v>
      </c>
      <c r="M255" s="4">
        <v>0</v>
      </c>
      <c r="N255" s="4">
        <v>17236.150000000001</v>
      </c>
      <c r="O255" s="4">
        <f t="shared" si="13"/>
        <v>1459.86</v>
      </c>
    </row>
    <row r="256" spans="2:15" x14ac:dyDescent="0.3">
      <c r="B256" s="2" t="str">
        <f>_xlfn.XLOOKUP($I256,Tab_00.Trial[CONTA],Tab_00.Trial[TP],"",0,1)</f>
        <v>C</v>
      </c>
      <c r="C256" s="2">
        <f>_xlfn.XLOOKUP($I256,Tab_00.Trial[CONTA],Tab_00.Trial[NV],"",0,1)</f>
        <v>5</v>
      </c>
      <c r="D256" s="2" t="str">
        <f>_xlfn.XLOOKUP($I256,Tab_00.Trial[CONTA],Tab_00.Trial[S/A],"",0,1)</f>
        <v>S</v>
      </c>
      <c r="E256" s="2">
        <f>IF($I256="","",COUNTIFS(Tab_00.Trial[CONTA],$I256))</f>
        <v>1</v>
      </c>
      <c r="F256" s="4">
        <f>SUMIFS(Tab_11.Nov[SALDO
ATUAL],Tab_11.Nov[CONTA],$I256)</f>
        <v>53351.51</v>
      </c>
      <c r="G256" s="4">
        <f t="shared" si="12"/>
        <v>0</v>
      </c>
      <c r="I256" s="3" t="s">
        <v>614</v>
      </c>
      <c r="J256" s="3" t="s">
        <v>718</v>
      </c>
      <c r="K256" s="4">
        <v>53351.51</v>
      </c>
      <c r="L256" s="4">
        <v>27176.27</v>
      </c>
      <c r="M256" s="4">
        <v>36</v>
      </c>
      <c r="N256" s="4">
        <v>80491.78</v>
      </c>
      <c r="O256" s="4">
        <f t="shared" si="13"/>
        <v>27140.27</v>
      </c>
    </row>
    <row r="257" spans="2:15" x14ac:dyDescent="0.3">
      <c r="B257" s="2" t="str">
        <f>_xlfn.XLOOKUP($I257,Tab_00.Trial[CONTA],Tab_00.Trial[TP],"",0,1)</f>
        <v>C</v>
      </c>
      <c r="C257" s="2">
        <f>_xlfn.XLOOKUP($I257,Tab_00.Trial[CONTA],Tab_00.Trial[NV],"",0,1)</f>
        <v>5</v>
      </c>
      <c r="D257" s="2" t="str">
        <f>_xlfn.XLOOKUP($I257,Tab_00.Trial[CONTA],Tab_00.Trial[S/A],"",0,1)</f>
        <v>A</v>
      </c>
      <c r="E257" s="2">
        <f>IF($I257="","",COUNTIFS(Tab_00.Trial[CONTA],$I257))</f>
        <v>1</v>
      </c>
      <c r="F257" s="4">
        <f>SUMIFS(Tab_11.Nov[SALDO
ATUAL],Tab_11.Nov[CONTA],$I257)</f>
        <v>95</v>
      </c>
      <c r="G257" s="4">
        <f t="shared" si="12"/>
        <v>0</v>
      </c>
      <c r="I257" s="3" t="s">
        <v>497</v>
      </c>
      <c r="J257" s="3" t="s">
        <v>498</v>
      </c>
      <c r="K257" s="4">
        <v>95</v>
      </c>
      <c r="L257" s="4">
        <v>0</v>
      </c>
      <c r="M257" s="4">
        <v>0</v>
      </c>
      <c r="N257" s="4">
        <v>95</v>
      </c>
      <c r="O257" s="4">
        <f t="shared" si="13"/>
        <v>0</v>
      </c>
    </row>
    <row r="258" spans="2:15" x14ac:dyDescent="0.3">
      <c r="B258" s="2" t="str">
        <f>_xlfn.XLOOKUP($I258,Tab_00.Trial[CONTA],Tab_00.Trial[TP],"",0,1)</f>
        <v>C</v>
      </c>
      <c r="C258" s="2">
        <f>_xlfn.XLOOKUP($I258,Tab_00.Trial[CONTA],Tab_00.Trial[NV],"",0,1)</f>
        <v>5</v>
      </c>
      <c r="D258" s="2" t="str">
        <f>_xlfn.XLOOKUP($I258,Tab_00.Trial[CONTA],Tab_00.Trial[S/A],"",0,1)</f>
        <v>A</v>
      </c>
      <c r="E258" s="2">
        <f>IF($I258="","",COUNTIFS(Tab_00.Trial[CONTA],$I258))</f>
        <v>1</v>
      </c>
      <c r="F258" s="4">
        <f>SUMIFS(Tab_11.Nov[SALDO
ATUAL],Tab_11.Nov[CONTA],$I258)</f>
        <v>22772.240000000002</v>
      </c>
      <c r="G258" s="4">
        <f t="shared" si="12"/>
        <v>0</v>
      </c>
      <c r="I258" s="3" t="s">
        <v>499</v>
      </c>
      <c r="J258" s="3" t="s">
        <v>500</v>
      </c>
      <c r="K258" s="4">
        <v>22772.240000000002</v>
      </c>
      <c r="L258" s="4">
        <v>50</v>
      </c>
      <c r="M258" s="4">
        <v>0</v>
      </c>
      <c r="N258" s="4">
        <v>22822.240000000002</v>
      </c>
      <c r="O258" s="4">
        <f t="shared" si="13"/>
        <v>50</v>
      </c>
    </row>
    <row r="259" spans="2:15" x14ac:dyDescent="0.3">
      <c r="B259" s="2" t="str">
        <f>_xlfn.XLOOKUP($I259,Tab_00.Trial[CONTA],Tab_00.Trial[TP],"",0,1)</f>
        <v>C</v>
      </c>
      <c r="C259" s="2">
        <f>_xlfn.XLOOKUP($I259,Tab_00.Trial[CONTA],Tab_00.Trial[NV],"",0,1)</f>
        <v>5</v>
      </c>
      <c r="D259" s="2" t="str">
        <f>_xlfn.XLOOKUP($I259,Tab_00.Trial[CONTA],Tab_00.Trial[S/A],"",0,1)</f>
        <v>A</v>
      </c>
      <c r="E259" s="2">
        <f>IF($I259="","",COUNTIFS(Tab_00.Trial[CONTA],$I259))</f>
        <v>1</v>
      </c>
      <c r="F259" s="4">
        <f>SUMIFS(Tab_11.Nov[SALDO
ATUAL],Tab_11.Nov[CONTA],$I259)</f>
        <v>15011.2</v>
      </c>
      <c r="G259" s="4">
        <f t="shared" si="12"/>
        <v>0</v>
      </c>
      <c r="I259" s="3" t="s">
        <v>501</v>
      </c>
      <c r="J259" s="3" t="s">
        <v>502</v>
      </c>
      <c r="K259" s="4">
        <v>15011.2</v>
      </c>
      <c r="L259" s="4">
        <v>24298</v>
      </c>
      <c r="M259" s="4">
        <v>0</v>
      </c>
      <c r="N259" s="4">
        <v>39309.199999999997</v>
      </c>
      <c r="O259" s="4">
        <f t="shared" si="13"/>
        <v>24298</v>
      </c>
    </row>
    <row r="260" spans="2:15" x14ac:dyDescent="0.3">
      <c r="B260" s="2" t="str">
        <f>_xlfn.XLOOKUP($I260,Tab_00.Trial[CONTA],Tab_00.Trial[TP],"",0,1)</f>
        <v>C</v>
      </c>
      <c r="C260" s="2">
        <f>_xlfn.XLOOKUP($I260,Tab_00.Trial[CONTA],Tab_00.Trial[NV],"",0,1)</f>
        <v>5</v>
      </c>
      <c r="D260" s="2" t="str">
        <f>_xlfn.XLOOKUP($I260,Tab_00.Trial[CONTA],Tab_00.Trial[S/A],"",0,1)</f>
        <v>A</v>
      </c>
      <c r="E260" s="2">
        <f>IF($I260="","",COUNTIFS(Tab_00.Trial[CONTA],$I260))</f>
        <v>1</v>
      </c>
      <c r="F260" s="4">
        <f>SUMIFS(Tab_11.Nov[SALDO
ATUAL],Tab_11.Nov[CONTA],$I260)</f>
        <v>15313.37</v>
      </c>
      <c r="G260" s="4">
        <f t="shared" si="12"/>
        <v>0</v>
      </c>
      <c r="I260" s="3" t="s">
        <v>503</v>
      </c>
      <c r="J260" s="3" t="s">
        <v>504</v>
      </c>
      <c r="K260" s="4">
        <v>15313.37</v>
      </c>
      <c r="L260" s="4">
        <v>2828.27</v>
      </c>
      <c r="M260" s="4">
        <v>36</v>
      </c>
      <c r="N260" s="4">
        <v>18105.64</v>
      </c>
      <c r="O260" s="4">
        <f t="shared" si="13"/>
        <v>2792.27</v>
      </c>
    </row>
    <row r="261" spans="2:15" x14ac:dyDescent="0.3">
      <c r="B261" s="2" t="str">
        <f>_xlfn.XLOOKUP($I261,Tab_00.Trial[CONTA],Tab_00.Trial[TP],"",0,1)</f>
        <v>C</v>
      </c>
      <c r="C261" s="2">
        <f>_xlfn.XLOOKUP($I261,Tab_00.Trial[CONTA],Tab_00.Trial[NV],"",0,1)</f>
        <v>5</v>
      </c>
      <c r="D261" s="2" t="str">
        <f>_xlfn.XLOOKUP($I261,Tab_00.Trial[CONTA],Tab_00.Trial[S/A],"",0,1)</f>
        <v>A</v>
      </c>
      <c r="E261" s="2">
        <f>IF($I261="","",COUNTIFS(Tab_00.Trial[CONTA],$I261))</f>
        <v>1</v>
      </c>
      <c r="F261" s="4">
        <f>SUMIFS(Tab_11.Nov[SALDO
ATUAL],Tab_11.Nov[CONTA],$I261)</f>
        <v>159.69999999999999</v>
      </c>
      <c r="G261" s="4">
        <f t="shared" si="12"/>
        <v>0</v>
      </c>
      <c r="I261" s="3" t="s">
        <v>505</v>
      </c>
      <c r="J261" s="3" t="s">
        <v>506</v>
      </c>
      <c r="K261" s="4">
        <v>159.69999999999999</v>
      </c>
      <c r="L261" s="4">
        <v>0</v>
      </c>
      <c r="M261" s="4">
        <v>0</v>
      </c>
      <c r="N261" s="4">
        <v>159.69999999999999</v>
      </c>
      <c r="O261" s="4">
        <f t="shared" si="13"/>
        <v>0</v>
      </c>
    </row>
    <row r="262" spans="2:15" x14ac:dyDescent="0.3">
      <c r="B262" s="2" t="str">
        <f>_xlfn.XLOOKUP($I262,Tab_00.Trial[CONTA],Tab_00.Trial[TP],"",0,1)</f>
        <v>C</v>
      </c>
      <c r="C262" s="2">
        <f>_xlfn.XLOOKUP($I262,Tab_00.Trial[CONTA],Tab_00.Trial[NV],"",0,1)</f>
        <v>5</v>
      </c>
      <c r="D262" s="2" t="str">
        <f>_xlfn.XLOOKUP($I262,Tab_00.Trial[CONTA],Tab_00.Trial[S/A],"",0,1)</f>
        <v>S</v>
      </c>
      <c r="E262" s="2">
        <f>IF($I262="","",COUNTIFS(Tab_00.Trial[CONTA],$I262))</f>
        <v>1</v>
      </c>
      <c r="F262" s="4">
        <f>SUMIFS(Tab_11.Nov[SALDO
ATUAL],Tab_11.Nov[CONTA],$I262)</f>
        <v>63380.91</v>
      </c>
      <c r="G262" s="4">
        <f t="shared" si="12"/>
        <v>0</v>
      </c>
      <c r="I262" s="3" t="s">
        <v>615</v>
      </c>
      <c r="J262" s="3" t="s">
        <v>719</v>
      </c>
      <c r="K262" s="4">
        <v>63380.91</v>
      </c>
      <c r="L262" s="4">
        <v>5375.14</v>
      </c>
      <c r="M262" s="4">
        <v>0</v>
      </c>
      <c r="N262" s="4">
        <v>68756.05</v>
      </c>
      <c r="O262" s="4">
        <f t="shared" si="13"/>
        <v>5375.14</v>
      </c>
    </row>
    <row r="263" spans="2:15" x14ac:dyDescent="0.3">
      <c r="B263" s="2" t="str">
        <f>_xlfn.XLOOKUP($I263,Tab_00.Trial[CONTA],Tab_00.Trial[TP],"",0,1)</f>
        <v>C</v>
      </c>
      <c r="C263" s="2">
        <f>_xlfn.XLOOKUP($I263,Tab_00.Trial[CONTA],Tab_00.Trial[NV],"",0,1)</f>
        <v>5</v>
      </c>
      <c r="D263" s="2" t="str">
        <f>_xlfn.XLOOKUP($I263,Tab_00.Trial[CONTA],Tab_00.Trial[S/A],"",0,1)</f>
        <v>S</v>
      </c>
      <c r="E263" s="2">
        <f>IF($I263="","",COUNTIFS(Tab_00.Trial[CONTA],$I263))</f>
        <v>1</v>
      </c>
      <c r="F263" s="4">
        <f>SUMIFS(Tab_11.Nov[SALDO
ATUAL],Tab_11.Nov[CONTA],$I263)</f>
        <v>3160.59</v>
      </c>
      <c r="G263" s="4">
        <f t="shared" si="12"/>
        <v>0</v>
      </c>
      <c r="I263" s="3" t="s">
        <v>617</v>
      </c>
      <c r="J263" s="3" t="s">
        <v>721</v>
      </c>
      <c r="K263" s="4">
        <v>3160.59</v>
      </c>
      <c r="L263" s="4">
        <v>291.76</v>
      </c>
      <c r="M263" s="4">
        <v>0</v>
      </c>
      <c r="N263" s="4">
        <v>3452.35</v>
      </c>
      <c r="O263" s="4">
        <f t="shared" si="13"/>
        <v>291.76</v>
      </c>
    </row>
    <row r="264" spans="2:15" x14ac:dyDescent="0.3">
      <c r="B264" s="2" t="str">
        <f>_xlfn.XLOOKUP($I264,Tab_00.Trial[CONTA],Tab_00.Trial[TP],"",0,1)</f>
        <v>C</v>
      </c>
      <c r="C264" s="2">
        <f>_xlfn.XLOOKUP($I264,Tab_00.Trial[CONTA],Tab_00.Trial[NV],"",0,1)</f>
        <v>5</v>
      </c>
      <c r="D264" s="2" t="str">
        <f>_xlfn.XLOOKUP($I264,Tab_00.Trial[CONTA],Tab_00.Trial[S/A],"",0,1)</f>
        <v>A</v>
      </c>
      <c r="E264" s="2">
        <f>IF($I264="","",COUNTIFS(Tab_00.Trial[CONTA],$I264))</f>
        <v>1</v>
      </c>
      <c r="F264" s="4">
        <f>SUMIFS(Tab_11.Nov[SALDO
ATUAL],Tab_11.Nov[CONTA],$I264)</f>
        <v>3160.59</v>
      </c>
      <c r="G264" s="4">
        <f t="shared" si="12"/>
        <v>0</v>
      </c>
      <c r="I264" s="3" t="s">
        <v>739</v>
      </c>
      <c r="J264" s="3" t="s">
        <v>740</v>
      </c>
      <c r="K264" s="4">
        <v>3160.59</v>
      </c>
      <c r="L264" s="4">
        <v>291.76</v>
      </c>
      <c r="M264" s="4">
        <v>0</v>
      </c>
      <c r="N264" s="4">
        <v>3452.35</v>
      </c>
      <c r="O264" s="4">
        <f t="shared" si="13"/>
        <v>291.76</v>
      </c>
    </row>
    <row r="265" spans="2:15" x14ac:dyDescent="0.3">
      <c r="B265" s="2" t="str">
        <f>_xlfn.XLOOKUP($I265,Tab_00.Trial[CONTA],Tab_00.Trial[TP],"",0,1)</f>
        <v>C</v>
      </c>
      <c r="C265" s="2">
        <f>_xlfn.XLOOKUP($I265,Tab_00.Trial[CONTA],Tab_00.Trial[NV],"",0,1)</f>
        <v>5</v>
      </c>
      <c r="D265" s="2" t="str">
        <f>_xlfn.XLOOKUP($I265,Tab_00.Trial[CONTA],Tab_00.Trial[S/A],"",0,1)</f>
        <v>S</v>
      </c>
      <c r="E265" s="2">
        <f>IF($I265="","",COUNTIFS(Tab_00.Trial[CONTA],$I265))</f>
        <v>1</v>
      </c>
      <c r="F265" s="4">
        <f>SUMIFS(Tab_11.Nov[SALDO
ATUAL],Tab_11.Nov[CONTA],$I265)</f>
        <v>29211.68</v>
      </c>
      <c r="G265" s="4">
        <f t="shared" si="12"/>
        <v>0</v>
      </c>
      <c r="I265" s="3" t="s">
        <v>618</v>
      </c>
      <c r="J265" s="3" t="s">
        <v>722</v>
      </c>
      <c r="K265" s="4">
        <v>29211.68</v>
      </c>
      <c r="L265" s="4">
        <v>2708.67</v>
      </c>
      <c r="M265" s="4">
        <v>0</v>
      </c>
      <c r="N265" s="4">
        <v>31920.35</v>
      </c>
      <c r="O265" s="4">
        <f t="shared" si="13"/>
        <v>2708.67</v>
      </c>
    </row>
    <row r="266" spans="2:15" x14ac:dyDescent="0.3">
      <c r="B266" s="2" t="str">
        <f>_xlfn.XLOOKUP($I266,Tab_00.Trial[CONTA],Tab_00.Trial[TP],"",0,1)</f>
        <v>C</v>
      </c>
      <c r="C266" s="2">
        <f>_xlfn.XLOOKUP($I266,Tab_00.Trial[CONTA],Tab_00.Trial[NV],"",0,1)</f>
        <v>5</v>
      </c>
      <c r="D266" s="2" t="str">
        <f>_xlfn.XLOOKUP($I266,Tab_00.Trial[CONTA],Tab_00.Trial[S/A],"",0,1)</f>
        <v>A</v>
      </c>
      <c r="E266" s="2">
        <f>IF($I266="","",COUNTIFS(Tab_00.Trial[CONTA],$I266))</f>
        <v>1</v>
      </c>
      <c r="F266" s="4">
        <f>SUMIFS(Tab_11.Nov[SALDO
ATUAL],Tab_11.Nov[CONTA],$I266)</f>
        <v>29211.68</v>
      </c>
      <c r="G266" s="4">
        <f t="shared" si="12"/>
        <v>0</v>
      </c>
      <c r="I266" s="3" t="s">
        <v>511</v>
      </c>
      <c r="J266" s="3" t="s">
        <v>512</v>
      </c>
      <c r="K266" s="4">
        <v>29211.68</v>
      </c>
      <c r="L266" s="4">
        <v>2708.67</v>
      </c>
      <c r="M266" s="4">
        <v>0</v>
      </c>
      <c r="N266" s="4">
        <v>31920.35</v>
      </c>
      <c r="O266" s="4">
        <f t="shared" si="13"/>
        <v>2708.67</v>
      </c>
    </row>
    <row r="267" spans="2:15" x14ac:dyDescent="0.3">
      <c r="B267" s="2" t="str">
        <f>_xlfn.XLOOKUP($I267,Tab_00.Trial[CONTA],Tab_00.Trial[TP],"",0,1)</f>
        <v>C</v>
      </c>
      <c r="C267" s="2">
        <f>_xlfn.XLOOKUP($I267,Tab_00.Trial[CONTA],Tab_00.Trial[NV],"",0,1)</f>
        <v>5</v>
      </c>
      <c r="D267" s="2" t="str">
        <f>_xlfn.XLOOKUP($I267,Tab_00.Trial[CONTA],Tab_00.Trial[S/A],"",0,1)</f>
        <v>S</v>
      </c>
      <c r="E267" s="2">
        <f>IF($I267="","",COUNTIFS(Tab_00.Trial[CONTA],$I267))</f>
        <v>1</v>
      </c>
      <c r="F267" s="4">
        <f>SUMIFS(Tab_11.Nov[SALDO
ATUAL],Tab_11.Nov[CONTA],$I267)</f>
        <v>31008.639999999999</v>
      </c>
      <c r="G267" s="4">
        <f t="shared" si="12"/>
        <v>0</v>
      </c>
      <c r="I267" s="3" t="s">
        <v>619</v>
      </c>
      <c r="J267" s="3" t="s">
        <v>420</v>
      </c>
      <c r="K267" s="4">
        <v>31008.639999999999</v>
      </c>
      <c r="L267" s="4">
        <v>2374.71</v>
      </c>
      <c r="M267" s="4">
        <v>0</v>
      </c>
      <c r="N267" s="4">
        <v>33383.35</v>
      </c>
      <c r="O267" s="4">
        <f t="shared" si="13"/>
        <v>2374.71</v>
      </c>
    </row>
    <row r="268" spans="2:15" x14ac:dyDescent="0.3">
      <c r="B268" s="2" t="str">
        <f>_xlfn.XLOOKUP($I268,Tab_00.Trial[CONTA],Tab_00.Trial[TP],"",0,1)</f>
        <v>C</v>
      </c>
      <c r="C268" s="2">
        <f>_xlfn.XLOOKUP($I268,Tab_00.Trial[CONTA],Tab_00.Trial[NV],"",0,1)</f>
        <v>5</v>
      </c>
      <c r="D268" s="2" t="str">
        <f>_xlfn.XLOOKUP($I268,Tab_00.Trial[CONTA],Tab_00.Trial[S/A],"",0,1)</f>
        <v>A</v>
      </c>
      <c r="E268" s="2">
        <f>IF($I268="","",COUNTIFS(Tab_00.Trial[CONTA],$I268))</f>
        <v>1</v>
      </c>
      <c r="F268" s="4">
        <f>SUMIFS(Tab_11.Nov[SALDO
ATUAL],Tab_11.Nov[CONTA],$I268)</f>
        <v>31008.639999999999</v>
      </c>
      <c r="G268" s="4">
        <f t="shared" si="12"/>
        <v>0</v>
      </c>
      <c r="I268" s="3" t="s">
        <v>515</v>
      </c>
      <c r="J268" s="3" t="s">
        <v>420</v>
      </c>
      <c r="K268" s="4">
        <v>31008.639999999999</v>
      </c>
      <c r="L268" s="4">
        <v>2374.71</v>
      </c>
      <c r="M268" s="4">
        <v>0</v>
      </c>
      <c r="N268" s="4">
        <v>33383.35</v>
      </c>
      <c r="O268" s="4">
        <f t="shared" si="13"/>
        <v>2374.71</v>
      </c>
    </row>
    <row r="269" spans="2:15" x14ac:dyDescent="0.3">
      <c r="B269" s="2" t="str">
        <f>_xlfn.XLOOKUP($I269,Tab_00.Trial[CONTA],Tab_00.Trial[TP],"",0,1)</f>
        <v>C</v>
      </c>
      <c r="C269" s="2">
        <f>_xlfn.XLOOKUP($I269,Tab_00.Trial[CONTA],Tab_00.Trial[NV],"",0,1)</f>
        <v>5</v>
      </c>
      <c r="D269" s="2" t="str">
        <f>_xlfn.XLOOKUP($I269,Tab_00.Trial[CONTA],Tab_00.Trial[S/A],"",0,1)</f>
        <v>S</v>
      </c>
      <c r="E269" s="2">
        <f>IF($I269="","",COUNTIFS(Tab_00.Trial[CONTA],$I269))</f>
        <v>1</v>
      </c>
      <c r="F269" s="4">
        <f>SUMIFS(Tab_11.Nov[SALDO
ATUAL],Tab_11.Nov[CONTA],$I269)</f>
        <v>27620.18</v>
      </c>
      <c r="G269" s="4">
        <f t="shared" si="12"/>
        <v>0</v>
      </c>
      <c r="I269" s="3" t="s">
        <v>621</v>
      </c>
      <c r="J269" s="3" t="s">
        <v>723</v>
      </c>
      <c r="K269" s="4">
        <v>27620.18</v>
      </c>
      <c r="L269" s="4">
        <v>879.34</v>
      </c>
      <c r="M269" s="4">
        <v>0</v>
      </c>
      <c r="N269" s="4">
        <v>28499.52</v>
      </c>
      <c r="O269" s="4">
        <f t="shared" si="13"/>
        <v>879.34</v>
      </c>
    </row>
    <row r="270" spans="2:15" x14ac:dyDescent="0.3">
      <c r="B270" s="2" t="str">
        <f>_xlfn.XLOOKUP($I270,Tab_00.Trial[CONTA],Tab_00.Trial[TP],"",0,1)</f>
        <v>C</v>
      </c>
      <c r="C270" s="2">
        <f>_xlfn.XLOOKUP($I270,Tab_00.Trial[CONTA],Tab_00.Trial[NV],"",0,1)</f>
        <v>5</v>
      </c>
      <c r="D270" s="2" t="str">
        <f>_xlfn.XLOOKUP($I270,Tab_00.Trial[CONTA],Tab_00.Trial[S/A],"",0,1)</f>
        <v>S</v>
      </c>
      <c r="E270" s="2">
        <f>IF($I270="","",COUNTIFS(Tab_00.Trial[CONTA],$I270))</f>
        <v>1</v>
      </c>
      <c r="F270" s="4">
        <f>SUMIFS(Tab_11.Nov[SALDO
ATUAL],Tab_11.Nov[CONTA],$I270)</f>
        <v>27620.18</v>
      </c>
      <c r="G270" s="4">
        <f t="shared" si="12"/>
        <v>0</v>
      </c>
      <c r="I270" s="3" t="s">
        <v>622</v>
      </c>
      <c r="J270" s="3" t="s">
        <v>723</v>
      </c>
      <c r="K270" s="4">
        <v>27620.18</v>
      </c>
      <c r="L270" s="4">
        <v>879.34</v>
      </c>
      <c r="M270" s="4">
        <v>0</v>
      </c>
      <c r="N270" s="4">
        <v>28499.52</v>
      </c>
      <c r="O270" s="4">
        <f t="shared" si="13"/>
        <v>879.34</v>
      </c>
    </row>
    <row r="271" spans="2:15" x14ac:dyDescent="0.3">
      <c r="B271" s="2" t="str">
        <f>_xlfn.XLOOKUP($I271,Tab_00.Trial[CONTA],Tab_00.Trial[TP],"",0,1)</f>
        <v>C</v>
      </c>
      <c r="C271" s="2">
        <f>_xlfn.XLOOKUP($I271,Tab_00.Trial[CONTA],Tab_00.Trial[NV],"",0,1)</f>
        <v>5</v>
      </c>
      <c r="D271" s="2" t="str">
        <f>_xlfn.XLOOKUP($I271,Tab_00.Trial[CONTA],Tab_00.Trial[S/A],"",0,1)</f>
        <v>A</v>
      </c>
      <c r="E271" s="2">
        <f>IF($I271="","",COUNTIFS(Tab_00.Trial[CONTA],$I271))</f>
        <v>1</v>
      </c>
      <c r="F271" s="4">
        <f>SUMIFS(Tab_11.Nov[SALDO
ATUAL],Tab_11.Nov[CONTA],$I271)</f>
        <v>27620.18</v>
      </c>
      <c r="G271" s="4">
        <f t="shared" si="12"/>
        <v>0</v>
      </c>
      <c r="I271" s="3" t="s">
        <v>518</v>
      </c>
      <c r="J271" s="3" t="s">
        <v>519</v>
      </c>
      <c r="K271" s="4">
        <v>27620.18</v>
      </c>
      <c r="L271" s="4">
        <v>879.34</v>
      </c>
      <c r="M271" s="4">
        <v>0</v>
      </c>
      <c r="N271" s="4">
        <v>28499.52</v>
      </c>
      <c r="O271" s="4">
        <f t="shared" si="13"/>
        <v>879.34</v>
      </c>
    </row>
    <row r="272" spans="2:15" x14ac:dyDescent="0.3">
      <c r="B272" s="2" t="str">
        <f>_xlfn.XLOOKUP($I272,Tab_00.Trial[CONTA],Tab_00.Trial[TP],"",0,1)</f>
        <v>C</v>
      </c>
      <c r="C272" s="2">
        <f>_xlfn.XLOOKUP($I272,Tab_00.Trial[CONTA],Tab_00.Trial[NV],"",0,1)</f>
        <v>5</v>
      </c>
      <c r="D272" s="2" t="str">
        <f>_xlfn.XLOOKUP($I272,Tab_00.Trial[CONTA],Tab_00.Trial[S/A],"",0,1)</f>
        <v>S</v>
      </c>
      <c r="E272" s="2">
        <f>IF($I272="","",COUNTIFS(Tab_00.Trial[CONTA],$I272))</f>
        <v>1</v>
      </c>
      <c r="F272" s="4">
        <f>SUMIFS(Tab_11.Nov[SALDO
ATUAL],Tab_11.Nov[CONTA],$I272)</f>
        <v>43615.49</v>
      </c>
      <c r="G272" s="4">
        <f t="shared" si="12"/>
        <v>0</v>
      </c>
      <c r="I272" s="3" t="s">
        <v>623</v>
      </c>
      <c r="J272" s="3" t="s">
        <v>724</v>
      </c>
      <c r="K272" s="4">
        <v>43615.49</v>
      </c>
      <c r="L272" s="4">
        <v>3666.75</v>
      </c>
      <c r="M272" s="4">
        <v>0</v>
      </c>
      <c r="N272" s="4">
        <v>47282.239999999998</v>
      </c>
      <c r="O272" s="4">
        <f t="shared" si="13"/>
        <v>3666.75</v>
      </c>
    </row>
    <row r="273" spans="2:15" x14ac:dyDescent="0.3">
      <c r="B273" s="2" t="str">
        <f>_xlfn.XLOOKUP($I273,Tab_00.Trial[CONTA],Tab_00.Trial[TP],"",0,1)</f>
        <v>C</v>
      </c>
      <c r="C273" s="2">
        <f>_xlfn.XLOOKUP($I273,Tab_00.Trial[CONTA],Tab_00.Trial[NV],"",0,1)</f>
        <v>5</v>
      </c>
      <c r="D273" s="2" t="str">
        <f>_xlfn.XLOOKUP($I273,Tab_00.Trial[CONTA],Tab_00.Trial[S/A],"",0,1)</f>
        <v>S</v>
      </c>
      <c r="E273" s="2">
        <f>IF($I273="","",COUNTIFS(Tab_00.Trial[CONTA],$I273))</f>
        <v>1</v>
      </c>
      <c r="F273" s="4">
        <f>SUMIFS(Tab_11.Nov[SALDO
ATUAL],Tab_11.Nov[CONTA],$I273)</f>
        <v>43615.49</v>
      </c>
      <c r="G273" s="4">
        <f t="shared" si="12"/>
        <v>0</v>
      </c>
      <c r="I273" s="3" t="s">
        <v>624</v>
      </c>
      <c r="J273" s="3" t="s">
        <v>724</v>
      </c>
      <c r="K273" s="4">
        <v>43615.49</v>
      </c>
      <c r="L273" s="4">
        <v>3666.75</v>
      </c>
      <c r="M273" s="4">
        <v>0</v>
      </c>
      <c r="N273" s="4">
        <v>47282.239999999998</v>
      </c>
      <c r="O273" s="4">
        <f t="shared" si="13"/>
        <v>3666.75</v>
      </c>
    </row>
    <row r="274" spans="2:15" x14ac:dyDescent="0.3">
      <c r="B274" s="2" t="str">
        <f>_xlfn.XLOOKUP($I274,Tab_00.Trial[CONTA],Tab_00.Trial[TP],"",0,1)</f>
        <v>C</v>
      </c>
      <c r="C274" s="2">
        <f>_xlfn.XLOOKUP($I274,Tab_00.Trial[CONTA],Tab_00.Trial[NV],"",0,1)</f>
        <v>5</v>
      </c>
      <c r="D274" s="2" t="str">
        <f>_xlfn.XLOOKUP($I274,Tab_00.Trial[CONTA],Tab_00.Trial[S/A],"",0,1)</f>
        <v>A</v>
      </c>
      <c r="E274" s="2">
        <f>IF($I274="","",COUNTIFS(Tab_00.Trial[CONTA],$I274))</f>
        <v>1</v>
      </c>
      <c r="F274" s="4">
        <f>SUMIFS(Tab_11.Nov[SALDO
ATUAL],Tab_11.Nov[CONTA],$I274)</f>
        <v>43615.49</v>
      </c>
      <c r="G274" s="4">
        <f t="shared" si="12"/>
        <v>0</v>
      </c>
      <c r="I274" s="3" t="s">
        <v>520</v>
      </c>
      <c r="J274" s="3" t="s">
        <v>521</v>
      </c>
      <c r="K274" s="4">
        <v>43615.49</v>
      </c>
      <c r="L274" s="4">
        <v>3666.75</v>
      </c>
      <c r="M274" s="4">
        <v>0</v>
      </c>
      <c r="N274" s="4">
        <v>47282.239999999998</v>
      </c>
      <c r="O274" s="4">
        <f t="shared" si="13"/>
        <v>3666.75</v>
      </c>
    </row>
    <row r="275" spans="2:15" x14ac:dyDescent="0.3">
      <c r="B275" s="2" t="str">
        <f>_xlfn.XLOOKUP($I275,Tab_00.Trial[CONTA],Tab_00.Trial[TP],"",0,1)</f>
        <v>C</v>
      </c>
      <c r="C275" s="2">
        <f>_xlfn.XLOOKUP($I275,Tab_00.Trial[CONTA],Tab_00.Trial[NV],"",0,1)</f>
        <v>5</v>
      </c>
      <c r="D275" s="2" t="str">
        <f>_xlfn.XLOOKUP($I275,Tab_00.Trial[CONTA],Tab_00.Trial[S/A],"",0,1)</f>
        <v>S</v>
      </c>
      <c r="E275" s="2">
        <f>IF($I275="","",COUNTIFS(Tab_00.Trial[CONTA],$I275))</f>
        <v>1</v>
      </c>
      <c r="F275" s="4">
        <f>SUMIFS(Tab_11.Nov[SALDO
ATUAL],Tab_11.Nov[CONTA],$I275)</f>
        <v>54858.26</v>
      </c>
      <c r="G275" s="4">
        <f t="shared" si="12"/>
        <v>0</v>
      </c>
      <c r="I275" s="3" t="s">
        <v>625</v>
      </c>
      <c r="J275" s="3" t="s">
        <v>542</v>
      </c>
      <c r="K275" s="4">
        <v>54858.26</v>
      </c>
      <c r="L275" s="4">
        <v>9434.7199999999993</v>
      </c>
      <c r="M275" s="4">
        <v>0</v>
      </c>
      <c r="N275" s="4">
        <v>64292.98</v>
      </c>
      <c r="O275" s="4">
        <f t="shared" si="13"/>
        <v>9434.7199999999993</v>
      </c>
    </row>
    <row r="276" spans="2:15" x14ac:dyDescent="0.3">
      <c r="B276" s="2" t="str">
        <f>_xlfn.XLOOKUP($I276,Tab_00.Trial[CONTA],Tab_00.Trial[TP],"",0,1)</f>
        <v>C</v>
      </c>
      <c r="C276" s="2">
        <f>_xlfn.XLOOKUP($I276,Tab_00.Trial[CONTA],Tab_00.Trial[NV],"",0,1)</f>
        <v>5</v>
      </c>
      <c r="D276" s="2" t="str">
        <f>_xlfn.XLOOKUP($I276,Tab_00.Trial[CONTA],Tab_00.Trial[S/A],"",0,1)</f>
        <v>S</v>
      </c>
      <c r="E276" s="2">
        <f>IF($I276="","",COUNTIFS(Tab_00.Trial[CONTA],$I276))</f>
        <v>1</v>
      </c>
      <c r="F276" s="4">
        <f>SUMIFS(Tab_11.Nov[SALDO
ATUAL],Tab_11.Nov[CONTA],$I276)</f>
        <v>17541.150000000001</v>
      </c>
      <c r="G276" s="4">
        <f t="shared" si="12"/>
        <v>0</v>
      </c>
      <c r="I276" s="3" t="s">
        <v>626</v>
      </c>
      <c r="J276" s="3" t="s">
        <v>725</v>
      </c>
      <c r="K276" s="4">
        <v>17541.150000000001</v>
      </c>
      <c r="L276" s="4">
        <v>24.62</v>
      </c>
      <c r="M276" s="4">
        <v>0</v>
      </c>
      <c r="N276" s="4">
        <v>17565.77</v>
      </c>
      <c r="O276" s="4">
        <f t="shared" si="13"/>
        <v>24.62</v>
      </c>
    </row>
    <row r="277" spans="2:15" x14ac:dyDescent="0.3">
      <c r="B277" s="2" t="str">
        <f>_xlfn.XLOOKUP($I277,Tab_00.Trial[CONTA],Tab_00.Trial[TP],"",0,1)</f>
        <v>C</v>
      </c>
      <c r="C277" s="2">
        <f>_xlfn.XLOOKUP($I277,Tab_00.Trial[CONTA],Tab_00.Trial[NV],"",0,1)</f>
        <v>5</v>
      </c>
      <c r="D277" s="2" t="str">
        <f>_xlfn.XLOOKUP($I277,Tab_00.Trial[CONTA],Tab_00.Trial[S/A],"",0,1)</f>
        <v>A</v>
      </c>
      <c r="E277" s="2">
        <f>IF($I277="","",COUNTIFS(Tab_00.Trial[CONTA],$I277))</f>
        <v>1</v>
      </c>
      <c r="F277" s="4">
        <f>SUMIFS(Tab_11.Nov[SALDO
ATUAL],Tab_11.Nov[CONTA],$I277)</f>
        <v>16854.34</v>
      </c>
      <c r="G277" s="4">
        <f t="shared" si="12"/>
        <v>0</v>
      </c>
      <c r="I277" s="3" t="s">
        <v>522</v>
      </c>
      <c r="J277" s="3" t="s">
        <v>523</v>
      </c>
      <c r="K277" s="4">
        <v>16854.34</v>
      </c>
      <c r="L277" s="4">
        <v>0</v>
      </c>
      <c r="M277" s="4">
        <v>0</v>
      </c>
      <c r="N277" s="4">
        <v>16854.34</v>
      </c>
      <c r="O277" s="4">
        <f t="shared" si="13"/>
        <v>0</v>
      </c>
    </row>
    <row r="278" spans="2:15" x14ac:dyDescent="0.3">
      <c r="B278" s="2" t="str">
        <f>_xlfn.XLOOKUP($I278,Tab_00.Trial[CONTA],Tab_00.Trial[TP],"",0,1)</f>
        <v>C</v>
      </c>
      <c r="C278" s="2">
        <f>_xlfn.XLOOKUP($I278,Tab_00.Trial[CONTA],Tab_00.Trial[NV],"",0,1)</f>
        <v>5</v>
      </c>
      <c r="D278" s="2" t="str">
        <f>_xlfn.XLOOKUP($I278,Tab_00.Trial[CONTA],Tab_00.Trial[S/A],"",0,1)</f>
        <v>A</v>
      </c>
      <c r="E278" s="2">
        <f>IF($I278="","",COUNTIFS(Tab_00.Trial[CONTA],$I278))</f>
        <v>1</v>
      </c>
      <c r="F278" s="4">
        <f>SUMIFS(Tab_11.Nov[SALDO
ATUAL],Tab_11.Nov[CONTA],$I278)</f>
        <v>686.81</v>
      </c>
      <c r="G278" s="4">
        <f t="shared" si="12"/>
        <v>0</v>
      </c>
      <c r="I278" s="3" t="s">
        <v>524</v>
      </c>
      <c r="J278" s="3" t="s">
        <v>525</v>
      </c>
      <c r="K278" s="4">
        <v>686.81</v>
      </c>
      <c r="L278" s="4">
        <v>24.62</v>
      </c>
      <c r="M278" s="4">
        <v>0</v>
      </c>
      <c r="N278" s="4">
        <v>711.43</v>
      </c>
      <c r="O278" s="4">
        <f t="shared" si="13"/>
        <v>24.62</v>
      </c>
    </row>
    <row r="279" spans="2:15" x14ac:dyDescent="0.3">
      <c r="B279" s="2" t="str">
        <f>_xlfn.XLOOKUP($I279,Tab_00.Trial[CONTA],Tab_00.Trial[TP],"",0,1)</f>
        <v>C</v>
      </c>
      <c r="C279" s="2">
        <f>_xlfn.XLOOKUP($I279,Tab_00.Trial[CONTA],Tab_00.Trial[NV],"",0,1)</f>
        <v>5</v>
      </c>
      <c r="D279" s="2" t="str">
        <f>_xlfn.XLOOKUP($I279,Tab_00.Trial[CONTA],Tab_00.Trial[S/A],"",0,1)</f>
        <v>S</v>
      </c>
      <c r="E279" s="2">
        <f>IF($I279="","",COUNTIFS(Tab_00.Trial[CONTA],$I279))</f>
        <v>1</v>
      </c>
      <c r="F279" s="4">
        <f>SUMIFS(Tab_11.Nov[SALDO
ATUAL],Tab_11.Nov[CONTA],$I279)</f>
        <v>37317.11</v>
      </c>
      <c r="G279" s="4">
        <f t="shared" si="12"/>
        <v>0</v>
      </c>
      <c r="I279" s="3" t="s">
        <v>627</v>
      </c>
      <c r="J279" s="3" t="s">
        <v>542</v>
      </c>
      <c r="K279" s="4">
        <v>37317.11</v>
      </c>
      <c r="L279" s="4">
        <v>9410.1</v>
      </c>
      <c r="M279" s="4">
        <v>0</v>
      </c>
      <c r="N279" s="4">
        <v>46727.21</v>
      </c>
      <c r="O279" s="4">
        <f t="shared" si="13"/>
        <v>9410.1</v>
      </c>
    </row>
    <row r="280" spans="2:15" x14ac:dyDescent="0.3">
      <c r="B280" s="2" t="str">
        <f>_xlfn.XLOOKUP($I280,Tab_00.Trial[CONTA],Tab_00.Trial[TP],"",0,1)</f>
        <v>C</v>
      </c>
      <c r="C280" s="2">
        <f>_xlfn.XLOOKUP($I280,Tab_00.Trial[CONTA],Tab_00.Trial[NV],"",0,1)</f>
        <v>5</v>
      </c>
      <c r="D280" s="2" t="str">
        <f>_xlfn.XLOOKUP($I280,Tab_00.Trial[CONTA],Tab_00.Trial[S/A],"",0,1)</f>
        <v>A</v>
      </c>
      <c r="E280" s="2">
        <f>IF($I280="","",COUNTIFS(Tab_00.Trial[CONTA],$I280))</f>
        <v>1</v>
      </c>
      <c r="F280" s="4">
        <f>SUMIFS(Tab_11.Nov[SALDO
ATUAL],Tab_11.Nov[CONTA],$I280)</f>
        <v>2464.7399999999998</v>
      </c>
      <c r="G280" s="4">
        <f t="shared" si="12"/>
        <v>0</v>
      </c>
      <c r="I280" s="3" t="s">
        <v>528</v>
      </c>
      <c r="J280" s="3" t="s">
        <v>416</v>
      </c>
      <c r="K280" s="4">
        <v>2464.7399999999998</v>
      </c>
      <c r="L280" s="4">
        <v>0</v>
      </c>
      <c r="M280" s="4">
        <v>0</v>
      </c>
      <c r="N280" s="4">
        <v>2464.7399999999998</v>
      </c>
      <c r="O280" s="4">
        <f t="shared" si="13"/>
        <v>0</v>
      </c>
    </row>
    <row r="281" spans="2:15" x14ac:dyDescent="0.3">
      <c r="B281" s="2" t="str">
        <f>_xlfn.XLOOKUP($I281,Tab_00.Trial[CONTA],Tab_00.Trial[TP],"",0,1)</f>
        <v>C</v>
      </c>
      <c r="C281" s="2">
        <f>_xlfn.XLOOKUP($I281,Tab_00.Trial[CONTA],Tab_00.Trial[NV],"",0,1)</f>
        <v>5</v>
      </c>
      <c r="D281" s="2" t="str">
        <f>_xlfn.XLOOKUP($I281,Tab_00.Trial[CONTA],Tab_00.Trial[S/A],"",0,1)</f>
        <v>A</v>
      </c>
      <c r="E281" s="2">
        <f>IF($I281="","",COUNTIFS(Tab_00.Trial[CONTA],$I281))</f>
        <v>1</v>
      </c>
      <c r="F281" s="4">
        <f>SUMIFS(Tab_11.Nov[SALDO
ATUAL],Tab_11.Nov[CONTA],$I281)</f>
        <v>849.32</v>
      </c>
      <c r="G281" s="4">
        <f t="shared" si="12"/>
        <v>0</v>
      </c>
      <c r="I281" s="3" t="s">
        <v>529</v>
      </c>
      <c r="J281" s="3" t="s">
        <v>530</v>
      </c>
      <c r="K281" s="4">
        <v>849.32</v>
      </c>
      <c r="L281" s="4">
        <v>0</v>
      </c>
      <c r="M281" s="4">
        <v>0</v>
      </c>
      <c r="N281" s="4">
        <v>849.32</v>
      </c>
      <c r="O281" s="4">
        <f t="shared" si="13"/>
        <v>0</v>
      </c>
    </row>
    <row r="282" spans="2:15" x14ac:dyDescent="0.3">
      <c r="B282" s="2" t="str">
        <f>_xlfn.XLOOKUP($I282,Tab_00.Trial[CONTA],Tab_00.Trial[TP],"",0,1)</f>
        <v>C</v>
      </c>
      <c r="C282" s="2">
        <f>_xlfn.XLOOKUP($I282,Tab_00.Trial[CONTA],Tab_00.Trial[NV],"",0,1)</f>
        <v>5</v>
      </c>
      <c r="D282" s="2" t="str">
        <f>_xlfn.XLOOKUP($I282,Tab_00.Trial[CONTA],Tab_00.Trial[S/A],"",0,1)</f>
        <v>A</v>
      </c>
      <c r="E282" s="2">
        <f>IF($I282="","",COUNTIFS(Tab_00.Trial[CONTA],$I282))</f>
        <v>1</v>
      </c>
      <c r="F282" s="4">
        <f>SUMIFS(Tab_11.Nov[SALDO
ATUAL],Tab_11.Nov[CONTA],$I282)</f>
        <v>1664.1</v>
      </c>
      <c r="G282" s="4">
        <f t="shared" ref="G282:G296" si="14">$F282-$K282</f>
        <v>0</v>
      </c>
      <c r="I282" s="3" t="s">
        <v>531</v>
      </c>
      <c r="J282" s="3" t="s">
        <v>532</v>
      </c>
      <c r="K282" s="4">
        <v>1664.1</v>
      </c>
      <c r="L282" s="4">
        <v>44.28</v>
      </c>
      <c r="M282" s="4">
        <v>0</v>
      </c>
      <c r="N282" s="4">
        <v>1708.38</v>
      </c>
      <c r="O282" s="4">
        <f t="shared" ref="O282:O296" si="15">$L282-$M282</f>
        <v>44.28</v>
      </c>
    </row>
    <row r="283" spans="2:15" x14ac:dyDescent="0.3">
      <c r="B283" s="2" t="str">
        <f>_xlfn.XLOOKUP($I283,Tab_00.Trial[CONTA],Tab_00.Trial[TP],"",0,1)</f>
        <v>C</v>
      </c>
      <c r="C283" s="2">
        <f>_xlfn.XLOOKUP($I283,Tab_00.Trial[CONTA],Tab_00.Trial[NV],"",0,1)</f>
        <v>5</v>
      </c>
      <c r="D283" s="2" t="str">
        <f>_xlfn.XLOOKUP($I283,Tab_00.Trial[CONTA],Tab_00.Trial[S/A],"",0,1)</f>
        <v>A</v>
      </c>
      <c r="E283" s="2">
        <f>IF($I283="","",COUNTIFS(Tab_00.Trial[CONTA],$I283))</f>
        <v>1</v>
      </c>
      <c r="F283" s="4">
        <f>SUMIFS(Tab_11.Nov[SALDO
ATUAL],Tab_11.Nov[CONTA],$I283)</f>
        <v>7060.19</v>
      </c>
      <c r="G283" s="4">
        <f t="shared" si="14"/>
        <v>0</v>
      </c>
      <c r="I283" s="3" t="s">
        <v>533</v>
      </c>
      <c r="J283" s="3" t="s">
        <v>534</v>
      </c>
      <c r="K283" s="4">
        <v>7060.19</v>
      </c>
      <c r="L283" s="4">
        <v>7010</v>
      </c>
      <c r="M283" s="4">
        <v>0</v>
      </c>
      <c r="N283" s="4">
        <v>14070.19</v>
      </c>
      <c r="O283" s="4">
        <f t="shared" si="15"/>
        <v>7010</v>
      </c>
    </row>
    <row r="284" spans="2:15" x14ac:dyDescent="0.3">
      <c r="B284" s="2" t="str">
        <f>_xlfn.XLOOKUP($I284,Tab_00.Trial[CONTA],Tab_00.Trial[TP],"",0,1)</f>
        <v>C</v>
      </c>
      <c r="C284" s="2">
        <f>_xlfn.XLOOKUP($I284,Tab_00.Trial[CONTA],Tab_00.Trial[NV],"",0,1)</f>
        <v>5</v>
      </c>
      <c r="D284" s="2" t="str">
        <f>_xlfn.XLOOKUP($I284,Tab_00.Trial[CONTA],Tab_00.Trial[S/A],"",0,1)</f>
        <v>A</v>
      </c>
      <c r="E284" s="2">
        <f>IF($I284="","",COUNTIFS(Tab_00.Trial[CONTA],$I284))</f>
        <v>1</v>
      </c>
      <c r="F284" s="4">
        <f>SUMIFS(Tab_11.Nov[SALDO
ATUAL],Tab_11.Nov[CONTA],$I284)</f>
        <v>4749.8900000000003</v>
      </c>
      <c r="G284" s="4">
        <f t="shared" si="14"/>
        <v>0</v>
      </c>
      <c r="I284" s="3" t="s">
        <v>537</v>
      </c>
      <c r="J284" s="3" t="s">
        <v>538</v>
      </c>
      <c r="K284" s="4">
        <v>4749.8900000000003</v>
      </c>
      <c r="L284" s="4">
        <v>6.2</v>
      </c>
      <c r="M284" s="4">
        <v>0</v>
      </c>
      <c r="N284" s="4">
        <v>4756.09</v>
      </c>
      <c r="O284" s="4">
        <f t="shared" si="15"/>
        <v>6.2</v>
      </c>
    </row>
    <row r="285" spans="2:15" x14ac:dyDescent="0.3">
      <c r="B285" s="2" t="str">
        <f>_xlfn.XLOOKUP($I285,Tab_00.Trial[CONTA],Tab_00.Trial[TP],"",0,1)</f>
        <v>C</v>
      </c>
      <c r="C285" s="2">
        <f>_xlfn.XLOOKUP($I285,Tab_00.Trial[CONTA],Tab_00.Trial[NV],"",0,1)</f>
        <v>5</v>
      </c>
      <c r="D285" s="2" t="str">
        <f>_xlfn.XLOOKUP($I285,Tab_00.Trial[CONTA],Tab_00.Trial[S/A],"",0,1)</f>
        <v>A</v>
      </c>
      <c r="E285" s="2">
        <f>IF($I285="","",COUNTIFS(Tab_00.Trial[CONTA],$I285))</f>
        <v>1</v>
      </c>
      <c r="F285" s="4">
        <f>SUMIFS(Tab_11.Nov[SALDO
ATUAL],Tab_11.Nov[CONTA],$I285)</f>
        <v>16302.77</v>
      </c>
      <c r="G285" s="4">
        <f t="shared" si="14"/>
        <v>0</v>
      </c>
      <c r="I285" s="3" t="s">
        <v>539</v>
      </c>
      <c r="J285" s="3" t="s">
        <v>540</v>
      </c>
      <c r="K285" s="4">
        <v>16302.77</v>
      </c>
      <c r="L285" s="4">
        <v>1348.07</v>
      </c>
      <c r="M285" s="4">
        <v>0</v>
      </c>
      <c r="N285" s="4">
        <v>17650.84</v>
      </c>
      <c r="O285" s="4">
        <f t="shared" si="15"/>
        <v>1348.07</v>
      </c>
    </row>
    <row r="286" spans="2:15" x14ac:dyDescent="0.3">
      <c r="B286" s="2" t="str">
        <f>_xlfn.XLOOKUP($I286,Tab_00.Trial[CONTA],Tab_00.Trial[TP],"",0,1)</f>
        <v>C</v>
      </c>
      <c r="C286" s="2">
        <f>_xlfn.XLOOKUP($I286,Tab_00.Trial[CONTA],Tab_00.Trial[NV],"",0,1)</f>
        <v>5</v>
      </c>
      <c r="D286" s="2" t="str">
        <f>_xlfn.XLOOKUP($I286,Tab_00.Trial[CONTA],Tab_00.Trial[S/A],"",0,1)</f>
        <v>A</v>
      </c>
      <c r="E286" s="2">
        <f>IF($I286="","",COUNTIFS(Tab_00.Trial[CONTA],$I286))</f>
        <v>1</v>
      </c>
      <c r="F286" s="4">
        <f>SUMIFS(Tab_11.Nov[SALDO
ATUAL],Tab_11.Nov[CONTA],$I286)</f>
        <v>4226.1000000000004</v>
      </c>
      <c r="G286" s="4">
        <f t="shared" si="14"/>
        <v>0</v>
      </c>
      <c r="I286" s="3" t="s">
        <v>541</v>
      </c>
      <c r="J286" s="3" t="s">
        <v>542</v>
      </c>
      <c r="K286" s="4">
        <v>4226.1000000000004</v>
      </c>
      <c r="L286" s="4">
        <v>1001.55</v>
      </c>
      <c r="M286" s="4">
        <v>0</v>
      </c>
      <c r="N286" s="4">
        <v>5227.6499999999996</v>
      </c>
      <c r="O286" s="4">
        <f t="shared" si="15"/>
        <v>1001.55</v>
      </c>
    </row>
    <row r="287" spans="2:15" x14ac:dyDescent="0.3">
      <c r="B287" s="2" t="str">
        <f>_xlfn.XLOOKUP($I287,Tab_00.Trial[CONTA],Tab_00.Trial[TP],"",0,1)</f>
        <v>C</v>
      </c>
      <c r="C287" s="2">
        <f>_xlfn.XLOOKUP($I287,Tab_00.Trial[CONTA],Tab_00.Trial[NV],"",0,1)</f>
        <v>2</v>
      </c>
      <c r="D287" s="2" t="str">
        <f>_xlfn.XLOOKUP($I287,Tab_00.Trial[CONTA],Tab_00.Trial[S/A],"",0,1)</f>
        <v>S</v>
      </c>
      <c r="E287" s="2">
        <f>IF($I287="","",COUNTIFS(Tab_00.Trial[CONTA],$I287))</f>
        <v>1</v>
      </c>
      <c r="F287" s="4">
        <f>SUMIFS(Tab_11.Nov[SALDO
ATUAL],Tab_11.Nov[CONTA],$I287)</f>
        <v>405</v>
      </c>
      <c r="G287" s="4">
        <f t="shared" si="14"/>
        <v>0</v>
      </c>
      <c r="I287" s="3" t="s">
        <v>630</v>
      </c>
      <c r="J287" s="3" t="s">
        <v>728</v>
      </c>
      <c r="K287" s="4">
        <v>405</v>
      </c>
      <c r="L287" s="4">
        <v>0</v>
      </c>
      <c r="M287" s="4">
        <v>0</v>
      </c>
      <c r="N287" s="4">
        <v>405</v>
      </c>
      <c r="O287" s="4">
        <f t="shared" si="15"/>
        <v>0</v>
      </c>
    </row>
    <row r="288" spans="2:15" x14ac:dyDescent="0.3">
      <c r="B288" s="2" t="str">
        <f>_xlfn.XLOOKUP($I288,Tab_00.Trial[CONTA],Tab_00.Trial[TP],"",0,1)</f>
        <v>C</v>
      </c>
      <c r="C288" s="2">
        <f>_xlfn.XLOOKUP($I288,Tab_00.Trial[CONTA],Tab_00.Trial[NV],"",0,1)</f>
        <v>5</v>
      </c>
      <c r="D288" s="2" t="str">
        <f>_xlfn.XLOOKUP($I288,Tab_00.Trial[CONTA],Tab_00.Trial[S/A],"",0,1)</f>
        <v>S</v>
      </c>
      <c r="E288" s="2">
        <f>IF($I288="","",COUNTIFS(Tab_00.Trial[CONTA],$I288))</f>
        <v>1</v>
      </c>
      <c r="F288" s="4">
        <f>SUMIFS(Tab_11.Nov[SALDO
ATUAL],Tab_11.Nov[CONTA],$I288)</f>
        <v>405</v>
      </c>
      <c r="G288" s="4">
        <f t="shared" si="14"/>
        <v>0</v>
      </c>
      <c r="I288" s="3" t="s">
        <v>631</v>
      </c>
      <c r="J288" s="3" t="s">
        <v>728</v>
      </c>
      <c r="K288" s="4">
        <v>405</v>
      </c>
      <c r="L288" s="4">
        <v>0</v>
      </c>
      <c r="M288" s="4">
        <v>0</v>
      </c>
      <c r="N288" s="4">
        <v>405</v>
      </c>
      <c r="O288" s="4">
        <f t="shared" si="15"/>
        <v>0</v>
      </c>
    </row>
    <row r="289" spans="2:15" x14ac:dyDescent="0.3">
      <c r="B289" s="2" t="str">
        <f>_xlfn.XLOOKUP($I289,Tab_00.Trial[CONTA],Tab_00.Trial[TP],"",0,1)</f>
        <v>C</v>
      </c>
      <c r="C289" s="2">
        <f>_xlfn.XLOOKUP($I289,Tab_00.Trial[CONTA],Tab_00.Trial[NV],"",0,1)</f>
        <v>5</v>
      </c>
      <c r="D289" s="2" t="str">
        <f>_xlfn.XLOOKUP($I289,Tab_00.Trial[CONTA],Tab_00.Trial[S/A],"",0,1)</f>
        <v>S</v>
      </c>
      <c r="E289" s="2">
        <f>IF($I289="","",COUNTIFS(Tab_00.Trial[CONTA],$I289))</f>
        <v>1</v>
      </c>
      <c r="F289" s="4">
        <f>SUMIFS(Tab_11.Nov[SALDO
ATUAL],Tab_11.Nov[CONTA],$I289)</f>
        <v>405</v>
      </c>
      <c r="G289" s="4">
        <f t="shared" si="14"/>
        <v>0</v>
      </c>
      <c r="I289" s="3" t="s">
        <v>633</v>
      </c>
      <c r="J289" s="3" t="s">
        <v>548</v>
      </c>
      <c r="K289" s="4">
        <v>405</v>
      </c>
      <c r="L289" s="4">
        <v>0</v>
      </c>
      <c r="M289" s="4">
        <v>0</v>
      </c>
      <c r="N289" s="4">
        <v>405</v>
      </c>
      <c r="O289" s="4">
        <f t="shared" si="15"/>
        <v>0</v>
      </c>
    </row>
    <row r="290" spans="2:15" x14ac:dyDescent="0.3">
      <c r="B290" s="2" t="str">
        <f>_xlfn.XLOOKUP($I290,Tab_00.Trial[CONTA],Tab_00.Trial[TP],"",0,1)</f>
        <v>C</v>
      </c>
      <c r="C290" s="2">
        <f>_xlfn.XLOOKUP($I290,Tab_00.Trial[CONTA],Tab_00.Trial[NV],"",0,1)</f>
        <v>5</v>
      </c>
      <c r="D290" s="2" t="str">
        <f>_xlfn.XLOOKUP($I290,Tab_00.Trial[CONTA],Tab_00.Trial[S/A],"",0,1)</f>
        <v>A</v>
      </c>
      <c r="E290" s="2">
        <f>IF($I290="","",COUNTIFS(Tab_00.Trial[CONTA],$I290))</f>
        <v>1</v>
      </c>
      <c r="F290" s="4">
        <f>SUMIFS(Tab_11.Nov[SALDO
ATUAL],Tab_11.Nov[CONTA],$I290)</f>
        <v>405</v>
      </c>
      <c r="G290" s="4">
        <f t="shared" si="14"/>
        <v>0</v>
      </c>
      <c r="I290" s="3" t="s">
        <v>547</v>
      </c>
      <c r="J290" s="3" t="s">
        <v>548</v>
      </c>
      <c r="K290" s="4">
        <v>405</v>
      </c>
      <c r="L290" s="4">
        <v>0</v>
      </c>
      <c r="M290" s="4">
        <v>0</v>
      </c>
      <c r="N290" s="4">
        <v>405</v>
      </c>
      <c r="O290" s="4">
        <f t="shared" si="15"/>
        <v>0</v>
      </c>
    </row>
    <row r="291" spans="2:15" x14ac:dyDescent="0.3">
      <c r="B291" s="2" t="str">
        <f>_xlfn.XLOOKUP($I291,Tab_00.Trial[CONTA],Tab_00.Trial[TP],"",0,1)</f>
        <v>C</v>
      </c>
      <c r="C291" s="2">
        <f>_xlfn.XLOOKUP($I291,Tab_00.Trial[CONTA],Tab_00.Trial[NV],"",0,1)</f>
        <v>2</v>
      </c>
      <c r="D291" s="2" t="str">
        <f>_xlfn.XLOOKUP($I291,Tab_00.Trial[CONTA],Tab_00.Trial[S/A],"",0,1)</f>
        <v>S</v>
      </c>
      <c r="E291" s="2">
        <f>IF($I291="","",COUNTIFS(Tab_00.Trial[CONTA],$I291))</f>
        <v>1</v>
      </c>
      <c r="F291" s="4">
        <f>SUMIFS(Tab_11.Nov[SALDO
ATUAL],Tab_11.Nov[CONTA],$I291)</f>
        <v>-189</v>
      </c>
      <c r="G291" s="4">
        <f t="shared" si="14"/>
        <v>0</v>
      </c>
      <c r="I291" s="3" t="s">
        <v>634</v>
      </c>
      <c r="J291" s="3" t="s">
        <v>730</v>
      </c>
      <c r="K291" s="4">
        <v>-189</v>
      </c>
      <c r="L291" s="4">
        <v>0</v>
      </c>
      <c r="M291" s="4">
        <v>0</v>
      </c>
      <c r="N291" s="4">
        <v>-189</v>
      </c>
      <c r="O291" s="4">
        <f t="shared" si="15"/>
        <v>0</v>
      </c>
    </row>
    <row r="292" spans="2:15" x14ac:dyDescent="0.3">
      <c r="B292" s="2" t="str">
        <f>_xlfn.XLOOKUP($I292,Tab_00.Trial[CONTA],Tab_00.Trial[TP],"",0,1)</f>
        <v>C</v>
      </c>
      <c r="C292" s="2">
        <f>_xlfn.XLOOKUP($I292,Tab_00.Trial[CONTA],Tab_00.Trial[NV],"",0,1)</f>
        <v>5</v>
      </c>
      <c r="D292" s="2" t="str">
        <f>_xlfn.XLOOKUP($I292,Tab_00.Trial[CONTA],Tab_00.Trial[S/A],"",0,1)</f>
        <v>S</v>
      </c>
      <c r="E292" s="2">
        <f>IF($I292="","",COUNTIFS(Tab_00.Trial[CONTA],$I292))</f>
        <v>1</v>
      </c>
      <c r="F292" s="4">
        <f>SUMIFS(Tab_11.Nov[SALDO
ATUAL],Tab_11.Nov[CONTA],$I292)</f>
        <v>-189</v>
      </c>
      <c r="G292" s="4">
        <f t="shared" si="14"/>
        <v>0</v>
      </c>
      <c r="I292" s="3" t="s">
        <v>831</v>
      </c>
      <c r="J292" s="3" t="s">
        <v>832</v>
      </c>
      <c r="K292" s="4">
        <v>-189</v>
      </c>
      <c r="L292" s="4">
        <v>0</v>
      </c>
      <c r="M292" s="4">
        <v>0</v>
      </c>
      <c r="N292" s="4">
        <v>-189</v>
      </c>
      <c r="O292" s="4">
        <f t="shared" si="15"/>
        <v>0</v>
      </c>
    </row>
    <row r="293" spans="2:15" x14ac:dyDescent="0.3">
      <c r="B293" s="2" t="str">
        <f>_xlfn.XLOOKUP($I293,Tab_00.Trial[CONTA],Tab_00.Trial[TP],"",0,1)</f>
        <v>C</v>
      </c>
      <c r="C293" s="2">
        <f>_xlfn.XLOOKUP($I293,Tab_00.Trial[CONTA],Tab_00.Trial[NV],"",0,1)</f>
        <v>5</v>
      </c>
      <c r="D293" s="2" t="str">
        <f>_xlfn.XLOOKUP($I293,Tab_00.Trial[CONTA],Tab_00.Trial[S/A],"",0,1)</f>
        <v>S</v>
      </c>
      <c r="E293" s="2">
        <f>IF($I293="","",COUNTIFS(Tab_00.Trial[CONTA],$I293))</f>
        <v>1</v>
      </c>
      <c r="F293" s="4">
        <f>SUMIFS(Tab_11.Nov[SALDO
ATUAL],Tab_11.Nov[CONTA],$I293)</f>
        <v>-189</v>
      </c>
      <c r="G293" s="4">
        <f t="shared" si="14"/>
        <v>0</v>
      </c>
      <c r="I293" s="3" t="s">
        <v>833</v>
      </c>
      <c r="J293" s="3" t="s">
        <v>832</v>
      </c>
      <c r="K293" s="4">
        <v>-189</v>
      </c>
      <c r="L293" s="4">
        <v>0</v>
      </c>
      <c r="M293" s="4">
        <v>0</v>
      </c>
      <c r="N293" s="4">
        <v>-189</v>
      </c>
      <c r="O293" s="4">
        <f t="shared" si="15"/>
        <v>0</v>
      </c>
    </row>
    <row r="294" spans="2:15" x14ac:dyDescent="0.3">
      <c r="B294" s="2" t="str">
        <f>_xlfn.XLOOKUP($I294,Tab_00.Trial[CONTA],Tab_00.Trial[TP],"",0,1)</f>
        <v>C</v>
      </c>
      <c r="C294" s="2">
        <f>_xlfn.XLOOKUP($I294,Tab_00.Trial[CONTA],Tab_00.Trial[NV],"",0,1)</f>
        <v>5</v>
      </c>
      <c r="D294" s="2" t="str">
        <f>_xlfn.XLOOKUP($I294,Tab_00.Trial[CONTA],Tab_00.Trial[S/A],"",0,1)</f>
        <v>A</v>
      </c>
      <c r="E294" s="2">
        <f>IF($I294="","",COUNTIFS(Tab_00.Trial[CONTA],$I294))</f>
        <v>1</v>
      </c>
      <c r="F294" s="4">
        <f>SUMIFS(Tab_11.Nov[SALDO
ATUAL],Tab_11.Nov[CONTA],$I294)</f>
        <v>-189</v>
      </c>
      <c r="G294" s="4">
        <f t="shared" si="14"/>
        <v>0</v>
      </c>
      <c r="I294" s="3" t="s">
        <v>834</v>
      </c>
      <c r="J294" s="3" t="s">
        <v>835</v>
      </c>
      <c r="K294" s="4">
        <v>-189</v>
      </c>
      <c r="L294" s="4">
        <v>0</v>
      </c>
      <c r="M294" s="4">
        <v>0</v>
      </c>
      <c r="N294" s="4">
        <v>-189</v>
      </c>
      <c r="O294" s="4">
        <f t="shared" si="15"/>
        <v>0</v>
      </c>
    </row>
    <row r="295" spans="2:15" x14ac:dyDescent="0.3">
      <c r="B295" s="2" t="str">
        <f>_xlfn.XLOOKUP($I295,Tab_00.Trial[CONTA],Tab_00.Trial[TP],"",0,1)</f>
        <v/>
      </c>
      <c r="C295" s="2" t="str">
        <f>_xlfn.XLOOKUP($I295,Tab_00.Trial[CONTA],Tab_00.Trial[NV],"",0,1)</f>
        <v/>
      </c>
      <c r="D295" s="2" t="str">
        <f>_xlfn.XLOOKUP($I295,Tab_00.Trial[CONTA],Tab_00.Trial[S/A],"",0,1)</f>
        <v/>
      </c>
      <c r="E295" s="2" t="str">
        <f>IF($I295="","",COUNTIFS(Tab_00.Trial[CONTA],$I295))</f>
        <v/>
      </c>
      <c r="F295" s="4">
        <f>SUMIFS(Tab_11.Nov[SALDO
ATUAL],Tab_11.Nov[CONTA],$I295)</f>
        <v>0</v>
      </c>
      <c r="G295" s="4">
        <f t="shared" si="14"/>
        <v>0</v>
      </c>
      <c r="I295" s="3"/>
      <c r="J295" s="3"/>
      <c r="K295" s="4"/>
      <c r="L295" s="4"/>
      <c r="M295" s="4"/>
      <c r="O295" s="4">
        <f t="shared" si="15"/>
        <v>0</v>
      </c>
    </row>
    <row r="296" spans="2:15" x14ac:dyDescent="0.3">
      <c r="B296" s="2" t="str">
        <f>_xlfn.XLOOKUP($I296,Tab_00.Trial[CONTA],Tab_00.Trial[TP],"",0,1)</f>
        <v/>
      </c>
      <c r="C296" s="2" t="str">
        <f>_xlfn.XLOOKUP($I296,Tab_00.Trial[CONTA],Tab_00.Trial[NV],"",0,1)</f>
        <v/>
      </c>
      <c r="D296" s="2" t="str">
        <f>_xlfn.XLOOKUP($I296,Tab_00.Trial[CONTA],Tab_00.Trial[S/A],"",0,1)</f>
        <v/>
      </c>
      <c r="E296" s="2" t="str">
        <f>IF($I296="","",COUNTIFS(Tab_00.Trial[CONTA],$I296))</f>
        <v/>
      </c>
      <c r="F296" s="4">
        <f>SUMIFS(Tab_11.Nov[SALDO
ATUAL],Tab_11.Nov[CONTA],$I296)</f>
        <v>0</v>
      </c>
      <c r="G296" s="4">
        <f t="shared" si="14"/>
        <v>0</v>
      </c>
      <c r="I296" s="3"/>
      <c r="J296" s="3"/>
      <c r="K296" s="4"/>
      <c r="L296" s="4"/>
      <c r="M296" s="4"/>
      <c r="O296" s="4">
        <f t="shared" si="15"/>
        <v>0</v>
      </c>
    </row>
    <row r="297" spans="2:15" x14ac:dyDescent="0.3">
      <c r="B297" s="2" t="str">
        <f>_xlfn.XLOOKUP($I297,Tab_00.Trial[CONTA],Tab_00.Trial[TP],"",0,1)</f>
        <v/>
      </c>
      <c r="C297" s="2" t="str">
        <f>_xlfn.XLOOKUP($I297,Tab_00.Trial[CONTA],Tab_00.Trial[NV],"",0,1)</f>
        <v/>
      </c>
      <c r="D297" s="2" t="str">
        <f>_xlfn.XLOOKUP($I297,Tab_00.Trial[CONTA],Tab_00.Trial[S/A],"",0,1)</f>
        <v/>
      </c>
      <c r="E297" s="2" t="str">
        <f>IF($I297="","",COUNTIFS(Tab_00.Trial[CONTA],$I297))</f>
        <v/>
      </c>
      <c r="F297" s="4">
        <f>SUMIFS(Tab_11.Nov[SALDO
ATUAL],Tab_11.Nov[CONTA],$I297)</f>
        <v>0</v>
      </c>
      <c r="G297" s="4">
        <f t="shared" ref="G297:G298" si="16">$F297-$K297</f>
        <v>0</v>
      </c>
      <c r="I297" s="3"/>
      <c r="J297" s="3"/>
      <c r="K297" s="4"/>
      <c r="L297" s="4"/>
      <c r="M297" s="4"/>
      <c r="O297" s="4">
        <f t="shared" ref="O297:O298" si="17">$L297-$M297</f>
        <v>0</v>
      </c>
    </row>
    <row r="298" spans="2:15" x14ac:dyDescent="0.3">
      <c r="B298" s="2" t="str">
        <f>_xlfn.XLOOKUP($I298,Tab_00.Trial[CONTA],Tab_00.Trial[TP],"",0,1)</f>
        <v/>
      </c>
      <c r="C298" s="2" t="str">
        <f>_xlfn.XLOOKUP($I298,Tab_00.Trial[CONTA],Tab_00.Trial[NV],"",0,1)</f>
        <v/>
      </c>
      <c r="D298" s="2" t="str">
        <f>_xlfn.XLOOKUP($I298,Tab_00.Trial[CONTA],Tab_00.Trial[S/A],"",0,1)</f>
        <v/>
      </c>
      <c r="E298" s="2" t="str">
        <f>IF($I298="","",COUNTIFS(Tab_00.Trial[CONTA],$I298))</f>
        <v/>
      </c>
      <c r="F298" s="4">
        <f>SUMIFS(Tab_11.Nov[SALDO
ATUAL],Tab_11.Nov[CONTA],$I298)</f>
        <v>0</v>
      </c>
      <c r="G298" s="4">
        <f t="shared" si="16"/>
        <v>0</v>
      </c>
      <c r="I298" s="3"/>
      <c r="J298" s="3"/>
      <c r="K298" s="4"/>
      <c r="L298" s="4"/>
      <c r="M298" s="4"/>
      <c r="O298" s="4">
        <f t="shared" si="17"/>
        <v>0</v>
      </c>
    </row>
    <row r="299" spans="2:15" x14ac:dyDescent="0.3">
      <c r="B299" s="2" t="str">
        <f>_xlfn.XLOOKUP($I299,Tab_00.Trial[CONTA],Tab_00.Trial[TP],"",0,1)</f>
        <v/>
      </c>
      <c r="C299" s="2" t="str">
        <f>_xlfn.XLOOKUP($I299,Tab_00.Trial[CONTA],Tab_00.Trial[NV],"",0,1)</f>
        <v/>
      </c>
      <c r="D299" s="2" t="str">
        <f>_xlfn.XLOOKUP($I299,Tab_00.Trial[CONTA],Tab_00.Trial[S/A],"",0,1)</f>
        <v/>
      </c>
      <c r="E299" s="2" t="str">
        <f>IF($I299="","",COUNTIFS(Tab_00.Trial[CONTA],$I299))</f>
        <v/>
      </c>
      <c r="F299" s="4">
        <f>SUMIFS(Tab_11.Nov[SALDO
ATUAL],Tab_11.Nov[CONTA],$I299)</f>
        <v>0</v>
      </c>
      <c r="G299" s="4">
        <f t="shared" ref="G299:G302" si="18">$F299-$K299</f>
        <v>0</v>
      </c>
      <c r="I299" s="3"/>
      <c r="J299" s="3"/>
      <c r="K299" s="4"/>
      <c r="L299" s="4"/>
      <c r="M299" s="4"/>
      <c r="O299" s="4">
        <f t="shared" ref="O299:O302" si="19">$L299-$M299</f>
        <v>0</v>
      </c>
    </row>
    <row r="300" spans="2:15" x14ac:dyDescent="0.3">
      <c r="B300" s="2" t="str">
        <f>_xlfn.XLOOKUP($I300,Tab_00.Trial[CONTA],Tab_00.Trial[TP],"",0,1)</f>
        <v/>
      </c>
      <c r="C300" s="2" t="str">
        <f>_xlfn.XLOOKUP($I300,Tab_00.Trial[CONTA],Tab_00.Trial[NV],"",0,1)</f>
        <v/>
      </c>
      <c r="D300" s="2" t="str">
        <f>_xlfn.XLOOKUP($I300,Tab_00.Trial[CONTA],Tab_00.Trial[S/A],"",0,1)</f>
        <v/>
      </c>
      <c r="E300" s="2" t="str">
        <f>IF($I300="","",COUNTIFS(Tab_00.Trial[CONTA],$I300))</f>
        <v/>
      </c>
      <c r="F300" s="4">
        <f>SUMIFS(Tab_11.Nov[SALDO
ATUAL],Tab_11.Nov[CONTA],$I300)</f>
        <v>0</v>
      </c>
      <c r="G300" s="4">
        <f t="shared" si="18"/>
        <v>0</v>
      </c>
      <c r="I300" s="3"/>
      <c r="J300" s="3"/>
      <c r="K300" s="4"/>
      <c r="L300" s="4"/>
      <c r="M300" s="4"/>
      <c r="O300" s="4">
        <f t="shared" si="19"/>
        <v>0</v>
      </c>
    </row>
    <row r="301" spans="2:15" x14ac:dyDescent="0.3">
      <c r="B301" s="2" t="str">
        <f>_xlfn.XLOOKUP($I301,Tab_00.Trial[CONTA],Tab_00.Trial[TP],"",0,1)</f>
        <v/>
      </c>
      <c r="C301" s="2" t="str">
        <f>_xlfn.XLOOKUP($I301,Tab_00.Trial[CONTA],Tab_00.Trial[NV],"",0,1)</f>
        <v/>
      </c>
      <c r="D301" s="2" t="str">
        <f>_xlfn.XLOOKUP($I301,Tab_00.Trial[CONTA],Tab_00.Trial[S/A],"",0,1)</f>
        <v/>
      </c>
      <c r="E301" s="2" t="str">
        <f>IF($I301="","",COUNTIFS(Tab_00.Trial[CONTA],$I301))</f>
        <v/>
      </c>
      <c r="F301" s="4">
        <f>SUMIFS(Tab_11.Nov[SALDO
ATUAL],Tab_11.Nov[CONTA],$I301)</f>
        <v>0</v>
      </c>
      <c r="G301" s="4">
        <f t="shared" si="18"/>
        <v>0</v>
      </c>
      <c r="I301" s="3"/>
      <c r="J301" s="3"/>
      <c r="K301" s="4"/>
      <c r="L301" s="4"/>
      <c r="M301" s="4"/>
      <c r="O301" s="4">
        <f t="shared" si="19"/>
        <v>0</v>
      </c>
    </row>
    <row r="302" spans="2:15" x14ac:dyDescent="0.3">
      <c r="B302" s="2" t="str">
        <f>_xlfn.XLOOKUP($I302,Tab_00.Trial[CONTA],Tab_00.Trial[TP],"",0,1)</f>
        <v/>
      </c>
      <c r="C302" s="2" t="str">
        <f>_xlfn.XLOOKUP($I302,Tab_00.Trial[CONTA],Tab_00.Trial[NV],"",0,1)</f>
        <v/>
      </c>
      <c r="D302" s="2" t="str">
        <f>_xlfn.XLOOKUP($I302,Tab_00.Trial[CONTA],Tab_00.Trial[S/A],"",0,1)</f>
        <v/>
      </c>
      <c r="E302" s="2" t="str">
        <f>IF($I302="","",COUNTIFS(Tab_00.Trial[CONTA],$I302))</f>
        <v/>
      </c>
      <c r="F302" s="4">
        <f>SUMIFS(Tab_11.Nov[SALDO
ATUAL],Tab_11.Nov[CONTA],$I302)</f>
        <v>0</v>
      </c>
      <c r="G302" s="4">
        <f t="shared" si="18"/>
        <v>0</v>
      </c>
      <c r="I302" s="3"/>
      <c r="J302" s="3"/>
      <c r="K302" s="4"/>
      <c r="L302" s="4"/>
      <c r="M302" s="4"/>
      <c r="O302" s="4">
        <f t="shared" si="19"/>
        <v>0</v>
      </c>
    </row>
  </sheetData>
  <sheetProtection autoFilter="0"/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4EB65-6E08-4B9B-9612-9458C8D81F8A}">
  <sheetPr codeName="Planilha2">
    <outlinePr summaryBelow="0" summaryRight="0"/>
  </sheetPr>
  <dimension ref="B2:P41"/>
  <sheetViews>
    <sheetView showGridLines="0" showRowColHeaders="0" zoomScale="120" zoomScaleNormal="120" workbookViewId="0">
      <pane xSplit="4" ySplit="4" topLeftCell="E30" activePane="bottomRight" state="frozen"/>
      <selection pane="topRight" activeCell="E1" sqref="E1"/>
      <selection pane="bottomLeft" activeCell="A5" sqref="A5"/>
      <selection pane="bottomRight" activeCell="D42" sqref="D42"/>
    </sheetView>
  </sheetViews>
  <sheetFormatPr defaultColWidth="8.88671875" defaultRowHeight="13.8" x14ac:dyDescent="0.3"/>
  <cols>
    <col min="1" max="1" width="2.6640625" style="1" customWidth="1"/>
    <col min="2" max="2" width="20.6640625" style="3" customWidth="1"/>
    <col min="3" max="3" width="50.6640625" style="1" customWidth="1"/>
    <col min="4" max="16" width="15.6640625" style="4" customWidth="1"/>
    <col min="17" max="16384" width="8.88671875" style="1"/>
  </cols>
  <sheetData>
    <row r="2" spans="2:16" x14ac:dyDescent="0.3">
      <c r="C2" s="17" t="s">
        <v>114</v>
      </c>
    </row>
    <row r="4" spans="2:16" ht="20.100000000000001" customHeight="1" x14ac:dyDescent="0.3">
      <c r="D4" s="20" t="s">
        <v>113</v>
      </c>
      <c r="E4" s="20" t="s">
        <v>3</v>
      </c>
      <c r="F4" s="20" t="s">
        <v>4</v>
      </c>
      <c r="G4" s="20" t="s">
        <v>5</v>
      </c>
      <c r="H4" s="20" t="s">
        <v>6</v>
      </c>
      <c r="I4" s="20" t="s">
        <v>7</v>
      </c>
      <c r="J4" s="20" t="s">
        <v>8</v>
      </c>
      <c r="K4" s="20" t="s">
        <v>9</v>
      </c>
      <c r="L4" s="20" t="s">
        <v>10</v>
      </c>
      <c r="M4" s="20" t="s">
        <v>11</v>
      </c>
      <c r="N4" s="20" t="s">
        <v>12</v>
      </c>
      <c r="O4" s="20" t="s">
        <v>13</v>
      </c>
      <c r="P4" s="20" t="s">
        <v>14</v>
      </c>
    </row>
    <row r="5" spans="2:16" ht="9.9" customHeight="1" x14ac:dyDescent="0.3">
      <c r="C5" s="1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</row>
    <row r="6" spans="2:16" x14ac:dyDescent="0.3">
      <c r="B6" s="3" t="s">
        <v>101</v>
      </c>
      <c r="C6" s="1" t="s">
        <v>145</v>
      </c>
      <c r="D6" s="7">
        <f>SUM($E6:$P6)</f>
        <v>12536318</v>
      </c>
      <c r="E6" s="4">
        <f>-SUMIFS(Tab_000.Trial[JANEIRO],Tab_000.Trial[DC],$B6)</f>
        <v>933250.2</v>
      </c>
      <c r="F6" s="4">
        <f>-SUMIFS(Tab_000.Trial[FEVEREIRO],Tab_000.Trial[DC],$B6)</f>
        <v>524610.84</v>
      </c>
      <c r="G6" s="4">
        <f>-SUMIFS(Tab_000.Trial[MARÇO],Tab_000.Trial[DC],$B6)</f>
        <v>1038172.34</v>
      </c>
      <c r="H6" s="4">
        <f>-SUMIFS(Tab_000.Trial[ABRIL],Tab_000.Trial[DC],$B6)</f>
        <v>1090694.02</v>
      </c>
      <c r="I6" s="4">
        <f>-SUMIFS(Tab_000.Trial[MAIO],Tab_000.Trial[DC],$B6)</f>
        <v>1201105.67</v>
      </c>
      <c r="J6" s="4">
        <f>-SUMIFS(Tab_000.Trial[JUNHO],Tab_000.Trial[DC],$B6)</f>
        <v>1059351.3600000001</v>
      </c>
      <c r="K6" s="4">
        <f>-SUMIFS(Tab_000.Trial[JULHO],Tab_000.Trial[DC],$B6)</f>
        <v>1059351.3600000001</v>
      </c>
      <c r="L6" s="4">
        <f>-SUMIFS(Tab_000.Trial[AGOSTO],Tab_000.Trial[DC],$B6)</f>
        <v>1059351.3600000001</v>
      </c>
      <c r="M6" s="4">
        <f>-SUMIFS(Tab_000.Trial[SETEMBRO],Tab_000.Trial[DC],$B6)</f>
        <v>967905.57</v>
      </c>
      <c r="N6" s="4">
        <f>-SUMIFS(Tab_000.Trial[OUTUBRO],Tab_000.Trial[DC],$B6)</f>
        <v>1224824.97</v>
      </c>
      <c r="O6" s="4">
        <f>-SUMIFS(Tab_000.Trial[NOVEMBRO],Tab_000.Trial[DC],$B6)</f>
        <v>903603.15</v>
      </c>
      <c r="P6" s="4">
        <f>-SUMIFS(Tab_000.Trial[DEZEMBRO],Tab_000.Trial[DC],$B6)</f>
        <v>1474097.16</v>
      </c>
    </row>
    <row r="7" spans="2:16" x14ac:dyDescent="0.3">
      <c r="B7" s="3" t="s">
        <v>102</v>
      </c>
      <c r="C7" s="3" t="s">
        <v>155</v>
      </c>
      <c r="D7" s="7">
        <f t="shared" ref="D7" si="0">SUM($E7:$P7)</f>
        <v>-14288.05</v>
      </c>
      <c r="E7" s="4">
        <f>-SUMIFS(Tab_000.Trial[JANEIRO],Tab_000.Trial[DC],$B7)</f>
        <v>0</v>
      </c>
      <c r="F7" s="4">
        <f>-SUMIFS(Tab_000.Trial[FEVEREIRO],Tab_000.Trial[DC],$B7)</f>
        <v>0</v>
      </c>
      <c r="G7" s="4">
        <f>-SUMIFS(Tab_000.Trial[MARÇO],Tab_000.Trial[DC],$B7)</f>
        <v>0</v>
      </c>
      <c r="H7" s="4">
        <f>-SUMIFS(Tab_000.Trial[ABRIL],Tab_000.Trial[DC],$B7)</f>
        <v>0</v>
      </c>
      <c r="I7" s="4">
        <f>-SUMIFS(Tab_000.Trial[MAIO],Tab_000.Trial[DC],$B7)</f>
        <v>0</v>
      </c>
      <c r="J7" s="4">
        <f>-SUMIFS(Tab_000.Trial[JUNHO],Tab_000.Trial[DC],$B7)</f>
        <v>-11</v>
      </c>
      <c r="K7" s="4">
        <f>-SUMIFS(Tab_000.Trial[JULHO],Tab_000.Trial[DC],$B7)</f>
        <v>-11</v>
      </c>
      <c r="L7" s="4">
        <f>-SUMIFS(Tab_000.Trial[AGOSTO],Tab_000.Trial[DC],$B7)</f>
        <v>-11</v>
      </c>
      <c r="M7" s="4">
        <f>-SUMIFS(Tab_000.Trial[SETEMBRO],Tab_000.Trial[DC],$B7)</f>
        <v>-12078.33</v>
      </c>
      <c r="N7" s="4">
        <f>-SUMIFS(Tab_000.Trial[OUTUBRO],Tab_000.Trial[DC],$B7)</f>
        <v>-12.1</v>
      </c>
      <c r="O7" s="4">
        <f>-SUMIFS(Tab_000.Trial[NOVEMBRO],Tab_000.Trial[DC],$B7)</f>
        <v>-1899</v>
      </c>
      <c r="P7" s="4">
        <f>-SUMIFS(Tab_000.Trial[DEZEMBRO],Tab_000.Trial[DC],$B7)</f>
        <v>-265.62</v>
      </c>
    </row>
    <row r="8" spans="2:16" ht="5.0999999999999996" customHeight="1" x14ac:dyDescent="0.3"/>
    <row r="9" spans="2:16" x14ac:dyDescent="0.3">
      <c r="C9" s="17" t="s">
        <v>151</v>
      </c>
      <c r="D9" s="16">
        <f>SUBTOTAL(9,D$5:D$8)</f>
        <v>12522029.949999999</v>
      </c>
      <c r="E9" s="16">
        <f>SUBTOTAL(9,E$5:E$8)</f>
        <v>933250.2</v>
      </c>
      <c r="F9" s="16">
        <f t="shared" ref="F9:P9" si="1">SUBTOTAL(9,F$5:F$8)</f>
        <v>524610.84</v>
      </c>
      <c r="G9" s="16">
        <f t="shared" si="1"/>
        <v>1038172.34</v>
      </c>
      <c r="H9" s="16">
        <f t="shared" si="1"/>
        <v>1090694.02</v>
      </c>
      <c r="I9" s="16">
        <f t="shared" si="1"/>
        <v>1201105.67</v>
      </c>
      <c r="J9" s="16">
        <f t="shared" si="1"/>
        <v>1059340.3600000001</v>
      </c>
      <c r="K9" s="16">
        <f t="shared" si="1"/>
        <v>1059340.3600000001</v>
      </c>
      <c r="L9" s="16">
        <f t="shared" si="1"/>
        <v>1059340.3600000001</v>
      </c>
      <c r="M9" s="16">
        <f t="shared" si="1"/>
        <v>955827.24</v>
      </c>
      <c r="N9" s="16">
        <f t="shared" si="1"/>
        <v>1224812.8700000001</v>
      </c>
      <c r="O9" s="16">
        <f t="shared" si="1"/>
        <v>901704.15</v>
      </c>
      <c r="P9" s="16">
        <f t="shared" si="1"/>
        <v>1473831.54</v>
      </c>
    </row>
    <row r="10" spans="2:16" ht="9.9" customHeight="1" x14ac:dyDescent="0.3"/>
    <row r="11" spans="2:16" x14ac:dyDescent="0.3">
      <c r="C11" s="17" t="s">
        <v>152</v>
      </c>
      <c r="D11" s="7"/>
    </row>
    <row r="12" spans="2:16" x14ac:dyDescent="0.3">
      <c r="B12" s="3" t="s">
        <v>103</v>
      </c>
      <c r="C12" s="3" t="s">
        <v>153</v>
      </c>
      <c r="D12" s="7">
        <f t="shared" ref="D12" si="2">SUM($E12:$P12)</f>
        <v>-8446194.9800000004</v>
      </c>
      <c r="E12" s="4">
        <f>-SUMIFS(Tab_000.Trial[JANEIRO],Tab_000.Trial[DC],$B12)</f>
        <v>-890872.91</v>
      </c>
      <c r="F12" s="4">
        <f>-SUMIFS(Tab_000.Trial[FEVEREIRO],Tab_000.Trial[DC],$B12)</f>
        <v>-207282.28</v>
      </c>
      <c r="G12" s="4">
        <f>-SUMIFS(Tab_000.Trial[MARÇO],Tab_000.Trial[DC],$B12)</f>
        <v>-438094.15</v>
      </c>
      <c r="H12" s="4">
        <f>-SUMIFS(Tab_000.Trial[ABRIL],Tab_000.Trial[DC],$B12)</f>
        <v>-699144.15</v>
      </c>
      <c r="I12" s="4">
        <f>-SUMIFS(Tab_000.Trial[MAIO],Tab_000.Trial[DC],$B12)</f>
        <v>-721099.43</v>
      </c>
      <c r="J12" s="4">
        <f>-SUMIFS(Tab_000.Trial[JUNHO],Tab_000.Trial[DC],$B12)</f>
        <v>-736710.83</v>
      </c>
      <c r="K12" s="4">
        <f>-SUMIFS(Tab_000.Trial[JULHO],Tab_000.Trial[DC],$B12)</f>
        <v>-736710.83</v>
      </c>
      <c r="L12" s="4">
        <f>-SUMIFS(Tab_000.Trial[AGOSTO],Tab_000.Trial[DC],$B12)</f>
        <v>-736710.83</v>
      </c>
      <c r="M12" s="4">
        <f>-SUMIFS(Tab_000.Trial[SETEMBRO],Tab_000.Trial[DC],$B12)</f>
        <v>-611117.25</v>
      </c>
      <c r="N12" s="4">
        <f>-SUMIFS(Tab_000.Trial[OUTUBRO],Tab_000.Trial[DC],$B12)</f>
        <v>-840074.84</v>
      </c>
      <c r="O12" s="4">
        <f>-SUMIFS(Tab_000.Trial[NOVEMBRO],Tab_000.Trial[DC],$B12)</f>
        <v>-343701.9</v>
      </c>
      <c r="P12" s="4">
        <f>-SUMIFS(Tab_000.Trial[DEZEMBRO],Tab_000.Trial[DC],$B12)</f>
        <v>-1484675.58</v>
      </c>
    </row>
    <row r="13" spans="2:16" ht="5.0999999999999996" customHeight="1" x14ac:dyDescent="0.3"/>
    <row r="14" spans="2:16" x14ac:dyDescent="0.3">
      <c r="C14" s="17" t="s">
        <v>65</v>
      </c>
      <c r="D14" s="16">
        <f t="shared" ref="D14:P14" si="3">SUBTOTAL(9,D$5:D$13)</f>
        <v>4075834.97</v>
      </c>
      <c r="E14" s="16">
        <f t="shared" si="3"/>
        <v>42377.29</v>
      </c>
      <c r="F14" s="16">
        <f t="shared" si="3"/>
        <v>317328.56</v>
      </c>
      <c r="G14" s="16">
        <f t="shared" si="3"/>
        <v>600078.18999999994</v>
      </c>
      <c r="H14" s="16">
        <f t="shared" si="3"/>
        <v>391549.87</v>
      </c>
      <c r="I14" s="16">
        <f t="shared" si="3"/>
        <v>480006.24</v>
      </c>
      <c r="J14" s="16">
        <f t="shared" si="3"/>
        <v>322629.53000000003</v>
      </c>
      <c r="K14" s="16">
        <f t="shared" si="3"/>
        <v>322629.53000000003</v>
      </c>
      <c r="L14" s="16">
        <f t="shared" si="3"/>
        <v>322629.53000000003</v>
      </c>
      <c r="M14" s="16">
        <f t="shared" si="3"/>
        <v>344709.99</v>
      </c>
      <c r="N14" s="16">
        <f t="shared" si="3"/>
        <v>384738.03</v>
      </c>
      <c r="O14" s="16">
        <f t="shared" si="3"/>
        <v>558002.25</v>
      </c>
      <c r="P14" s="16">
        <f t="shared" si="3"/>
        <v>-10844.04</v>
      </c>
    </row>
    <row r="15" spans="2:16" ht="9.9" customHeight="1" x14ac:dyDescent="0.3"/>
    <row r="16" spans="2:16" x14ac:dyDescent="0.3">
      <c r="C16" s="17" t="s">
        <v>86</v>
      </c>
      <c r="D16" s="126">
        <f>SUBTOTAL(9,D$17:D$23)</f>
        <v>-4226709.99</v>
      </c>
      <c r="E16" s="126">
        <f t="shared" ref="E16:P16" si="4">SUBTOTAL(9,E$17:E$23)</f>
        <v>-350644.61</v>
      </c>
      <c r="F16" s="126">
        <f t="shared" si="4"/>
        <v>-266992.82</v>
      </c>
      <c r="G16" s="126">
        <f t="shared" si="4"/>
        <v>-367145.64</v>
      </c>
      <c r="H16" s="126">
        <f t="shared" si="4"/>
        <v>-359810.82</v>
      </c>
      <c r="I16" s="126">
        <f t="shared" si="4"/>
        <v>-339611.73</v>
      </c>
      <c r="J16" s="126">
        <f t="shared" si="4"/>
        <v>-344934.99</v>
      </c>
      <c r="K16" s="126">
        <f t="shared" si="4"/>
        <v>-344934.99</v>
      </c>
      <c r="L16" s="126">
        <f t="shared" si="4"/>
        <v>-344934.99</v>
      </c>
      <c r="M16" s="126">
        <f t="shared" si="4"/>
        <v>-379651.4</v>
      </c>
      <c r="N16" s="126">
        <f t="shared" si="4"/>
        <v>-364734.01</v>
      </c>
      <c r="O16" s="126">
        <f t="shared" si="4"/>
        <v>-382987.13</v>
      </c>
      <c r="P16" s="126">
        <f t="shared" si="4"/>
        <v>-380326.86</v>
      </c>
    </row>
    <row r="17" spans="2:16" x14ac:dyDescent="0.3">
      <c r="B17" s="3" t="s">
        <v>104</v>
      </c>
      <c r="C17" s="3" t="s">
        <v>146</v>
      </c>
      <c r="D17" s="7">
        <f t="shared" ref="D17:D22" si="5">SUM($E17:$P17)</f>
        <v>-2186397.9</v>
      </c>
      <c r="E17" s="4">
        <f>-SUMIFS(Tab_000.Trial[JANEIRO],Tab_000.Trial[DC],$B17)</f>
        <v>-200564.34</v>
      </c>
      <c r="F17" s="4">
        <f>-SUMIFS(Tab_000.Trial[FEVEREIRO],Tab_000.Trial[DC],$B17)</f>
        <v>-207990.16</v>
      </c>
      <c r="G17" s="4">
        <f>-SUMIFS(Tab_000.Trial[MARÇO],Tab_000.Trial[DC],$B17)</f>
        <v>-207604.77</v>
      </c>
      <c r="H17" s="4">
        <f>-SUMIFS(Tab_000.Trial[ABRIL],Tab_000.Trial[DC],$B17)</f>
        <v>-186151.86</v>
      </c>
      <c r="I17" s="4">
        <f>-SUMIFS(Tab_000.Trial[MAIO],Tab_000.Trial[DC],$B17)</f>
        <v>-181114.04</v>
      </c>
      <c r="J17" s="4">
        <f>-SUMIFS(Tab_000.Trial[JUNHO],Tab_000.Trial[DC],$B17)</f>
        <v>-159061.79999999999</v>
      </c>
      <c r="K17" s="4">
        <f>-SUMIFS(Tab_000.Trial[JULHO],Tab_000.Trial[DC],$B17)</f>
        <v>-159061.79999999999</v>
      </c>
      <c r="L17" s="4">
        <f>-SUMIFS(Tab_000.Trial[AGOSTO],Tab_000.Trial[DC],$B17)</f>
        <v>-159061.79999999999</v>
      </c>
      <c r="M17" s="4">
        <f>-SUMIFS(Tab_000.Trial[SETEMBRO],Tab_000.Trial[DC],$B17)</f>
        <v>-187941.84</v>
      </c>
      <c r="N17" s="4">
        <f>-SUMIFS(Tab_000.Trial[OUTUBRO],Tab_000.Trial[DC],$B17)</f>
        <v>-173614.13</v>
      </c>
      <c r="O17" s="4">
        <f>-SUMIFS(Tab_000.Trial[NOVEMBRO],Tab_000.Trial[DC],$B17)</f>
        <v>-188441.15</v>
      </c>
      <c r="P17" s="4">
        <f>-SUMIFS(Tab_000.Trial[DEZEMBRO],Tab_000.Trial[DC],$B17)</f>
        <v>-175790.21</v>
      </c>
    </row>
    <row r="18" spans="2:16" x14ac:dyDescent="0.3">
      <c r="B18" s="3" t="s">
        <v>105</v>
      </c>
      <c r="C18" s="3" t="s">
        <v>82</v>
      </c>
      <c r="D18" s="7">
        <f t="shared" si="5"/>
        <v>-1261581.1200000001</v>
      </c>
      <c r="E18" s="4">
        <f>-SUMIFS(Tab_000.Trial[JANEIRO],Tab_000.Trial[DC],$B18)</f>
        <v>-108248.42</v>
      </c>
      <c r="F18" s="4">
        <f>-SUMIFS(Tab_000.Trial[FEVEREIRO],Tab_000.Trial[DC],$B18)</f>
        <v>-20040.18</v>
      </c>
      <c r="G18" s="4">
        <f>-SUMIFS(Tab_000.Trial[MARÇO],Tab_000.Trial[DC],$B18)</f>
        <v>-109169.7</v>
      </c>
      <c r="H18" s="4">
        <f>-SUMIFS(Tab_000.Trial[ABRIL],Tab_000.Trial[DC],$B18)</f>
        <v>-127784.68</v>
      </c>
      <c r="I18" s="4">
        <f>-SUMIFS(Tab_000.Trial[MAIO],Tab_000.Trial[DC],$B18)</f>
        <v>-106123.84</v>
      </c>
      <c r="J18" s="4">
        <f>-SUMIFS(Tab_000.Trial[JUNHO],Tab_000.Trial[DC],$B18)</f>
        <v>-105468.78</v>
      </c>
      <c r="K18" s="4">
        <f>-SUMIFS(Tab_000.Trial[JULHO],Tab_000.Trial[DC],$B18)</f>
        <v>-105468.78</v>
      </c>
      <c r="L18" s="4">
        <f>-SUMIFS(Tab_000.Trial[AGOSTO],Tab_000.Trial[DC],$B18)</f>
        <v>-105468.78</v>
      </c>
      <c r="M18" s="4">
        <f>-SUMIFS(Tab_000.Trial[SETEMBRO],Tab_000.Trial[DC],$B18)</f>
        <v>-116191.26</v>
      </c>
      <c r="N18" s="4">
        <f>-SUMIFS(Tab_000.Trial[OUTUBRO],Tab_000.Trial[DC],$B18)</f>
        <v>-117054.75</v>
      </c>
      <c r="O18" s="4">
        <f>-SUMIFS(Tab_000.Trial[NOVEMBRO],Tab_000.Trial[DC],$B18)</f>
        <v>-109731.75</v>
      </c>
      <c r="P18" s="4">
        <f>-SUMIFS(Tab_000.Trial[DEZEMBRO],Tab_000.Trial[DC],$B18)</f>
        <v>-130830.2</v>
      </c>
    </row>
    <row r="19" spans="2:16" x14ac:dyDescent="0.3">
      <c r="B19" s="3" t="s">
        <v>106</v>
      </c>
      <c r="C19" s="3" t="s">
        <v>147</v>
      </c>
      <c r="D19" s="7">
        <f t="shared" si="5"/>
        <v>-761795.63</v>
      </c>
      <c r="E19" s="4">
        <f>-SUMIFS(Tab_000.Trial[JANEIRO],Tab_000.Trial[DC],$B19)</f>
        <v>-40945.24</v>
      </c>
      <c r="F19" s="4">
        <f>-SUMIFS(Tab_000.Trial[FEVEREIRO],Tab_000.Trial[DC],$B19)</f>
        <v>-37363.51</v>
      </c>
      <c r="G19" s="4">
        <f>-SUMIFS(Tab_000.Trial[MARÇO],Tab_000.Trial[DC],$B19)</f>
        <v>-37363.51</v>
      </c>
      <c r="H19" s="4">
        <f>-SUMIFS(Tab_000.Trial[ABRIL],Tab_000.Trial[DC],$B19)</f>
        <v>-45874.28</v>
      </c>
      <c r="I19" s="4">
        <f>-SUMIFS(Tab_000.Trial[MAIO],Tab_000.Trial[DC],$B19)</f>
        <v>-52258.35</v>
      </c>
      <c r="J19" s="4">
        <f>-SUMIFS(Tab_000.Trial[JUNHO],Tab_000.Trial[DC],$B19)</f>
        <v>-80404.41</v>
      </c>
      <c r="K19" s="4">
        <f>-SUMIFS(Tab_000.Trial[JULHO],Tab_000.Trial[DC],$B19)</f>
        <v>-80404.41</v>
      </c>
      <c r="L19" s="4">
        <f>-SUMIFS(Tab_000.Trial[AGOSTO],Tab_000.Trial[DC],$B19)</f>
        <v>-80404.41</v>
      </c>
      <c r="M19" s="4">
        <f>-SUMIFS(Tab_000.Trial[SETEMBRO],Tab_000.Trial[DC],$B19)</f>
        <v>-75518.3</v>
      </c>
      <c r="N19" s="4">
        <f>-SUMIFS(Tab_000.Trial[OUTUBRO],Tab_000.Trial[DC],$B19)</f>
        <v>-74065.13</v>
      </c>
      <c r="O19" s="4">
        <f>-SUMIFS(Tab_000.Trial[NOVEMBRO],Tab_000.Trial[DC],$B19)</f>
        <v>-83487.63</v>
      </c>
      <c r="P19" s="4">
        <f>-SUMIFS(Tab_000.Trial[DEZEMBRO],Tab_000.Trial[DC],$B19)</f>
        <v>-73706.45</v>
      </c>
    </row>
    <row r="20" spans="2:16" x14ac:dyDescent="0.3">
      <c r="B20" s="3" t="s">
        <v>107</v>
      </c>
      <c r="C20" s="3" t="s">
        <v>148</v>
      </c>
      <c r="D20" s="7">
        <f t="shared" si="5"/>
        <v>0</v>
      </c>
      <c r="E20" s="4">
        <f>-SUMIFS(Tab_000.Trial[JANEIRO],Tab_000.Trial[DC],$B20)</f>
        <v>0</v>
      </c>
      <c r="F20" s="4">
        <f>-SUMIFS(Tab_000.Trial[FEVEREIRO],Tab_000.Trial[DC],$B20)</f>
        <v>0</v>
      </c>
      <c r="G20" s="4">
        <f>-SUMIFS(Tab_000.Trial[MARÇO],Tab_000.Trial[DC],$B20)</f>
        <v>0</v>
      </c>
      <c r="H20" s="4">
        <f>-SUMIFS(Tab_000.Trial[ABRIL],Tab_000.Trial[DC],$B20)</f>
        <v>0</v>
      </c>
      <c r="I20" s="4">
        <f>-SUMIFS(Tab_000.Trial[MAIO],Tab_000.Trial[DC],$B20)</f>
        <v>0</v>
      </c>
      <c r="J20" s="4">
        <f>-SUMIFS(Tab_000.Trial[JUNHO],Tab_000.Trial[DC],$B20)</f>
        <v>0</v>
      </c>
      <c r="K20" s="4">
        <f>-SUMIFS(Tab_000.Trial[JULHO],Tab_000.Trial[DC],$B20)</f>
        <v>0</v>
      </c>
      <c r="L20" s="4">
        <f>-SUMIFS(Tab_000.Trial[AGOSTO],Tab_000.Trial[DC],$B20)</f>
        <v>0</v>
      </c>
      <c r="M20" s="4">
        <f>-SUMIFS(Tab_000.Trial[SETEMBRO],Tab_000.Trial[DC],$B20)</f>
        <v>0</v>
      </c>
      <c r="N20" s="4">
        <f>-SUMIFS(Tab_000.Trial[OUTUBRO],Tab_000.Trial[DC],$B20)</f>
        <v>0</v>
      </c>
      <c r="O20" s="4">
        <f>-SUMIFS(Tab_000.Trial[NOVEMBRO],Tab_000.Trial[DC],$B20)</f>
        <v>0</v>
      </c>
      <c r="P20" s="4">
        <f>-SUMIFS(Tab_000.Trial[DEZEMBRO],Tab_000.Trial[DC],$B20)</f>
        <v>0</v>
      </c>
    </row>
    <row r="21" spans="2:16" x14ac:dyDescent="0.3">
      <c r="B21" s="3" t="s">
        <v>108</v>
      </c>
      <c r="C21" s="3" t="s">
        <v>149</v>
      </c>
      <c r="D21" s="7">
        <f t="shared" si="5"/>
        <v>-16854.34</v>
      </c>
      <c r="E21" s="4">
        <f>-SUMIFS(Tab_000.Trial[JANEIRO],Tab_000.Trial[DC],$B21)</f>
        <v>-1075.6099999999999</v>
      </c>
      <c r="F21" s="4">
        <f>-SUMIFS(Tab_000.Trial[FEVEREIRO],Tab_000.Trial[DC],$B21)</f>
        <v>-1328.97</v>
      </c>
      <c r="G21" s="4">
        <f>-SUMIFS(Tab_000.Trial[MARÇO],Tab_000.Trial[DC],$B21)</f>
        <v>-13007.66</v>
      </c>
      <c r="H21" s="4">
        <f>-SUMIFS(Tab_000.Trial[ABRIL],Tab_000.Trial[DC],$B21)</f>
        <v>0</v>
      </c>
      <c r="I21" s="4">
        <f>-SUMIFS(Tab_000.Trial[MAIO],Tab_000.Trial[DC],$B21)</f>
        <v>-115.5</v>
      </c>
      <c r="J21" s="4">
        <f>-SUMIFS(Tab_000.Trial[JUNHO],Tab_000.Trial[DC],$B21)</f>
        <v>0</v>
      </c>
      <c r="K21" s="4">
        <f>-SUMIFS(Tab_000.Trial[JULHO],Tab_000.Trial[DC],$B21)</f>
        <v>0</v>
      </c>
      <c r="L21" s="4">
        <f>-SUMIFS(Tab_000.Trial[AGOSTO],Tab_000.Trial[DC],$B21)</f>
        <v>0</v>
      </c>
      <c r="M21" s="4">
        <f>-SUMIFS(Tab_000.Trial[SETEMBRO],Tab_000.Trial[DC],$B21)</f>
        <v>0</v>
      </c>
      <c r="N21" s="4">
        <f>-SUMIFS(Tab_000.Trial[OUTUBRO],Tab_000.Trial[DC],$B21)</f>
        <v>0</v>
      </c>
      <c r="O21" s="4">
        <f>-SUMIFS(Tab_000.Trial[NOVEMBRO],Tab_000.Trial[DC],$B21)</f>
        <v>-1326.6</v>
      </c>
      <c r="P21" s="4">
        <f>-SUMIFS(Tab_000.Trial[DEZEMBRO],Tab_000.Trial[DC],$B21)</f>
        <v>0</v>
      </c>
    </row>
    <row r="22" spans="2:16" x14ac:dyDescent="0.3">
      <c r="B22" s="3" t="s">
        <v>66</v>
      </c>
      <c r="C22" s="3" t="s">
        <v>123</v>
      </c>
      <c r="D22" s="7">
        <f t="shared" si="5"/>
        <v>-81</v>
      </c>
      <c r="E22" s="4">
        <f>-SUMIFS(Tab_000.Trial[JANEIRO],Tab_000.Trial[DC],$B22)</f>
        <v>189</v>
      </c>
      <c r="F22" s="4">
        <f>-SUMIFS(Tab_000.Trial[FEVEREIRO],Tab_000.Trial[DC],$B22)</f>
        <v>-270</v>
      </c>
      <c r="G22" s="4">
        <f>-SUMIFS(Tab_000.Trial[MARÇO],Tab_000.Trial[DC],$B22)</f>
        <v>0</v>
      </c>
      <c r="H22" s="4">
        <f>-SUMIFS(Tab_000.Trial[ABRIL],Tab_000.Trial[DC],$B22)</f>
        <v>0</v>
      </c>
      <c r="I22" s="4">
        <f>-SUMIFS(Tab_000.Trial[MAIO],Tab_000.Trial[DC],$B22)</f>
        <v>0</v>
      </c>
      <c r="J22" s="4">
        <f>-SUMIFS(Tab_000.Trial[JUNHO],Tab_000.Trial[DC],$B22)</f>
        <v>0</v>
      </c>
      <c r="K22" s="4">
        <f>-SUMIFS(Tab_000.Trial[JULHO],Tab_000.Trial[DC],$B22)</f>
        <v>0</v>
      </c>
      <c r="L22" s="4">
        <f>-SUMIFS(Tab_000.Trial[AGOSTO],Tab_000.Trial[DC],$B22)</f>
        <v>0</v>
      </c>
      <c r="M22" s="4">
        <f>-SUMIFS(Tab_000.Trial[SETEMBRO],Tab_000.Trial[DC],$B22)</f>
        <v>0</v>
      </c>
      <c r="N22" s="4">
        <f>-SUMIFS(Tab_000.Trial[OUTUBRO],Tab_000.Trial[DC],$B22)</f>
        <v>0</v>
      </c>
      <c r="O22" s="4">
        <f>-SUMIFS(Tab_000.Trial[NOVEMBRO],Tab_000.Trial[DC],$B22)</f>
        <v>0</v>
      </c>
      <c r="P22" s="4">
        <f>-SUMIFS(Tab_000.Trial[DEZEMBRO],Tab_000.Trial[DC],$B22)</f>
        <v>0</v>
      </c>
    </row>
    <row r="23" spans="2:16" ht="5.0999999999999996" customHeight="1" x14ac:dyDescent="0.3"/>
    <row r="24" spans="2:16" x14ac:dyDescent="0.3">
      <c r="C24" s="17" t="s">
        <v>112</v>
      </c>
      <c r="D24" s="16">
        <f t="shared" ref="D24:P24" si="6">SUBTOTAL(9,D$5:D$23)</f>
        <v>-150875.01999999999</v>
      </c>
      <c r="E24" s="16">
        <f t="shared" si="6"/>
        <v>-308267.32</v>
      </c>
      <c r="F24" s="16">
        <f t="shared" si="6"/>
        <v>50335.74</v>
      </c>
      <c r="G24" s="16">
        <f t="shared" si="6"/>
        <v>232932.55</v>
      </c>
      <c r="H24" s="16">
        <f t="shared" si="6"/>
        <v>31739.05</v>
      </c>
      <c r="I24" s="16">
        <f t="shared" si="6"/>
        <v>140394.51</v>
      </c>
      <c r="J24" s="16">
        <f t="shared" si="6"/>
        <v>-22305.46</v>
      </c>
      <c r="K24" s="16">
        <f t="shared" si="6"/>
        <v>-22305.46</v>
      </c>
      <c r="L24" s="16">
        <f t="shared" si="6"/>
        <v>-22305.46</v>
      </c>
      <c r="M24" s="16">
        <f t="shared" si="6"/>
        <v>-34941.410000000003</v>
      </c>
      <c r="N24" s="16">
        <f t="shared" si="6"/>
        <v>20004.02</v>
      </c>
      <c r="O24" s="16">
        <f t="shared" si="6"/>
        <v>175015.12</v>
      </c>
      <c r="P24" s="16">
        <f t="shared" si="6"/>
        <v>-391170.9</v>
      </c>
    </row>
    <row r="25" spans="2:16" ht="5.0999999999999996" customHeight="1" x14ac:dyDescent="0.3"/>
    <row r="26" spans="2:16" ht="15" customHeight="1" x14ac:dyDescent="0.3">
      <c r="C26" s="96" t="s">
        <v>115</v>
      </c>
      <c r="D26" s="97">
        <f>IFERROR(D$24/D$9,0)</f>
        <v>-1.2E-2</v>
      </c>
      <c r="E26" s="97">
        <f t="shared" ref="E26:P26" si="7">IFERROR(E$24/E$9,0)</f>
        <v>-0.33029999999999998</v>
      </c>
      <c r="F26" s="97">
        <f t="shared" si="7"/>
        <v>9.5899999999999999E-2</v>
      </c>
      <c r="G26" s="97">
        <f t="shared" si="7"/>
        <v>0.22439999999999999</v>
      </c>
      <c r="H26" s="97">
        <f t="shared" si="7"/>
        <v>2.9100000000000001E-2</v>
      </c>
      <c r="I26" s="97">
        <f t="shared" si="7"/>
        <v>0.1169</v>
      </c>
      <c r="J26" s="97">
        <f t="shared" si="7"/>
        <v>-2.1100000000000001E-2</v>
      </c>
      <c r="K26" s="97">
        <f t="shared" si="7"/>
        <v>-2.1100000000000001E-2</v>
      </c>
      <c r="L26" s="97">
        <f t="shared" si="7"/>
        <v>-2.1100000000000001E-2</v>
      </c>
      <c r="M26" s="97">
        <f t="shared" si="7"/>
        <v>-3.6600000000000001E-2</v>
      </c>
      <c r="N26" s="97">
        <f t="shared" si="7"/>
        <v>1.6299999999999999E-2</v>
      </c>
      <c r="O26" s="97">
        <f t="shared" si="7"/>
        <v>0.19409999999999999</v>
      </c>
      <c r="P26" s="97">
        <f t="shared" si="7"/>
        <v>-0.26540000000000002</v>
      </c>
    </row>
    <row r="27" spans="2:16" ht="5.0999999999999996" customHeight="1" x14ac:dyDescent="0.3"/>
    <row r="28" spans="2:16" x14ac:dyDescent="0.3">
      <c r="B28" s="3" t="s">
        <v>109</v>
      </c>
      <c r="C28" s="3" t="s">
        <v>150</v>
      </c>
      <c r="D28" s="7">
        <f t="shared" ref="D28" si="8">SUM($E28:$P28)</f>
        <v>-42032.5</v>
      </c>
      <c r="E28" s="4">
        <f>-SUMIFS(Tab_000.Trial[JANEIRO],Tab_000.Trial[DC],$B28)</f>
        <v>-5364.1</v>
      </c>
      <c r="F28" s="4">
        <f>-SUMIFS(Tab_000.Trial[FEVEREIRO],Tab_000.Trial[DC],$B28)</f>
        <v>0</v>
      </c>
      <c r="G28" s="4">
        <f>-SUMIFS(Tab_000.Trial[MARÇO],Tab_000.Trial[DC],$B28)</f>
        <v>-3667.05</v>
      </c>
      <c r="H28" s="4">
        <f>-SUMIFS(Tab_000.Trial[ABRIL],Tab_000.Trial[DC],$B28)</f>
        <v>-3667.05</v>
      </c>
      <c r="I28" s="4">
        <f>-SUMIFS(Tab_000.Trial[MAIO],Tab_000.Trial[DC],$B28)</f>
        <v>-3667.05</v>
      </c>
      <c r="J28" s="4">
        <f>-SUMIFS(Tab_000.Trial[JUNHO],Tab_000.Trial[DC],$B28)</f>
        <v>-3666.75</v>
      </c>
      <c r="K28" s="4">
        <f>-SUMIFS(Tab_000.Trial[JULHO],Tab_000.Trial[DC],$B28)</f>
        <v>-3666.75</v>
      </c>
      <c r="L28" s="4">
        <f>-SUMIFS(Tab_000.Trial[AGOSTO],Tab_000.Trial[DC],$B28)</f>
        <v>-3666.75</v>
      </c>
      <c r="M28" s="4">
        <f>-SUMIFS(Tab_000.Trial[SETEMBRO],Tab_000.Trial[DC],$B28)</f>
        <v>-3666.75</v>
      </c>
      <c r="N28" s="4">
        <f>-SUMIFS(Tab_000.Trial[OUTUBRO],Tab_000.Trial[DC],$B28)</f>
        <v>-3666.75</v>
      </c>
      <c r="O28" s="4">
        <f>-SUMIFS(Tab_000.Trial[NOVEMBRO],Tab_000.Trial[DC],$B28)</f>
        <v>-3666.75</v>
      </c>
      <c r="P28" s="4">
        <f>-SUMIFS(Tab_000.Trial[DEZEMBRO],Tab_000.Trial[DC],$B28)</f>
        <v>-3666.75</v>
      </c>
    </row>
    <row r="29" spans="2:16" ht="5.0999999999999996" customHeight="1" x14ac:dyDescent="0.3"/>
    <row r="30" spans="2:16" x14ac:dyDescent="0.3">
      <c r="C30" s="17" t="s">
        <v>84</v>
      </c>
      <c r="D30" s="16">
        <f>SUBTOTAL(9,D$5:D$29)-D$26</f>
        <v>-192907.51999999999</v>
      </c>
      <c r="E30" s="16">
        <f t="shared" ref="E30:P30" si="9">SUBTOTAL(9,E$5:E$29)-E$26</f>
        <v>-313631.42</v>
      </c>
      <c r="F30" s="16">
        <f t="shared" si="9"/>
        <v>50335.74</v>
      </c>
      <c r="G30" s="16">
        <f t="shared" si="9"/>
        <v>229265.5</v>
      </c>
      <c r="H30" s="16">
        <f t="shared" si="9"/>
        <v>28072</v>
      </c>
      <c r="I30" s="16">
        <f t="shared" si="9"/>
        <v>136727.46</v>
      </c>
      <c r="J30" s="16">
        <f t="shared" si="9"/>
        <v>-25972.21</v>
      </c>
      <c r="K30" s="16">
        <f t="shared" si="9"/>
        <v>-25972.21</v>
      </c>
      <c r="L30" s="16">
        <f t="shared" si="9"/>
        <v>-25972.21</v>
      </c>
      <c r="M30" s="16">
        <f t="shared" si="9"/>
        <v>-38608.160000000003</v>
      </c>
      <c r="N30" s="16">
        <f t="shared" si="9"/>
        <v>16337.27</v>
      </c>
      <c r="O30" s="16">
        <f t="shared" si="9"/>
        <v>171348.37</v>
      </c>
      <c r="P30" s="16">
        <f t="shared" si="9"/>
        <v>-394837.65</v>
      </c>
    </row>
    <row r="31" spans="2:16" ht="5.0999999999999996" customHeight="1" x14ac:dyDescent="0.3"/>
    <row r="32" spans="2:16" x14ac:dyDescent="0.3">
      <c r="C32" s="17" t="s">
        <v>68</v>
      </c>
      <c r="D32" s="126">
        <f>SUBTOTAL(9,D$33:D$35)</f>
        <v>2709779.93</v>
      </c>
      <c r="E32" s="126">
        <f t="shared" ref="E32:P32" si="10">SUBTOTAL(9,E$33:E$35)</f>
        <v>202366.66</v>
      </c>
      <c r="F32" s="126">
        <f t="shared" si="10"/>
        <v>-619.59</v>
      </c>
      <c r="G32" s="126">
        <f t="shared" si="10"/>
        <v>306050.37</v>
      </c>
      <c r="H32" s="126">
        <f t="shared" si="10"/>
        <v>-25793.8</v>
      </c>
      <c r="I32" s="126">
        <f t="shared" si="10"/>
        <v>325778.43</v>
      </c>
      <c r="J32" s="126">
        <f t="shared" si="10"/>
        <v>435068.33</v>
      </c>
      <c r="K32" s="126">
        <f t="shared" si="10"/>
        <v>435068.33</v>
      </c>
      <c r="L32" s="126">
        <f t="shared" si="10"/>
        <v>435068.33</v>
      </c>
      <c r="M32" s="126">
        <f t="shared" si="10"/>
        <v>151946.22</v>
      </c>
      <c r="N32" s="126">
        <f t="shared" si="10"/>
        <v>210610.08</v>
      </c>
      <c r="O32" s="126">
        <f t="shared" si="10"/>
        <v>330440.71999999997</v>
      </c>
      <c r="P32" s="126">
        <f t="shared" si="10"/>
        <v>-96204.15</v>
      </c>
    </row>
    <row r="33" spans="2:16" x14ac:dyDescent="0.3">
      <c r="B33" s="3" t="s">
        <v>67</v>
      </c>
      <c r="C33" s="3" t="s">
        <v>70</v>
      </c>
      <c r="D33" s="7">
        <f t="shared" ref="D33:D34" si="11">SUM($E33:$P33)</f>
        <v>-16493.21</v>
      </c>
      <c r="E33" s="4">
        <f>-SUMIFS(Tab_000.Trial[JANEIRO],Tab_000.Trial[DC],$B33)</f>
        <v>-662.87</v>
      </c>
      <c r="F33" s="4">
        <f>-SUMIFS(Tab_000.Trial[FEVEREIRO],Tab_000.Trial[DC],$B33)</f>
        <v>-619.61</v>
      </c>
      <c r="G33" s="4">
        <f>-SUMIFS(Tab_000.Trial[MARÇO],Tab_000.Trial[DC],$B33)</f>
        <v>-604.34</v>
      </c>
      <c r="H33" s="4">
        <f>-SUMIFS(Tab_000.Trial[ABRIL],Tab_000.Trial[DC],$B33)</f>
        <v>-1066.56</v>
      </c>
      <c r="I33" s="4">
        <f>-SUMIFS(Tab_000.Trial[MAIO],Tab_000.Trial[DC],$B33)</f>
        <v>-456.61</v>
      </c>
      <c r="J33" s="4">
        <f>-SUMIFS(Tab_000.Trial[JUNHO],Tab_000.Trial[DC],$B33)</f>
        <v>-475.61</v>
      </c>
      <c r="K33" s="4">
        <f>-SUMIFS(Tab_000.Trial[JULHO],Tab_000.Trial[DC],$B33)</f>
        <v>-475.61</v>
      </c>
      <c r="L33" s="4">
        <f>-SUMIFS(Tab_000.Trial[AGOSTO],Tab_000.Trial[DC],$B33)</f>
        <v>-475.61</v>
      </c>
      <c r="M33" s="4">
        <f>-SUMIFS(Tab_000.Trial[SETEMBRO],Tab_000.Trial[DC],$B33)</f>
        <v>-2899.73</v>
      </c>
      <c r="N33" s="4">
        <f>-SUMIFS(Tab_000.Trial[OUTUBRO],Tab_000.Trial[DC],$B33)</f>
        <v>-3016.68</v>
      </c>
      <c r="O33" s="4">
        <f>-SUMIFS(Tab_000.Trial[NOVEMBRO],Tab_000.Trial[DC],$B33)</f>
        <v>-2923.09</v>
      </c>
      <c r="P33" s="4">
        <f>-SUMIFS(Tab_000.Trial[DEZEMBRO],Tab_000.Trial[DC],$B33)</f>
        <v>-2816.89</v>
      </c>
    </row>
    <row r="34" spans="2:16" x14ac:dyDescent="0.3">
      <c r="B34" s="3" t="s">
        <v>71</v>
      </c>
      <c r="C34" s="3" t="s">
        <v>69</v>
      </c>
      <c r="D34" s="7">
        <f t="shared" si="11"/>
        <v>2726273.14</v>
      </c>
      <c r="E34" s="4">
        <f>-SUMIFS(Tab_000.Trial[JANEIRO],Tab_000.Trial[DC],$B34)</f>
        <v>203029.53</v>
      </c>
      <c r="F34" s="4">
        <f>-SUMIFS(Tab_000.Trial[FEVEREIRO],Tab_000.Trial[DC],$B34)</f>
        <v>0.02</v>
      </c>
      <c r="G34" s="4">
        <f>-SUMIFS(Tab_000.Trial[MARÇO],Tab_000.Trial[DC],$B34)</f>
        <v>306654.71000000002</v>
      </c>
      <c r="H34" s="4">
        <f>-SUMIFS(Tab_000.Trial[ABRIL],Tab_000.Trial[DC],$B34)</f>
        <v>-24727.24</v>
      </c>
      <c r="I34" s="4">
        <f>-SUMIFS(Tab_000.Trial[MAIO],Tab_000.Trial[DC],$B34)</f>
        <v>326235.03999999998</v>
      </c>
      <c r="J34" s="4">
        <f>-SUMIFS(Tab_000.Trial[JUNHO],Tab_000.Trial[DC],$B34)</f>
        <v>435543.94</v>
      </c>
      <c r="K34" s="4">
        <f>-SUMIFS(Tab_000.Trial[JULHO],Tab_000.Trial[DC],$B34)</f>
        <v>435543.94</v>
      </c>
      <c r="L34" s="4">
        <f>-SUMIFS(Tab_000.Trial[AGOSTO],Tab_000.Trial[DC],$B34)</f>
        <v>435543.94</v>
      </c>
      <c r="M34" s="4">
        <f>-SUMIFS(Tab_000.Trial[SETEMBRO],Tab_000.Trial[DC],$B34)</f>
        <v>154845.95000000001</v>
      </c>
      <c r="N34" s="4">
        <f>-SUMIFS(Tab_000.Trial[OUTUBRO],Tab_000.Trial[DC],$B34)</f>
        <v>213626.76</v>
      </c>
      <c r="O34" s="4">
        <f>-SUMIFS(Tab_000.Trial[NOVEMBRO],Tab_000.Trial[DC],$B34)</f>
        <v>333363.81</v>
      </c>
      <c r="P34" s="4">
        <f>-SUMIFS(Tab_000.Trial[DEZEMBRO],Tab_000.Trial[DC],$B34)</f>
        <v>-93387.26</v>
      </c>
    </row>
    <row r="35" spans="2:16" ht="5.0999999999999996" customHeight="1" x14ac:dyDescent="0.3"/>
    <row r="36" spans="2:16" x14ac:dyDescent="0.3">
      <c r="C36" s="17" t="s">
        <v>157</v>
      </c>
      <c r="D36" s="126">
        <f>SUBTOTAL(9,D$37:D$39)</f>
        <v>0</v>
      </c>
      <c r="E36" s="126">
        <f t="shared" ref="E36:P36" si="12">SUBTOTAL(9,E$37:E$39)</f>
        <v>0</v>
      </c>
      <c r="F36" s="126">
        <f t="shared" si="12"/>
        <v>0</v>
      </c>
      <c r="G36" s="126">
        <f t="shared" si="12"/>
        <v>0</v>
      </c>
      <c r="H36" s="126">
        <f t="shared" si="12"/>
        <v>0</v>
      </c>
      <c r="I36" s="126">
        <f t="shared" si="12"/>
        <v>0</v>
      </c>
      <c r="J36" s="126">
        <f t="shared" si="12"/>
        <v>0</v>
      </c>
      <c r="K36" s="126">
        <f t="shared" si="12"/>
        <v>0</v>
      </c>
      <c r="L36" s="126">
        <f t="shared" si="12"/>
        <v>0</v>
      </c>
      <c r="M36" s="126">
        <f t="shared" si="12"/>
        <v>0</v>
      </c>
      <c r="N36" s="126">
        <f t="shared" si="12"/>
        <v>0</v>
      </c>
      <c r="O36" s="126">
        <f t="shared" si="12"/>
        <v>0</v>
      </c>
      <c r="P36" s="126">
        <f t="shared" si="12"/>
        <v>0</v>
      </c>
    </row>
    <row r="37" spans="2:16" x14ac:dyDescent="0.3">
      <c r="B37" s="3" t="s">
        <v>72</v>
      </c>
      <c r="C37" s="3" t="s">
        <v>158</v>
      </c>
      <c r="D37" s="7">
        <f t="shared" ref="D37:D38" si="13">SUM($E37:$P37)</f>
        <v>0</v>
      </c>
      <c r="E37" s="4">
        <f>-SUMIFS(Tab_000.Trial[JANEIRO],Tab_000.Trial[DC],$B37)</f>
        <v>0</v>
      </c>
      <c r="F37" s="4">
        <f>-SUMIFS(Tab_000.Trial[FEVEREIRO],Tab_000.Trial[DC],$B37)</f>
        <v>0</v>
      </c>
      <c r="G37" s="4">
        <f>-SUMIFS(Tab_000.Trial[MARÇO],Tab_000.Trial[DC],$B37)</f>
        <v>0</v>
      </c>
      <c r="H37" s="4">
        <f>-SUMIFS(Tab_000.Trial[ABRIL],Tab_000.Trial[DC],$B37)</f>
        <v>0</v>
      </c>
      <c r="I37" s="4">
        <f>-SUMIFS(Tab_000.Trial[MAIO],Tab_000.Trial[DC],$B37)</f>
        <v>0</v>
      </c>
      <c r="J37" s="4">
        <f>-SUMIFS(Tab_000.Trial[JUNHO],Tab_000.Trial[DC],$B37)</f>
        <v>0</v>
      </c>
      <c r="K37" s="4">
        <f>-SUMIFS(Tab_000.Trial[JULHO],Tab_000.Trial[DC],$B37)</f>
        <v>0</v>
      </c>
      <c r="L37" s="4">
        <f>-SUMIFS(Tab_000.Trial[AGOSTO],Tab_000.Trial[DC],$B37)</f>
        <v>0</v>
      </c>
      <c r="M37" s="4">
        <f>-SUMIFS(Tab_000.Trial[SETEMBRO],Tab_000.Trial[DC],$B37)</f>
        <v>0</v>
      </c>
      <c r="N37" s="4">
        <f>-SUMIFS(Tab_000.Trial[OUTUBRO],Tab_000.Trial[DC],$B37)</f>
        <v>0</v>
      </c>
      <c r="O37" s="4">
        <f>-SUMIFS(Tab_000.Trial[NOVEMBRO],Tab_000.Trial[DC],$B37)</f>
        <v>0</v>
      </c>
      <c r="P37" s="4">
        <f>-SUMIFS(Tab_000.Trial[DEZEMBRO],Tab_000.Trial[DC],$B37)</f>
        <v>0</v>
      </c>
    </row>
    <row r="38" spans="2:16" x14ac:dyDescent="0.3">
      <c r="B38" s="3" t="s">
        <v>160</v>
      </c>
      <c r="C38" s="3" t="s">
        <v>159</v>
      </c>
      <c r="D38" s="7">
        <f t="shared" si="13"/>
        <v>0</v>
      </c>
      <c r="E38" s="4">
        <f>-SUMIFS(Tab_000.Trial[JANEIRO],Tab_000.Trial[DC],$B38)</f>
        <v>0</v>
      </c>
      <c r="F38" s="4">
        <f>-SUMIFS(Tab_000.Trial[FEVEREIRO],Tab_000.Trial[DC],$B38)</f>
        <v>0</v>
      </c>
      <c r="G38" s="4">
        <f>-SUMIFS(Tab_000.Trial[MARÇO],Tab_000.Trial[DC],$B38)</f>
        <v>0</v>
      </c>
      <c r="H38" s="4">
        <f>-SUMIFS(Tab_000.Trial[ABRIL],Tab_000.Trial[DC],$B38)</f>
        <v>0</v>
      </c>
      <c r="I38" s="4">
        <f>-SUMIFS(Tab_000.Trial[MAIO],Tab_000.Trial[DC],$B38)</f>
        <v>0</v>
      </c>
      <c r="J38" s="4">
        <f>-SUMIFS(Tab_000.Trial[JUNHO],Tab_000.Trial[DC],$B38)</f>
        <v>0</v>
      </c>
      <c r="K38" s="4">
        <f>-SUMIFS(Tab_000.Trial[JULHO],Tab_000.Trial[DC],$B38)</f>
        <v>0</v>
      </c>
      <c r="L38" s="4">
        <f>-SUMIFS(Tab_000.Trial[AGOSTO],Tab_000.Trial[DC],$B38)</f>
        <v>0</v>
      </c>
      <c r="M38" s="4">
        <f>-SUMIFS(Tab_000.Trial[SETEMBRO],Tab_000.Trial[DC],$B38)</f>
        <v>0</v>
      </c>
      <c r="N38" s="4">
        <f>-SUMIFS(Tab_000.Trial[OUTUBRO],Tab_000.Trial[DC],$B38)</f>
        <v>0</v>
      </c>
      <c r="O38" s="4">
        <f>-SUMIFS(Tab_000.Trial[NOVEMBRO],Tab_000.Trial[DC],$B38)</f>
        <v>0</v>
      </c>
      <c r="P38" s="4">
        <f>-SUMIFS(Tab_000.Trial[DEZEMBRO],Tab_000.Trial[DC],$B38)</f>
        <v>0</v>
      </c>
    </row>
    <row r="39" spans="2:16" ht="5.0999999999999996" customHeight="1" x14ac:dyDescent="0.3"/>
    <row r="40" spans="2:16" ht="14.4" thickBot="1" x14ac:dyDescent="0.35">
      <c r="C40" s="17" t="s">
        <v>98</v>
      </c>
      <c r="D40" s="18">
        <f>SUBTOTAL(9,D$5:D$39)-D$26</f>
        <v>2516872.41</v>
      </c>
      <c r="E40" s="18">
        <f t="shared" ref="E40:P40" si="14">SUBTOTAL(9,E$5:E$39)-E$26</f>
        <v>-111264.76</v>
      </c>
      <c r="F40" s="18">
        <f t="shared" si="14"/>
        <v>49716.15</v>
      </c>
      <c r="G40" s="18">
        <f t="shared" si="14"/>
        <v>535315.87</v>
      </c>
      <c r="H40" s="18">
        <f t="shared" si="14"/>
        <v>2278.1999999999998</v>
      </c>
      <c r="I40" s="18">
        <f t="shared" si="14"/>
        <v>462505.89</v>
      </c>
      <c r="J40" s="18">
        <f t="shared" si="14"/>
        <v>409096.12</v>
      </c>
      <c r="K40" s="18">
        <f t="shared" si="14"/>
        <v>409096.12</v>
      </c>
      <c r="L40" s="18">
        <f t="shared" si="14"/>
        <v>409096.12</v>
      </c>
      <c r="M40" s="18">
        <f t="shared" si="14"/>
        <v>113338.06</v>
      </c>
      <c r="N40" s="18">
        <f t="shared" si="14"/>
        <v>226947.35</v>
      </c>
      <c r="O40" s="18">
        <f t="shared" si="14"/>
        <v>501789.09</v>
      </c>
      <c r="P40" s="18">
        <f t="shared" si="14"/>
        <v>-491041.8</v>
      </c>
    </row>
    <row r="41" spans="2:16" ht="14.4" thickTop="1" x14ac:dyDescent="0.3"/>
  </sheetData>
  <sheetProtection sheet="1" objects="1" scenarios="1" autoFilter="0"/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CD4CA-0B41-4F49-BB5A-04F8B6EE32A0}">
  <sheetPr codeName="Planilha4">
    <outlinePr summaryBelow="0" summaryRight="0"/>
  </sheetPr>
  <dimension ref="B2:AR162"/>
  <sheetViews>
    <sheetView showGridLines="0" zoomScaleNormal="100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C5" sqref="C5"/>
    </sheetView>
  </sheetViews>
  <sheetFormatPr defaultColWidth="8.88671875" defaultRowHeight="13.2" customHeight="1" outlineLevelRow="1" x14ac:dyDescent="0.3"/>
  <cols>
    <col min="1" max="1" width="2.6640625" style="1" customWidth="1"/>
    <col min="2" max="2" width="20.6640625" style="3" customWidth="1"/>
    <col min="3" max="3" width="50.6640625" style="1" customWidth="1"/>
    <col min="4" max="4" width="15.6640625" style="4" customWidth="1"/>
    <col min="5" max="5" width="8.6640625" style="78" customWidth="1"/>
    <col min="6" max="6" width="15.6640625" style="4" customWidth="1"/>
    <col min="7" max="8" width="8.6640625" style="78" customWidth="1"/>
    <col min="9" max="9" width="15.6640625" style="4" customWidth="1"/>
    <col min="10" max="11" width="8.6640625" style="78" customWidth="1"/>
    <col min="12" max="12" width="15.6640625" style="4" customWidth="1"/>
    <col min="13" max="14" width="8.6640625" style="78" customWidth="1"/>
    <col min="15" max="15" width="15.6640625" style="4" customWidth="1"/>
    <col min="16" max="17" width="8.6640625" style="78" customWidth="1"/>
    <col min="18" max="18" width="15.6640625" style="4" customWidth="1"/>
    <col min="19" max="20" width="8.6640625" style="78" customWidth="1"/>
    <col min="21" max="21" width="15.6640625" style="4" customWidth="1"/>
    <col min="22" max="23" width="8.6640625" style="78" customWidth="1"/>
    <col min="24" max="24" width="15.6640625" style="4" customWidth="1"/>
    <col min="25" max="26" width="8.6640625" style="78" customWidth="1"/>
    <col min="27" max="27" width="15.6640625" style="4" customWidth="1"/>
    <col min="28" max="29" width="8.6640625" style="78" customWidth="1"/>
    <col min="30" max="30" width="15.6640625" style="4" customWidth="1"/>
    <col min="31" max="32" width="8.6640625" style="78" customWidth="1"/>
    <col min="33" max="33" width="15.6640625" style="4" customWidth="1"/>
    <col min="34" max="35" width="8.6640625" style="78" customWidth="1"/>
    <col min="36" max="36" width="15.6640625" style="4" customWidth="1"/>
    <col min="37" max="38" width="8.6640625" style="78" customWidth="1"/>
    <col min="39" max="39" width="15.6640625" style="4" customWidth="1"/>
    <col min="40" max="41" width="8.6640625" style="22" customWidth="1"/>
    <col min="42" max="42" width="12.44140625" style="1" bestFit="1" customWidth="1"/>
    <col min="43" max="44" width="13.5546875" style="1" bestFit="1" customWidth="1"/>
    <col min="45" max="16384" width="8.88671875" style="1"/>
  </cols>
  <sheetData>
    <row r="2" spans="2:42" ht="13.8" x14ac:dyDescent="0.3">
      <c r="C2" s="17" t="s">
        <v>30</v>
      </c>
    </row>
    <row r="3" spans="2:42" ht="13.2" customHeight="1" x14ac:dyDescent="0.3">
      <c r="H3" s="78" t="s">
        <v>270</v>
      </c>
    </row>
    <row r="4" spans="2:42" ht="24.9" customHeight="1" x14ac:dyDescent="0.3">
      <c r="B4" s="10"/>
      <c r="D4" s="20" t="s">
        <v>36</v>
      </c>
      <c r="E4" s="84" t="s">
        <v>47</v>
      </c>
      <c r="F4" s="20" t="s">
        <v>3</v>
      </c>
      <c r="G4" s="84" t="s">
        <v>47</v>
      </c>
      <c r="H4" s="84" t="s">
        <v>48</v>
      </c>
      <c r="I4" s="20" t="s">
        <v>4</v>
      </c>
      <c r="J4" s="84" t="s">
        <v>47</v>
      </c>
      <c r="K4" s="84" t="s">
        <v>48</v>
      </c>
      <c r="L4" s="20" t="s">
        <v>5</v>
      </c>
      <c r="M4" s="84" t="s">
        <v>47</v>
      </c>
      <c r="N4" s="84" t="s">
        <v>48</v>
      </c>
      <c r="O4" s="20" t="s">
        <v>6</v>
      </c>
      <c r="P4" s="84" t="s">
        <v>47</v>
      </c>
      <c r="Q4" s="84" t="s">
        <v>48</v>
      </c>
      <c r="R4" s="20" t="s">
        <v>7</v>
      </c>
      <c r="S4" s="84" t="s">
        <v>47</v>
      </c>
      <c r="T4" s="84" t="s">
        <v>48</v>
      </c>
      <c r="U4" s="20" t="s">
        <v>8</v>
      </c>
      <c r="V4" s="84" t="s">
        <v>47</v>
      </c>
      <c r="W4" s="84" t="s">
        <v>48</v>
      </c>
      <c r="X4" s="20" t="s">
        <v>9</v>
      </c>
      <c r="Y4" s="84" t="s">
        <v>47</v>
      </c>
      <c r="Z4" s="84" t="s">
        <v>48</v>
      </c>
      <c r="AA4" s="20" t="s">
        <v>10</v>
      </c>
      <c r="AB4" s="84" t="s">
        <v>47</v>
      </c>
      <c r="AC4" s="84" t="s">
        <v>48</v>
      </c>
      <c r="AD4" s="20" t="s">
        <v>11</v>
      </c>
      <c r="AE4" s="84" t="s">
        <v>47</v>
      </c>
      <c r="AF4" s="84" t="s">
        <v>48</v>
      </c>
      <c r="AG4" s="20" t="s">
        <v>12</v>
      </c>
      <c r="AH4" s="84" t="s">
        <v>47</v>
      </c>
      <c r="AI4" s="84" t="s">
        <v>48</v>
      </c>
      <c r="AJ4" s="20" t="s">
        <v>13</v>
      </c>
      <c r="AK4" s="84" t="s">
        <v>47</v>
      </c>
      <c r="AL4" s="84" t="s">
        <v>48</v>
      </c>
      <c r="AM4" s="20" t="s">
        <v>14</v>
      </c>
      <c r="AN4" s="85" t="s">
        <v>47</v>
      </c>
      <c r="AO4" s="85" t="s">
        <v>48</v>
      </c>
    </row>
    <row r="5" spans="2:42" ht="20.100000000000001" customHeight="1" x14ac:dyDescent="0.3">
      <c r="C5" s="21" t="s">
        <v>15</v>
      </c>
    </row>
    <row r="6" spans="2:42" ht="15" customHeight="1" x14ac:dyDescent="0.3">
      <c r="C6" s="9" t="s">
        <v>31</v>
      </c>
      <c r="D6" s="7"/>
      <c r="E6" s="79"/>
      <c r="F6" s="7"/>
      <c r="G6" s="79"/>
      <c r="H6" s="79"/>
      <c r="I6" s="7"/>
      <c r="J6" s="79"/>
      <c r="K6" s="79"/>
      <c r="L6" s="7"/>
      <c r="M6" s="79"/>
      <c r="N6" s="79"/>
      <c r="O6" s="7"/>
      <c r="P6" s="79"/>
      <c r="Q6" s="79"/>
      <c r="R6" s="7"/>
      <c r="S6" s="79"/>
      <c r="T6" s="79"/>
      <c r="U6" s="7"/>
      <c r="V6" s="79"/>
      <c r="W6" s="79"/>
      <c r="X6" s="7"/>
      <c r="Y6" s="79"/>
      <c r="Z6" s="79"/>
      <c r="AA6" s="7"/>
      <c r="AB6" s="79"/>
      <c r="AC6" s="79"/>
      <c r="AD6" s="7"/>
      <c r="AE6" s="79"/>
      <c r="AF6" s="79"/>
      <c r="AG6" s="7"/>
      <c r="AH6" s="79"/>
      <c r="AI6" s="79"/>
      <c r="AJ6" s="7"/>
      <c r="AK6" s="79"/>
      <c r="AL6" s="79"/>
      <c r="AM6" s="7"/>
      <c r="AN6" s="82"/>
      <c r="AO6" s="82"/>
    </row>
    <row r="7" spans="2:42" ht="15" customHeight="1" collapsed="1" x14ac:dyDescent="0.3">
      <c r="B7" s="3" t="s">
        <v>38</v>
      </c>
      <c r="C7" s="14" t="s">
        <v>32</v>
      </c>
      <c r="D7" s="4">
        <f>SUBTOTAL(9,D$8:D$18)</f>
        <v>0</v>
      </c>
      <c r="E7" s="78">
        <f t="shared" ref="E7:E17" si="0">IFERROR($D7/$D$160,0)</f>
        <v>0</v>
      </c>
      <c r="F7" s="4">
        <f ca="1">SUBTOTAL(9,F$8:F$18)</f>
        <v>30834.63</v>
      </c>
      <c r="G7" s="78">
        <f t="shared" ref="G7:G17" ca="1" si="1">IFERROR($F7/$F$160,0)</f>
        <v>4.0000000000000002E-4</v>
      </c>
      <c r="H7" s="78">
        <f ca="1">IFERROR(($F7-$D7)/ABS($D7),0)</f>
        <v>0</v>
      </c>
      <c r="I7" s="4">
        <f ca="1">SUBTOTAL(9,I$8:I$18)</f>
        <v>56116.73</v>
      </c>
      <c r="J7" s="78">
        <f t="shared" ref="J7:J17" ca="1" si="2">IFERROR($I7/$I$160,0)</f>
        <v>6.9999999999999999E-4</v>
      </c>
      <c r="K7" s="78">
        <f ca="1">IFERROR(($I7-$F7)/ABS($F7),0)</f>
        <v>0.81989999999999996</v>
      </c>
      <c r="L7" s="4">
        <f ca="1">SUBTOTAL(9,L$8:L$18)</f>
        <v>33041.07</v>
      </c>
      <c r="M7" s="78">
        <f t="shared" ref="M7:M17" ca="1" si="3">IFERROR($L7/$L$160,0)</f>
        <v>4.0000000000000002E-4</v>
      </c>
      <c r="N7" s="78">
        <f ca="1">IFERROR(($L7-$I7)/ABS($I7),0)</f>
        <v>-0.41120000000000001</v>
      </c>
      <c r="O7" s="4">
        <f ca="1">SUBTOTAL(9,O$8:O$18)</f>
        <v>19594.89</v>
      </c>
      <c r="P7" s="78">
        <f t="shared" ref="P7:P17" ca="1" si="4">IFERROR($O7/$O$160,0)</f>
        <v>2.0000000000000001E-4</v>
      </c>
      <c r="Q7" s="78">
        <f ca="1">IFERROR(($O7-$L7)/ABS($L7),0)</f>
        <v>-0.40699999999999997</v>
      </c>
      <c r="R7" s="4">
        <f ca="1">SUBTOTAL(9,R$8:R$18)</f>
        <v>10967.81</v>
      </c>
      <c r="S7" s="78">
        <f t="shared" ref="S7:S17" ca="1" si="5">IFERROR($R7/$R$160,0)</f>
        <v>1E-4</v>
      </c>
      <c r="T7" s="78">
        <f ca="1">IFERROR(($R7-$O7)/ABS($O7),0)</f>
        <v>-0.44030000000000002</v>
      </c>
      <c r="U7" s="4">
        <f ca="1">SUBTOTAL(9,U$8:U$18)</f>
        <v>23750.959999999999</v>
      </c>
      <c r="V7" s="78">
        <f t="shared" ref="V7:V17" ca="1" si="6">IFERROR($U7/$U$160,0)</f>
        <v>2.9999999999999997E-4</v>
      </c>
      <c r="W7" s="78">
        <f ca="1">IFERROR(($U7-$R7)/ABS($R7),0)</f>
        <v>1.1655</v>
      </c>
      <c r="X7" s="4">
        <f ca="1">SUBTOTAL(9,X$8:X$18)</f>
        <v>23750.959999999999</v>
      </c>
      <c r="Y7" s="78">
        <f t="shared" ref="Y7:Y17" ca="1" si="7">IFERROR($X7/$X$160,0)</f>
        <v>2.9999999999999997E-4</v>
      </c>
      <c r="Z7" s="78">
        <f ca="1">IFERROR(($X7-$U7)/ABS($U7),0)</f>
        <v>0</v>
      </c>
      <c r="AA7" s="4">
        <f ca="1">SUBTOTAL(9,AA$8:AA$18)</f>
        <v>23750.959999999999</v>
      </c>
      <c r="AB7" s="78">
        <f t="shared" ref="AB7:AB17" ca="1" si="8">IFERROR($AA7/$AA$160,0)</f>
        <v>2.9999999999999997E-4</v>
      </c>
      <c r="AC7" s="78">
        <f ca="1">IFERROR(($AA7-$X7)/ABS($X7),0)</f>
        <v>0</v>
      </c>
      <c r="AD7" s="4">
        <f ca="1">SUBTOTAL(9,AD$8:AD$18)</f>
        <v>47961.4</v>
      </c>
      <c r="AE7" s="78">
        <f t="shared" ref="AE7:AE17" ca="1" si="9">IFERROR($AD7/$AD$160,0)</f>
        <v>5.9999999999999995E-4</v>
      </c>
      <c r="AF7" s="78">
        <f ca="1">IFERROR(($AD7-$AA7)/ABS($AA7),0)</f>
        <v>1.0193000000000001</v>
      </c>
      <c r="AG7" s="4">
        <f ca="1">SUBTOTAL(9,AG$8:AG$18)</f>
        <v>28835.22</v>
      </c>
      <c r="AH7" s="78">
        <f t="shared" ref="AH7:AH17" ca="1" si="10">IFERROR($AG7/$AG$160,0)</f>
        <v>2.9999999999999997E-4</v>
      </c>
      <c r="AI7" s="78">
        <f ca="1">IFERROR(($AG7-$AD7)/ABS($AD7),0)</f>
        <v>-0.39879999999999999</v>
      </c>
      <c r="AJ7" s="4">
        <f ca="1">SUBTOTAL(9,AJ$8:AJ$18)</f>
        <v>54710.67</v>
      </c>
      <c r="AK7" s="78">
        <f t="shared" ref="AK7:AK17" ca="1" si="11">IFERROR($AJ7/$AJ$160,0)</f>
        <v>5.9999999999999995E-4</v>
      </c>
      <c r="AL7" s="78">
        <f ca="1">IFERROR(($AJ7-$AG7)/ABS($AG7),0)</f>
        <v>0.89739999999999998</v>
      </c>
      <c r="AM7" s="4">
        <f ca="1">SUBTOTAL(9,AM$8:AM$18)</f>
        <v>179814.8</v>
      </c>
      <c r="AN7" s="78">
        <f t="shared" ref="AN7:AN17" ca="1" si="12">IFERROR(AM7/AM$160,0)</f>
        <v>2.0999999999999999E-3</v>
      </c>
      <c r="AO7" s="78">
        <f ca="1">IFERROR(($AM7-$AJ7)/ABS($AJ7),0)</f>
        <v>2.2866</v>
      </c>
    </row>
    <row r="8" spans="2:42" ht="15" hidden="1" customHeight="1" outlineLevel="1" x14ac:dyDescent="0.3">
      <c r="B8" s="14" t="s">
        <v>175</v>
      </c>
      <c r="C8" s="15" t="s">
        <v>273</v>
      </c>
      <c r="D8" s="4">
        <f>SUMIFS(Tab_99.Trial[DEZEMBRO],Tab_99.Trial[CONTA],$B8)</f>
        <v>0</v>
      </c>
      <c r="E8" s="78">
        <f t="shared" si="0"/>
        <v>0</v>
      </c>
      <c r="F8" s="4">
        <f ca="1">SUMIFS(INDIRECT("Tab_00.Trial["&amp;F$4&amp;"]"),Tab_00.Trial[CONTA],$B8)</f>
        <v>0</v>
      </c>
      <c r="G8" s="78">
        <f t="shared" ca="1" si="1"/>
        <v>0</v>
      </c>
      <c r="H8" s="78">
        <f t="shared" ref="H8:H17" ca="1" si="13">IFERROR(($F8-$D8)/ABS($D8),0)</f>
        <v>0</v>
      </c>
      <c r="I8" s="4">
        <f ca="1">SUMIFS(INDIRECT("Tab_00.Trial["&amp;I$4&amp;"]"),Tab_00.Trial[CONTA],$B8)</f>
        <v>0</v>
      </c>
      <c r="J8" s="78">
        <f t="shared" ca="1" si="2"/>
        <v>0</v>
      </c>
      <c r="K8" s="78">
        <f ca="1">IFERROR(($I8-$F8)/ABS($F8),0)</f>
        <v>0</v>
      </c>
      <c r="L8" s="4">
        <f ca="1">SUMIFS(INDIRECT("Tab_00.Trial["&amp;L$4&amp;"]"),Tab_00.Trial[CONTA],$B8)</f>
        <v>0</v>
      </c>
      <c r="M8" s="78">
        <f t="shared" ca="1" si="3"/>
        <v>0</v>
      </c>
      <c r="N8" s="78">
        <f ca="1">IFERROR(($L8-$I8)/ABS($I8),0)</f>
        <v>0</v>
      </c>
      <c r="O8" s="4">
        <f ca="1">SUMIFS(INDIRECT("Tab_00.Trial["&amp;O$4&amp;"]"),Tab_00.Trial[CONTA],$B8)</f>
        <v>0</v>
      </c>
      <c r="P8" s="78">
        <f t="shared" ca="1" si="4"/>
        <v>0</v>
      </c>
      <c r="Q8" s="78">
        <f ca="1">IFERROR(($O8-$L8)/ABS($L8),0)</f>
        <v>0</v>
      </c>
      <c r="R8" s="4">
        <f ca="1">SUMIFS(INDIRECT("Tab_00.Trial["&amp;R$4&amp;"]"),Tab_00.Trial[CONTA],$B8)</f>
        <v>0</v>
      </c>
      <c r="S8" s="78">
        <f t="shared" ca="1" si="5"/>
        <v>0</v>
      </c>
      <c r="T8" s="78">
        <f ca="1">IFERROR(($R8-$O8)/ABS($O8),0)</f>
        <v>0</v>
      </c>
      <c r="U8" s="4">
        <f ca="1">SUMIFS(INDIRECT("Tab_00.Trial["&amp;U$4&amp;"]"),Tab_00.Trial[CONTA],$B8)</f>
        <v>0</v>
      </c>
      <c r="V8" s="78">
        <f t="shared" ca="1" si="6"/>
        <v>0</v>
      </c>
      <c r="W8" s="78">
        <f ca="1">IFERROR(($U8-$R8)/ABS($R8),0)</f>
        <v>0</v>
      </c>
      <c r="X8" s="4">
        <f ca="1">SUMIFS(INDIRECT("Tab_00.Trial["&amp;X$4&amp;"]"),Tab_00.Trial[CONTA],$B8)</f>
        <v>0</v>
      </c>
      <c r="Y8" s="78">
        <f t="shared" ca="1" si="7"/>
        <v>0</v>
      </c>
      <c r="Z8" s="78">
        <f ca="1">IFERROR(($X8-$U8)/ABS($U8),0)</f>
        <v>0</v>
      </c>
      <c r="AA8" s="4">
        <f ca="1">SUMIFS(INDIRECT("Tab_00.Trial["&amp;AA$4&amp;"]"),Tab_00.Trial[CONTA],$B8)</f>
        <v>0</v>
      </c>
      <c r="AB8" s="78">
        <f t="shared" ca="1" si="8"/>
        <v>0</v>
      </c>
      <c r="AC8" s="78">
        <f ca="1">IFERROR(($AA8-$X8)/ABS($X8),0)</f>
        <v>0</v>
      </c>
      <c r="AD8" s="4">
        <f ca="1">SUMIFS(INDIRECT("Tab_00.Trial["&amp;AD$4&amp;"]"),Tab_00.Trial[CONTA],$B8)</f>
        <v>0</v>
      </c>
      <c r="AE8" s="78">
        <f t="shared" ca="1" si="9"/>
        <v>0</v>
      </c>
      <c r="AF8" s="78">
        <f ca="1">IFERROR(($AD8-$AA8)/ABS($AA8),0)</f>
        <v>0</v>
      </c>
      <c r="AG8" s="4">
        <f ca="1">SUMIFS(INDIRECT("Tab_00.Trial["&amp;AG$4&amp;"]"),Tab_00.Trial[CONTA],$B8)</f>
        <v>0</v>
      </c>
      <c r="AH8" s="78">
        <f t="shared" ca="1" si="10"/>
        <v>0</v>
      </c>
      <c r="AI8" s="78">
        <f ca="1">IFERROR(($AG8-$AD8)/ABS($AD8),0)</f>
        <v>0</v>
      </c>
      <c r="AJ8" s="4">
        <f ca="1">SUMIFS(INDIRECT("Tab_00.Trial["&amp;AJ$4&amp;"]"),Tab_00.Trial[CONTA],$B8)</f>
        <v>0</v>
      </c>
      <c r="AK8" s="78">
        <f t="shared" ca="1" si="11"/>
        <v>0</v>
      </c>
      <c r="AL8" s="78">
        <f ca="1">IFERROR(($AJ8-$AG8)/ABS($AG8),0)</f>
        <v>0</v>
      </c>
      <c r="AM8" s="4">
        <f ca="1">SUMIFS(INDIRECT("Tab_00.Trial["&amp;AM$4&amp;"]"),Tab_00.Trial[CONTA],$B8)</f>
        <v>0</v>
      </c>
      <c r="AN8" s="78">
        <f t="shared" ca="1" si="12"/>
        <v>0</v>
      </c>
      <c r="AO8" s="78">
        <f ca="1">IFERROR(($AM8-$AJ8)/ABS($AJ8),0)</f>
        <v>0</v>
      </c>
      <c r="AP8" s="1" t="s">
        <v>244</v>
      </c>
    </row>
    <row r="9" spans="2:42" ht="15" hidden="1" customHeight="1" outlineLevel="1" x14ac:dyDescent="0.3">
      <c r="B9" s="14" t="s">
        <v>176</v>
      </c>
      <c r="C9" s="15" t="s">
        <v>274</v>
      </c>
      <c r="D9" s="4">
        <f>SUMIFS(Tab_99.Trial[DEZEMBRO],Tab_99.Trial[CONTA],$B9)</f>
        <v>0</v>
      </c>
      <c r="E9" s="78">
        <f t="shared" si="0"/>
        <v>0</v>
      </c>
      <c r="F9" s="4">
        <f ca="1">SUMIFS(INDIRECT("Tab_00.Trial["&amp;F$4&amp;"]"),Tab_00.Trial[CONTA],$B9)</f>
        <v>3918.73</v>
      </c>
      <c r="G9" s="78">
        <f t="shared" ca="1" si="1"/>
        <v>0</v>
      </c>
      <c r="H9" s="78">
        <f t="shared" ca="1" si="13"/>
        <v>0</v>
      </c>
      <c r="I9" s="4">
        <f ca="1">SUMIFS(INDIRECT("Tab_00.Trial["&amp;I$4&amp;"]"),Tab_00.Trial[CONTA],$B9)</f>
        <v>3855.76</v>
      </c>
      <c r="J9" s="78">
        <f t="shared" ca="1" si="2"/>
        <v>0</v>
      </c>
      <c r="K9" s="78">
        <f t="shared" ref="K9:K17" ca="1" si="14">IFERROR(($I9-$F9)/ABS($F9),0)</f>
        <v>-1.61E-2</v>
      </c>
      <c r="L9" s="4">
        <f ca="1">SUMIFS(INDIRECT("Tab_00.Trial["&amp;L$4&amp;"]"),Tab_00.Trial[CONTA],$B9)</f>
        <v>3411.67</v>
      </c>
      <c r="M9" s="78">
        <f t="shared" ca="1" si="3"/>
        <v>0</v>
      </c>
      <c r="N9" s="78">
        <f t="shared" ref="N9:N17" ca="1" si="15">IFERROR(($L9-$I9)/ABS($I9),0)</f>
        <v>-0.1152</v>
      </c>
      <c r="O9" s="4">
        <f ca="1">SUMIFS(INDIRECT("Tab_00.Trial["&amp;O$4&amp;"]"),Tab_00.Trial[CONTA],$B9)</f>
        <v>2993.41</v>
      </c>
      <c r="P9" s="78">
        <f t="shared" ca="1" si="4"/>
        <v>0</v>
      </c>
      <c r="Q9" s="78">
        <f t="shared" ref="Q9:Q17" ca="1" si="16">IFERROR(($O9-$L9)/ABS($L9),0)</f>
        <v>-0.1226</v>
      </c>
      <c r="R9" s="4">
        <f ca="1">SUMIFS(INDIRECT("Tab_00.Trial["&amp;R$4&amp;"]"),Tab_00.Trial[CONTA],$B9)</f>
        <v>2541.83</v>
      </c>
      <c r="S9" s="78">
        <f t="shared" ca="1" si="5"/>
        <v>0</v>
      </c>
      <c r="T9" s="78">
        <f t="shared" ref="T9:T17" ca="1" si="17">IFERROR(($R9-$O9)/ABS($O9),0)</f>
        <v>-0.15090000000000001</v>
      </c>
      <c r="U9" s="4">
        <f ca="1">SUMIFS(INDIRECT("Tab_00.Trial["&amp;U$4&amp;"]"),Tab_00.Trial[CONTA],$B9)</f>
        <v>1243.94</v>
      </c>
      <c r="V9" s="78">
        <f t="shared" ca="1" si="6"/>
        <v>0</v>
      </c>
      <c r="W9" s="78">
        <f t="shared" ref="W9:W17" ca="1" si="18">IFERROR(($U9-$R9)/ABS($R9),0)</f>
        <v>-0.51060000000000005</v>
      </c>
      <c r="X9" s="4">
        <f ca="1">SUMIFS(INDIRECT("Tab_00.Trial["&amp;X$4&amp;"]"),Tab_00.Trial[CONTA],$B9)</f>
        <v>1243.94</v>
      </c>
      <c r="Y9" s="78">
        <f t="shared" ca="1" si="7"/>
        <v>0</v>
      </c>
      <c r="Z9" s="78">
        <f t="shared" ref="Z9:Z17" ca="1" si="19">IFERROR(($X9-$U9)/ABS($U9),0)</f>
        <v>0</v>
      </c>
      <c r="AA9" s="4">
        <f ca="1">SUMIFS(INDIRECT("Tab_00.Trial["&amp;AA$4&amp;"]"),Tab_00.Trial[CONTA],$B9)</f>
        <v>1243.94</v>
      </c>
      <c r="AB9" s="78">
        <f t="shared" ca="1" si="8"/>
        <v>0</v>
      </c>
      <c r="AC9" s="78">
        <f t="shared" ref="AC9:AC17" ca="1" si="20">IFERROR(($AA9-$X9)/ABS($X9),0)</f>
        <v>0</v>
      </c>
      <c r="AD9" s="4">
        <f ca="1">SUMIFS(INDIRECT("Tab_00.Trial["&amp;AD$4&amp;"]"),Tab_00.Trial[CONTA],$B9)</f>
        <v>1328.63</v>
      </c>
      <c r="AE9" s="78">
        <f t="shared" ca="1" si="9"/>
        <v>0</v>
      </c>
      <c r="AF9" s="78">
        <f t="shared" ref="AF9:AF17" ca="1" si="21">IFERROR(($AD9-$AA9)/ABS($AA9),0)</f>
        <v>6.8099999999999994E-2</v>
      </c>
      <c r="AG9" s="4">
        <f ca="1">SUMIFS(INDIRECT("Tab_00.Trial["&amp;AG$4&amp;"]"),Tab_00.Trial[CONTA],$B9)</f>
        <v>547.73</v>
      </c>
      <c r="AH9" s="78">
        <f t="shared" ca="1" si="10"/>
        <v>0</v>
      </c>
      <c r="AI9" s="78">
        <f t="shared" ref="AI9:AI17" ca="1" si="22">IFERROR(($AG9-$AD9)/ABS($AD9),0)</f>
        <v>-0.5877</v>
      </c>
      <c r="AJ9" s="4">
        <f ca="1">SUMIFS(INDIRECT("Tab_00.Trial["&amp;AJ$4&amp;"]"),Tab_00.Trial[CONTA],$B9)</f>
        <v>474.45</v>
      </c>
      <c r="AK9" s="78">
        <f t="shared" ca="1" si="11"/>
        <v>0</v>
      </c>
      <c r="AL9" s="78">
        <f t="shared" ref="AL9:AL17" ca="1" si="23">IFERROR(($AJ9-$AG9)/ABS($AG9),0)</f>
        <v>-0.1338</v>
      </c>
      <c r="AM9" s="4">
        <f ca="1">SUMIFS(INDIRECT("Tab_00.Trial["&amp;AM$4&amp;"]"),Tab_00.Trial[CONTA],$B9)</f>
        <v>1428.62</v>
      </c>
      <c r="AN9" s="78">
        <f t="shared" ca="1" si="12"/>
        <v>0</v>
      </c>
      <c r="AO9" s="78">
        <f t="shared" ref="AO9:AO17" ca="1" si="24">IFERROR(($AM9-$AJ9)/ABS($AJ9),0)</f>
        <v>2.0110999999999999</v>
      </c>
      <c r="AP9" s="1" t="s">
        <v>244</v>
      </c>
    </row>
    <row r="10" spans="2:42" ht="15" hidden="1" customHeight="1" outlineLevel="1" x14ac:dyDescent="0.3">
      <c r="B10" s="14" t="s">
        <v>275</v>
      </c>
      <c r="C10" s="15" t="s">
        <v>276</v>
      </c>
      <c r="D10" s="4">
        <f>SUMIFS(Tab_99.Trial[DEZEMBRO],Tab_99.Trial[CONTA],$B10)</f>
        <v>0</v>
      </c>
      <c r="E10" s="78">
        <f t="shared" si="0"/>
        <v>0</v>
      </c>
      <c r="F10" s="4">
        <f ca="1">SUMIFS(INDIRECT("Tab_00.Trial["&amp;F$4&amp;"]"),Tab_00.Trial[CONTA],$B10)</f>
        <v>0</v>
      </c>
      <c r="G10" s="78">
        <f t="shared" ca="1" si="1"/>
        <v>0</v>
      </c>
      <c r="H10" s="78">
        <f t="shared" ca="1" si="13"/>
        <v>0</v>
      </c>
      <c r="I10" s="4">
        <f ca="1">SUMIFS(INDIRECT("Tab_00.Trial["&amp;I$4&amp;"]"),Tab_00.Trial[CONTA],$B10)</f>
        <v>0</v>
      </c>
      <c r="J10" s="78">
        <f t="shared" ca="1" si="2"/>
        <v>0</v>
      </c>
      <c r="K10" s="78">
        <f t="shared" ca="1" si="14"/>
        <v>0</v>
      </c>
      <c r="L10" s="4">
        <f ca="1">SUMIFS(INDIRECT("Tab_00.Trial["&amp;L$4&amp;"]"),Tab_00.Trial[CONTA],$B10)</f>
        <v>0</v>
      </c>
      <c r="M10" s="78">
        <f t="shared" ca="1" si="3"/>
        <v>0</v>
      </c>
      <c r="N10" s="78">
        <f t="shared" ca="1" si="15"/>
        <v>0</v>
      </c>
      <c r="O10" s="4">
        <f ca="1">SUMIFS(INDIRECT("Tab_00.Trial["&amp;O$4&amp;"]"),Tab_00.Trial[CONTA],$B10)</f>
        <v>0</v>
      </c>
      <c r="P10" s="78">
        <f t="shared" ca="1" si="4"/>
        <v>0</v>
      </c>
      <c r="Q10" s="78">
        <f t="shared" ca="1" si="16"/>
        <v>0</v>
      </c>
      <c r="R10" s="4">
        <f ca="1">SUMIFS(INDIRECT("Tab_00.Trial["&amp;R$4&amp;"]"),Tab_00.Trial[CONTA],$B10)</f>
        <v>0</v>
      </c>
      <c r="S10" s="78">
        <f t="shared" ca="1" si="5"/>
        <v>0</v>
      </c>
      <c r="T10" s="78">
        <f t="shared" ca="1" si="17"/>
        <v>0</v>
      </c>
      <c r="U10" s="4">
        <f ca="1">SUMIFS(INDIRECT("Tab_00.Trial["&amp;U$4&amp;"]"),Tab_00.Trial[CONTA],$B10)</f>
        <v>0</v>
      </c>
      <c r="V10" s="78">
        <f t="shared" ca="1" si="6"/>
        <v>0</v>
      </c>
      <c r="W10" s="78">
        <f t="shared" ca="1" si="18"/>
        <v>0</v>
      </c>
      <c r="X10" s="4">
        <f ca="1">SUMIFS(INDIRECT("Tab_00.Trial["&amp;X$4&amp;"]"),Tab_00.Trial[CONTA],$B10)</f>
        <v>0</v>
      </c>
      <c r="Y10" s="78">
        <f t="shared" ca="1" si="7"/>
        <v>0</v>
      </c>
      <c r="Z10" s="78">
        <f t="shared" ca="1" si="19"/>
        <v>0</v>
      </c>
      <c r="AA10" s="4">
        <f ca="1">SUMIFS(INDIRECT("Tab_00.Trial["&amp;AA$4&amp;"]"),Tab_00.Trial[CONTA],$B10)</f>
        <v>0</v>
      </c>
      <c r="AB10" s="78">
        <f t="shared" ca="1" si="8"/>
        <v>0</v>
      </c>
      <c r="AC10" s="78">
        <f t="shared" ca="1" si="20"/>
        <v>0</v>
      </c>
      <c r="AD10" s="4">
        <f ca="1">SUMIFS(INDIRECT("Tab_00.Trial["&amp;AD$4&amp;"]"),Tab_00.Trial[CONTA],$B10)</f>
        <v>0</v>
      </c>
      <c r="AE10" s="78">
        <f t="shared" ca="1" si="9"/>
        <v>0</v>
      </c>
      <c r="AF10" s="78">
        <f t="shared" ca="1" si="21"/>
        <v>0</v>
      </c>
      <c r="AG10" s="4">
        <f ca="1">SUMIFS(INDIRECT("Tab_00.Trial["&amp;AG$4&amp;"]"),Tab_00.Trial[CONTA],$B10)</f>
        <v>0</v>
      </c>
      <c r="AH10" s="78">
        <f t="shared" ca="1" si="10"/>
        <v>0</v>
      </c>
      <c r="AI10" s="78">
        <f t="shared" ca="1" si="22"/>
        <v>0</v>
      </c>
      <c r="AJ10" s="4">
        <f ca="1">SUMIFS(INDIRECT("Tab_00.Trial["&amp;AJ$4&amp;"]"),Tab_00.Trial[CONTA],$B10)</f>
        <v>0</v>
      </c>
      <c r="AK10" s="78">
        <f t="shared" ca="1" si="11"/>
        <v>0</v>
      </c>
      <c r="AL10" s="78">
        <f t="shared" ca="1" si="23"/>
        <v>0</v>
      </c>
      <c r="AM10" s="4">
        <f ca="1">SUMIFS(INDIRECT("Tab_00.Trial["&amp;AM$4&amp;"]"),Tab_00.Trial[CONTA],$B10)</f>
        <v>0</v>
      </c>
      <c r="AN10" s="78">
        <f t="shared" ca="1" si="12"/>
        <v>0</v>
      </c>
      <c r="AO10" s="78">
        <f t="shared" ca="1" si="24"/>
        <v>0</v>
      </c>
    </row>
    <row r="11" spans="2:42" ht="15" hidden="1" customHeight="1" outlineLevel="1" x14ac:dyDescent="0.3">
      <c r="B11" s="14" t="s">
        <v>277</v>
      </c>
      <c r="C11" s="15" t="s">
        <v>278</v>
      </c>
      <c r="D11" s="4">
        <f>SUMIFS(Tab_99.Trial[DEZEMBRO],Tab_99.Trial[CONTA],$B11)</f>
        <v>0</v>
      </c>
      <c r="E11" s="78">
        <f t="shared" si="0"/>
        <v>0</v>
      </c>
      <c r="F11" s="4">
        <f ca="1">SUMIFS(INDIRECT("Tab_00.Trial["&amp;F$4&amp;"]"),Tab_00.Trial[CONTA],$B11)</f>
        <v>1</v>
      </c>
      <c r="G11" s="78">
        <f t="shared" ca="1" si="1"/>
        <v>0</v>
      </c>
      <c r="H11" s="78">
        <f t="shared" ca="1" si="13"/>
        <v>0</v>
      </c>
      <c r="I11" s="4">
        <f ca="1">SUMIFS(INDIRECT("Tab_00.Trial["&amp;I$4&amp;"]"),Tab_00.Trial[CONTA],$B11)</f>
        <v>17523.11</v>
      </c>
      <c r="J11" s="78">
        <f t="shared" ca="1" si="2"/>
        <v>2.0000000000000001E-4</v>
      </c>
      <c r="K11" s="78">
        <f t="shared" ca="1" si="14"/>
        <v>17522.11</v>
      </c>
      <c r="L11" s="4">
        <f ca="1">SUMIFS(INDIRECT("Tab_00.Trial["&amp;L$4&amp;"]"),Tab_00.Trial[CONTA],$B11)</f>
        <v>0.99</v>
      </c>
      <c r="M11" s="78">
        <f t="shared" ca="1" si="3"/>
        <v>0</v>
      </c>
      <c r="N11" s="78">
        <f t="shared" ca="1" si="15"/>
        <v>-0.99990000000000001</v>
      </c>
      <c r="O11" s="4">
        <f ca="1">SUMIFS(INDIRECT("Tab_00.Trial["&amp;O$4&amp;"]"),Tab_00.Trial[CONTA],$B11)</f>
        <v>1</v>
      </c>
      <c r="P11" s="78">
        <f t="shared" ca="1" si="4"/>
        <v>0</v>
      </c>
      <c r="Q11" s="78">
        <f t="shared" ca="1" si="16"/>
        <v>1.01E-2</v>
      </c>
      <c r="R11" s="4">
        <f ca="1">SUMIFS(INDIRECT("Tab_00.Trial["&amp;R$4&amp;"]"),Tab_00.Trial[CONTA],$B11)</f>
        <v>1</v>
      </c>
      <c r="S11" s="78">
        <f t="shared" ca="1" si="5"/>
        <v>0</v>
      </c>
      <c r="T11" s="78">
        <f t="shared" ca="1" si="17"/>
        <v>0</v>
      </c>
      <c r="U11" s="4">
        <f ca="1">SUMIFS(INDIRECT("Tab_00.Trial["&amp;U$4&amp;"]"),Tab_00.Trial[CONTA],$B11)</f>
        <v>1.01</v>
      </c>
      <c r="V11" s="78">
        <f t="shared" ca="1" si="6"/>
        <v>0</v>
      </c>
      <c r="W11" s="78">
        <f t="shared" ca="1" si="18"/>
        <v>0.01</v>
      </c>
      <c r="X11" s="4">
        <f ca="1">SUMIFS(INDIRECT("Tab_00.Trial["&amp;X$4&amp;"]"),Tab_00.Trial[CONTA],$B11)</f>
        <v>1.01</v>
      </c>
      <c r="Y11" s="78">
        <f t="shared" ca="1" si="7"/>
        <v>0</v>
      </c>
      <c r="Z11" s="78">
        <f t="shared" ca="1" si="19"/>
        <v>0</v>
      </c>
      <c r="AA11" s="4">
        <f ca="1">SUMIFS(INDIRECT("Tab_00.Trial["&amp;AA$4&amp;"]"),Tab_00.Trial[CONTA],$B11)</f>
        <v>1.01</v>
      </c>
      <c r="AB11" s="78">
        <f t="shared" ca="1" si="8"/>
        <v>0</v>
      </c>
      <c r="AC11" s="78">
        <f t="shared" ca="1" si="20"/>
        <v>0</v>
      </c>
      <c r="AD11" s="4">
        <f ca="1">SUMIFS(INDIRECT("Tab_00.Trial["&amp;AD$4&amp;"]"),Tab_00.Trial[CONTA],$B11)</f>
        <v>1.02</v>
      </c>
      <c r="AE11" s="78">
        <f t="shared" ca="1" si="9"/>
        <v>0</v>
      </c>
      <c r="AF11" s="78">
        <f t="shared" ca="1" si="21"/>
        <v>9.9000000000000008E-3</v>
      </c>
      <c r="AG11" s="4">
        <f ca="1">SUMIFS(INDIRECT("Tab_00.Trial["&amp;AG$4&amp;"]"),Tab_00.Trial[CONTA],$B11)</f>
        <v>1.02</v>
      </c>
      <c r="AH11" s="78">
        <f t="shared" ca="1" si="10"/>
        <v>0</v>
      </c>
      <c r="AI11" s="78">
        <f t="shared" ca="1" si="22"/>
        <v>0</v>
      </c>
      <c r="AJ11" s="4">
        <f ca="1">SUMIFS(INDIRECT("Tab_00.Trial["&amp;AJ$4&amp;"]"),Tab_00.Trial[CONTA],$B11)</f>
        <v>1.02</v>
      </c>
      <c r="AK11" s="78">
        <f t="shared" ca="1" si="11"/>
        <v>0</v>
      </c>
      <c r="AL11" s="78">
        <f t="shared" ca="1" si="23"/>
        <v>0</v>
      </c>
      <c r="AM11" s="4">
        <f ca="1">SUMIFS(INDIRECT("Tab_00.Trial["&amp;AM$4&amp;"]"),Tab_00.Trial[CONTA],$B11)</f>
        <v>163718.88</v>
      </c>
      <c r="AN11" s="78">
        <f t="shared" ca="1" si="12"/>
        <v>1.9E-3</v>
      </c>
      <c r="AO11" s="78">
        <f t="shared" ca="1" si="24"/>
        <v>160507.7059</v>
      </c>
    </row>
    <row r="12" spans="2:42" ht="15" hidden="1" customHeight="1" outlineLevel="1" x14ac:dyDescent="0.3">
      <c r="B12" s="14" t="s">
        <v>177</v>
      </c>
      <c r="C12" s="15" t="s">
        <v>279</v>
      </c>
      <c r="D12" s="4">
        <f>SUMIFS(Tab_99.Trial[DEZEMBRO],Tab_99.Trial[CONTA],$B12)</f>
        <v>0</v>
      </c>
      <c r="E12" s="78">
        <f t="shared" si="0"/>
        <v>0</v>
      </c>
      <c r="F12" s="4">
        <f ca="1">SUMIFS(INDIRECT("Tab_00.Trial["&amp;F$4&amp;"]"),Tab_00.Trial[CONTA],$B12)</f>
        <v>17189.240000000002</v>
      </c>
      <c r="G12" s="78">
        <f t="shared" ca="1" si="1"/>
        <v>2.0000000000000001E-4</v>
      </c>
      <c r="H12" s="78">
        <f t="shared" ca="1" si="13"/>
        <v>0</v>
      </c>
      <c r="I12" s="4">
        <f ca="1">SUMIFS(INDIRECT("Tab_00.Trial["&amp;I$4&amp;"]"),Tab_00.Trial[CONTA],$B12)</f>
        <v>25420.1</v>
      </c>
      <c r="J12" s="78">
        <f t="shared" ca="1" si="2"/>
        <v>2.9999999999999997E-4</v>
      </c>
      <c r="K12" s="78">
        <f t="shared" ca="1" si="14"/>
        <v>0.4788</v>
      </c>
      <c r="L12" s="4">
        <f ca="1">SUMIFS(INDIRECT("Tab_00.Trial["&amp;L$4&amp;"]"),Tab_00.Trial[CONTA],$B12)</f>
        <v>20718.55</v>
      </c>
      <c r="M12" s="78">
        <f t="shared" ca="1" si="3"/>
        <v>2.0000000000000001E-4</v>
      </c>
      <c r="N12" s="78">
        <f t="shared" ca="1" si="15"/>
        <v>-0.185</v>
      </c>
      <c r="O12" s="4">
        <f ca="1">SUMIFS(INDIRECT("Tab_00.Trial["&amp;O$4&amp;"]"),Tab_00.Trial[CONTA],$B12)</f>
        <v>8590.7000000000007</v>
      </c>
      <c r="P12" s="78">
        <f t="shared" ca="1" si="4"/>
        <v>1E-4</v>
      </c>
      <c r="Q12" s="78">
        <f t="shared" ca="1" si="16"/>
        <v>-0.58540000000000003</v>
      </c>
      <c r="R12" s="4">
        <f ca="1">SUMIFS(INDIRECT("Tab_00.Trial["&amp;R$4&amp;"]"),Tab_00.Trial[CONTA],$B12)</f>
        <v>681.2</v>
      </c>
      <c r="S12" s="78">
        <f t="shared" ca="1" si="5"/>
        <v>0</v>
      </c>
      <c r="T12" s="78">
        <f t="shared" ca="1" si="17"/>
        <v>-0.92069999999999996</v>
      </c>
      <c r="U12" s="4">
        <f ca="1">SUMIFS(INDIRECT("Tab_00.Trial["&amp;U$4&amp;"]"),Tab_00.Trial[CONTA],$B12)</f>
        <v>18084.73</v>
      </c>
      <c r="V12" s="78">
        <f t="shared" ca="1" si="6"/>
        <v>2.0000000000000001E-4</v>
      </c>
      <c r="W12" s="78">
        <f t="shared" ca="1" si="18"/>
        <v>25.548300000000001</v>
      </c>
      <c r="X12" s="4">
        <f ca="1">SUMIFS(INDIRECT("Tab_00.Trial["&amp;X$4&amp;"]"),Tab_00.Trial[CONTA],$B12)</f>
        <v>18084.73</v>
      </c>
      <c r="Y12" s="78">
        <f t="shared" ca="1" si="7"/>
        <v>2.0000000000000001E-4</v>
      </c>
      <c r="Z12" s="78">
        <f t="shared" ca="1" si="19"/>
        <v>0</v>
      </c>
      <c r="AA12" s="4">
        <f ca="1">SUMIFS(INDIRECT("Tab_00.Trial["&amp;AA$4&amp;"]"),Tab_00.Trial[CONTA],$B12)</f>
        <v>18084.73</v>
      </c>
      <c r="AB12" s="78">
        <f t="shared" ca="1" si="8"/>
        <v>2.0000000000000001E-4</v>
      </c>
      <c r="AC12" s="78">
        <f t="shared" ca="1" si="20"/>
        <v>0</v>
      </c>
      <c r="AD12" s="4">
        <f ca="1">SUMIFS(INDIRECT("Tab_00.Trial["&amp;AD$4&amp;"]"),Tab_00.Trial[CONTA],$B12)</f>
        <v>37452.89</v>
      </c>
      <c r="AE12" s="78">
        <f t="shared" ca="1" si="9"/>
        <v>4.0000000000000002E-4</v>
      </c>
      <c r="AF12" s="78">
        <f t="shared" ca="1" si="21"/>
        <v>1.071</v>
      </c>
      <c r="AG12" s="4">
        <f ca="1">SUMIFS(INDIRECT("Tab_00.Trial["&amp;AG$4&amp;"]"),Tab_00.Trial[CONTA],$B12)</f>
        <v>17101.68</v>
      </c>
      <c r="AH12" s="78">
        <f t="shared" ca="1" si="10"/>
        <v>2.0000000000000001E-4</v>
      </c>
      <c r="AI12" s="78">
        <f t="shared" ca="1" si="22"/>
        <v>-0.54339999999999999</v>
      </c>
      <c r="AJ12" s="4">
        <f ca="1">SUMIFS(INDIRECT("Tab_00.Trial["&amp;AJ$4&amp;"]"),Tab_00.Trial[CONTA],$B12)</f>
        <v>41613.589999999997</v>
      </c>
      <c r="AK12" s="78">
        <f t="shared" ca="1" si="11"/>
        <v>5.0000000000000001E-4</v>
      </c>
      <c r="AL12" s="78">
        <f t="shared" ca="1" si="23"/>
        <v>1.4333</v>
      </c>
      <c r="AM12" s="4">
        <f ca="1">SUMIFS(INDIRECT("Tab_00.Trial["&amp;AM$4&amp;"]"),Tab_00.Trial[CONTA],$B12)</f>
        <v>2746.84</v>
      </c>
      <c r="AN12" s="78">
        <f t="shared" ca="1" si="12"/>
        <v>0</v>
      </c>
      <c r="AO12" s="78">
        <f t="shared" ca="1" si="24"/>
        <v>-0.93400000000000005</v>
      </c>
    </row>
    <row r="13" spans="2:42" ht="15" hidden="1" customHeight="1" outlineLevel="1" x14ac:dyDescent="0.3">
      <c r="B13" s="14" t="s">
        <v>280</v>
      </c>
      <c r="C13" s="15" t="s">
        <v>281</v>
      </c>
      <c r="D13" s="4">
        <f>SUMIFS(Tab_99.Trial[DEZEMBRO],Tab_99.Trial[CONTA],$B13)</f>
        <v>0</v>
      </c>
      <c r="E13" s="78">
        <f t="shared" si="0"/>
        <v>0</v>
      </c>
      <c r="F13" s="4">
        <f ca="1">SUMIFS(INDIRECT("Tab_00.Trial["&amp;F$4&amp;"]"),Tab_00.Trial[CONTA],$B13)</f>
        <v>4246.91</v>
      </c>
      <c r="G13" s="78">
        <f t="shared" ca="1" si="1"/>
        <v>1E-4</v>
      </c>
      <c r="H13" s="78">
        <f t="shared" ca="1" si="13"/>
        <v>0</v>
      </c>
      <c r="I13" s="4">
        <f ca="1">SUMIFS(INDIRECT("Tab_00.Trial["&amp;I$4&amp;"]"),Tab_00.Trial[CONTA],$B13)</f>
        <v>4246.91</v>
      </c>
      <c r="J13" s="78">
        <f t="shared" ca="1" si="2"/>
        <v>1E-4</v>
      </c>
      <c r="K13" s="78">
        <f t="shared" ca="1" si="14"/>
        <v>0</v>
      </c>
      <c r="L13" s="4">
        <f ca="1">SUMIFS(INDIRECT("Tab_00.Trial["&amp;L$4&amp;"]"),Tab_00.Trial[CONTA],$B13)</f>
        <v>4246.91</v>
      </c>
      <c r="M13" s="78">
        <f t="shared" ca="1" si="3"/>
        <v>1E-4</v>
      </c>
      <c r="N13" s="78">
        <f t="shared" ca="1" si="15"/>
        <v>0</v>
      </c>
      <c r="O13" s="4">
        <f ca="1">SUMIFS(INDIRECT("Tab_00.Trial["&amp;O$4&amp;"]"),Tab_00.Trial[CONTA],$B13)</f>
        <v>8009.78</v>
      </c>
      <c r="P13" s="78">
        <f t="shared" ca="1" si="4"/>
        <v>1E-4</v>
      </c>
      <c r="Q13" s="78">
        <f t="shared" ca="1" si="16"/>
        <v>0.88600000000000001</v>
      </c>
      <c r="R13" s="4">
        <f ca="1">SUMIFS(INDIRECT("Tab_00.Trial["&amp;R$4&amp;"]"),Tab_00.Trial[CONTA],$B13)</f>
        <v>7743.78</v>
      </c>
      <c r="S13" s="78">
        <f t="shared" ca="1" si="5"/>
        <v>1E-4</v>
      </c>
      <c r="T13" s="78">
        <f t="shared" ca="1" si="17"/>
        <v>-3.32E-2</v>
      </c>
      <c r="U13" s="4">
        <f ca="1">SUMIFS(INDIRECT("Tab_00.Trial["&amp;U$4&amp;"]"),Tab_00.Trial[CONTA],$B13)</f>
        <v>4421.28</v>
      </c>
      <c r="V13" s="78">
        <f t="shared" ca="1" si="6"/>
        <v>1E-4</v>
      </c>
      <c r="W13" s="78">
        <f t="shared" ca="1" si="18"/>
        <v>-0.42909999999999998</v>
      </c>
      <c r="X13" s="4">
        <f ca="1">SUMIFS(INDIRECT("Tab_00.Trial["&amp;X$4&amp;"]"),Tab_00.Trial[CONTA],$B13)</f>
        <v>4421.28</v>
      </c>
      <c r="Y13" s="78">
        <f t="shared" ca="1" si="7"/>
        <v>1E-4</v>
      </c>
      <c r="Z13" s="78">
        <f t="shared" ca="1" si="19"/>
        <v>0</v>
      </c>
      <c r="AA13" s="4">
        <f ca="1">SUMIFS(INDIRECT("Tab_00.Trial["&amp;AA$4&amp;"]"),Tab_00.Trial[CONTA],$B13)</f>
        <v>4421.28</v>
      </c>
      <c r="AB13" s="78">
        <f t="shared" ca="1" si="8"/>
        <v>1E-4</v>
      </c>
      <c r="AC13" s="78">
        <f t="shared" ca="1" si="20"/>
        <v>0</v>
      </c>
      <c r="AD13" s="4">
        <f ca="1">SUMIFS(INDIRECT("Tab_00.Trial["&amp;AD$4&amp;"]"),Tab_00.Trial[CONTA],$B13)</f>
        <v>9178.86</v>
      </c>
      <c r="AE13" s="78">
        <f t="shared" ca="1" si="9"/>
        <v>1E-4</v>
      </c>
      <c r="AF13" s="78">
        <f t="shared" ca="1" si="21"/>
        <v>1.0761000000000001</v>
      </c>
      <c r="AG13" s="4">
        <f ca="1">SUMIFS(INDIRECT("Tab_00.Trial["&amp;AG$4&amp;"]"),Tab_00.Trial[CONTA],$B13)</f>
        <v>11184.79</v>
      </c>
      <c r="AH13" s="78">
        <f t="shared" ca="1" si="10"/>
        <v>1E-4</v>
      </c>
      <c r="AI13" s="78">
        <f t="shared" ca="1" si="22"/>
        <v>0.2185</v>
      </c>
      <c r="AJ13" s="4">
        <f ca="1">SUMIFS(INDIRECT("Tab_00.Trial["&amp;AJ$4&amp;"]"),Tab_00.Trial[CONTA],$B13)</f>
        <v>12621.61</v>
      </c>
      <c r="AK13" s="78">
        <f t="shared" ca="1" si="11"/>
        <v>1E-4</v>
      </c>
      <c r="AL13" s="78">
        <f t="shared" ca="1" si="23"/>
        <v>0.1285</v>
      </c>
      <c r="AM13" s="4">
        <f ca="1">SUMIFS(INDIRECT("Tab_00.Trial["&amp;AM$4&amp;"]"),Tab_00.Trial[CONTA],$B13)</f>
        <v>11920.46</v>
      </c>
      <c r="AN13" s="78">
        <f t="shared" ca="1" si="12"/>
        <v>1E-4</v>
      </c>
      <c r="AO13" s="78">
        <f t="shared" ca="1" si="24"/>
        <v>-5.5599999999999997E-2</v>
      </c>
    </row>
    <row r="14" spans="2:42" ht="15" hidden="1" customHeight="1" outlineLevel="1" x14ac:dyDescent="0.3">
      <c r="B14" s="14" t="s">
        <v>282</v>
      </c>
      <c r="C14" s="15" t="s">
        <v>283</v>
      </c>
      <c r="D14" s="4">
        <f>SUMIFS(Tab_99.Trial[DEZEMBRO],Tab_99.Trial[CONTA],$B14)</f>
        <v>0</v>
      </c>
      <c r="E14" s="78">
        <f t="shared" si="0"/>
        <v>0</v>
      </c>
      <c r="F14" s="4">
        <f ca="1">SUMIFS(INDIRECT("Tab_00.Trial["&amp;F$4&amp;"]"),Tab_00.Trial[CONTA],$B14)</f>
        <v>5478.75</v>
      </c>
      <c r="G14" s="78">
        <f t="shared" ca="1" si="1"/>
        <v>1E-4</v>
      </c>
      <c r="H14" s="78">
        <f t="shared" ca="1" si="13"/>
        <v>0</v>
      </c>
      <c r="I14" s="4">
        <f ca="1">SUMIFS(INDIRECT("Tab_00.Trial["&amp;I$4&amp;"]"),Tab_00.Trial[CONTA],$B14)</f>
        <v>5070.8500000000004</v>
      </c>
      <c r="J14" s="78">
        <f t="shared" ca="1" si="2"/>
        <v>1E-4</v>
      </c>
      <c r="K14" s="78">
        <f t="shared" ca="1" si="14"/>
        <v>-7.4499999999999997E-2</v>
      </c>
      <c r="L14" s="4">
        <f ca="1">SUMIFS(INDIRECT("Tab_00.Trial["&amp;L$4&amp;"]"),Tab_00.Trial[CONTA],$B14)</f>
        <v>4662.95</v>
      </c>
      <c r="M14" s="78">
        <f t="shared" ca="1" si="3"/>
        <v>1E-4</v>
      </c>
      <c r="N14" s="78">
        <f t="shared" ca="1" si="15"/>
        <v>-8.0399999999999999E-2</v>
      </c>
      <c r="O14" s="4">
        <f ca="1">SUMIFS(INDIRECT("Tab_00.Trial["&amp;O$4&amp;"]"),Tab_00.Trial[CONTA],$B14)</f>
        <v>0</v>
      </c>
      <c r="P14" s="78">
        <f t="shared" ca="1" si="4"/>
        <v>0</v>
      </c>
      <c r="Q14" s="78">
        <f t="shared" ca="1" si="16"/>
        <v>-1</v>
      </c>
      <c r="R14" s="4">
        <f ca="1">SUMIFS(INDIRECT("Tab_00.Trial["&amp;R$4&amp;"]"),Tab_00.Trial[CONTA],$B14)</f>
        <v>0</v>
      </c>
      <c r="S14" s="78">
        <f t="shared" ca="1" si="5"/>
        <v>0</v>
      </c>
      <c r="T14" s="78">
        <f t="shared" ca="1" si="17"/>
        <v>0</v>
      </c>
      <c r="U14" s="4">
        <f ca="1">SUMIFS(INDIRECT("Tab_00.Trial["&amp;U$4&amp;"]"),Tab_00.Trial[CONTA],$B14)</f>
        <v>0</v>
      </c>
      <c r="V14" s="78">
        <f t="shared" ca="1" si="6"/>
        <v>0</v>
      </c>
      <c r="W14" s="78">
        <f t="shared" ca="1" si="18"/>
        <v>0</v>
      </c>
      <c r="X14" s="4">
        <f ca="1">SUMIFS(INDIRECT("Tab_00.Trial["&amp;X$4&amp;"]"),Tab_00.Trial[CONTA],$B14)</f>
        <v>0</v>
      </c>
      <c r="Y14" s="78">
        <f t="shared" ca="1" si="7"/>
        <v>0</v>
      </c>
      <c r="Z14" s="78">
        <f t="shared" ca="1" si="19"/>
        <v>0</v>
      </c>
      <c r="AA14" s="4">
        <f ca="1">SUMIFS(INDIRECT("Tab_00.Trial["&amp;AA$4&amp;"]"),Tab_00.Trial[CONTA],$B14)</f>
        <v>0</v>
      </c>
      <c r="AB14" s="78">
        <f t="shared" ca="1" si="8"/>
        <v>0</v>
      </c>
      <c r="AC14" s="78">
        <f t="shared" ca="1" si="20"/>
        <v>0</v>
      </c>
      <c r="AD14" s="4">
        <f ca="1">SUMIFS(INDIRECT("Tab_00.Trial["&amp;AD$4&amp;"]"),Tab_00.Trial[CONTA],$B14)</f>
        <v>0</v>
      </c>
      <c r="AE14" s="78">
        <f t="shared" ca="1" si="9"/>
        <v>0</v>
      </c>
      <c r="AF14" s="78">
        <f t="shared" ca="1" si="21"/>
        <v>0</v>
      </c>
      <c r="AG14" s="4">
        <f ca="1">SUMIFS(INDIRECT("Tab_00.Trial["&amp;AG$4&amp;"]"),Tab_00.Trial[CONTA],$B14)</f>
        <v>0</v>
      </c>
      <c r="AH14" s="78">
        <f t="shared" ca="1" si="10"/>
        <v>0</v>
      </c>
      <c r="AI14" s="78">
        <f t="shared" ca="1" si="22"/>
        <v>0</v>
      </c>
      <c r="AJ14" s="4">
        <f ca="1">SUMIFS(INDIRECT("Tab_00.Trial["&amp;AJ$4&amp;"]"),Tab_00.Trial[CONTA],$B14)</f>
        <v>0</v>
      </c>
      <c r="AK14" s="78">
        <f t="shared" ca="1" si="11"/>
        <v>0</v>
      </c>
      <c r="AL14" s="78">
        <f t="shared" ca="1" si="23"/>
        <v>0</v>
      </c>
      <c r="AM14" s="4">
        <f ca="1">SUMIFS(INDIRECT("Tab_00.Trial["&amp;AM$4&amp;"]"),Tab_00.Trial[CONTA],$B14)</f>
        <v>0</v>
      </c>
      <c r="AN14" s="78">
        <f t="shared" ca="1" si="12"/>
        <v>0</v>
      </c>
      <c r="AO14" s="78">
        <f t="shared" ca="1" si="24"/>
        <v>0</v>
      </c>
    </row>
    <row r="15" spans="2:42" ht="15" hidden="1" customHeight="1" outlineLevel="1" x14ac:dyDescent="0.3">
      <c r="B15" s="14"/>
      <c r="C15" s="15"/>
      <c r="D15" s="4">
        <f>SUMIFS(Tab_99.Trial[DEZEMBRO],Tab_99.Trial[CONTA],$B15)</f>
        <v>0</v>
      </c>
      <c r="E15" s="78">
        <f t="shared" si="0"/>
        <v>0</v>
      </c>
      <c r="F15" s="4">
        <f ca="1">SUMIFS(INDIRECT("Tab_00.Trial["&amp;F$4&amp;"]"),Tab_00.Trial[CONTA],$B15)</f>
        <v>0</v>
      </c>
      <c r="G15" s="78">
        <f t="shared" ca="1" si="1"/>
        <v>0</v>
      </c>
      <c r="H15" s="78">
        <f t="shared" ca="1" si="13"/>
        <v>0</v>
      </c>
      <c r="I15" s="4">
        <f ca="1">SUMIFS(INDIRECT("Tab_00.Trial["&amp;I$4&amp;"]"),Tab_00.Trial[CONTA],$B15)</f>
        <v>0</v>
      </c>
      <c r="J15" s="78">
        <f t="shared" ca="1" si="2"/>
        <v>0</v>
      </c>
      <c r="K15" s="78">
        <f t="shared" ca="1" si="14"/>
        <v>0</v>
      </c>
      <c r="L15" s="4">
        <f ca="1">SUMIFS(INDIRECT("Tab_00.Trial["&amp;L$4&amp;"]"),Tab_00.Trial[CONTA],$B15)</f>
        <v>0</v>
      </c>
      <c r="M15" s="78">
        <f t="shared" ca="1" si="3"/>
        <v>0</v>
      </c>
      <c r="N15" s="78">
        <f t="shared" ca="1" si="15"/>
        <v>0</v>
      </c>
      <c r="O15" s="4">
        <f ca="1">SUMIFS(INDIRECT("Tab_00.Trial["&amp;O$4&amp;"]"),Tab_00.Trial[CONTA],$B15)</f>
        <v>0</v>
      </c>
      <c r="P15" s="78">
        <f t="shared" ca="1" si="4"/>
        <v>0</v>
      </c>
      <c r="Q15" s="78">
        <f t="shared" ca="1" si="16"/>
        <v>0</v>
      </c>
      <c r="R15" s="4">
        <f ca="1">SUMIFS(INDIRECT("Tab_00.Trial["&amp;R$4&amp;"]"),Tab_00.Trial[CONTA],$B15)</f>
        <v>0</v>
      </c>
      <c r="S15" s="78">
        <f t="shared" ca="1" si="5"/>
        <v>0</v>
      </c>
      <c r="T15" s="78">
        <f t="shared" ca="1" si="17"/>
        <v>0</v>
      </c>
      <c r="U15" s="4">
        <f ca="1">SUMIFS(INDIRECT("Tab_00.Trial["&amp;U$4&amp;"]"),Tab_00.Trial[CONTA],$B15)</f>
        <v>0</v>
      </c>
      <c r="V15" s="78">
        <f t="shared" ca="1" si="6"/>
        <v>0</v>
      </c>
      <c r="W15" s="78">
        <f t="shared" ca="1" si="18"/>
        <v>0</v>
      </c>
      <c r="X15" s="4">
        <f ca="1">SUMIFS(INDIRECT("Tab_00.Trial["&amp;X$4&amp;"]"),Tab_00.Trial[CONTA],$B15)</f>
        <v>0</v>
      </c>
      <c r="Y15" s="78">
        <f t="shared" ca="1" si="7"/>
        <v>0</v>
      </c>
      <c r="Z15" s="78">
        <f t="shared" ca="1" si="19"/>
        <v>0</v>
      </c>
      <c r="AA15" s="4">
        <f ca="1">SUMIFS(INDIRECT("Tab_00.Trial["&amp;AA$4&amp;"]"),Tab_00.Trial[CONTA],$B15)</f>
        <v>0</v>
      </c>
      <c r="AB15" s="78">
        <f t="shared" ca="1" si="8"/>
        <v>0</v>
      </c>
      <c r="AC15" s="78">
        <f t="shared" ca="1" si="20"/>
        <v>0</v>
      </c>
      <c r="AD15" s="4">
        <f ca="1">SUMIFS(INDIRECT("Tab_00.Trial["&amp;AD$4&amp;"]"),Tab_00.Trial[CONTA],$B15)</f>
        <v>0</v>
      </c>
      <c r="AE15" s="78">
        <f t="shared" ca="1" si="9"/>
        <v>0</v>
      </c>
      <c r="AF15" s="78">
        <f t="shared" ca="1" si="21"/>
        <v>0</v>
      </c>
      <c r="AG15" s="4">
        <f ca="1">SUMIFS(INDIRECT("Tab_00.Trial["&amp;AG$4&amp;"]"),Tab_00.Trial[CONTA],$B15)</f>
        <v>0</v>
      </c>
      <c r="AH15" s="78">
        <f t="shared" ca="1" si="10"/>
        <v>0</v>
      </c>
      <c r="AI15" s="78">
        <f t="shared" ca="1" si="22"/>
        <v>0</v>
      </c>
      <c r="AJ15" s="4">
        <f ca="1">SUMIFS(INDIRECT("Tab_00.Trial["&amp;AJ$4&amp;"]"),Tab_00.Trial[CONTA],$B15)</f>
        <v>0</v>
      </c>
      <c r="AK15" s="78">
        <f t="shared" ca="1" si="11"/>
        <v>0</v>
      </c>
      <c r="AL15" s="78">
        <f t="shared" ca="1" si="23"/>
        <v>0</v>
      </c>
      <c r="AM15" s="4">
        <f ca="1">SUMIFS(INDIRECT("Tab_00.Trial["&amp;AM$4&amp;"]"),Tab_00.Trial[CONTA],$B15)</f>
        <v>0</v>
      </c>
      <c r="AN15" s="78">
        <f t="shared" ca="1" si="12"/>
        <v>0</v>
      </c>
      <c r="AO15" s="78">
        <f t="shared" ca="1" si="24"/>
        <v>0</v>
      </c>
    </row>
    <row r="16" spans="2:42" ht="15" hidden="1" customHeight="1" outlineLevel="1" x14ac:dyDescent="0.3">
      <c r="B16" s="14"/>
      <c r="C16" s="15"/>
      <c r="D16" s="4">
        <f>SUMIFS(Tab_99.Trial[DEZEMBRO],Tab_99.Trial[CONTA],$B16)</f>
        <v>0</v>
      </c>
      <c r="E16" s="78">
        <f t="shared" si="0"/>
        <v>0</v>
      </c>
      <c r="F16" s="4">
        <f ca="1">SUMIFS(INDIRECT("Tab_00.Trial["&amp;F$4&amp;"]"),Tab_00.Trial[CONTA],$B16)</f>
        <v>0</v>
      </c>
      <c r="G16" s="78">
        <f t="shared" ca="1" si="1"/>
        <v>0</v>
      </c>
      <c r="H16" s="78">
        <f t="shared" ca="1" si="13"/>
        <v>0</v>
      </c>
      <c r="I16" s="4">
        <f ca="1">SUMIFS(INDIRECT("Tab_00.Trial["&amp;I$4&amp;"]"),Tab_00.Trial[CONTA],$B16)</f>
        <v>0</v>
      </c>
      <c r="J16" s="78">
        <f t="shared" ca="1" si="2"/>
        <v>0</v>
      </c>
      <c r="K16" s="78">
        <f t="shared" ca="1" si="14"/>
        <v>0</v>
      </c>
      <c r="L16" s="4">
        <f ca="1">SUMIFS(INDIRECT("Tab_00.Trial["&amp;L$4&amp;"]"),Tab_00.Trial[CONTA],$B16)</f>
        <v>0</v>
      </c>
      <c r="M16" s="78">
        <f t="shared" ca="1" si="3"/>
        <v>0</v>
      </c>
      <c r="N16" s="78">
        <f t="shared" ca="1" si="15"/>
        <v>0</v>
      </c>
      <c r="O16" s="4">
        <f ca="1">SUMIFS(INDIRECT("Tab_00.Trial["&amp;O$4&amp;"]"),Tab_00.Trial[CONTA],$B16)</f>
        <v>0</v>
      </c>
      <c r="P16" s="78">
        <f t="shared" ca="1" si="4"/>
        <v>0</v>
      </c>
      <c r="Q16" s="78">
        <f t="shared" ca="1" si="16"/>
        <v>0</v>
      </c>
      <c r="R16" s="4">
        <f ca="1">SUMIFS(INDIRECT("Tab_00.Trial["&amp;R$4&amp;"]"),Tab_00.Trial[CONTA],$B16)</f>
        <v>0</v>
      </c>
      <c r="S16" s="78">
        <f t="shared" ca="1" si="5"/>
        <v>0</v>
      </c>
      <c r="T16" s="78">
        <f t="shared" ca="1" si="17"/>
        <v>0</v>
      </c>
      <c r="U16" s="4">
        <f ca="1">SUMIFS(INDIRECT("Tab_00.Trial["&amp;U$4&amp;"]"),Tab_00.Trial[CONTA],$B16)</f>
        <v>0</v>
      </c>
      <c r="V16" s="78">
        <f t="shared" ca="1" si="6"/>
        <v>0</v>
      </c>
      <c r="W16" s="78">
        <f t="shared" ca="1" si="18"/>
        <v>0</v>
      </c>
      <c r="X16" s="4">
        <f ca="1">SUMIFS(INDIRECT("Tab_00.Trial["&amp;X$4&amp;"]"),Tab_00.Trial[CONTA],$B16)</f>
        <v>0</v>
      </c>
      <c r="Y16" s="78">
        <f t="shared" ca="1" si="7"/>
        <v>0</v>
      </c>
      <c r="Z16" s="78">
        <f t="shared" ca="1" si="19"/>
        <v>0</v>
      </c>
      <c r="AA16" s="4">
        <f ca="1">SUMIFS(INDIRECT("Tab_00.Trial["&amp;AA$4&amp;"]"),Tab_00.Trial[CONTA],$B16)</f>
        <v>0</v>
      </c>
      <c r="AB16" s="78">
        <f t="shared" ca="1" si="8"/>
        <v>0</v>
      </c>
      <c r="AC16" s="78">
        <f t="shared" ca="1" si="20"/>
        <v>0</v>
      </c>
      <c r="AD16" s="4">
        <f ca="1">SUMIFS(INDIRECT("Tab_00.Trial["&amp;AD$4&amp;"]"),Tab_00.Trial[CONTA],$B16)</f>
        <v>0</v>
      </c>
      <c r="AE16" s="78">
        <f t="shared" ca="1" si="9"/>
        <v>0</v>
      </c>
      <c r="AF16" s="78">
        <f t="shared" ca="1" si="21"/>
        <v>0</v>
      </c>
      <c r="AG16" s="4">
        <f ca="1">SUMIFS(INDIRECT("Tab_00.Trial["&amp;AG$4&amp;"]"),Tab_00.Trial[CONTA],$B16)</f>
        <v>0</v>
      </c>
      <c r="AH16" s="78">
        <f t="shared" ca="1" si="10"/>
        <v>0</v>
      </c>
      <c r="AI16" s="78">
        <f t="shared" ca="1" si="22"/>
        <v>0</v>
      </c>
      <c r="AJ16" s="4">
        <f ca="1">SUMIFS(INDIRECT("Tab_00.Trial["&amp;AJ$4&amp;"]"),Tab_00.Trial[CONTA],$B16)</f>
        <v>0</v>
      </c>
      <c r="AK16" s="78">
        <f t="shared" ca="1" si="11"/>
        <v>0</v>
      </c>
      <c r="AL16" s="78">
        <f t="shared" ca="1" si="23"/>
        <v>0</v>
      </c>
      <c r="AM16" s="4">
        <f ca="1">SUMIFS(INDIRECT("Tab_00.Trial["&amp;AM$4&amp;"]"),Tab_00.Trial[CONTA],$B16)</f>
        <v>0</v>
      </c>
      <c r="AN16" s="78">
        <f t="shared" ca="1" si="12"/>
        <v>0</v>
      </c>
      <c r="AO16" s="78">
        <f t="shared" ca="1" si="24"/>
        <v>0</v>
      </c>
    </row>
    <row r="17" spans="2:41" ht="15" hidden="1" customHeight="1" outlineLevel="1" x14ac:dyDescent="0.3">
      <c r="B17" s="14"/>
      <c r="C17" s="15"/>
      <c r="D17" s="4">
        <f>SUMIFS(Tab_99.Trial[DEZEMBRO],Tab_99.Trial[CONTA],$B17)</f>
        <v>0</v>
      </c>
      <c r="E17" s="78">
        <f t="shared" si="0"/>
        <v>0</v>
      </c>
      <c r="F17" s="4">
        <f ca="1">SUMIFS(INDIRECT("Tab_00.Trial["&amp;F$4&amp;"]"),Tab_00.Trial[CONTA],$B17)</f>
        <v>0</v>
      </c>
      <c r="G17" s="78">
        <f t="shared" ca="1" si="1"/>
        <v>0</v>
      </c>
      <c r="H17" s="78">
        <f t="shared" ca="1" si="13"/>
        <v>0</v>
      </c>
      <c r="I17" s="4">
        <f ca="1">SUMIFS(INDIRECT("Tab_00.Trial["&amp;I$4&amp;"]"),Tab_00.Trial[CONTA],$B17)</f>
        <v>0</v>
      </c>
      <c r="J17" s="78">
        <f t="shared" ca="1" si="2"/>
        <v>0</v>
      </c>
      <c r="K17" s="78">
        <f t="shared" ca="1" si="14"/>
        <v>0</v>
      </c>
      <c r="L17" s="4">
        <f ca="1">SUMIFS(INDIRECT("Tab_00.Trial["&amp;L$4&amp;"]"),Tab_00.Trial[CONTA],$B17)</f>
        <v>0</v>
      </c>
      <c r="M17" s="78">
        <f t="shared" ca="1" si="3"/>
        <v>0</v>
      </c>
      <c r="N17" s="78">
        <f t="shared" ca="1" si="15"/>
        <v>0</v>
      </c>
      <c r="O17" s="4">
        <f ca="1">SUMIFS(INDIRECT("Tab_00.Trial["&amp;O$4&amp;"]"),Tab_00.Trial[CONTA],$B17)</f>
        <v>0</v>
      </c>
      <c r="P17" s="78">
        <f t="shared" ca="1" si="4"/>
        <v>0</v>
      </c>
      <c r="Q17" s="78">
        <f t="shared" ca="1" si="16"/>
        <v>0</v>
      </c>
      <c r="R17" s="4">
        <f ca="1">SUMIFS(INDIRECT("Tab_00.Trial["&amp;R$4&amp;"]"),Tab_00.Trial[CONTA],$B17)</f>
        <v>0</v>
      </c>
      <c r="S17" s="78">
        <f t="shared" ca="1" si="5"/>
        <v>0</v>
      </c>
      <c r="T17" s="78">
        <f t="shared" ca="1" si="17"/>
        <v>0</v>
      </c>
      <c r="U17" s="4">
        <f ca="1">SUMIFS(INDIRECT("Tab_00.Trial["&amp;U$4&amp;"]"),Tab_00.Trial[CONTA],$B17)</f>
        <v>0</v>
      </c>
      <c r="V17" s="78">
        <f t="shared" ca="1" si="6"/>
        <v>0</v>
      </c>
      <c r="W17" s="78">
        <f t="shared" ca="1" si="18"/>
        <v>0</v>
      </c>
      <c r="X17" s="4">
        <f ca="1">SUMIFS(INDIRECT("Tab_00.Trial["&amp;X$4&amp;"]"),Tab_00.Trial[CONTA],$B17)</f>
        <v>0</v>
      </c>
      <c r="Y17" s="78">
        <f t="shared" ca="1" si="7"/>
        <v>0</v>
      </c>
      <c r="Z17" s="78">
        <f t="shared" ca="1" si="19"/>
        <v>0</v>
      </c>
      <c r="AA17" s="4">
        <f ca="1">SUMIFS(INDIRECT("Tab_00.Trial["&amp;AA$4&amp;"]"),Tab_00.Trial[CONTA],$B17)</f>
        <v>0</v>
      </c>
      <c r="AB17" s="78">
        <f t="shared" ca="1" si="8"/>
        <v>0</v>
      </c>
      <c r="AC17" s="78">
        <f t="shared" ca="1" si="20"/>
        <v>0</v>
      </c>
      <c r="AD17" s="4">
        <f ca="1">SUMIFS(INDIRECT("Tab_00.Trial["&amp;AD$4&amp;"]"),Tab_00.Trial[CONTA],$B17)</f>
        <v>0</v>
      </c>
      <c r="AE17" s="78">
        <f t="shared" ca="1" si="9"/>
        <v>0</v>
      </c>
      <c r="AF17" s="78">
        <f t="shared" ca="1" si="21"/>
        <v>0</v>
      </c>
      <c r="AG17" s="4">
        <f ca="1">SUMIFS(INDIRECT("Tab_00.Trial["&amp;AG$4&amp;"]"),Tab_00.Trial[CONTA],$B17)</f>
        <v>0</v>
      </c>
      <c r="AH17" s="78">
        <f t="shared" ca="1" si="10"/>
        <v>0</v>
      </c>
      <c r="AI17" s="78">
        <f t="shared" ca="1" si="22"/>
        <v>0</v>
      </c>
      <c r="AJ17" s="4">
        <f ca="1">SUMIFS(INDIRECT("Tab_00.Trial["&amp;AJ$4&amp;"]"),Tab_00.Trial[CONTA],$B17)</f>
        <v>0</v>
      </c>
      <c r="AK17" s="78">
        <f t="shared" ca="1" si="11"/>
        <v>0</v>
      </c>
      <c r="AL17" s="78">
        <f t="shared" ca="1" si="23"/>
        <v>0</v>
      </c>
      <c r="AM17" s="4">
        <f ca="1">SUMIFS(INDIRECT("Tab_00.Trial["&amp;AM$4&amp;"]"),Tab_00.Trial[CONTA],$B17)</f>
        <v>0</v>
      </c>
      <c r="AN17" s="78">
        <f t="shared" ca="1" si="12"/>
        <v>0</v>
      </c>
      <c r="AO17" s="78">
        <f t="shared" ca="1" si="24"/>
        <v>0</v>
      </c>
    </row>
    <row r="18" spans="2:41" ht="5.0999999999999996" hidden="1" customHeight="1" outlineLevel="1" x14ac:dyDescent="0.3">
      <c r="B18" s="74"/>
      <c r="C18" s="75"/>
      <c r="D18" s="76"/>
      <c r="E18" s="77"/>
      <c r="F18" s="76"/>
      <c r="G18" s="77"/>
      <c r="H18" s="77"/>
      <c r="I18" s="76"/>
      <c r="J18" s="77"/>
      <c r="K18" s="77"/>
      <c r="L18" s="76"/>
      <c r="M18" s="77"/>
      <c r="N18" s="77"/>
      <c r="O18" s="76"/>
      <c r="P18" s="77"/>
      <c r="Q18" s="77"/>
      <c r="R18" s="76"/>
      <c r="S18" s="77"/>
      <c r="T18" s="77"/>
      <c r="U18" s="76"/>
      <c r="V18" s="77"/>
      <c r="W18" s="77"/>
      <c r="X18" s="76"/>
      <c r="Y18" s="77"/>
      <c r="Z18" s="77"/>
      <c r="AA18" s="76"/>
      <c r="AB18" s="77"/>
      <c r="AC18" s="77"/>
      <c r="AD18" s="76"/>
      <c r="AE18" s="77"/>
      <c r="AF18" s="77"/>
      <c r="AG18" s="76"/>
      <c r="AH18" s="77"/>
      <c r="AI18" s="77"/>
      <c r="AJ18" s="76"/>
      <c r="AK18" s="77"/>
      <c r="AL18" s="77"/>
      <c r="AM18" s="76"/>
      <c r="AN18" s="77"/>
      <c r="AO18" s="77"/>
    </row>
    <row r="19" spans="2:41" ht="15" customHeight="1" collapsed="1" x14ac:dyDescent="0.3">
      <c r="B19" s="3" t="s">
        <v>39</v>
      </c>
      <c r="C19" s="14" t="s">
        <v>138</v>
      </c>
      <c r="D19" s="4">
        <f>SUBTOTAL(9,D$20:D$29)</f>
        <v>0</v>
      </c>
      <c r="E19" s="78">
        <f t="shared" ref="E19:E28" si="25">IFERROR($D19/$D$160,0)</f>
        <v>0</v>
      </c>
      <c r="F19" s="4">
        <f ca="1">SUBTOTAL(9,F$20:F$29)</f>
        <v>10834658.6</v>
      </c>
      <c r="G19" s="78">
        <f t="shared" ref="G19:G28" ca="1" si="26">IFERROR($F19/$F$160,0)</f>
        <v>0.12959999999999999</v>
      </c>
      <c r="H19" s="78">
        <f t="shared" ref="H19:H91" ca="1" si="27">IFERROR(($F19-$D19)/ABS($D19),0)</f>
        <v>0</v>
      </c>
      <c r="I19" s="4">
        <f ca="1">SUBTOTAL(9,I$20:I$29)</f>
        <v>10042996.82</v>
      </c>
      <c r="J19" s="78">
        <f t="shared" ref="J19:J28" ca="1" si="28">IFERROR($I19/$I$160,0)</f>
        <v>0.1212</v>
      </c>
      <c r="K19" s="78">
        <f t="shared" ref="K19:K91" ca="1" si="29">IFERROR(($I19-$F19)/ABS($F19),0)</f>
        <v>-7.3099999999999998E-2</v>
      </c>
      <c r="L19" s="4">
        <f ca="1">SUBTOTAL(9,L$20:L$29)</f>
        <v>9904475.8300000001</v>
      </c>
      <c r="M19" s="78">
        <f t="shared" ref="M19:M28" ca="1" si="30">IFERROR($L19/$L$160,0)</f>
        <v>0.1193</v>
      </c>
      <c r="N19" s="78">
        <f t="shared" ref="N19:N91" ca="1" si="31">IFERROR(($L19-$I19)/ABS($I19),0)</f>
        <v>-1.38E-2</v>
      </c>
      <c r="O19" s="4">
        <f ca="1">SUBTOTAL(9,O$20:O$29)</f>
        <v>10276096.369999999</v>
      </c>
      <c r="P19" s="78">
        <f t="shared" ref="P19:P28" ca="1" si="32">IFERROR($O19/$O$160,0)</f>
        <v>0.12330000000000001</v>
      </c>
      <c r="Q19" s="78">
        <f t="shared" ref="Q19:Q91" ca="1" si="33">IFERROR(($O19-$L19)/ABS($L19),0)</f>
        <v>3.7499999999999999E-2</v>
      </c>
      <c r="R19" s="4">
        <f ca="1">SUBTOTAL(9,R$20:R$29)</f>
        <v>10364035.359999999</v>
      </c>
      <c r="S19" s="78">
        <f t="shared" ref="S19:S28" ca="1" si="34">IFERROR($R19/$R$160,0)</f>
        <v>0.12379999999999999</v>
      </c>
      <c r="T19" s="78">
        <f t="shared" ref="T19:T91" ca="1" si="35">IFERROR(($R19-$O19)/ABS($O19),0)</f>
        <v>8.6E-3</v>
      </c>
      <c r="U19" s="4">
        <f ca="1">SUBTOTAL(9,U$20:U$29)</f>
        <v>10684976.390000001</v>
      </c>
      <c r="V19" s="78">
        <f t="shared" ref="V19:V28" ca="1" si="36">IFERROR($U19/$U$160,0)</f>
        <v>0.1265</v>
      </c>
      <c r="W19" s="78">
        <f t="shared" ref="W19:W91" ca="1" si="37">IFERROR(($U19-$R19)/ABS($R19),0)</f>
        <v>3.1E-2</v>
      </c>
      <c r="X19" s="4">
        <f ca="1">SUBTOTAL(9,X$20:X$29)</f>
        <v>10684976.390000001</v>
      </c>
      <c r="Y19" s="78">
        <f t="shared" ref="Y19:Y28" ca="1" si="38">IFERROR($X19/$X$160,0)</f>
        <v>0.1265</v>
      </c>
      <c r="Z19" s="78">
        <f t="shared" ref="Z19:Z91" ca="1" si="39">IFERROR(($X19-$U19)/ABS($U19),0)</f>
        <v>0</v>
      </c>
      <c r="AA19" s="4">
        <f ca="1">SUBTOTAL(9,AA$20:AA$29)</f>
        <v>10684976.390000001</v>
      </c>
      <c r="AB19" s="78">
        <f t="shared" ref="AB19:AB28" ca="1" si="40">IFERROR($AA19/$AA$160,0)</f>
        <v>0.1265</v>
      </c>
      <c r="AC19" s="78">
        <f t="shared" ref="AC19:AC91" ca="1" si="41">IFERROR(($AA19-$X19)/ABS($X19),0)</f>
        <v>0</v>
      </c>
      <c r="AD19" s="4">
        <f ca="1">SUBTOTAL(9,AD$20:AD$29)</f>
        <v>10784798.77</v>
      </c>
      <c r="AE19" s="78">
        <f t="shared" ref="AE19:AE28" ca="1" si="42">IFERROR($AD19/$AD$160,0)</f>
        <v>0.127</v>
      </c>
      <c r="AF19" s="78">
        <f t="shared" ref="AF19:AF91" ca="1" si="43">IFERROR(($AD19-$AA19)/ABS($AA19),0)</f>
        <v>9.2999999999999992E-3</v>
      </c>
      <c r="AG19" s="4">
        <f ca="1">SUBTOTAL(9,AG$20:AG$29)</f>
        <v>10912749.26</v>
      </c>
      <c r="AH19" s="78">
        <f t="shared" ref="AH19:AH28" ca="1" si="44">IFERROR($AG19/$AG$160,0)</f>
        <v>0.12809999999999999</v>
      </c>
      <c r="AI19" s="78">
        <f t="shared" ref="AI19:AI91" ca="1" si="45">IFERROR(($AG19-$AD19)/ABS($AD19),0)</f>
        <v>1.1900000000000001E-2</v>
      </c>
      <c r="AJ19" s="4">
        <f ca="1">SUBTOTAL(9,AJ$20:AJ$29)</f>
        <v>10885256.710000001</v>
      </c>
      <c r="AK19" s="78">
        <f t="shared" ref="AK19:AK28" ca="1" si="46">IFERROR($AJ19/$AJ$160,0)</f>
        <v>0.1273</v>
      </c>
      <c r="AL19" s="78">
        <f t="shared" ref="AL19:AL91" ca="1" si="47">IFERROR(($AJ19-$AG19)/ABS($AG19),0)</f>
        <v>-2.5000000000000001E-3</v>
      </c>
      <c r="AM19" s="4">
        <f ca="1">SUBTOTAL(9,AM$20:AM$29)</f>
        <v>10969820.439999999</v>
      </c>
      <c r="AN19" s="78">
        <f t="shared" ref="AN19:AN28" ca="1" si="48">IFERROR(AM19/AM$160,0)</f>
        <v>0.1285</v>
      </c>
      <c r="AO19" s="78">
        <f t="shared" ref="AO19:AO91" ca="1" si="49">IFERROR(($AM19-$AJ19)/ABS($AJ19),0)</f>
        <v>7.7999999999999996E-3</v>
      </c>
    </row>
    <row r="20" spans="2:41" ht="15" hidden="1" customHeight="1" outlineLevel="1" x14ac:dyDescent="0.3">
      <c r="B20" s="14" t="s">
        <v>178</v>
      </c>
      <c r="C20" s="15" t="s">
        <v>284</v>
      </c>
      <c r="D20" s="4">
        <f>SUMIFS(Tab_99.Trial[DEZEMBRO],Tab_99.Trial[CONTA],$B20)</f>
        <v>0</v>
      </c>
      <c r="E20" s="78">
        <f t="shared" si="25"/>
        <v>0</v>
      </c>
      <c r="F20" s="4">
        <f ca="1">SUMIFS(INDIRECT("Tab_00.Trial["&amp;F$4&amp;"]"),Tab_00.Trial[CONTA],$B20)</f>
        <v>5399871.7999999998</v>
      </c>
      <c r="G20" s="78">
        <f t="shared" ca="1" si="26"/>
        <v>6.4600000000000005E-2</v>
      </c>
      <c r="H20" s="78">
        <f t="shared" ca="1" si="27"/>
        <v>0</v>
      </c>
      <c r="I20" s="4">
        <f ca="1">SUMIFS(INDIRECT("Tab_00.Trial["&amp;I$4&amp;"]"),Tab_00.Trial[CONTA],$B20)</f>
        <v>4608210.0199999996</v>
      </c>
      <c r="J20" s="78">
        <f t="shared" ca="1" si="28"/>
        <v>5.5599999999999997E-2</v>
      </c>
      <c r="K20" s="78">
        <f t="shared" ca="1" si="29"/>
        <v>-0.14660000000000001</v>
      </c>
      <c r="L20" s="4">
        <f ca="1">SUMIFS(INDIRECT("Tab_00.Trial["&amp;L$4&amp;"]"),Tab_00.Trial[CONTA],$B20)</f>
        <v>4381434.88</v>
      </c>
      <c r="M20" s="78">
        <f t="shared" ca="1" si="30"/>
        <v>5.28E-2</v>
      </c>
      <c r="N20" s="78">
        <f t="shared" ca="1" si="31"/>
        <v>-4.9200000000000001E-2</v>
      </c>
      <c r="O20" s="4">
        <f ca="1">SUMIFS(INDIRECT("Tab_00.Trial["&amp;O$4&amp;"]"),Tab_00.Trial[CONTA],$B20)</f>
        <v>4704925.87</v>
      </c>
      <c r="P20" s="78">
        <f t="shared" ca="1" si="32"/>
        <v>5.6399999999999999E-2</v>
      </c>
      <c r="Q20" s="78">
        <f t="shared" ca="1" si="33"/>
        <v>7.3800000000000004E-2</v>
      </c>
      <c r="R20" s="4">
        <f ca="1">SUMIFS(INDIRECT("Tab_00.Trial["&amp;R$4&amp;"]"),Tab_00.Trial[CONTA],$B20)</f>
        <v>4747498.4400000004</v>
      </c>
      <c r="S20" s="78">
        <f t="shared" ca="1" si="34"/>
        <v>5.67E-2</v>
      </c>
      <c r="T20" s="78">
        <f t="shared" ca="1" si="35"/>
        <v>8.9999999999999993E-3</v>
      </c>
      <c r="U20" s="4">
        <f ca="1">SUMIFS(INDIRECT("Tab_00.Trial["&amp;U$4&amp;"]"),Tab_00.Trial[CONTA],$B20)</f>
        <v>4933795.4400000004</v>
      </c>
      <c r="V20" s="78">
        <f t="shared" ca="1" si="36"/>
        <v>5.8400000000000001E-2</v>
      </c>
      <c r="W20" s="78">
        <f t="shared" ca="1" si="37"/>
        <v>3.9199999999999999E-2</v>
      </c>
      <c r="X20" s="4">
        <f ca="1">SUMIFS(INDIRECT("Tab_00.Trial["&amp;X$4&amp;"]"),Tab_00.Trial[CONTA],$B20)</f>
        <v>4933795.4400000004</v>
      </c>
      <c r="Y20" s="78">
        <f t="shared" ca="1" si="38"/>
        <v>5.8400000000000001E-2</v>
      </c>
      <c r="Z20" s="78">
        <f t="shared" ca="1" si="39"/>
        <v>0</v>
      </c>
      <c r="AA20" s="4">
        <f ca="1">SUMIFS(INDIRECT("Tab_00.Trial["&amp;AA$4&amp;"]"),Tab_00.Trial[CONTA],$B20)</f>
        <v>4933795.4400000004</v>
      </c>
      <c r="AB20" s="78">
        <f t="shared" ca="1" si="40"/>
        <v>5.8400000000000001E-2</v>
      </c>
      <c r="AC20" s="78">
        <f t="shared" ca="1" si="41"/>
        <v>0</v>
      </c>
      <c r="AD20" s="4">
        <f ca="1">SUMIFS(INDIRECT("Tab_00.Trial["&amp;AD$4&amp;"]"),Tab_00.Trial[CONTA],$B20)</f>
        <v>4936496.26</v>
      </c>
      <c r="AE20" s="78">
        <f t="shared" ca="1" si="42"/>
        <v>5.8099999999999999E-2</v>
      </c>
      <c r="AF20" s="78">
        <f t="shared" ca="1" si="43"/>
        <v>5.0000000000000001E-4</v>
      </c>
      <c r="AG20" s="4">
        <f ca="1">SUMIFS(INDIRECT("Tab_00.Trial["&amp;AG$4&amp;"]"),Tab_00.Trial[CONTA],$B20)</f>
        <v>5010937.84</v>
      </c>
      <c r="AH20" s="78">
        <f t="shared" ca="1" si="44"/>
        <v>5.8799999999999998E-2</v>
      </c>
      <c r="AI20" s="78">
        <f t="shared" ca="1" si="45"/>
        <v>1.5100000000000001E-2</v>
      </c>
      <c r="AJ20" s="4">
        <f ca="1">SUMIFS(INDIRECT("Tab_00.Trial["&amp;AJ$4&amp;"]"),Tab_00.Trial[CONTA],$B20)</f>
        <v>5001987.17</v>
      </c>
      <c r="AK20" s="78">
        <f t="shared" ca="1" si="46"/>
        <v>5.8500000000000003E-2</v>
      </c>
      <c r="AL20" s="78">
        <f t="shared" ca="1" si="47"/>
        <v>-1.8E-3</v>
      </c>
      <c r="AM20" s="4">
        <f ca="1">SUMIFS(INDIRECT("Tab_00.Trial["&amp;AM$4&amp;"]"),Tab_00.Trial[CONTA],$B20)</f>
        <v>5042964.2300000004</v>
      </c>
      <c r="AN20" s="78">
        <f t="shared" ca="1" si="48"/>
        <v>5.91E-2</v>
      </c>
      <c r="AO20" s="78">
        <f t="shared" ca="1" si="49"/>
        <v>8.2000000000000007E-3</v>
      </c>
    </row>
    <row r="21" spans="2:41" ht="15" hidden="1" customHeight="1" outlineLevel="1" x14ac:dyDescent="0.3">
      <c r="B21" s="14" t="s">
        <v>285</v>
      </c>
      <c r="C21" s="15" t="s">
        <v>286</v>
      </c>
      <c r="D21" s="4">
        <f>SUMIFS(Tab_99.Trial[DEZEMBRO],Tab_99.Trial[CONTA],$B21)</f>
        <v>0</v>
      </c>
      <c r="E21" s="78">
        <f t="shared" si="25"/>
        <v>0</v>
      </c>
      <c r="F21" s="4">
        <f ca="1">SUMIFS(INDIRECT("Tab_00.Trial["&amp;F$4&amp;"]"),Tab_00.Trial[CONTA],$B21)</f>
        <v>0</v>
      </c>
      <c r="G21" s="78">
        <f t="shared" ca="1" si="26"/>
        <v>0</v>
      </c>
      <c r="H21" s="78">
        <f t="shared" ca="1" si="27"/>
        <v>0</v>
      </c>
      <c r="I21" s="4">
        <f ca="1">SUMIFS(INDIRECT("Tab_00.Trial["&amp;I$4&amp;"]"),Tab_00.Trial[CONTA],$B21)</f>
        <v>0</v>
      </c>
      <c r="J21" s="78">
        <f t="shared" ca="1" si="28"/>
        <v>0</v>
      </c>
      <c r="K21" s="78">
        <f t="shared" ca="1" si="29"/>
        <v>0</v>
      </c>
      <c r="L21" s="4">
        <f ca="1">SUMIFS(INDIRECT("Tab_00.Trial["&amp;L$4&amp;"]"),Tab_00.Trial[CONTA],$B21)</f>
        <v>0</v>
      </c>
      <c r="M21" s="78">
        <f t="shared" ca="1" si="30"/>
        <v>0</v>
      </c>
      <c r="N21" s="78">
        <f t="shared" ca="1" si="31"/>
        <v>0</v>
      </c>
      <c r="O21" s="4">
        <f ca="1">SUMIFS(INDIRECT("Tab_00.Trial["&amp;O$4&amp;"]"),Tab_00.Trial[CONTA],$B21)</f>
        <v>0</v>
      </c>
      <c r="P21" s="78">
        <f t="shared" ca="1" si="32"/>
        <v>0</v>
      </c>
      <c r="Q21" s="78">
        <f t="shared" ca="1" si="33"/>
        <v>0</v>
      </c>
      <c r="R21" s="4">
        <f ca="1">SUMIFS(INDIRECT("Tab_00.Trial["&amp;R$4&amp;"]"),Tab_00.Trial[CONTA],$B21)</f>
        <v>0</v>
      </c>
      <c r="S21" s="78">
        <f t="shared" ca="1" si="34"/>
        <v>0</v>
      </c>
      <c r="T21" s="78">
        <f t="shared" ca="1" si="35"/>
        <v>0</v>
      </c>
      <c r="U21" s="4">
        <f ca="1">SUMIFS(INDIRECT("Tab_00.Trial["&amp;U$4&amp;"]"),Tab_00.Trial[CONTA],$B21)</f>
        <v>0</v>
      </c>
      <c r="V21" s="78">
        <f t="shared" ca="1" si="36"/>
        <v>0</v>
      </c>
      <c r="W21" s="78">
        <f t="shared" ca="1" si="37"/>
        <v>0</v>
      </c>
      <c r="X21" s="4">
        <f ca="1">SUMIFS(INDIRECT("Tab_00.Trial["&amp;X$4&amp;"]"),Tab_00.Trial[CONTA],$B21)</f>
        <v>0</v>
      </c>
      <c r="Y21" s="78">
        <f t="shared" ca="1" si="38"/>
        <v>0</v>
      </c>
      <c r="Z21" s="78">
        <f t="shared" ca="1" si="39"/>
        <v>0</v>
      </c>
      <c r="AA21" s="4">
        <f ca="1">SUMIFS(INDIRECT("Tab_00.Trial["&amp;AA$4&amp;"]"),Tab_00.Trial[CONTA],$B21)</f>
        <v>0</v>
      </c>
      <c r="AB21" s="78">
        <f t="shared" ca="1" si="40"/>
        <v>0</v>
      </c>
      <c r="AC21" s="78">
        <f t="shared" ca="1" si="41"/>
        <v>0</v>
      </c>
      <c r="AD21" s="4">
        <f ca="1">SUMIFS(INDIRECT("Tab_00.Trial["&amp;AD$4&amp;"]"),Tab_00.Trial[CONTA],$B21)</f>
        <v>0</v>
      </c>
      <c r="AE21" s="78">
        <f t="shared" ca="1" si="42"/>
        <v>0</v>
      </c>
      <c r="AF21" s="78">
        <f t="shared" ca="1" si="43"/>
        <v>0</v>
      </c>
      <c r="AG21" s="4">
        <f ca="1">SUMIFS(INDIRECT("Tab_00.Trial["&amp;AG$4&amp;"]"),Tab_00.Trial[CONTA],$B21)</f>
        <v>0</v>
      </c>
      <c r="AH21" s="78">
        <f t="shared" ca="1" si="44"/>
        <v>0</v>
      </c>
      <c r="AI21" s="78">
        <f t="shared" ca="1" si="45"/>
        <v>0</v>
      </c>
      <c r="AJ21" s="4">
        <f ca="1">SUMIFS(INDIRECT("Tab_00.Trial["&amp;AJ$4&amp;"]"),Tab_00.Trial[CONTA],$B21)</f>
        <v>0</v>
      </c>
      <c r="AK21" s="78">
        <f t="shared" ca="1" si="46"/>
        <v>0</v>
      </c>
      <c r="AL21" s="78">
        <f t="shared" ca="1" si="47"/>
        <v>0</v>
      </c>
      <c r="AM21" s="4">
        <f ca="1">SUMIFS(INDIRECT("Tab_00.Trial["&amp;AM$4&amp;"]"),Tab_00.Trial[CONTA],$B21)</f>
        <v>0</v>
      </c>
      <c r="AN21" s="78">
        <f t="shared" ca="1" si="48"/>
        <v>0</v>
      </c>
      <c r="AO21" s="78">
        <f t="shared" ca="1" si="49"/>
        <v>0</v>
      </c>
    </row>
    <row r="22" spans="2:41" ht="15" hidden="1" customHeight="1" outlineLevel="1" x14ac:dyDescent="0.3">
      <c r="B22" s="14" t="s">
        <v>287</v>
      </c>
      <c r="C22" s="15" t="s">
        <v>288</v>
      </c>
      <c r="D22" s="4">
        <f>SUMIFS(Tab_99.Trial[DEZEMBRO],Tab_99.Trial[CONTA],$B22)</f>
        <v>0</v>
      </c>
      <c r="E22" s="78">
        <f t="shared" si="25"/>
        <v>0</v>
      </c>
      <c r="F22" s="4">
        <f ca="1">SUMIFS(INDIRECT("Tab_00.Trial["&amp;F$4&amp;"]"),Tab_00.Trial[CONTA],$B22)</f>
        <v>5434786.7999999998</v>
      </c>
      <c r="G22" s="78">
        <f t="shared" ca="1" si="26"/>
        <v>6.5000000000000002E-2</v>
      </c>
      <c r="H22" s="78">
        <f t="shared" ca="1" si="27"/>
        <v>0</v>
      </c>
      <c r="I22" s="4">
        <f ca="1">SUMIFS(INDIRECT("Tab_00.Trial["&amp;I$4&amp;"]"),Tab_00.Trial[CONTA],$B22)</f>
        <v>5434786.7999999998</v>
      </c>
      <c r="J22" s="78">
        <f t="shared" ca="1" si="28"/>
        <v>6.5600000000000006E-2</v>
      </c>
      <c r="K22" s="78">
        <f t="shared" ca="1" si="29"/>
        <v>0</v>
      </c>
      <c r="L22" s="4">
        <f ca="1">SUMIFS(INDIRECT("Tab_00.Trial["&amp;L$4&amp;"]"),Tab_00.Trial[CONTA],$B22)</f>
        <v>5523040.9500000002</v>
      </c>
      <c r="M22" s="78">
        <f t="shared" ca="1" si="30"/>
        <v>6.6500000000000004E-2</v>
      </c>
      <c r="N22" s="78">
        <f t="shared" ca="1" si="31"/>
        <v>1.6199999999999999E-2</v>
      </c>
      <c r="O22" s="4">
        <f ca="1">SUMIFS(INDIRECT("Tab_00.Trial["&amp;O$4&amp;"]"),Tab_00.Trial[CONTA],$B22)</f>
        <v>5571170.5</v>
      </c>
      <c r="P22" s="78">
        <f t="shared" ca="1" si="32"/>
        <v>6.6799999999999998E-2</v>
      </c>
      <c r="Q22" s="78">
        <f t="shared" ca="1" si="33"/>
        <v>8.6999999999999994E-3</v>
      </c>
      <c r="R22" s="4">
        <f ca="1">SUMIFS(INDIRECT("Tab_00.Trial["&amp;R$4&amp;"]"),Tab_00.Trial[CONTA],$B22)</f>
        <v>5616536.9199999999</v>
      </c>
      <c r="S22" s="78">
        <f t="shared" ca="1" si="34"/>
        <v>6.7100000000000007E-2</v>
      </c>
      <c r="T22" s="78">
        <f t="shared" ca="1" si="35"/>
        <v>8.0999999999999996E-3</v>
      </c>
      <c r="U22" s="4">
        <f ca="1">SUMIFS(INDIRECT("Tab_00.Trial["&amp;U$4&amp;"]"),Tab_00.Trial[CONTA],$B22)</f>
        <v>5751180.9500000002</v>
      </c>
      <c r="V22" s="78">
        <f t="shared" ca="1" si="36"/>
        <v>6.8099999999999994E-2</v>
      </c>
      <c r="W22" s="78">
        <f t="shared" ca="1" si="37"/>
        <v>2.4E-2</v>
      </c>
      <c r="X22" s="4">
        <f ca="1">SUMIFS(INDIRECT("Tab_00.Trial["&amp;X$4&amp;"]"),Tab_00.Trial[CONTA],$B22)</f>
        <v>5751180.9500000002</v>
      </c>
      <c r="Y22" s="78">
        <f t="shared" ca="1" si="38"/>
        <v>6.8099999999999994E-2</v>
      </c>
      <c r="Z22" s="78">
        <f t="shared" ca="1" si="39"/>
        <v>0</v>
      </c>
      <c r="AA22" s="4">
        <f ca="1">SUMIFS(INDIRECT("Tab_00.Trial["&amp;AA$4&amp;"]"),Tab_00.Trial[CONTA],$B22)</f>
        <v>5751180.9500000002</v>
      </c>
      <c r="AB22" s="78">
        <f t="shared" ca="1" si="40"/>
        <v>6.8099999999999994E-2</v>
      </c>
      <c r="AC22" s="78">
        <f t="shared" ca="1" si="41"/>
        <v>0</v>
      </c>
      <c r="AD22" s="4">
        <f ca="1">SUMIFS(INDIRECT("Tab_00.Trial["&amp;AD$4&amp;"]"),Tab_00.Trial[CONTA],$B22)</f>
        <v>5848302.5099999998</v>
      </c>
      <c r="AE22" s="78">
        <f t="shared" ca="1" si="42"/>
        <v>6.8900000000000003E-2</v>
      </c>
      <c r="AF22" s="78">
        <f t="shared" ca="1" si="43"/>
        <v>1.6899999999999998E-2</v>
      </c>
      <c r="AG22" s="4">
        <f ca="1">SUMIFS(INDIRECT("Tab_00.Trial["&amp;AG$4&amp;"]"),Tab_00.Trial[CONTA],$B22)</f>
        <v>5901811.4199999999</v>
      </c>
      <c r="AH22" s="78">
        <f t="shared" ca="1" si="44"/>
        <v>6.93E-2</v>
      </c>
      <c r="AI22" s="78">
        <f t="shared" ca="1" si="45"/>
        <v>9.1000000000000004E-3</v>
      </c>
      <c r="AJ22" s="4">
        <f ca="1">SUMIFS(INDIRECT("Tab_00.Trial["&amp;AJ$4&amp;"]"),Tab_00.Trial[CONTA],$B22)</f>
        <v>5883269.54</v>
      </c>
      <c r="AK22" s="78">
        <f t="shared" ca="1" si="46"/>
        <v>6.88E-2</v>
      </c>
      <c r="AL22" s="78">
        <f t="shared" ca="1" si="47"/>
        <v>-3.0999999999999999E-3</v>
      </c>
      <c r="AM22" s="4">
        <f ca="1">SUMIFS(INDIRECT("Tab_00.Trial["&amp;AM$4&amp;"]"),Tab_00.Trial[CONTA],$B22)</f>
        <v>5588853.7599999998</v>
      </c>
      <c r="AN22" s="78">
        <f t="shared" ca="1" si="48"/>
        <v>6.5500000000000003E-2</v>
      </c>
      <c r="AO22" s="78">
        <f t="shared" ca="1" si="49"/>
        <v>-0.05</v>
      </c>
    </row>
    <row r="23" spans="2:41" ht="15" hidden="1" customHeight="1" outlineLevel="1" x14ac:dyDescent="0.3">
      <c r="B23" s="14" t="s">
        <v>289</v>
      </c>
      <c r="C23" s="15" t="s">
        <v>290</v>
      </c>
      <c r="D23" s="4">
        <f>SUMIFS(Tab_99.Trial[DEZEMBRO],Tab_99.Trial[CONTA],$B23)</f>
        <v>0</v>
      </c>
      <c r="E23" s="78">
        <f t="shared" si="25"/>
        <v>0</v>
      </c>
      <c r="F23" s="4">
        <f ca="1">SUMIFS(INDIRECT("Tab_00.Trial["&amp;F$4&amp;"]"),Tab_00.Trial[CONTA],$B23)</f>
        <v>0</v>
      </c>
      <c r="G23" s="78">
        <f t="shared" ca="1" si="26"/>
        <v>0</v>
      </c>
      <c r="H23" s="78">
        <f t="shared" ca="1" si="27"/>
        <v>0</v>
      </c>
      <c r="I23" s="4">
        <f ca="1">SUMIFS(INDIRECT("Tab_00.Trial["&amp;I$4&amp;"]"),Tab_00.Trial[CONTA],$B23)</f>
        <v>0</v>
      </c>
      <c r="J23" s="78">
        <f t="shared" ca="1" si="28"/>
        <v>0</v>
      </c>
      <c r="K23" s="78">
        <f t="shared" ca="1" si="29"/>
        <v>0</v>
      </c>
      <c r="L23" s="4">
        <f ca="1">SUMIFS(INDIRECT("Tab_00.Trial["&amp;L$4&amp;"]"),Tab_00.Trial[CONTA],$B23)</f>
        <v>0</v>
      </c>
      <c r="M23" s="78">
        <f t="shared" ca="1" si="30"/>
        <v>0</v>
      </c>
      <c r="N23" s="78">
        <f t="shared" ca="1" si="31"/>
        <v>0</v>
      </c>
      <c r="O23" s="4">
        <f ca="1">SUMIFS(INDIRECT("Tab_00.Trial["&amp;O$4&amp;"]"),Tab_00.Trial[CONTA],$B23)</f>
        <v>0</v>
      </c>
      <c r="P23" s="78">
        <f t="shared" ca="1" si="32"/>
        <v>0</v>
      </c>
      <c r="Q23" s="78">
        <f t="shared" ca="1" si="33"/>
        <v>0</v>
      </c>
      <c r="R23" s="4">
        <f ca="1">SUMIFS(INDIRECT("Tab_00.Trial["&amp;R$4&amp;"]"),Tab_00.Trial[CONTA],$B23)</f>
        <v>0</v>
      </c>
      <c r="S23" s="78">
        <f t="shared" ca="1" si="34"/>
        <v>0</v>
      </c>
      <c r="T23" s="78">
        <f t="shared" ca="1" si="35"/>
        <v>0</v>
      </c>
      <c r="U23" s="4">
        <f ca="1">SUMIFS(INDIRECT("Tab_00.Trial["&amp;U$4&amp;"]"),Tab_00.Trial[CONTA],$B23)</f>
        <v>0</v>
      </c>
      <c r="V23" s="78">
        <f t="shared" ca="1" si="36"/>
        <v>0</v>
      </c>
      <c r="W23" s="78">
        <f t="shared" ca="1" si="37"/>
        <v>0</v>
      </c>
      <c r="X23" s="4">
        <f ca="1">SUMIFS(INDIRECT("Tab_00.Trial["&amp;X$4&amp;"]"),Tab_00.Trial[CONTA],$B23)</f>
        <v>0</v>
      </c>
      <c r="Y23" s="78">
        <f t="shared" ca="1" si="38"/>
        <v>0</v>
      </c>
      <c r="Z23" s="78">
        <f t="shared" ca="1" si="39"/>
        <v>0</v>
      </c>
      <c r="AA23" s="4">
        <f ca="1">SUMIFS(INDIRECT("Tab_00.Trial["&amp;AA$4&amp;"]"),Tab_00.Trial[CONTA],$B23)</f>
        <v>0</v>
      </c>
      <c r="AB23" s="78">
        <f t="shared" ca="1" si="40"/>
        <v>0</v>
      </c>
      <c r="AC23" s="78">
        <f t="shared" ca="1" si="41"/>
        <v>0</v>
      </c>
      <c r="AD23" s="4">
        <f ca="1">SUMIFS(INDIRECT("Tab_00.Trial["&amp;AD$4&amp;"]"),Tab_00.Trial[CONTA],$B23)</f>
        <v>0</v>
      </c>
      <c r="AE23" s="78">
        <f t="shared" ca="1" si="42"/>
        <v>0</v>
      </c>
      <c r="AF23" s="78">
        <f t="shared" ca="1" si="43"/>
        <v>0</v>
      </c>
      <c r="AG23" s="4">
        <f ca="1">SUMIFS(INDIRECT("Tab_00.Trial["&amp;AG$4&amp;"]"),Tab_00.Trial[CONTA],$B23)</f>
        <v>0</v>
      </c>
      <c r="AH23" s="78">
        <f t="shared" ca="1" si="44"/>
        <v>0</v>
      </c>
      <c r="AI23" s="78">
        <f t="shared" ca="1" si="45"/>
        <v>0</v>
      </c>
      <c r="AJ23" s="4">
        <f ca="1">SUMIFS(INDIRECT("Tab_00.Trial["&amp;AJ$4&amp;"]"),Tab_00.Trial[CONTA],$B23)</f>
        <v>0</v>
      </c>
      <c r="AK23" s="78">
        <f t="shared" ca="1" si="46"/>
        <v>0</v>
      </c>
      <c r="AL23" s="78">
        <f t="shared" ca="1" si="47"/>
        <v>0</v>
      </c>
      <c r="AM23" s="4">
        <f ca="1">SUMIFS(INDIRECT("Tab_00.Trial["&amp;AM$4&amp;"]"),Tab_00.Trial[CONTA],$B23)</f>
        <v>0</v>
      </c>
      <c r="AN23" s="78">
        <f t="shared" ca="1" si="48"/>
        <v>0</v>
      </c>
      <c r="AO23" s="78">
        <f t="shared" ca="1" si="49"/>
        <v>0</v>
      </c>
    </row>
    <row r="24" spans="2:41" ht="15" hidden="1" customHeight="1" outlineLevel="1" x14ac:dyDescent="0.3">
      <c r="B24" s="14" t="s">
        <v>814</v>
      </c>
      <c r="C24" s="15" t="s">
        <v>815</v>
      </c>
      <c r="D24" s="4">
        <f>SUMIFS(Tab_99.Trial[DEZEMBRO],Tab_99.Trial[CONTA],$B24)</f>
        <v>0</v>
      </c>
      <c r="E24" s="78">
        <f t="shared" si="25"/>
        <v>0</v>
      </c>
      <c r="F24" s="4">
        <f ca="1">SUMIFS(INDIRECT("Tab_00.Trial["&amp;F$4&amp;"]"),Tab_00.Trial[CONTA],$B24)</f>
        <v>0</v>
      </c>
      <c r="G24" s="78">
        <f t="shared" ca="1" si="26"/>
        <v>0</v>
      </c>
      <c r="H24" s="78">
        <f t="shared" ca="1" si="27"/>
        <v>0</v>
      </c>
      <c r="I24" s="4">
        <f ca="1">SUMIFS(INDIRECT("Tab_00.Trial["&amp;I$4&amp;"]"),Tab_00.Trial[CONTA],$B24)</f>
        <v>0</v>
      </c>
      <c r="J24" s="78">
        <f t="shared" ca="1" si="28"/>
        <v>0</v>
      </c>
      <c r="K24" s="78">
        <f t="shared" ca="1" si="29"/>
        <v>0</v>
      </c>
      <c r="L24" s="4">
        <f ca="1">SUMIFS(INDIRECT("Tab_00.Trial["&amp;L$4&amp;"]"),Tab_00.Trial[CONTA],$B24)</f>
        <v>0</v>
      </c>
      <c r="M24" s="78">
        <f t="shared" ca="1" si="30"/>
        <v>0</v>
      </c>
      <c r="N24" s="78">
        <f t="shared" ca="1" si="31"/>
        <v>0</v>
      </c>
      <c r="O24" s="4">
        <f ca="1">SUMIFS(INDIRECT("Tab_00.Trial["&amp;O$4&amp;"]"),Tab_00.Trial[CONTA],$B24)</f>
        <v>0</v>
      </c>
      <c r="P24" s="78">
        <f t="shared" ca="1" si="32"/>
        <v>0</v>
      </c>
      <c r="Q24" s="78">
        <f t="shared" ca="1" si="33"/>
        <v>0</v>
      </c>
      <c r="R24" s="4">
        <f ca="1">SUMIFS(INDIRECT("Tab_00.Trial["&amp;R$4&amp;"]"),Tab_00.Trial[CONTA],$B24)</f>
        <v>0</v>
      </c>
      <c r="S24" s="78">
        <f t="shared" ca="1" si="34"/>
        <v>0</v>
      </c>
      <c r="T24" s="78">
        <f t="shared" ca="1" si="35"/>
        <v>0</v>
      </c>
      <c r="U24" s="4">
        <f ca="1">SUMIFS(INDIRECT("Tab_00.Trial["&amp;U$4&amp;"]"),Tab_00.Trial[CONTA],$B24)</f>
        <v>0</v>
      </c>
      <c r="V24" s="78">
        <f t="shared" ca="1" si="36"/>
        <v>0</v>
      </c>
      <c r="W24" s="78">
        <f t="shared" ca="1" si="37"/>
        <v>0</v>
      </c>
      <c r="X24" s="4">
        <f ca="1">SUMIFS(INDIRECT("Tab_00.Trial["&amp;X$4&amp;"]"),Tab_00.Trial[CONTA],$B24)</f>
        <v>0</v>
      </c>
      <c r="Y24" s="78">
        <f t="shared" ca="1" si="38"/>
        <v>0</v>
      </c>
      <c r="Z24" s="78">
        <f t="shared" ca="1" si="39"/>
        <v>0</v>
      </c>
      <c r="AA24" s="4">
        <f ca="1">SUMIFS(INDIRECT("Tab_00.Trial["&amp;AA$4&amp;"]"),Tab_00.Trial[CONTA],$B24)</f>
        <v>0</v>
      </c>
      <c r="AB24" s="78">
        <f t="shared" ca="1" si="40"/>
        <v>0</v>
      </c>
      <c r="AC24" s="78">
        <f t="shared" ca="1" si="41"/>
        <v>0</v>
      </c>
      <c r="AD24" s="4">
        <f ca="1">SUMIFS(INDIRECT("Tab_00.Trial["&amp;AD$4&amp;"]"),Tab_00.Trial[CONTA],$B24)</f>
        <v>0</v>
      </c>
      <c r="AE24" s="78">
        <f t="shared" ca="1" si="42"/>
        <v>0</v>
      </c>
      <c r="AF24" s="78">
        <f t="shared" ca="1" si="43"/>
        <v>0</v>
      </c>
      <c r="AG24" s="4">
        <f ca="1">SUMIFS(INDIRECT("Tab_00.Trial["&amp;AG$4&amp;"]"),Tab_00.Trial[CONTA],$B24)</f>
        <v>0</v>
      </c>
      <c r="AH24" s="78">
        <f t="shared" ca="1" si="44"/>
        <v>0</v>
      </c>
      <c r="AI24" s="78">
        <f t="shared" ca="1" si="45"/>
        <v>0</v>
      </c>
      <c r="AJ24" s="4">
        <f ca="1">SUMIFS(INDIRECT("Tab_00.Trial["&amp;AJ$4&amp;"]"),Tab_00.Trial[CONTA],$B24)</f>
        <v>0</v>
      </c>
      <c r="AK24" s="78">
        <f t="shared" ca="1" si="46"/>
        <v>0</v>
      </c>
      <c r="AL24" s="78">
        <f t="shared" ca="1" si="47"/>
        <v>0</v>
      </c>
      <c r="AM24" s="4">
        <f ca="1">SUMIFS(INDIRECT("Tab_00.Trial["&amp;AM$4&amp;"]"),Tab_00.Trial[CONTA],$B24)</f>
        <v>338002.45</v>
      </c>
      <c r="AN24" s="78">
        <f t="shared" ca="1" si="48"/>
        <v>4.0000000000000001E-3</v>
      </c>
      <c r="AO24" s="78">
        <f t="shared" ca="1" si="49"/>
        <v>0</v>
      </c>
    </row>
    <row r="25" spans="2:41" ht="15" hidden="1" customHeight="1" outlineLevel="1" x14ac:dyDescent="0.3">
      <c r="B25" s="14"/>
      <c r="C25" s="15"/>
      <c r="D25" s="4">
        <f>SUMIFS(Tab_99.Trial[DEZEMBRO],Tab_99.Trial[CONTA],$B25)</f>
        <v>0</v>
      </c>
      <c r="E25" s="78">
        <f t="shared" si="25"/>
        <v>0</v>
      </c>
      <c r="F25" s="4">
        <f ca="1">SUMIFS(INDIRECT("Tab_00.Trial["&amp;F$4&amp;"]"),Tab_00.Trial[CONTA],$B25)</f>
        <v>0</v>
      </c>
      <c r="G25" s="78">
        <f t="shared" ca="1" si="26"/>
        <v>0</v>
      </c>
      <c r="H25" s="78">
        <f t="shared" ca="1" si="27"/>
        <v>0</v>
      </c>
      <c r="I25" s="4">
        <f ca="1">SUMIFS(INDIRECT("Tab_00.Trial["&amp;I$4&amp;"]"),Tab_00.Trial[CONTA],$B25)</f>
        <v>0</v>
      </c>
      <c r="J25" s="78">
        <f t="shared" ca="1" si="28"/>
        <v>0</v>
      </c>
      <c r="K25" s="78">
        <f t="shared" ca="1" si="29"/>
        <v>0</v>
      </c>
      <c r="L25" s="4">
        <f ca="1">SUMIFS(INDIRECT("Tab_00.Trial["&amp;L$4&amp;"]"),Tab_00.Trial[CONTA],$B25)</f>
        <v>0</v>
      </c>
      <c r="M25" s="78">
        <f t="shared" ca="1" si="30"/>
        <v>0</v>
      </c>
      <c r="N25" s="78">
        <f t="shared" ca="1" si="31"/>
        <v>0</v>
      </c>
      <c r="O25" s="4">
        <f ca="1">SUMIFS(INDIRECT("Tab_00.Trial["&amp;O$4&amp;"]"),Tab_00.Trial[CONTA],$B25)</f>
        <v>0</v>
      </c>
      <c r="P25" s="78">
        <f t="shared" ca="1" si="32"/>
        <v>0</v>
      </c>
      <c r="Q25" s="78">
        <f t="shared" ca="1" si="33"/>
        <v>0</v>
      </c>
      <c r="R25" s="4">
        <f ca="1">SUMIFS(INDIRECT("Tab_00.Trial["&amp;R$4&amp;"]"),Tab_00.Trial[CONTA],$B25)</f>
        <v>0</v>
      </c>
      <c r="S25" s="78">
        <f t="shared" ca="1" si="34"/>
        <v>0</v>
      </c>
      <c r="T25" s="78">
        <f t="shared" ca="1" si="35"/>
        <v>0</v>
      </c>
      <c r="U25" s="4">
        <f ca="1">SUMIFS(INDIRECT("Tab_00.Trial["&amp;U$4&amp;"]"),Tab_00.Trial[CONTA],$B25)</f>
        <v>0</v>
      </c>
      <c r="V25" s="78">
        <f t="shared" ca="1" si="36"/>
        <v>0</v>
      </c>
      <c r="W25" s="78">
        <f t="shared" ca="1" si="37"/>
        <v>0</v>
      </c>
      <c r="X25" s="4">
        <f ca="1">SUMIFS(INDIRECT("Tab_00.Trial["&amp;X$4&amp;"]"),Tab_00.Trial[CONTA],$B25)</f>
        <v>0</v>
      </c>
      <c r="Y25" s="78">
        <f t="shared" ca="1" si="38"/>
        <v>0</v>
      </c>
      <c r="Z25" s="78">
        <f t="shared" ca="1" si="39"/>
        <v>0</v>
      </c>
      <c r="AA25" s="4">
        <f ca="1">SUMIFS(INDIRECT("Tab_00.Trial["&amp;AA$4&amp;"]"),Tab_00.Trial[CONTA],$B25)</f>
        <v>0</v>
      </c>
      <c r="AB25" s="78">
        <f t="shared" ca="1" si="40"/>
        <v>0</v>
      </c>
      <c r="AC25" s="78">
        <f t="shared" ca="1" si="41"/>
        <v>0</v>
      </c>
      <c r="AD25" s="4">
        <f ca="1">SUMIFS(INDIRECT("Tab_00.Trial["&amp;AD$4&amp;"]"),Tab_00.Trial[CONTA],$B25)</f>
        <v>0</v>
      </c>
      <c r="AE25" s="78">
        <f t="shared" ca="1" si="42"/>
        <v>0</v>
      </c>
      <c r="AF25" s="78">
        <f t="shared" ca="1" si="43"/>
        <v>0</v>
      </c>
      <c r="AG25" s="4">
        <f ca="1">SUMIFS(INDIRECT("Tab_00.Trial["&amp;AG$4&amp;"]"),Tab_00.Trial[CONTA],$B25)</f>
        <v>0</v>
      </c>
      <c r="AH25" s="78">
        <f t="shared" ca="1" si="44"/>
        <v>0</v>
      </c>
      <c r="AI25" s="78">
        <f t="shared" ca="1" si="45"/>
        <v>0</v>
      </c>
      <c r="AJ25" s="4">
        <f ca="1">SUMIFS(INDIRECT("Tab_00.Trial["&amp;AJ$4&amp;"]"),Tab_00.Trial[CONTA],$B25)</f>
        <v>0</v>
      </c>
      <c r="AK25" s="78">
        <f t="shared" ca="1" si="46"/>
        <v>0</v>
      </c>
      <c r="AL25" s="78">
        <f t="shared" ca="1" si="47"/>
        <v>0</v>
      </c>
      <c r="AM25" s="4">
        <f ca="1">SUMIFS(INDIRECT("Tab_00.Trial["&amp;AM$4&amp;"]"),Tab_00.Trial[CONTA],$B25)</f>
        <v>0</v>
      </c>
      <c r="AN25" s="78">
        <f t="shared" ca="1" si="48"/>
        <v>0</v>
      </c>
      <c r="AO25" s="78">
        <f t="shared" ca="1" si="49"/>
        <v>0</v>
      </c>
    </row>
    <row r="26" spans="2:41" ht="15" hidden="1" customHeight="1" outlineLevel="1" x14ac:dyDescent="0.3">
      <c r="B26" s="14"/>
      <c r="C26" s="15"/>
      <c r="D26" s="4">
        <f>SUMIFS(Tab_99.Trial[DEZEMBRO],Tab_99.Trial[CONTA],$B26)</f>
        <v>0</v>
      </c>
      <c r="E26" s="78">
        <f t="shared" si="25"/>
        <v>0</v>
      </c>
      <c r="F26" s="4">
        <f ca="1">SUMIFS(INDIRECT("Tab_00.Trial["&amp;F$4&amp;"]"),Tab_00.Trial[CONTA],$B26)</f>
        <v>0</v>
      </c>
      <c r="G26" s="78">
        <f t="shared" ca="1" si="26"/>
        <v>0</v>
      </c>
      <c r="H26" s="78">
        <f t="shared" ca="1" si="27"/>
        <v>0</v>
      </c>
      <c r="I26" s="4">
        <f ca="1">SUMIFS(INDIRECT("Tab_00.Trial["&amp;I$4&amp;"]"),Tab_00.Trial[CONTA],$B26)</f>
        <v>0</v>
      </c>
      <c r="J26" s="78">
        <f t="shared" ca="1" si="28"/>
        <v>0</v>
      </c>
      <c r="K26" s="78">
        <f t="shared" ca="1" si="29"/>
        <v>0</v>
      </c>
      <c r="L26" s="4">
        <f ca="1">SUMIFS(INDIRECT("Tab_00.Trial["&amp;L$4&amp;"]"),Tab_00.Trial[CONTA],$B26)</f>
        <v>0</v>
      </c>
      <c r="M26" s="78">
        <f t="shared" ca="1" si="30"/>
        <v>0</v>
      </c>
      <c r="N26" s="78">
        <f t="shared" ca="1" si="31"/>
        <v>0</v>
      </c>
      <c r="O26" s="4">
        <f ca="1">SUMIFS(INDIRECT("Tab_00.Trial["&amp;O$4&amp;"]"),Tab_00.Trial[CONTA],$B26)</f>
        <v>0</v>
      </c>
      <c r="P26" s="78">
        <f t="shared" ca="1" si="32"/>
        <v>0</v>
      </c>
      <c r="Q26" s="78">
        <f t="shared" ca="1" si="33"/>
        <v>0</v>
      </c>
      <c r="R26" s="4">
        <f ca="1">SUMIFS(INDIRECT("Tab_00.Trial["&amp;R$4&amp;"]"),Tab_00.Trial[CONTA],$B26)</f>
        <v>0</v>
      </c>
      <c r="S26" s="78">
        <f t="shared" ca="1" si="34"/>
        <v>0</v>
      </c>
      <c r="T26" s="78">
        <f t="shared" ca="1" si="35"/>
        <v>0</v>
      </c>
      <c r="U26" s="4">
        <f ca="1">SUMIFS(INDIRECT("Tab_00.Trial["&amp;U$4&amp;"]"),Tab_00.Trial[CONTA],$B26)</f>
        <v>0</v>
      </c>
      <c r="V26" s="78">
        <f t="shared" ca="1" si="36"/>
        <v>0</v>
      </c>
      <c r="W26" s="78">
        <f t="shared" ca="1" si="37"/>
        <v>0</v>
      </c>
      <c r="X26" s="4">
        <f ca="1">SUMIFS(INDIRECT("Tab_00.Trial["&amp;X$4&amp;"]"),Tab_00.Trial[CONTA],$B26)</f>
        <v>0</v>
      </c>
      <c r="Y26" s="78">
        <f t="shared" ca="1" si="38"/>
        <v>0</v>
      </c>
      <c r="Z26" s="78">
        <f t="shared" ca="1" si="39"/>
        <v>0</v>
      </c>
      <c r="AA26" s="4">
        <f ca="1">SUMIFS(INDIRECT("Tab_00.Trial["&amp;AA$4&amp;"]"),Tab_00.Trial[CONTA],$B26)</f>
        <v>0</v>
      </c>
      <c r="AB26" s="78">
        <f t="shared" ca="1" si="40"/>
        <v>0</v>
      </c>
      <c r="AC26" s="78">
        <f t="shared" ca="1" si="41"/>
        <v>0</v>
      </c>
      <c r="AD26" s="4">
        <f ca="1">SUMIFS(INDIRECT("Tab_00.Trial["&amp;AD$4&amp;"]"),Tab_00.Trial[CONTA],$B26)</f>
        <v>0</v>
      </c>
      <c r="AE26" s="78">
        <f t="shared" ca="1" si="42"/>
        <v>0</v>
      </c>
      <c r="AF26" s="78">
        <f t="shared" ca="1" si="43"/>
        <v>0</v>
      </c>
      <c r="AG26" s="4">
        <f ca="1">SUMIFS(INDIRECT("Tab_00.Trial["&amp;AG$4&amp;"]"),Tab_00.Trial[CONTA],$B26)</f>
        <v>0</v>
      </c>
      <c r="AH26" s="78">
        <f t="shared" ca="1" si="44"/>
        <v>0</v>
      </c>
      <c r="AI26" s="78">
        <f t="shared" ca="1" si="45"/>
        <v>0</v>
      </c>
      <c r="AJ26" s="4">
        <f ca="1">SUMIFS(INDIRECT("Tab_00.Trial["&amp;AJ$4&amp;"]"),Tab_00.Trial[CONTA],$B26)</f>
        <v>0</v>
      </c>
      <c r="AK26" s="78">
        <f t="shared" ca="1" si="46"/>
        <v>0</v>
      </c>
      <c r="AL26" s="78">
        <f t="shared" ca="1" si="47"/>
        <v>0</v>
      </c>
      <c r="AM26" s="4">
        <f ca="1">SUMIFS(INDIRECT("Tab_00.Trial["&amp;AM$4&amp;"]"),Tab_00.Trial[CONTA],$B26)</f>
        <v>0</v>
      </c>
      <c r="AN26" s="78">
        <f t="shared" ca="1" si="48"/>
        <v>0</v>
      </c>
      <c r="AO26" s="78">
        <f t="shared" ca="1" si="49"/>
        <v>0</v>
      </c>
    </row>
    <row r="27" spans="2:41" ht="15" hidden="1" customHeight="1" outlineLevel="1" x14ac:dyDescent="0.3">
      <c r="B27" s="14"/>
      <c r="C27" s="15"/>
      <c r="D27" s="4">
        <f>SUMIFS(Tab_99.Trial[DEZEMBRO],Tab_99.Trial[CONTA],$B27)</f>
        <v>0</v>
      </c>
      <c r="E27" s="78">
        <f t="shared" si="25"/>
        <v>0</v>
      </c>
      <c r="F27" s="4">
        <f ca="1">SUMIFS(INDIRECT("Tab_00.Trial["&amp;F$4&amp;"]"),Tab_00.Trial[CONTA],$B27)</f>
        <v>0</v>
      </c>
      <c r="G27" s="78">
        <f t="shared" ca="1" si="26"/>
        <v>0</v>
      </c>
      <c r="H27" s="78">
        <f t="shared" ca="1" si="27"/>
        <v>0</v>
      </c>
      <c r="I27" s="4">
        <f ca="1">SUMIFS(INDIRECT("Tab_00.Trial["&amp;I$4&amp;"]"),Tab_00.Trial[CONTA],$B27)</f>
        <v>0</v>
      </c>
      <c r="J27" s="78">
        <f t="shared" ca="1" si="28"/>
        <v>0</v>
      </c>
      <c r="K27" s="78">
        <f t="shared" ca="1" si="29"/>
        <v>0</v>
      </c>
      <c r="L27" s="4">
        <f ca="1">SUMIFS(INDIRECT("Tab_00.Trial["&amp;L$4&amp;"]"),Tab_00.Trial[CONTA],$B27)</f>
        <v>0</v>
      </c>
      <c r="M27" s="78">
        <f t="shared" ca="1" si="30"/>
        <v>0</v>
      </c>
      <c r="N27" s="78">
        <f t="shared" ca="1" si="31"/>
        <v>0</v>
      </c>
      <c r="O27" s="4">
        <f ca="1">SUMIFS(INDIRECT("Tab_00.Trial["&amp;O$4&amp;"]"),Tab_00.Trial[CONTA],$B27)</f>
        <v>0</v>
      </c>
      <c r="P27" s="78">
        <f t="shared" ca="1" si="32"/>
        <v>0</v>
      </c>
      <c r="Q27" s="78">
        <f t="shared" ca="1" si="33"/>
        <v>0</v>
      </c>
      <c r="R27" s="4">
        <f ca="1">SUMIFS(INDIRECT("Tab_00.Trial["&amp;R$4&amp;"]"),Tab_00.Trial[CONTA],$B27)</f>
        <v>0</v>
      </c>
      <c r="S27" s="78">
        <f t="shared" ca="1" si="34"/>
        <v>0</v>
      </c>
      <c r="T27" s="78">
        <f t="shared" ca="1" si="35"/>
        <v>0</v>
      </c>
      <c r="U27" s="4">
        <f ca="1">SUMIFS(INDIRECT("Tab_00.Trial["&amp;U$4&amp;"]"),Tab_00.Trial[CONTA],$B27)</f>
        <v>0</v>
      </c>
      <c r="V27" s="78">
        <f t="shared" ca="1" si="36"/>
        <v>0</v>
      </c>
      <c r="W27" s="78">
        <f t="shared" ca="1" si="37"/>
        <v>0</v>
      </c>
      <c r="X27" s="4">
        <f ca="1">SUMIFS(INDIRECT("Tab_00.Trial["&amp;X$4&amp;"]"),Tab_00.Trial[CONTA],$B27)</f>
        <v>0</v>
      </c>
      <c r="Y27" s="78">
        <f t="shared" ca="1" si="38"/>
        <v>0</v>
      </c>
      <c r="Z27" s="78">
        <f t="shared" ca="1" si="39"/>
        <v>0</v>
      </c>
      <c r="AA27" s="4">
        <f ca="1">SUMIFS(INDIRECT("Tab_00.Trial["&amp;AA$4&amp;"]"),Tab_00.Trial[CONTA],$B27)</f>
        <v>0</v>
      </c>
      <c r="AB27" s="78">
        <f t="shared" ca="1" si="40"/>
        <v>0</v>
      </c>
      <c r="AC27" s="78">
        <f t="shared" ca="1" si="41"/>
        <v>0</v>
      </c>
      <c r="AD27" s="4">
        <f ca="1">SUMIFS(INDIRECT("Tab_00.Trial["&amp;AD$4&amp;"]"),Tab_00.Trial[CONTA],$B27)</f>
        <v>0</v>
      </c>
      <c r="AE27" s="78">
        <f t="shared" ca="1" si="42"/>
        <v>0</v>
      </c>
      <c r="AF27" s="78">
        <f t="shared" ca="1" si="43"/>
        <v>0</v>
      </c>
      <c r="AG27" s="4">
        <f ca="1">SUMIFS(INDIRECT("Tab_00.Trial["&amp;AG$4&amp;"]"),Tab_00.Trial[CONTA],$B27)</f>
        <v>0</v>
      </c>
      <c r="AH27" s="78">
        <f t="shared" ca="1" si="44"/>
        <v>0</v>
      </c>
      <c r="AI27" s="78">
        <f t="shared" ca="1" si="45"/>
        <v>0</v>
      </c>
      <c r="AJ27" s="4">
        <f ca="1">SUMIFS(INDIRECT("Tab_00.Trial["&amp;AJ$4&amp;"]"),Tab_00.Trial[CONTA],$B27)</f>
        <v>0</v>
      </c>
      <c r="AK27" s="78">
        <f t="shared" ca="1" si="46"/>
        <v>0</v>
      </c>
      <c r="AL27" s="78">
        <f t="shared" ca="1" si="47"/>
        <v>0</v>
      </c>
      <c r="AM27" s="4">
        <f ca="1">SUMIFS(INDIRECT("Tab_00.Trial["&amp;AM$4&amp;"]"),Tab_00.Trial[CONTA],$B27)</f>
        <v>0</v>
      </c>
      <c r="AN27" s="78">
        <f t="shared" ca="1" si="48"/>
        <v>0</v>
      </c>
      <c r="AO27" s="78">
        <f t="shared" ca="1" si="49"/>
        <v>0</v>
      </c>
    </row>
    <row r="28" spans="2:41" ht="15" hidden="1" customHeight="1" outlineLevel="1" x14ac:dyDescent="0.3">
      <c r="B28" s="14"/>
      <c r="C28" s="15"/>
      <c r="D28" s="4">
        <f>SUMIFS(Tab_99.Trial[DEZEMBRO],Tab_99.Trial[CONTA],$B28)</f>
        <v>0</v>
      </c>
      <c r="E28" s="78">
        <f t="shared" si="25"/>
        <v>0</v>
      </c>
      <c r="F28" s="4">
        <f ca="1">SUMIFS(INDIRECT("Tab_00.Trial["&amp;F$4&amp;"]"),Tab_00.Trial[CONTA],$B28)</f>
        <v>0</v>
      </c>
      <c r="G28" s="78">
        <f t="shared" ca="1" si="26"/>
        <v>0</v>
      </c>
      <c r="H28" s="78">
        <f t="shared" ca="1" si="27"/>
        <v>0</v>
      </c>
      <c r="I28" s="4">
        <f ca="1">SUMIFS(INDIRECT("Tab_00.Trial["&amp;I$4&amp;"]"),Tab_00.Trial[CONTA],$B28)</f>
        <v>0</v>
      </c>
      <c r="J28" s="78">
        <f t="shared" ca="1" si="28"/>
        <v>0</v>
      </c>
      <c r="K28" s="78">
        <f t="shared" ca="1" si="29"/>
        <v>0</v>
      </c>
      <c r="L28" s="4">
        <f ca="1">SUMIFS(INDIRECT("Tab_00.Trial["&amp;L$4&amp;"]"),Tab_00.Trial[CONTA],$B28)</f>
        <v>0</v>
      </c>
      <c r="M28" s="78">
        <f t="shared" ca="1" si="30"/>
        <v>0</v>
      </c>
      <c r="N28" s="78">
        <f t="shared" ca="1" si="31"/>
        <v>0</v>
      </c>
      <c r="O28" s="4">
        <f ca="1">SUMIFS(INDIRECT("Tab_00.Trial["&amp;O$4&amp;"]"),Tab_00.Trial[CONTA],$B28)</f>
        <v>0</v>
      </c>
      <c r="P28" s="78">
        <f t="shared" ca="1" si="32"/>
        <v>0</v>
      </c>
      <c r="Q28" s="78">
        <f t="shared" ca="1" si="33"/>
        <v>0</v>
      </c>
      <c r="R28" s="4">
        <f ca="1">SUMIFS(INDIRECT("Tab_00.Trial["&amp;R$4&amp;"]"),Tab_00.Trial[CONTA],$B28)</f>
        <v>0</v>
      </c>
      <c r="S28" s="78">
        <f t="shared" ca="1" si="34"/>
        <v>0</v>
      </c>
      <c r="T28" s="78">
        <f t="shared" ca="1" si="35"/>
        <v>0</v>
      </c>
      <c r="U28" s="4">
        <f ca="1">SUMIFS(INDIRECT("Tab_00.Trial["&amp;U$4&amp;"]"),Tab_00.Trial[CONTA],$B28)</f>
        <v>0</v>
      </c>
      <c r="V28" s="78">
        <f t="shared" ca="1" si="36"/>
        <v>0</v>
      </c>
      <c r="W28" s="78">
        <f t="shared" ca="1" si="37"/>
        <v>0</v>
      </c>
      <c r="X28" s="4">
        <f ca="1">SUMIFS(INDIRECT("Tab_00.Trial["&amp;X$4&amp;"]"),Tab_00.Trial[CONTA],$B28)</f>
        <v>0</v>
      </c>
      <c r="Y28" s="78">
        <f t="shared" ca="1" si="38"/>
        <v>0</v>
      </c>
      <c r="Z28" s="78">
        <f t="shared" ca="1" si="39"/>
        <v>0</v>
      </c>
      <c r="AA28" s="4">
        <f ca="1">SUMIFS(INDIRECT("Tab_00.Trial["&amp;AA$4&amp;"]"),Tab_00.Trial[CONTA],$B28)</f>
        <v>0</v>
      </c>
      <c r="AB28" s="78">
        <f t="shared" ca="1" si="40"/>
        <v>0</v>
      </c>
      <c r="AC28" s="78">
        <f t="shared" ca="1" si="41"/>
        <v>0</v>
      </c>
      <c r="AD28" s="4">
        <f ca="1">SUMIFS(INDIRECT("Tab_00.Trial["&amp;AD$4&amp;"]"),Tab_00.Trial[CONTA],$B28)</f>
        <v>0</v>
      </c>
      <c r="AE28" s="78">
        <f t="shared" ca="1" si="42"/>
        <v>0</v>
      </c>
      <c r="AF28" s="78">
        <f t="shared" ca="1" si="43"/>
        <v>0</v>
      </c>
      <c r="AG28" s="4">
        <f ca="1">SUMIFS(INDIRECT("Tab_00.Trial["&amp;AG$4&amp;"]"),Tab_00.Trial[CONTA],$B28)</f>
        <v>0</v>
      </c>
      <c r="AH28" s="78">
        <f t="shared" ca="1" si="44"/>
        <v>0</v>
      </c>
      <c r="AI28" s="78">
        <f t="shared" ca="1" si="45"/>
        <v>0</v>
      </c>
      <c r="AJ28" s="4">
        <f ca="1">SUMIFS(INDIRECT("Tab_00.Trial["&amp;AJ$4&amp;"]"),Tab_00.Trial[CONTA],$B28)</f>
        <v>0</v>
      </c>
      <c r="AK28" s="78">
        <f t="shared" ca="1" si="46"/>
        <v>0</v>
      </c>
      <c r="AL28" s="78">
        <f t="shared" ca="1" si="47"/>
        <v>0</v>
      </c>
      <c r="AM28" s="4">
        <f ca="1">SUMIFS(INDIRECT("Tab_00.Trial["&amp;AM$4&amp;"]"),Tab_00.Trial[CONTA],$B28)</f>
        <v>0</v>
      </c>
      <c r="AN28" s="78">
        <f t="shared" ca="1" si="48"/>
        <v>0</v>
      </c>
      <c r="AO28" s="78">
        <f t="shared" ca="1" si="49"/>
        <v>0</v>
      </c>
    </row>
    <row r="29" spans="2:41" ht="5.0999999999999996" hidden="1" customHeight="1" outlineLevel="1" x14ac:dyDescent="0.3">
      <c r="B29" s="74"/>
      <c r="C29" s="75"/>
      <c r="D29" s="76"/>
      <c r="E29" s="77"/>
      <c r="F29" s="76"/>
      <c r="G29" s="77"/>
      <c r="H29" s="77"/>
      <c r="I29" s="76"/>
      <c r="J29" s="77"/>
      <c r="K29" s="77"/>
      <c r="L29" s="76"/>
      <c r="M29" s="77"/>
      <c r="N29" s="77"/>
      <c r="O29" s="76"/>
      <c r="P29" s="77"/>
      <c r="Q29" s="77"/>
      <c r="R29" s="76"/>
      <c r="S29" s="77"/>
      <c r="T29" s="77"/>
      <c r="U29" s="76"/>
      <c r="V29" s="77"/>
      <c r="W29" s="77"/>
      <c r="X29" s="76"/>
      <c r="Y29" s="77"/>
      <c r="Z29" s="77"/>
      <c r="AA29" s="76"/>
      <c r="AB29" s="77"/>
      <c r="AC29" s="77"/>
      <c r="AD29" s="76"/>
      <c r="AE29" s="77"/>
      <c r="AF29" s="77"/>
      <c r="AG29" s="76"/>
      <c r="AH29" s="77"/>
      <c r="AI29" s="77"/>
      <c r="AJ29" s="76"/>
      <c r="AK29" s="77"/>
      <c r="AL29" s="77"/>
      <c r="AM29" s="76"/>
      <c r="AN29" s="77"/>
      <c r="AO29" s="77"/>
    </row>
    <row r="30" spans="2:41" ht="15" customHeight="1" x14ac:dyDescent="0.3">
      <c r="B30" s="3" t="s">
        <v>40</v>
      </c>
      <c r="C30" s="14" t="s">
        <v>99</v>
      </c>
      <c r="D30" s="4">
        <f>SUBTOTAL(9,D$31:D$34)</f>
        <v>0</v>
      </c>
      <c r="E30" s="78">
        <f>IFERROR($D30/$D$160,0)</f>
        <v>0</v>
      </c>
      <c r="F30" s="4">
        <f ca="1">SUBTOTAL(9,F$31:F$34)</f>
        <v>99274.97</v>
      </c>
      <c r="G30" s="78">
        <f ca="1">IFERROR($F30/$F$160,0)</f>
        <v>1.1999999999999999E-3</v>
      </c>
      <c r="H30" s="78">
        <f t="shared" ca="1" si="27"/>
        <v>0</v>
      </c>
      <c r="I30" s="4">
        <f ca="1">SUBTOTAL(9,I$31:I$34)</f>
        <v>99274.97</v>
      </c>
      <c r="J30" s="78">
        <f ca="1">IFERROR($I30/$I$160,0)</f>
        <v>1.1999999999999999E-3</v>
      </c>
      <c r="K30" s="78">
        <f t="shared" ca="1" si="29"/>
        <v>0</v>
      </c>
      <c r="L30" s="4">
        <f ca="1">SUBTOTAL(9,L$31:L$34)</f>
        <v>99274.97</v>
      </c>
      <c r="M30" s="78">
        <f ca="1">IFERROR($L30/$L$160,0)</f>
        <v>1.1999999999999999E-3</v>
      </c>
      <c r="N30" s="78">
        <f t="shared" ca="1" si="31"/>
        <v>0</v>
      </c>
      <c r="O30" s="4">
        <f ca="1">SUBTOTAL(9,O$31:O$34)</f>
        <v>99274.97</v>
      </c>
      <c r="P30" s="78">
        <f ca="1">IFERROR($O30/$O$160,0)</f>
        <v>1.1999999999999999E-3</v>
      </c>
      <c r="Q30" s="78">
        <f t="shared" ca="1" si="33"/>
        <v>0</v>
      </c>
      <c r="R30" s="4">
        <f ca="1">SUBTOTAL(9,R$31:R$34)</f>
        <v>99274.97</v>
      </c>
      <c r="S30" s="78">
        <f ca="1">IFERROR($R30/$R$160,0)</f>
        <v>1.1999999999999999E-3</v>
      </c>
      <c r="T30" s="78">
        <f t="shared" ca="1" si="35"/>
        <v>0</v>
      </c>
      <c r="U30" s="4">
        <f ca="1">SUBTOTAL(9,U$31:U$34)</f>
        <v>99274.97</v>
      </c>
      <c r="V30" s="78">
        <f ca="1">IFERROR($U30/$U$160,0)</f>
        <v>1.1999999999999999E-3</v>
      </c>
      <c r="W30" s="78">
        <f t="shared" ca="1" si="37"/>
        <v>0</v>
      </c>
      <c r="X30" s="4">
        <f ca="1">SUBTOTAL(9,X$31:X$34)</f>
        <v>99274.97</v>
      </c>
      <c r="Y30" s="78">
        <f ca="1">IFERROR($X30/$X$160,0)</f>
        <v>1.1999999999999999E-3</v>
      </c>
      <c r="Z30" s="78">
        <f t="shared" ca="1" si="39"/>
        <v>0</v>
      </c>
      <c r="AA30" s="4">
        <f ca="1">SUBTOTAL(9,AA$31:AA$34)</f>
        <v>99274.97</v>
      </c>
      <c r="AB30" s="78">
        <f ca="1">IFERROR($AA30/$AA$160,0)</f>
        <v>1.1999999999999999E-3</v>
      </c>
      <c r="AC30" s="78">
        <f t="shared" ca="1" si="41"/>
        <v>0</v>
      </c>
      <c r="AD30" s="4">
        <f ca="1">SUBTOTAL(9,AD$31:AD$34)</f>
        <v>99274.97</v>
      </c>
      <c r="AE30" s="78">
        <f ca="1">IFERROR($AD30/$AD$160,0)</f>
        <v>1.1999999999999999E-3</v>
      </c>
      <c r="AF30" s="78">
        <f t="shared" ca="1" si="43"/>
        <v>0</v>
      </c>
      <c r="AG30" s="4">
        <f ca="1">SUBTOTAL(9,AG$31:AG$34)</f>
        <v>99324.97</v>
      </c>
      <c r="AH30" s="78">
        <f ca="1">IFERROR($AG30/$AG$160,0)</f>
        <v>1.1999999999999999E-3</v>
      </c>
      <c r="AI30" s="78">
        <f t="shared" ca="1" si="45"/>
        <v>5.0000000000000001E-4</v>
      </c>
      <c r="AJ30" s="4">
        <f ca="1">SUBTOTAL(9,AJ$31:AJ$34)</f>
        <v>104030.92</v>
      </c>
      <c r="AK30" s="78">
        <f ca="1">IFERROR($AJ30/$AJ$160,0)</f>
        <v>1.1999999999999999E-3</v>
      </c>
      <c r="AL30" s="78">
        <f t="shared" ca="1" si="47"/>
        <v>4.7399999999999998E-2</v>
      </c>
      <c r="AM30" s="4">
        <f ca="1">SUBTOTAL(9,AM$31:AM$34)</f>
        <v>4705.95</v>
      </c>
      <c r="AN30" s="78">
        <f ca="1">IFERROR(AM30/AM$160,0)</f>
        <v>1E-4</v>
      </c>
      <c r="AO30" s="78">
        <f t="shared" ca="1" si="49"/>
        <v>-0.95479999999999998</v>
      </c>
    </row>
    <row r="31" spans="2:41" ht="15" customHeight="1" outlineLevel="1" x14ac:dyDescent="0.3">
      <c r="B31" s="14" t="s">
        <v>291</v>
      </c>
      <c r="C31" s="15" t="s">
        <v>292</v>
      </c>
      <c r="D31" s="4">
        <f>SUMIFS(Tab_99.Trial[DEZEMBRO],Tab_99.Trial[CONTA],$B31)</f>
        <v>0</v>
      </c>
      <c r="E31" s="78">
        <f>IFERROR($D31/$D$160,0)</f>
        <v>0</v>
      </c>
      <c r="F31" s="4">
        <f ca="1">SUMIFS(INDIRECT("Tab_00.Trial["&amp;F$4&amp;"]"),Tab_00.Trial[CONTA],$B31)</f>
        <v>99274.97</v>
      </c>
      <c r="G31" s="78">
        <f ca="1">IFERROR($F31/$F$160,0)</f>
        <v>1.1999999999999999E-3</v>
      </c>
      <c r="H31" s="78">
        <f t="shared" ca="1" si="27"/>
        <v>0</v>
      </c>
      <c r="I31" s="4">
        <f ca="1">SUMIFS(INDIRECT("Tab_00.Trial["&amp;I$4&amp;"]"),Tab_00.Trial[CONTA],$B31)</f>
        <v>99274.97</v>
      </c>
      <c r="J31" s="78">
        <f ca="1">IFERROR($I31/$I$160,0)</f>
        <v>1.1999999999999999E-3</v>
      </c>
      <c r="K31" s="78">
        <f t="shared" ca="1" si="29"/>
        <v>0</v>
      </c>
      <c r="L31" s="4">
        <f ca="1">SUMIFS(INDIRECT("Tab_00.Trial["&amp;L$4&amp;"]"),Tab_00.Trial[CONTA],$B31)</f>
        <v>99274.97</v>
      </c>
      <c r="M31" s="78">
        <f ca="1">IFERROR($L31/$L$160,0)</f>
        <v>1.1999999999999999E-3</v>
      </c>
      <c r="N31" s="78">
        <f t="shared" ca="1" si="31"/>
        <v>0</v>
      </c>
      <c r="O31" s="4">
        <f ca="1">SUMIFS(INDIRECT("Tab_00.Trial["&amp;O$4&amp;"]"),Tab_00.Trial[CONTA],$B31)</f>
        <v>99274.97</v>
      </c>
      <c r="P31" s="78">
        <f ca="1">IFERROR($O31/$O$160,0)</f>
        <v>1.1999999999999999E-3</v>
      </c>
      <c r="Q31" s="78">
        <f t="shared" ca="1" si="33"/>
        <v>0</v>
      </c>
      <c r="R31" s="4">
        <f ca="1">SUMIFS(INDIRECT("Tab_00.Trial["&amp;R$4&amp;"]"),Tab_00.Trial[CONTA],$B31)</f>
        <v>99274.97</v>
      </c>
      <c r="S31" s="78">
        <f ca="1">IFERROR($R31/$R$160,0)</f>
        <v>1.1999999999999999E-3</v>
      </c>
      <c r="T31" s="78">
        <f t="shared" ca="1" si="35"/>
        <v>0</v>
      </c>
      <c r="U31" s="4">
        <f ca="1">SUMIFS(INDIRECT("Tab_00.Trial["&amp;U$4&amp;"]"),Tab_00.Trial[CONTA],$B31)</f>
        <v>99274.97</v>
      </c>
      <c r="V31" s="78">
        <f ca="1">IFERROR($U31/$U$160,0)</f>
        <v>1.1999999999999999E-3</v>
      </c>
      <c r="W31" s="78">
        <f t="shared" ca="1" si="37"/>
        <v>0</v>
      </c>
      <c r="X31" s="4">
        <f ca="1">SUMIFS(INDIRECT("Tab_00.Trial["&amp;X$4&amp;"]"),Tab_00.Trial[CONTA],$B31)</f>
        <v>99274.97</v>
      </c>
      <c r="Y31" s="78">
        <f ca="1">IFERROR($X31/$X$160,0)</f>
        <v>1.1999999999999999E-3</v>
      </c>
      <c r="Z31" s="78">
        <f t="shared" ca="1" si="39"/>
        <v>0</v>
      </c>
      <c r="AA31" s="4">
        <f ca="1">SUMIFS(INDIRECT("Tab_00.Trial["&amp;AA$4&amp;"]"),Tab_00.Trial[CONTA],$B31)</f>
        <v>99274.97</v>
      </c>
      <c r="AB31" s="78">
        <f ca="1">IFERROR($AA31/$AA$160,0)</f>
        <v>1.1999999999999999E-3</v>
      </c>
      <c r="AC31" s="78">
        <f t="shared" ca="1" si="41"/>
        <v>0</v>
      </c>
      <c r="AD31" s="4">
        <f ca="1">SUMIFS(INDIRECT("Tab_00.Trial["&amp;AD$4&amp;"]"),Tab_00.Trial[CONTA],$B31)</f>
        <v>99274.97</v>
      </c>
      <c r="AE31" s="78">
        <f ca="1">IFERROR($AD31/$AD$160,0)</f>
        <v>1.1999999999999999E-3</v>
      </c>
      <c r="AF31" s="78">
        <f t="shared" ca="1" si="43"/>
        <v>0</v>
      </c>
      <c r="AG31" s="4">
        <f ca="1">SUMIFS(INDIRECT("Tab_00.Trial["&amp;AG$4&amp;"]"),Tab_00.Trial[CONTA],$B31)</f>
        <v>99324.97</v>
      </c>
      <c r="AH31" s="78">
        <f ca="1">IFERROR($AG31/$AG$160,0)</f>
        <v>1.1999999999999999E-3</v>
      </c>
      <c r="AI31" s="78">
        <f t="shared" ca="1" si="45"/>
        <v>5.0000000000000001E-4</v>
      </c>
      <c r="AJ31" s="4">
        <f ca="1">SUMIFS(INDIRECT("Tab_00.Trial["&amp;AJ$4&amp;"]"),Tab_00.Trial[CONTA],$B31)</f>
        <v>99324.97</v>
      </c>
      <c r="AK31" s="78">
        <f ca="1">IFERROR($AJ31/$AJ$160,0)</f>
        <v>1.1999999999999999E-3</v>
      </c>
      <c r="AL31" s="78">
        <f t="shared" ca="1" si="47"/>
        <v>0</v>
      </c>
      <c r="AM31" s="4">
        <f ca="1">SUMIFS(INDIRECT("Tab_00.Trial["&amp;AM$4&amp;"]"),Tab_00.Trial[CONTA],$B31)</f>
        <v>0</v>
      </c>
      <c r="AN31" s="78">
        <f ca="1">IFERROR(AM31/AM$160,0)</f>
        <v>0</v>
      </c>
      <c r="AO31" s="78">
        <f t="shared" ca="1" si="49"/>
        <v>-1</v>
      </c>
    </row>
    <row r="32" spans="2:41" ht="15" customHeight="1" outlineLevel="1" x14ac:dyDescent="0.3">
      <c r="B32" s="14" t="s">
        <v>843</v>
      </c>
      <c r="C32" s="15" t="s">
        <v>842</v>
      </c>
      <c r="D32" s="4">
        <f>SUMIFS(Tab_99.Trial[DEZEMBRO],Tab_99.Trial[CONTA],$B32)</f>
        <v>0</v>
      </c>
      <c r="E32" s="78">
        <f>IFERROR($D32/$D$160,0)</f>
        <v>0</v>
      </c>
      <c r="F32" s="4">
        <f ca="1">SUMIFS(INDIRECT("Tab_00.Trial["&amp;F$4&amp;"]"),Tab_00.Trial[CONTA],$B32)</f>
        <v>0</v>
      </c>
      <c r="G32" s="78">
        <f ca="1">IFERROR($F32/$F$160,0)</f>
        <v>0</v>
      </c>
      <c r="H32" s="78">
        <f t="shared" ca="1" si="27"/>
        <v>0</v>
      </c>
      <c r="I32" s="4">
        <f ca="1">SUMIFS(INDIRECT("Tab_00.Trial["&amp;I$4&amp;"]"),Tab_00.Trial[CONTA],$B32)</f>
        <v>0</v>
      </c>
      <c r="J32" s="78">
        <f ca="1">IFERROR($I32/$I$160,0)</f>
        <v>0</v>
      </c>
      <c r="K32" s="78">
        <f t="shared" ca="1" si="29"/>
        <v>0</v>
      </c>
      <c r="L32" s="4">
        <f ca="1">SUMIFS(INDIRECT("Tab_00.Trial["&amp;L$4&amp;"]"),Tab_00.Trial[CONTA],$B32)</f>
        <v>0</v>
      </c>
      <c r="M32" s="78">
        <f ca="1">IFERROR($L32/$L$160,0)</f>
        <v>0</v>
      </c>
      <c r="N32" s="78">
        <f t="shared" ca="1" si="31"/>
        <v>0</v>
      </c>
      <c r="O32" s="4">
        <f ca="1">SUMIFS(INDIRECT("Tab_00.Trial["&amp;O$4&amp;"]"),Tab_00.Trial[CONTA],$B32)</f>
        <v>0</v>
      </c>
      <c r="P32" s="78">
        <f ca="1">IFERROR($O32/$O$160,0)</f>
        <v>0</v>
      </c>
      <c r="Q32" s="78">
        <f t="shared" ca="1" si="33"/>
        <v>0</v>
      </c>
      <c r="R32" s="4">
        <f ca="1">SUMIFS(INDIRECT("Tab_00.Trial["&amp;R$4&amp;"]"),Tab_00.Trial[CONTA],$B32)</f>
        <v>0</v>
      </c>
      <c r="S32" s="78">
        <f ca="1">IFERROR($R32/$R$160,0)</f>
        <v>0</v>
      </c>
      <c r="T32" s="78">
        <f t="shared" ca="1" si="35"/>
        <v>0</v>
      </c>
      <c r="U32" s="4">
        <f ca="1">SUMIFS(INDIRECT("Tab_00.Trial["&amp;U$4&amp;"]"),Tab_00.Trial[CONTA],$B32)</f>
        <v>0</v>
      </c>
      <c r="V32" s="78">
        <f ca="1">IFERROR($U32/$U$160,0)</f>
        <v>0</v>
      </c>
      <c r="W32" s="78">
        <f t="shared" ca="1" si="37"/>
        <v>0</v>
      </c>
      <c r="X32" s="4">
        <f ca="1">SUMIFS(INDIRECT("Tab_00.Trial["&amp;X$4&amp;"]"),Tab_00.Trial[CONTA],$B32)</f>
        <v>0</v>
      </c>
      <c r="Y32" s="78">
        <f ca="1">IFERROR($X32/$X$160,0)</f>
        <v>0</v>
      </c>
      <c r="Z32" s="78">
        <f t="shared" ca="1" si="39"/>
        <v>0</v>
      </c>
      <c r="AA32" s="4">
        <f ca="1">SUMIFS(INDIRECT("Tab_00.Trial["&amp;AA$4&amp;"]"),Tab_00.Trial[CONTA],$B32)</f>
        <v>0</v>
      </c>
      <c r="AB32" s="78">
        <f ca="1">IFERROR($AA32/$AA$160,0)</f>
        <v>0</v>
      </c>
      <c r="AC32" s="78">
        <f t="shared" ca="1" si="41"/>
        <v>0</v>
      </c>
      <c r="AD32" s="4">
        <f ca="1">SUMIFS(INDIRECT("Tab_00.Trial["&amp;AD$4&amp;"]"),Tab_00.Trial[CONTA],$B32)</f>
        <v>0</v>
      </c>
      <c r="AE32" s="78">
        <f ca="1">IFERROR($AD32/$AD$160,0)</f>
        <v>0</v>
      </c>
      <c r="AF32" s="78">
        <f t="shared" ca="1" si="43"/>
        <v>0</v>
      </c>
      <c r="AG32" s="4">
        <f ca="1">SUMIFS(INDIRECT("Tab_00.Trial["&amp;AG$4&amp;"]"),Tab_00.Trial[CONTA],$B32)</f>
        <v>0</v>
      </c>
      <c r="AH32" s="78">
        <f ca="1">IFERROR($AG32/$AG$160,0)</f>
        <v>0</v>
      </c>
      <c r="AI32" s="78">
        <f t="shared" ca="1" si="45"/>
        <v>0</v>
      </c>
      <c r="AJ32" s="4">
        <f ca="1">SUMIFS(INDIRECT("Tab_00.Trial["&amp;AJ$4&amp;"]"),Tab_00.Trial[CONTA],$B32)</f>
        <v>4705.95</v>
      </c>
      <c r="AK32" s="78">
        <f ca="1">IFERROR($AJ32/$AJ$160,0)</f>
        <v>1E-4</v>
      </c>
      <c r="AL32" s="78">
        <f t="shared" ca="1" si="47"/>
        <v>0</v>
      </c>
      <c r="AM32" s="4">
        <f ca="1">SUMIFS(INDIRECT("Tab_00.Trial["&amp;AM$4&amp;"]"),Tab_00.Trial[CONTA],$B32)</f>
        <v>4705.95</v>
      </c>
      <c r="AN32" s="78">
        <f ca="1">IFERROR(AM32/AM$160,0)</f>
        <v>1E-4</v>
      </c>
      <c r="AO32" s="78">
        <f t="shared" ca="1" si="49"/>
        <v>0</v>
      </c>
    </row>
    <row r="33" spans="2:44" ht="15" customHeight="1" outlineLevel="1" x14ac:dyDescent="0.3">
      <c r="B33" s="14"/>
      <c r="C33" s="15"/>
      <c r="D33" s="4">
        <f>SUMIFS(Tab_99.Trial[DEZEMBRO],Tab_99.Trial[CONTA],$B33)</f>
        <v>0</v>
      </c>
      <c r="E33" s="78">
        <f>IFERROR($D33/$D$160,0)</f>
        <v>0</v>
      </c>
      <c r="F33" s="4">
        <f ca="1">SUMIFS(INDIRECT("Tab_00.Trial["&amp;F$4&amp;"]"),Tab_00.Trial[CONTA],$B33)</f>
        <v>0</v>
      </c>
      <c r="G33" s="78">
        <f ca="1">IFERROR($F33/$F$160,0)</f>
        <v>0</v>
      </c>
      <c r="H33" s="78">
        <f t="shared" ca="1" si="27"/>
        <v>0</v>
      </c>
      <c r="I33" s="4">
        <f ca="1">SUMIFS(INDIRECT("Tab_00.Trial["&amp;I$4&amp;"]"),Tab_00.Trial[CONTA],$B33)</f>
        <v>0</v>
      </c>
      <c r="J33" s="78">
        <f ca="1">IFERROR($I33/$I$160,0)</f>
        <v>0</v>
      </c>
      <c r="K33" s="78">
        <f t="shared" ca="1" si="29"/>
        <v>0</v>
      </c>
      <c r="L33" s="4">
        <f ca="1">SUMIFS(INDIRECT("Tab_00.Trial["&amp;L$4&amp;"]"),Tab_00.Trial[CONTA],$B33)</f>
        <v>0</v>
      </c>
      <c r="M33" s="78">
        <f ca="1">IFERROR($L33/$L$160,0)</f>
        <v>0</v>
      </c>
      <c r="N33" s="78">
        <f t="shared" ca="1" si="31"/>
        <v>0</v>
      </c>
      <c r="O33" s="4">
        <f ca="1">SUMIFS(INDIRECT("Tab_00.Trial["&amp;O$4&amp;"]"),Tab_00.Trial[CONTA],$B33)</f>
        <v>0</v>
      </c>
      <c r="P33" s="78">
        <f ca="1">IFERROR($O33/$O$160,0)</f>
        <v>0</v>
      </c>
      <c r="Q33" s="78">
        <f t="shared" ca="1" si="33"/>
        <v>0</v>
      </c>
      <c r="R33" s="4">
        <f ca="1">SUMIFS(INDIRECT("Tab_00.Trial["&amp;R$4&amp;"]"),Tab_00.Trial[CONTA],$B33)</f>
        <v>0</v>
      </c>
      <c r="S33" s="78">
        <f ca="1">IFERROR($R33/$R$160,0)</f>
        <v>0</v>
      </c>
      <c r="T33" s="78">
        <f t="shared" ca="1" si="35"/>
        <v>0</v>
      </c>
      <c r="U33" s="4">
        <f ca="1">SUMIFS(INDIRECT("Tab_00.Trial["&amp;U$4&amp;"]"),Tab_00.Trial[CONTA],$B33)</f>
        <v>0</v>
      </c>
      <c r="V33" s="78">
        <f ca="1">IFERROR($U33/$U$160,0)</f>
        <v>0</v>
      </c>
      <c r="W33" s="78">
        <f t="shared" ca="1" si="37"/>
        <v>0</v>
      </c>
      <c r="X33" s="4">
        <f ca="1">SUMIFS(INDIRECT("Tab_00.Trial["&amp;X$4&amp;"]"),Tab_00.Trial[CONTA],$B33)</f>
        <v>0</v>
      </c>
      <c r="Y33" s="78">
        <f ca="1">IFERROR($X33/$X$160,0)</f>
        <v>0</v>
      </c>
      <c r="Z33" s="78">
        <f t="shared" ca="1" si="39"/>
        <v>0</v>
      </c>
      <c r="AA33" s="4">
        <f ca="1">SUMIFS(INDIRECT("Tab_00.Trial["&amp;AA$4&amp;"]"),Tab_00.Trial[CONTA],$B33)</f>
        <v>0</v>
      </c>
      <c r="AB33" s="78">
        <f ca="1">IFERROR($AA33/$AA$160,0)</f>
        <v>0</v>
      </c>
      <c r="AC33" s="78">
        <f t="shared" ca="1" si="41"/>
        <v>0</v>
      </c>
      <c r="AD33" s="4">
        <f ca="1">SUMIFS(INDIRECT("Tab_00.Trial["&amp;AD$4&amp;"]"),Tab_00.Trial[CONTA],$B33)</f>
        <v>0</v>
      </c>
      <c r="AE33" s="78">
        <f ca="1">IFERROR($AD33/$AD$160,0)</f>
        <v>0</v>
      </c>
      <c r="AF33" s="78">
        <f t="shared" ca="1" si="43"/>
        <v>0</v>
      </c>
      <c r="AG33" s="4">
        <f ca="1">SUMIFS(INDIRECT("Tab_00.Trial["&amp;AG$4&amp;"]"),Tab_00.Trial[CONTA],$B33)</f>
        <v>0</v>
      </c>
      <c r="AH33" s="78">
        <f ca="1">IFERROR($AG33/$AG$160,0)</f>
        <v>0</v>
      </c>
      <c r="AI33" s="78">
        <f t="shared" ca="1" si="45"/>
        <v>0</v>
      </c>
      <c r="AJ33" s="4">
        <f ca="1">SUMIFS(INDIRECT("Tab_00.Trial["&amp;AJ$4&amp;"]"),Tab_00.Trial[CONTA],$B33)</f>
        <v>0</v>
      </c>
      <c r="AK33" s="78">
        <f ca="1">IFERROR($AJ33/$AJ$160,0)</f>
        <v>0</v>
      </c>
      <c r="AL33" s="78">
        <f t="shared" ca="1" si="47"/>
        <v>0</v>
      </c>
      <c r="AM33" s="4">
        <f ca="1">SUMIFS(INDIRECT("Tab_00.Trial["&amp;AM$4&amp;"]"),Tab_00.Trial[CONTA],$B33)</f>
        <v>0</v>
      </c>
      <c r="AN33" s="78">
        <f ca="1">IFERROR(AM33/AM$160,0)</f>
        <v>0</v>
      </c>
      <c r="AO33" s="78">
        <f t="shared" ca="1" si="49"/>
        <v>0</v>
      </c>
    </row>
    <row r="34" spans="2:44" ht="5.0999999999999996" customHeight="1" outlineLevel="1" x14ac:dyDescent="0.3">
      <c r="B34" s="74"/>
      <c r="C34" s="75"/>
      <c r="D34" s="76"/>
      <c r="E34" s="77"/>
      <c r="F34" s="76"/>
      <c r="G34" s="77"/>
      <c r="H34" s="77"/>
      <c r="I34" s="76"/>
      <c r="J34" s="77"/>
      <c r="K34" s="77"/>
      <c r="L34" s="76"/>
      <c r="M34" s="77"/>
      <c r="N34" s="77"/>
      <c r="O34" s="76"/>
      <c r="P34" s="77"/>
      <c r="Q34" s="77"/>
      <c r="R34" s="76"/>
      <c r="S34" s="77"/>
      <c r="T34" s="77"/>
      <c r="U34" s="76"/>
      <c r="V34" s="77"/>
      <c r="W34" s="77"/>
      <c r="X34" s="76"/>
      <c r="Y34" s="77"/>
      <c r="Z34" s="77"/>
      <c r="AA34" s="76"/>
      <c r="AB34" s="77"/>
      <c r="AC34" s="77"/>
      <c r="AD34" s="76"/>
      <c r="AE34" s="77"/>
      <c r="AF34" s="77"/>
      <c r="AG34" s="76"/>
      <c r="AH34" s="77"/>
      <c r="AI34" s="77"/>
      <c r="AJ34" s="76"/>
      <c r="AK34" s="77"/>
      <c r="AL34" s="77"/>
      <c r="AM34" s="76"/>
      <c r="AN34" s="77"/>
      <c r="AO34" s="77"/>
    </row>
    <row r="35" spans="2:44" ht="15" customHeight="1" collapsed="1" x14ac:dyDescent="0.3">
      <c r="B35" s="3" t="s">
        <v>41</v>
      </c>
      <c r="C35" s="14" t="s">
        <v>33</v>
      </c>
      <c r="D35" s="4">
        <f>SUBTOTAL(9,D$36:D$45)</f>
        <v>0</v>
      </c>
      <c r="E35" s="78">
        <f t="shared" ref="E35:E44" si="50">IFERROR($D35/$D$160,0)</f>
        <v>0</v>
      </c>
      <c r="F35" s="4">
        <f ca="1">SUBTOTAL(9,F$36:F$45)</f>
        <v>0</v>
      </c>
      <c r="G35" s="78">
        <f t="shared" ref="G35:G44" ca="1" si="51">IFERROR($F35/$F$160,0)</f>
        <v>0</v>
      </c>
      <c r="H35" s="78">
        <f t="shared" ca="1" si="27"/>
        <v>0</v>
      </c>
      <c r="I35" s="4">
        <f ca="1">SUBTOTAL(9,I$36:I$45)</f>
        <v>0</v>
      </c>
      <c r="J35" s="78">
        <f t="shared" ref="J35:J44" ca="1" si="52">IFERROR($I35/$I$160,0)</f>
        <v>0</v>
      </c>
      <c r="K35" s="78">
        <f t="shared" ca="1" si="29"/>
        <v>0</v>
      </c>
      <c r="L35" s="4">
        <f ca="1">SUBTOTAL(9,L$36:L$45)</f>
        <v>0</v>
      </c>
      <c r="M35" s="78">
        <f t="shared" ref="M35:M44" ca="1" si="53">IFERROR($L35/$L$160,0)</f>
        <v>0</v>
      </c>
      <c r="N35" s="78">
        <f t="shared" ca="1" si="31"/>
        <v>0</v>
      </c>
      <c r="O35" s="4">
        <f ca="1">SUBTOTAL(9,O$36:O$45)</f>
        <v>78781.539999999994</v>
      </c>
      <c r="P35" s="78">
        <f t="shared" ref="P35:P44" ca="1" si="54">IFERROR($O35/$O$160,0)</f>
        <v>8.9999999999999998E-4</v>
      </c>
      <c r="Q35" s="78">
        <f t="shared" ca="1" si="33"/>
        <v>0</v>
      </c>
      <c r="R35" s="4">
        <f ca="1">SUBTOTAL(9,R$36:R$45)</f>
        <v>78781.539999999994</v>
      </c>
      <c r="S35" s="78">
        <f t="shared" ref="S35:S44" ca="1" si="55">IFERROR($R35/$R$160,0)</f>
        <v>8.9999999999999998E-4</v>
      </c>
      <c r="T35" s="78">
        <f t="shared" ca="1" si="35"/>
        <v>0</v>
      </c>
      <c r="U35" s="4">
        <f ca="1">SUBTOTAL(9,U$36:U$45)</f>
        <v>78781.539999999994</v>
      </c>
      <c r="V35" s="78">
        <f t="shared" ref="V35:V44" ca="1" si="56">IFERROR($U35/$U$160,0)</f>
        <v>8.9999999999999998E-4</v>
      </c>
      <c r="W35" s="78">
        <f t="shared" ca="1" si="37"/>
        <v>0</v>
      </c>
      <c r="X35" s="4">
        <f ca="1">SUBTOTAL(9,X$36:X$45)</f>
        <v>78781.539999999994</v>
      </c>
      <c r="Y35" s="78">
        <f t="shared" ref="Y35:Y44" ca="1" si="57">IFERROR($X35/$X$160,0)</f>
        <v>8.9999999999999998E-4</v>
      </c>
      <c r="Z35" s="78">
        <f t="shared" ca="1" si="39"/>
        <v>0</v>
      </c>
      <c r="AA35" s="4">
        <f ca="1">SUBTOTAL(9,AA$36:AA$45)</f>
        <v>78781.539999999994</v>
      </c>
      <c r="AB35" s="78">
        <f t="shared" ref="AB35:AB44" ca="1" si="58">IFERROR($AA35/$AA$160,0)</f>
        <v>8.9999999999999998E-4</v>
      </c>
      <c r="AC35" s="78">
        <f t="shared" ca="1" si="41"/>
        <v>0</v>
      </c>
      <c r="AD35" s="4">
        <f ca="1">SUBTOTAL(9,AD$36:AD$45)</f>
        <v>73865.38</v>
      </c>
      <c r="AE35" s="78">
        <f t="shared" ref="AE35:AE44" ca="1" si="59">IFERROR($AD35/$AD$160,0)</f>
        <v>8.9999999999999998E-4</v>
      </c>
      <c r="AF35" s="78">
        <f t="shared" ca="1" si="43"/>
        <v>-6.2399999999999997E-2</v>
      </c>
      <c r="AG35" s="4">
        <f ca="1">SUBTOTAL(9,AG$36:AG$45)</f>
        <v>73865.38</v>
      </c>
      <c r="AH35" s="78">
        <f t="shared" ref="AH35:AH44" ca="1" si="60">IFERROR($AG35/$AG$160,0)</f>
        <v>8.9999999999999998E-4</v>
      </c>
      <c r="AI35" s="78">
        <f t="shared" ca="1" si="45"/>
        <v>0</v>
      </c>
      <c r="AJ35" s="4">
        <f ca="1">SUBTOTAL(9,AJ$36:AJ$45)</f>
        <v>73865.38</v>
      </c>
      <c r="AK35" s="78">
        <f t="shared" ref="AK35:AK44" ca="1" si="61">IFERROR($AJ35/$AJ$160,0)</f>
        <v>8.9999999999999998E-4</v>
      </c>
      <c r="AL35" s="78">
        <f t="shared" ca="1" si="47"/>
        <v>0</v>
      </c>
      <c r="AM35" s="4">
        <f ca="1">SUBTOTAL(9,AM$36:AM$45)</f>
        <v>73865.38</v>
      </c>
      <c r="AN35" s="78">
        <f t="shared" ref="AN35:AN44" ca="1" si="62">IFERROR(AM35/AM$160,0)</f>
        <v>8.9999999999999998E-4</v>
      </c>
      <c r="AO35" s="78">
        <f t="shared" ca="1" si="49"/>
        <v>0</v>
      </c>
    </row>
    <row r="36" spans="2:44" ht="15" hidden="1" customHeight="1" outlineLevel="1" x14ac:dyDescent="0.3">
      <c r="B36" s="14" t="s">
        <v>850</v>
      </c>
      <c r="C36" s="15" t="s">
        <v>849</v>
      </c>
      <c r="D36" s="4">
        <f>SUMIFS(Tab_99.Trial[DEZEMBRO],Tab_99.Trial[CONTA],$B36)</f>
        <v>0</v>
      </c>
      <c r="E36" s="78">
        <f t="shared" si="50"/>
        <v>0</v>
      </c>
      <c r="F36" s="4">
        <f ca="1">SUMIFS(INDIRECT("Tab_00.Trial["&amp;F$4&amp;"]"),Tab_00.Trial[CONTA],$B36)</f>
        <v>0</v>
      </c>
      <c r="G36" s="78">
        <f t="shared" ca="1" si="51"/>
        <v>0</v>
      </c>
      <c r="H36" s="78">
        <f t="shared" ca="1" si="27"/>
        <v>0</v>
      </c>
      <c r="I36" s="4">
        <f ca="1">SUMIFS(INDIRECT("Tab_00.Trial["&amp;I$4&amp;"]"),Tab_00.Trial[CONTA],$B36)</f>
        <v>0</v>
      </c>
      <c r="J36" s="78">
        <f t="shared" ca="1" si="52"/>
        <v>0</v>
      </c>
      <c r="K36" s="78">
        <f t="shared" ca="1" si="29"/>
        <v>0</v>
      </c>
      <c r="L36" s="4">
        <f ca="1">SUMIFS(INDIRECT("Tab_00.Trial["&amp;L$4&amp;"]"),Tab_00.Trial[CONTA],$B36)</f>
        <v>0</v>
      </c>
      <c r="M36" s="78">
        <f t="shared" ca="1" si="53"/>
        <v>0</v>
      </c>
      <c r="N36" s="78">
        <f t="shared" ca="1" si="31"/>
        <v>0</v>
      </c>
      <c r="O36" s="4">
        <f ca="1">SUMIFS(INDIRECT("Tab_00.Trial["&amp;O$4&amp;"]"),Tab_00.Trial[CONTA],$B36)</f>
        <v>78781.539999999994</v>
      </c>
      <c r="P36" s="78">
        <f t="shared" ca="1" si="54"/>
        <v>8.9999999999999998E-4</v>
      </c>
      <c r="Q36" s="78">
        <f t="shared" ca="1" si="33"/>
        <v>0</v>
      </c>
      <c r="R36" s="4">
        <f ca="1">SUMIFS(INDIRECT("Tab_00.Trial["&amp;R$4&amp;"]"),Tab_00.Trial[CONTA],$B36)</f>
        <v>78781.539999999994</v>
      </c>
      <c r="S36" s="78">
        <f t="shared" ca="1" si="55"/>
        <v>8.9999999999999998E-4</v>
      </c>
      <c r="T36" s="78">
        <f t="shared" ca="1" si="35"/>
        <v>0</v>
      </c>
      <c r="U36" s="4">
        <f ca="1">SUMIFS(INDIRECT("Tab_00.Trial["&amp;U$4&amp;"]"),Tab_00.Trial[CONTA],$B36)</f>
        <v>78781.539999999994</v>
      </c>
      <c r="V36" s="78">
        <f t="shared" ca="1" si="56"/>
        <v>8.9999999999999998E-4</v>
      </c>
      <c r="W36" s="78">
        <f t="shared" ca="1" si="37"/>
        <v>0</v>
      </c>
      <c r="X36" s="4">
        <f ca="1">SUMIFS(INDIRECT("Tab_00.Trial["&amp;X$4&amp;"]"),Tab_00.Trial[CONTA],$B36)</f>
        <v>78781.539999999994</v>
      </c>
      <c r="Y36" s="78">
        <f t="shared" ca="1" si="57"/>
        <v>8.9999999999999998E-4</v>
      </c>
      <c r="Z36" s="78">
        <f t="shared" ca="1" si="39"/>
        <v>0</v>
      </c>
      <c r="AA36" s="4">
        <f ca="1">SUMIFS(INDIRECT("Tab_00.Trial["&amp;AA$4&amp;"]"),Tab_00.Trial[CONTA],$B36)</f>
        <v>78781.539999999994</v>
      </c>
      <c r="AB36" s="78">
        <f t="shared" ca="1" si="58"/>
        <v>8.9999999999999998E-4</v>
      </c>
      <c r="AC36" s="78">
        <f t="shared" ca="1" si="41"/>
        <v>0</v>
      </c>
      <c r="AD36" s="4">
        <f ca="1">SUMIFS(INDIRECT("Tab_00.Trial["&amp;AD$4&amp;"]"),Tab_00.Trial[CONTA],$B36)</f>
        <v>73865.38</v>
      </c>
      <c r="AE36" s="78">
        <f t="shared" ca="1" si="59"/>
        <v>8.9999999999999998E-4</v>
      </c>
      <c r="AF36" s="78">
        <f t="shared" ca="1" si="43"/>
        <v>-6.2399999999999997E-2</v>
      </c>
      <c r="AG36" s="4">
        <f ca="1">SUMIFS(INDIRECT("Tab_00.Trial["&amp;AG$4&amp;"]"),Tab_00.Trial[CONTA],$B36)</f>
        <v>73865.38</v>
      </c>
      <c r="AH36" s="78">
        <f t="shared" ca="1" si="60"/>
        <v>8.9999999999999998E-4</v>
      </c>
      <c r="AI36" s="78">
        <f t="shared" ca="1" si="45"/>
        <v>0</v>
      </c>
      <c r="AJ36" s="4">
        <f ca="1">SUMIFS(INDIRECT("Tab_00.Trial["&amp;AJ$4&amp;"]"),Tab_00.Trial[CONTA],$B36)</f>
        <v>73865.38</v>
      </c>
      <c r="AK36" s="78">
        <f t="shared" ca="1" si="61"/>
        <v>8.9999999999999998E-4</v>
      </c>
      <c r="AL36" s="78">
        <f t="shared" ca="1" si="47"/>
        <v>0</v>
      </c>
      <c r="AM36" s="4">
        <f ca="1">SUMIFS(INDIRECT("Tab_00.Trial["&amp;AM$4&amp;"]"),Tab_00.Trial[CONTA],$B36)</f>
        <v>73865.38</v>
      </c>
      <c r="AN36" s="78">
        <f t="shared" ca="1" si="62"/>
        <v>8.9999999999999998E-4</v>
      </c>
      <c r="AO36" s="78">
        <f t="shared" ca="1" si="49"/>
        <v>0</v>
      </c>
      <c r="AP36" s="141"/>
      <c r="AQ36" s="142"/>
      <c r="AR36" s="142"/>
    </row>
    <row r="37" spans="2:44" ht="15" hidden="1" customHeight="1" outlineLevel="1" x14ac:dyDescent="0.3">
      <c r="B37" s="14"/>
      <c r="C37" s="15"/>
      <c r="D37" s="4">
        <f>SUMIFS(Tab_99.Trial[DEZEMBRO],Tab_99.Trial[CONTA],$B37)</f>
        <v>0</v>
      </c>
      <c r="E37" s="78">
        <f t="shared" si="50"/>
        <v>0</v>
      </c>
      <c r="F37" s="4">
        <f ca="1">SUMIFS(INDIRECT("Tab_00.Trial["&amp;F$4&amp;"]"),Tab_00.Trial[CONTA],$B37)</f>
        <v>0</v>
      </c>
      <c r="G37" s="78">
        <f t="shared" ca="1" si="51"/>
        <v>0</v>
      </c>
      <c r="H37" s="78">
        <f t="shared" ca="1" si="27"/>
        <v>0</v>
      </c>
      <c r="I37" s="4">
        <f ca="1">SUMIFS(INDIRECT("Tab_00.Trial["&amp;I$4&amp;"]"),Tab_00.Trial[CONTA],$B37)</f>
        <v>0</v>
      </c>
      <c r="J37" s="78">
        <f t="shared" ca="1" si="52"/>
        <v>0</v>
      </c>
      <c r="K37" s="78">
        <f t="shared" ca="1" si="29"/>
        <v>0</v>
      </c>
      <c r="L37" s="4">
        <f ca="1">SUMIFS(INDIRECT("Tab_00.Trial["&amp;L$4&amp;"]"),Tab_00.Trial[CONTA],$B37)</f>
        <v>0</v>
      </c>
      <c r="M37" s="78">
        <f t="shared" ca="1" si="53"/>
        <v>0</v>
      </c>
      <c r="N37" s="78">
        <f t="shared" ca="1" si="31"/>
        <v>0</v>
      </c>
      <c r="O37" s="4">
        <f ca="1">SUMIFS(INDIRECT("Tab_00.Trial["&amp;O$4&amp;"]"),Tab_00.Trial[CONTA],$B37)</f>
        <v>0</v>
      </c>
      <c r="P37" s="78">
        <f t="shared" ca="1" si="54"/>
        <v>0</v>
      </c>
      <c r="Q37" s="78">
        <f t="shared" ca="1" si="33"/>
        <v>0</v>
      </c>
      <c r="R37" s="4">
        <f ca="1">SUMIFS(INDIRECT("Tab_00.Trial["&amp;R$4&amp;"]"),Tab_00.Trial[CONTA],$B37)</f>
        <v>0</v>
      </c>
      <c r="S37" s="78">
        <f t="shared" ca="1" si="55"/>
        <v>0</v>
      </c>
      <c r="T37" s="78">
        <f t="shared" ca="1" si="35"/>
        <v>0</v>
      </c>
      <c r="U37" s="4">
        <f ca="1">SUMIFS(INDIRECT("Tab_00.Trial["&amp;U$4&amp;"]"),Tab_00.Trial[CONTA],$B37)</f>
        <v>0</v>
      </c>
      <c r="V37" s="78">
        <f t="shared" ca="1" si="56"/>
        <v>0</v>
      </c>
      <c r="W37" s="78">
        <f t="shared" ca="1" si="37"/>
        <v>0</v>
      </c>
      <c r="X37" s="4">
        <f ca="1">SUMIFS(INDIRECT("Tab_00.Trial["&amp;X$4&amp;"]"),Tab_00.Trial[CONTA],$B37)</f>
        <v>0</v>
      </c>
      <c r="Y37" s="78">
        <f t="shared" ca="1" si="57"/>
        <v>0</v>
      </c>
      <c r="Z37" s="78">
        <f t="shared" ca="1" si="39"/>
        <v>0</v>
      </c>
      <c r="AA37" s="4">
        <f ca="1">SUMIFS(INDIRECT("Tab_00.Trial["&amp;AA$4&amp;"]"),Tab_00.Trial[CONTA],$B37)</f>
        <v>0</v>
      </c>
      <c r="AB37" s="78">
        <f t="shared" ca="1" si="58"/>
        <v>0</v>
      </c>
      <c r="AC37" s="78">
        <f t="shared" ca="1" si="41"/>
        <v>0</v>
      </c>
      <c r="AD37" s="4">
        <f ca="1">SUMIFS(INDIRECT("Tab_00.Trial["&amp;AD$4&amp;"]"),Tab_00.Trial[CONTA],$B37)</f>
        <v>0</v>
      </c>
      <c r="AE37" s="78">
        <f t="shared" ca="1" si="59"/>
        <v>0</v>
      </c>
      <c r="AF37" s="78">
        <f t="shared" ca="1" si="43"/>
        <v>0</v>
      </c>
      <c r="AG37" s="4">
        <f ca="1">SUMIFS(INDIRECT("Tab_00.Trial["&amp;AG$4&amp;"]"),Tab_00.Trial[CONTA],$B37)</f>
        <v>0</v>
      </c>
      <c r="AH37" s="78">
        <f t="shared" ca="1" si="60"/>
        <v>0</v>
      </c>
      <c r="AI37" s="78">
        <f t="shared" ca="1" si="45"/>
        <v>0</v>
      </c>
      <c r="AJ37" s="4">
        <f ca="1">SUMIFS(INDIRECT("Tab_00.Trial["&amp;AJ$4&amp;"]"),Tab_00.Trial[CONTA],$B37)</f>
        <v>0</v>
      </c>
      <c r="AK37" s="78">
        <f t="shared" ca="1" si="61"/>
        <v>0</v>
      </c>
      <c r="AL37" s="78">
        <f t="shared" ca="1" si="47"/>
        <v>0</v>
      </c>
      <c r="AM37" s="4">
        <f ca="1">SUMIFS(INDIRECT("Tab_00.Trial["&amp;AM$4&amp;"]"),Tab_00.Trial[CONTA],$B37)</f>
        <v>0</v>
      </c>
      <c r="AN37" s="78">
        <f t="shared" ca="1" si="62"/>
        <v>0</v>
      </c>
      <c r="AO37" s="78">
        <f t="shared" ca="1" si="49"/>
        <v>0</v>
      </c>
      <c r="AP37" s="141"/>
      <c r="AQ37" s="142"/>
      <c r="AR37" s="142"/>
    </row>
    <row r="38" spans="2:44" ht="15" hidden="1" customHeight="1" outlineLevel="1" x14ac:dyDescent="0.3">
      <c r="B38" s="14"/>
      <c r="C38" s="15"/>
      <c r="D38" s="4">
        <f>SUMIFS(Tab_99.Trial[DEZEMBRO],Tab_99.Trial[CONTA],$B38)</f>
        <v>0</v>
      </c>
      <c r="E38" s="78">
        <f t="shared" si="50"/>
        <v>0</v>
      </c>
      <c r="F38" s="4">
        <f ca="1">SUMIFS(INDIRECT("Tab_00.Trial["&amp;F$4&amp;"]"),Tab_00.Trial[CONTA],$B38)</f>
        <v>0</v>
      </c>
      <c r="G38" s="78">
        <f t="shared" ca="1" si="51"/>
        <v>0</v>
      </c>
      <c r="H38" s="78">
        <f t="shared" ca="1" si="27"/>
        <v>0</v>
      </c>
      <c r="I38" s="4">
        <f ca="1">SUMIFS(INDIRECT("Tab_00.Trial["&amp;I$4&amp;"]"),Tab_00.Trial[CONTA],$B38)</f>
        <v>0</v>
      </c>
      <c r="J38" s="78">
        <f t="shared" ca="1" si="52"/>
        <v>0</v>
      </c>
      <c r="K38" s="78">
        <f t="shared" ca="1" si="29"/>
        <v>0</v>
      </c>
      <c r="L38" s="4">
        <f ca="1">SUMIFS(INDIRECT("Tab_00.Trial["&amp;L$4&amp;"]"),Tab_00.Trial[CONTA],$B38)</f>
        <v>0</v>
      </c>
      <c r="M38" s="78">
        <f t="shared" ca="1" si="53"/>
        <v>0</v>
      </c>
      <c r="N38" s="78">
        <f t="shared" ca="1" si="31"/>
        <v>0</v>
      </c>
      <c r="O38" s="4">
        <f ca="1">SUMIFS(INDIRECT("Tab_00.Trial["&amp;O$4&amp;"]"),Tab_00.Trial[CONTA],$B38)</f>
        <v>0</v>
      </c>
      <c r="P38" s="78">
        <f t="shared" ca="1" si="54"/>
        <v>0</v>
      </c>
      <c r="Q38" s="78">
        <f t="shared" ca="1" si="33"/>
        <v>0</v>
      </c>
      <c r="R38" s="4">
        <f ca="1">SUMIFS(INDIRECT("Tab_00.Trial["&amp;R$4&amp;"]"),Tab_00.Trial[CONTA],$B38)</f>
        <v>0</v>
      </c>
      <c r="S38" s="78">
        <f t="shared" ca="1" si="55"/>
        <v>0</v>
      </c>
      <c r="T38" s="78">
        <f t="shared" ca="1" si="35"/>
        <v>0</v>
      </c>
      <c r="U38" s="4">
        <f ca="1">SUMIFS(INDIRECT("Tab_00.Trial["&amp;U$4&amp;"]"),Tab_00.Trial[CONTA],$B38)</f>
        <v>0</v>
      </c>
      <c r="V38" s="78">
        <f t="shared" ca="1" si="56"/>
        <v>0</v>
      </c>
      <c r="W38" s="78">
        <f t="shared" ca="1" si="37"/>
        <v>0</v>
      </c>
      <c r="X38" s="4">
        <f ca="1">SUMIFS(INDIRECT("Tab_00.Trial["&amp;X$4&amp;"]"),Tab_00.Trial[CONTA],$B38)</f>
        <v>0</v>
      </c>
      <c r="Y38" s="78">
        <f t="shared" ca="1" si="57"/>
        <v>0</v>
      </c>
      <c r="Z38" s="78">
        <f t="shared" ca="1" si="39"/>
        <v>0</v>
      </c>
      <c r="AA38" s="4">
        <f ca="1">SUMIFS(INDIRECT("Tab_00.Trial["&amp;AA$4&amp;"]"),Tab_00.Trial[CONTA],$B38)</f>
        <v>0</v>
      </c>
      <c r="AB38" s="78">
        <f t="shared" ca="1" si="58"/>
        <v>0</v>
      </c>
      <c r="AC38" s="78">
        <f t="shared" ca="1" si="41"/>
        <v>0</v>
      </c>
      <c r="AD38" s="4">
        <f ca="1">SUMIFS(INDIRECT("Tab_00.Trial["&amp;AD$4&amp;"]"),Tab_00.Trial[CONTA],$B38)</f>
        <v>0</v>
      </c>
      <c r="AE38" s="78">
        <f t="shared" ca="1" si="59"/>
        <v>0</v>
      </c>
      <c r="AF38" s="78">
        <f t="shared" ca="1" si="43"/>
        <v>0</v>
      </c>
      <c r="AG38" s="4">
        <f ca="1">SUMIFS(INDIRECT("Tab_00.Trial["&amp;AG$4&amp;"]"),Tab_00.Trial[CONTA],$B38)</f>
        <v>0</v>
      </c>
      <c r="AH38" s="78">
        <f t="shared" ca="1" si="60"/>
        <v>0</v>
      </c>
      <c r="AI38" s="78">
        <f t="shared" ca="1" si="45"/>
        <v>0</v>
      </c>
      <c r="AJ38" s="4">
        <f ca="1">SUMIFS(INDIRECT("Tab_00.Trial["&amp;AJ$4&amp;"]"),Tab_00.Trial[CONTA],$B38)</f>
        <v>0</v>
      </c>
      <c r="AK38" s="78">
        <f t="shared" ca="1" si="61"/>
        <v>0</v>
      </c>
      <c r="AL38" s="78">
        <f t="shared" ca="1" si="47"/>
        <v>0</v>
      </c>
      <c r="AM38" s="4">
        <f ca="1">SUMIFS(INDIRECT("Tab_00.Trial["&amp;AM$4&amp;"]"),Tab_00.Trial[CONTA],$B38)</f>
        <v>0</v>
      </c>
      <c r="AN38" s="78">
        <f t="shared" ca="1" si="62"/>
        <v>0</v>
      </c>
      <c r="AO38" s="78">
        <f t="shared" ca="1" si="49"/>
        <v>0</v>
      </c>
      <c r="AP38" s="141"/>
      <c r="AQ38" s="142"/>
      <c r="AR38" s="142"/>
    </row>
    <row r="39" spans="2:44" ht="15" hidden="1" customHeight="1" outlineLevel="1" x14ac:dyDescent="0.3">
      <c r="B39" s="14"/>
      <c r="C39" s="15"/>
      <c r="D39" s="4">
        <f>SUMIFS(Tab_99.Trial[DEZEMBRO],Tab_99.Trial[CONTA],$B39)</f>
        <v>0</v>
      </c>
      <c r="E39" s="78">
        <f t="shared" si="50"/>
        <v>0</v>
      </c>
      <c r="F39" s="4">
        <f ca="1">SUMIFS(INDIRECT("Tab_00.Trial["&amp;F$4&amp;"]"),Tab_00.Trial[CONTA],$B39)</f>
        <v>0</v>
      </c>
      <c r="G39" s="78">
        <f t="shared" ca="1" si="51"/>
        <v>0</v>
      </c>
      <c r="H39" s="78">
        <f t="shared" ca="1" si="27"/>
        <v>0</v>
      </c>
      <c r="I39" s="4">
        <f ca="1">SUMIFS(INDIRECT("Tab_00.Trial["&amp;I$4&amp;"]"),Tab_00.Trial[CONTA],$B39)</f>
        <v>0</v>
      </c>
      <c r="J39" s="78">
        <f t="shared" ca="1" si="52"/>
        <v>0</v>
      </c>
      <c r="K39" s="78">
        <f t="shared" ca="1" si="29"/>
        <v>0</v>
      </c>
      <c r="L39" s="4">
        <f ca="1">SUMIFS(INDIRECT("Tab_00.Trial["&amp;L$4&amp;"]"),Tab_00.Trial[CONTA],$B39)</f>
        <v>0</v>
      </c>
      <c r="M39" s="78">
        <f t="shared" ca="1" si="53"/>
        <v>0</v>
      </c>
      <c r="N39" s="78">
        <f t="shared" ca="1" si="31"/>
        <v>0</v>
      </c>
      <c r="O39" s="4">
        <f ca="1">SUMIFS(INDIRECT("Tab_00.Trial["&amp;O$4&amp;"]"),Tab_00.Trial[CONTA],$B39)</f>
        <v>0</v>
      </c>
      <c r="P39" s="78">
        <f t="shared" ca="1" si="54"/>
        <v>0</v>
      </c>
      <c r="Q39" s="78">
        <f t="shared" ca="1" si="33"/>
        <v>0</v>
      </c>
      <c r="R39" s="4">
        <f ca="1">SUMIFS(INDIRECT("Tab_00.Trial["&amp;R$4&amp;"]"),Tab_00.Trial[CONTA],$B39)</f>
        <v>0</v>
      </c>
      <c r="S39" s="78">
        <f t="shared" ca="1" si="55"/>
        <v>0</v>
      </c>
      <c r="T39" s="78">
        <f t="shared" ca="1" si="35"/>
        <v>0</v>
      </c>
      <c r="U39" s="4">
        <f ca="1">SUMIFS(INDIRECT("Tab_00.Trial["&amp;U$4&amp;"]"),Tab_00.Trial[CONTA],$B39)</f>
        <v>0</v>
      </c>
      <c r="V39" s="78">
        <f t="shared" ca="1" si="56"/>
        <v>0</v>
      </c>
      <c r="W39" s="78">
        <f t="shared" ca="1" si="37"/>
        <v>0</v>
      </c>
      <c r="X39" s="4">
        <f ca="1">SUMIFS(INDIRECT("Tab_00.Trial["&amp;X$4&amp;"]"),Tab_00.Trial[CONTA],$B39)</f>
        <v>0</v>
      </c>
      <c r="Y39" s="78">
        <f t="shared" ca="1" si="57"/>
        <v>0</v>
      </c>
      <c r="Z39" s="78">
        <f t="shared" ca="1" si="39"/>
        <v>0</v>
      </c>
      <c r="AA39" s="4">
        <f ca="1">SUMIFS(INDIRECT("Tab_00.Trial["&amp;AA$4&amp;"]"),Tab_00.Trial[CONTA],$B39)</f>
        <v>0</v>
      </c>
      <c r="AB39" s="78">
        <f t="shared" ca="1" si="58"/>
        <v>0</v>
      </c>
      <c r="AC39" s="78">
        <f t="shared" ca="1" si="41"/>
        <v>0</v>
      </c>
      <c r="AD39" s="4">
        <f ca="1">SUMIFS(INDIRECT("Tab_00.Trial["&amp;AD$4&amp;"]"),Tab_00.Trial[CONTA],$B39)</f>
        <v>0</v>
      </c>
      <c r="AE39" s="78">
        <f t="shared" ca="1" si="59"/>
        <v>0</v>
      </c>
      <c r="AF39" s="78">
        <f t="shared" ca="1" si="43"/>
        <v>0</v>
      </c>
      <c r="AG39" s="4">
        <f ca="1">SUMIFS(INDIRECT("Tab_00.Trial["&amp;AG$4&amp;"]"),Tab_00.Trial[CONTA],$B39)</f>
        <v>0</v>
      </c>
      <c r="AH39" s="78">
        <f t="shared" ca="1" si="60"/>
        <v>0</v>
      </c>
      <c r="AI39" s="78">
        <f t="shared" ca="1" si="45"/>
        <v>0</v>
      </c>
      <c r="AJ39" s="4">
        <f ca="1">SUMIFS(INDIRECT("Tab_00.Trial["&amp;AJ$4&amp;"]"),Tab_00.Trial[CONTA],$B39)</f>
        <v>0</v>
      </c>
      <c r="AK39" s="78">
        <f t="shared" ca="1" si="61"/>
        <v>0</v>
      </c>
      <c r="AL39" s="78">
        <f t="shared" ca="1" si="47"/>
        <v>0</v>
      </c>
      <c r="AM39" s="4">
        <f ca="1">SUMIFS(INDIRECT("Tab_00.Trial["&amp;AM$4&amp;"]"),Tab_00.Trial[CONTA],$B39)</f>
        <v>0</v>
      </c>
      <c r="AN39" s="78">
        <f t="shared" ca="1" si="62"/>
        <v>0</v>
      </c>
      <c r="AO39" s="78">
        <f t="shared" ca="1" si="49"/>
        <v>0</v>
      </c>
      <c r="AP39" s="141"/>
      <c r="AQ39" s="142"/>
      <c r="AR39" s="142"/>
    </row>
    <row r="40" spans="2:44" ht="15" hidden="1" customHeight="1" outlineLevel="1" x14ac:dyDescent="0.3">
      <c r="B40" s="14"/>
      <c r="C40" s="15"/>
      <c r="D40" s="4">
        <f>SUMIFS(Tab_99.Trial[DEZEMBRO],Tab_99.Trial[CONTA],$B40)</f>
        <v>0</v>
      </c>
      <c r="E40" s="78">
        <f t="shared" si="50"/>
        <v>0</v>
      </c>
      <c r="F40" s="4">
        <f ca="1">SUMIFS(INDIRECT("Tab_00.Trial["&amp;F$4&amp;"]"),Tab_00.Trial[CONTA],$B40)</f>
        <v>0</v>
      </c>
      <c r="G40" s="78">
        <f t="shared" ca="1" si="51"/>
        <v>0</v>
      </c>
      <c r="H40" s="78">
        <f t="shared" ca="1" si="27"/>
        <v>0</v>
      </c>
      <c r="I40" s="4">
        <f ca="1">SUMIFS(INDIRECT("Tab_00.Trial["&amp;I$4&amp;"]"),Tab_00.Trial[CONTA],$B40)</f>
        <v>0</v>
      </c>
      <c r="J40" s="78">
        <f t="shared" ca="1" si="52"/>
        <v>0</v>
      </c>
      <c r="K40" s="78">
        <f t="shared" ca="1" si="29"/>
        <v>0</v>
      </c>
      <c r="L40" s="4">
        <f ca="1">SUMIFS(INDIRECT("Tab_00.Trial["&amp;L$4&amp;"]"),Tab_00.Trial[CONTA],$B40)</f>
        <v>0</v>
      </c>
      <c r="M40" s="78">
        <f t="shared" ca="1" si="53"/>
        <v>0</v>
      </c>
      <c r="N40" s="78">
        <f t="shared" ca="1" si="31"/>
        <v>0</v>
      </c>
      <c r="O40" s="4">
        <f ca="1">SUMIFS(INDIRECT("Tab_00.Trial["&amp;O$4&amp;"]"),Tab_00.Trial[CONTA],$B40)</f>
        <v>0</v>
      </c>
      <c r="P40" s="78">
        <f t="shared" ca="1" si="54"/>
        <v>0</v>
      </c>
      <c r="Q40" s="78">
        <f t="shared" ca="1" si="33"/>
        <v>0</v>
      </c>
      <c r="R40" s="4">
        <f ca="1">SUMIFS(INDIRECT("Tab_00.Trial["&amp;R$4&amp;"]"),Tab_00.Trial[CONTA],$B40)</f>
        <v>0</v>
      </c>
      <c r="S40" s="78">
        <f t="shared" ca="1" si="55"/>
        <v>0</v>
      </c>
      <c r="T40" s="78">
        <f t="shared" ca="1" si="35"/>
        <v>0</v>
      </c>
      <c r="U40" s="4">
        <f ca="1">SUMIFS(INDIRECT("Tab_00.Trial["&amp;U$4&amp;"]"),Tab_00.Trial[CONTA],$B40)</f>
        <v>0</v>
      </c>
      <c r="V40" s="78">
        <f t="shared" ca="1" si="56"/>
        <v>0</v>
      </c>
      <c r="W40" s="78">
        <f t="shared" ca="1" si="37"/>
        <v>0</v>
      </c>
      <c r="X40" s="4">
        <f ca="1">SUMIFS(INDIRECT("Tab_00.Trial["&amp;X$4&amp;"]"),Tab_00.Trial[CONTA],$B40)</f>
        <v>0</v>
      </c>
      <c r="Y40" s="78">
        <f t="shared" ca="1" si="57"/>
        <v>0</v>
      </c>
      <c r="Z40" s="78">
        <f t="shared" ca="1" si="39"/>
        <v>0</v>
      </c>
      <c r="AA40" s="4">
        <f ca="1">SUMIFS(INDIRECT("Tab_00.Trial["&amp;AA$4&amp;"]"),Tab_00.Trial[CONTA],$B40)</f>
        <v>0</v>
      </c>
      <c r="AB40" s="78">
        <f t="shared" ca="1" si="58"/>
        <v>0</v>
      </c>
      <c r="AC40" s="78">
        <f t="shared" ca="1" si="41"/>
        <v>0</v>
      </c>
      <c r="AD40" s="4">
        <f ca="1">SUMIFS(INDIRECT("Tab_00.Trial["&amp;AD$4&amp;"]"),Tab_00.Trial[CONTA],$B40)</f>
        <v>0</v>
      </c>
      <c r="AE40" s="78">
        <f t="shared" ca="1" si="59"/>
        <v>0</v>
      </c>
      <c r="AF40" s="78">
        <f t="shared" ca="1" si="43"/>
        <v>0</v>
      </c>
      <c r="AG40" s="4">
        <f ca="1">SUMIFS(INDIRECT("Tab_00.Trial["&amp;AG$4&amp;"]"),Tab_00.Trial[CONTA],$B40)</f>
        <v>0</v>
      </c>
      <c r="AH40" s="78">
        <f t="shared" ca="1" si="60"/>
        <v>0</v>
      </c>
      <c r="AI40" s="78">
        <f t="shared" ca="1" si="45"/>
        <v>0</v>
      </c>
      <c r="AJ40" s="4">
        <f ca="1">SUMIFS(INDIRECT("Tab_00.Trial["&amp;AJ$4&amp;"]"),Tab_00.Trial[CONTA],$B40)</f>
        <v>0</v>
      </c>
      <c r="AK40" s="78">
        <f t="shared" ca="1" si="61"/>
        <v>0</v>
      </c>
      <c r="AL40" s="78">
        <f t="shared" ca="1" si="47"/>
        <v>0</v>
      </c>
      <c r="AM40" s="4">
        <f ca="1">SUMIFS(INDIRECT("Tab_00.Trial["&amp;AM$4&amp;"]"),Tab_00.Trial[CONTA],$B40)</f>
        <v>0</v>
      </c>
      <c r="AN40" s="78">
        <f t="shared" ca="1" si="62"/>
        <v>0</v>
      </c>
      <c r="AO40" s="78">
        <f t="shared" ca="1" si="49"/>
        <v>0</v>
      </c>
      <c r="AP40" s="141"/>
      <c r="AQ40" s="142"/>
      <c r="AR40" s="142"/>
    </row>
    <row r="41" spans="2:44" ht="15" hidden="1" customHeight="1" outlineLevel="1" x14ac:dyDescent="0.3">
      <c r="B41" s="14"/>
      <c r="C41" s="15"/>
      <c r="D41" s="4">
        <f>SUMIFS(Tab_99.Trial[DEZEMBRO],Tab_99.Trial[CONTA],$B41)</f>
        <v>0</v>
      </c>
      <c r="E41" s="78">
        <f t="shared" si="50"/>
        <v>0</v>
      </c>
      <c r="F41" s="4">
        <f ca="1">SUMIFS(INDIRECT("Tab_00.Trial["&amp;F$4&amp;"]"),Tab_00.Trial[CONTA],$B41)</f>
        <v>0</v>
      </c>
      <c r="G41" s="78">
        <f t="shared" ca="1" si="51"/>
        <v>0</v>
      </c>
      <c r="H41" s="78">
        <f t="shared" ca="1" si="27"/>
        <v>0</v>
      </c>
      <c r="I41" s="4">
        <f ca="1">SUMIFS(INDIRECT("Tab_00.Trial["&amp;I$4&amp;"]"),Tab_00.Trial[CONTA],$B41)</f>
        <v>0</v>
      </c>
      <c r="J41" s="78">
        <f t="shared" ca="1" si="52"/>
        <v>0</v>
      </c>
      <c r="K41" s="78">
        <f t="shared" ca="1" si="29"/>
        <v>0</v>
      </c>
      <c r="L41" s="4">
        <f ca="1">SUMIFS(INDIRECT("Tab_00.Trial["&amp;L$4&amp;"]"),Tab_00.Trial[CONTA],$B41)</f>
        <v>0</v>
      </c>
      <c r="M41" s="78">
        <f t="shared" ca="1" si="53"/>
        <v>0</v>
      </c>
      <c r="N41" s="78">
        <f t="shared" ca="1" si="31"/>
        <v>0</v>
      </c>
      <c r="O41" s="4">
        <f ca="1">SUMIFS(INDIRECT("Tab_00.Trial["&amp;O$4&amp;"]"),Tab_00.Trial[CONTA],$B41)</f>
        <v>0</v>
      </c>
      <c r="P41" s="78">
        <f t="shared" ca="1" si="54"/>
        <v>0</v>
      </c>
      <c r="Q41" s="78">
        <f t="shared" ca="1" si="33"/>
        <v>0</v>
      </c>
      <c r="R41" s="4">
        <f ca="1">SUMIFS(INDIRECT("Tab_00.Trial["&amp;R$4&amp;"]"),Tab_00.Trial[CONTA],$B41)</f>
        <v>0</v>
      </c>
      <c r="S41" s="78">
        <f t="shared" ca="1" si="55"/>
        <v>0</v>
      </c>
      <c r="T41" s="78">
        <f t="shared" ca="1" si="35"/>
        <v>0</v>
      </c>
      <c r="U41" s="4">
        <f ca="1">SUMIFS(INDIRECT("Tab_00.Trial["&amp;U$4&amp;"]"),Tab_00.Trial[CONTA],$B41)</f>
        <v>0</v>
      </c>
      <c r="V41" s="78">
        <f t="shared" ca="1" si="56"/>
        <v>0</v>
      </c>
      <c r="W41" s="78">
        <f t="shared" ca="1" si="37"/>
        <v>0</v>
      </c>
      <c r="X41" s="4">
        <f ca="1">SUMIFS(INDIRECT("Tab_00.Trial["&amp;X$4&amp;"]"),Tab_00.Trial[CONTA],$B41)</f>
        <v>0</v>
      </c>
      <c r="Y41" s="78">
        <f t="shared" ca="1" si="57"/>
        <v>0</v>
      </c>
      <c r="Z41" s="78">
        <f t="shared" ca="1" si="39"/>
        <v>0</v>
      </c>
      <c r="AA41" s="4">
        <f ca="1">SUMIFS(INDIRECT("Tab_00.Trial["&amp;AA$4&amp;"]"),Tab_00.Trial[CONTA],$B41)</f>
        <v>0</v>
      </c>
      <c r="AB41" s="78">
        <f t="shared" ca="1" si="58"/>
        <v>0</v>
      </c>
      <c r="AC41" s="78">
        <f t="shared" ca="1" si="41"/>
        <v>0</v>
      </c>
      <c r="AD41" s="4">
        <f ca="1">SUMIFS(INDIRECT("Tab_00.Trial["&amp;AD$4&amp;"]"),Tab_00.Trial[CONTA],$B41)</f>
        <v>0</v>
      </c>
      <c r="AE41" s="78">
        <f t="shared" ca="1" si="59"/>
        <v>0</v>
      </c>
      <c r="AF41" s="78">
        <f t="shared" ca="1" si="43"/>
        <v>0</v>
      </c>
      <c r="AG41" s="4">
        <f ca="1">SUMIFS(INDIRECT("Tab_00.Trial["&amp;AG$4&amp;"]"),Tab_00.Trial[CONTA],$B41)</f>
        <v>0</v>
      </c>
      <c r="AH41" s="78">
        <f t="shared" ca="1" si="60"/>
        <v>0</v>
      </c>
      <c r="AI41" s="78">
        <f t="shared" ca="1" si="45"/>
        <v>0</v>
      </c>
      <c r="AJ41" s="4">
        <f ca="1">SUMIFS(INDIRECT("Tab_00.Trial["&amp;AJ$4&amp;"]"),Tab_00.Trial[CONTA],$B41)</f>
        <v>0</v>
      </c>
      <c r="AK41" s="78">
        <f t="shared" ca="1" si="61"/>
        <v>0</v>
      </c>
      <c r="AL41" s="78">
        <f t="shared" ca="1" si="47"/>
        <v>0</v>
      </c>
      <c r="AM41" s="4">
        <f ca="1">SUMIFS(INDIRECT("Tab_00.Trial["&amp;AM$4&amp;"]"),Tab_00.Trial[CONTA],$B41)</f>
        <v>0</v>
      </c>
      <c r="AN41" s="78">
        <f t="shared" ca="1" si="62"/>
        <v>0</v>
      </c>
      <c r="AO41" s="78">
        <f t="shared" ca="1" si="49"/>
        <v>0</v>
      </c>
      <c r="AP41" s="141"/>
      <c r="AQ41" s="142"/>
      <c r="AR41" s="142"/>
    </row>
    <row r="42" spans="2:44" ht="15" hidden="1" customHeight="1" outlineLevel="1" x14ac:dyDescent="0.3">
      <c r="B42" s="14"/>
      <c r="C42" s="15"/>
      <c r="D42" s="4">
        <f>SUMIFS(Tab_99.Trial[DEZEMBRO],Tab_99.Trial[CONTA],$B42)</f>
        <v>0</v>
      </c>
      <c r="E42" s="78">
        <f t="shared" si="50"/>
        <v>0</v>
      </c>
      <c r="F42" s="4">
        <f ca="1">SUMIFS(INDIRECT("Tab_00.Trial["&amp;F$4&amp;"]"),Tab_00.Trial[CONTA],$B42)</f>
        <v>0</v>
      </c>
      <c r="G42" s="78">
        <f t="shared" ca="1" si="51"/>
        <v>0</v>
      </c>
      <c r="H42" s="78">
        <f t="shared" ca="1" si="27"/>
        <v>0</v>
      </c>
      <c r="I42" s="4">
        <f ca="1">SUMIFS(INDIRECT("Tab_00.Trial["&amp;I$4&amp;"]"),Tab_00.Trial[CONTA],$B42)</f>
        <v>0</v>
      </c>
      <c r="J42" s="78">
        <f t="shared" ca="1" si="52"/>
        <v>0</v>
      </c>
      <c r="K42" s="78">
        <f t="shared" ca="1" si="29"/>
        <v>0</v>
      </c>
      <c r="L42" s="4">
        <f ca="1">SUMIFS(INDIRECT("Tab_00.Trial["&amp;L$4&amp;"]"),Tab_00.Trial[CONTA],$B42)</f>
        <v>0</v>
      </c>
      <c r="M42" s="78">
        <f t="shared" ca="1" si="53"/>
        <v>0</v>
      </c>
      <c r="N42" s="78">
        <f t="shared" ca="1" si="31"/>
        <v>0</v>
      </c>
      <c r="O42" s="4">
        <f ca="1">SUMIFS(INDIRECT("Tab_00.Trial["&amp;O$4&amp;"]"),Tab_00.Trial[CONTA],$B42)</f>
        <v>0</v>
      </c>
      <c r="P42" s="78">
        <f t="shared" ca="1" si="54"/>
        <v>0</v>
      </c>
      <c r="Q42" s="78">
        <f t="shared" ca="1" si="33"/>
        <v>0</v>
      </c>
      <c r="R42" s="4">
        <f ca="1">SUMIFS(INDIRECT("Tab_00.Trial["&amp;R$4&amp;"]"),Tab_00.Trial[CONTA],$B42)</f>
        <v>0</v>
      </c>
      <c r="S42" s="78">
        <f t="shared" ca="1" si="55"/>
        <v>0</v>
      </c>
      <c r="T42" s="78">
        <f t="shared" ca="1" si="35"/>
        <v>0</v>
      </c>
      <c r="U42" s="4">
        <f ca="1">SUMIFS(INDIRECT("Tab_00.Trial["&amp;U$4&amp;"]"),Tab_00.Trial[CONTA],$B42)</f>
        <v>0</v>
      </c>
      <c r="V42" s="78">
        <f t="shared" ca="1" si="56"/>
        <v>0</v>
      </c>
      <c r="W42" s="78">
        <f t="shared" ca="1" si="37"/>
        <v>0</v>
      </c>
      <c r="X42" s="4">
        <f ca="1">SUMIFS(INDIRECT("Tab_00.Trial["&amp;X$4&amp;"]"),Tab_00.Trial[CONTA],$B42)</f>
        <v>0</v>
      </c>
      <c r="Y42" s="78">
        <f t="shared" ca="1" si="57"/>
        <v>0</v>
      </c>
      <c r="Z42" s="78">
        <f t="shared" ca="1" si="39"/>
        <v>0</v>
      </c>
      <c r="AA42" s="4">
        <f ca="1">SUMIFS(INDIRECT("Tab_00.Trial["&amp;AA$4&amp;"]"),Tab_00.Trial[CONTA],$B42)</f>
        <v>0</v>
      </c>
      <c r="AB42" s="78">
        <f t="shared" ca="1" si="58"/>
        <v>0</v>
      </c>
      <c r="AC42" s="78">
        <f t="shared" ca="1" si="41"/>
        <v>0</v>
      </c>
      <c r="AD42" s="4">
        <f ca="1">SUMIFS(INDIRECT("Tab_00.Trial["&amp;AD$4&amp;"]"),Tab_00.Trial[CONTA],$B42)</f>
        <v>0</v>
      </c>
      <c r="AE42" s="78">
        <f t="shared" ca="1" si="59"/>
        <v>0</v>
      </c>
      <c r="AF42" s="78">
        <f t="shared" ca="1" si="43"/>
        <v>0</v>
      </c>
      <c r="AG42" s="4">
        <f ca="1">SUMIFS(INDIRECT("Tab_00.Trial["&amp;AG$4&amp;"]"),Tab_00.Trial[CONTA],$B42)</f>
        <v>0</v>
      </c>
      <c r="AH42" s="78">
        <f t="shared" ca="1" si="60"/>
        <v>0</v>
      </c>
      <c r="AI42" s="78">
        <f t="shared" ca="1" si="45"/>
        <v>0</v>
      </c>
      <c r="AJ42" s="4">
        <f ca="1">SUMIFS(INDIRECT("Tab_00.Trial["&amp;AJ$4&amp;"]"),Tab_00.Trial[CONTA],$B42)</f>
        <v>0</v>
      </c>
      <c r="AK42" s="78">
        <f t="shared" ca="1" si="61"/>
        <v>0</v>
      </c>
      <c r="AL42" s="78">
        <f t="shared" ca="1" si="47"/>
        <v>0</v>
      </c>
      <c r="AM42" s="4">
        <f ca="1">SUMIFS(INDIRECT("Tab_00.Trial["&amp;AM$4&amp;"]"),Tab_00.Trial[CONTA],$B42)</f>
        <v>0</v>
      </c>
      <c r="AN42" s="78">
        <f t="shared" ca="1" si="62"/>
        <v>0</v>
      </c>
      <c r="AO42" s="78">
        <f t="shared" ca="1" si="49"/>
        <v>0</v>
      </c>
      <c r="AP42" s="141"/>
      <c r="AQ42" s="142"/>
      <c r="AR42" s="142"/>
    </row>
    <row r="43" spans="2:44" ht="15" hidden="1" customHeight="1" outlineLevel="1" x14ac:dyDescent="0.3">
      <c r="B43" s="14"/>
      <c r="C43" s="15"/>
      <c r="D43" s="4">
        <f>SUMIFS(Tab_99.Trial[DEZEMBRO],Tab_99.Trial[CONTA],$B43)</f>
        <v>0</v>
      </c>
      <c r="E43" s="78">
        <f t="shared" si="50"/>
        <v>0</v>
      </c>
      <c r="F43" s="4">
        <f ca="1">SUMIFS(INDIRECT("Tab_00.Trial["&amp;F$4&amp;"]"),Tab_00.Trial[CONTA],$B43)</f>
        <v>0</v>
      </c>
      <c r="G43" s="78">
        <f t="shared" ca="1" si="51"/>
        <v>0</v>
      </c>
      <c r="H43" s="78">
        <f t="shared" ca="1" si="27"/>
        <v>0</v>
      </c>
      <c r="I43" s="4">
        <f ca="1">SUMIFS(INDIRECT("Tab_00.Trial["&amp;I$4&amp;"]"),Tab_00.Trial[CONTA],$B43)</f>
        <v>0</v>
      </c>
      <c r="J43" s="78">
        <f t="shared" ca="1" si="52"/>
        <v>0</v>
      </c>
      <c r="K43" s="78">
        <f t="shared" ca="1" si="29"/>
        <v>0</v>
      </c>
      <c r="L43" s="4">
        <f ca="1">SUMIFS(INDIRECT("Tab_00.Trial["&amp;L$4&amp;"]"),Tab_00.Trial[CONTA],$B43)</f>
        <v>0</v>
      </c>
      <c r="M43" s="78">
        <f t="shared" ca="1" si="53"/>
        <v>0</v>
      </c>
      <c r="N43" s="78">
        <f t="shared" ca="1" si="31"/>
        <v>0</v>
      </c>
      <c r="O43" s="4">
        <f ca="1">SUMIFS(INDIRECT("Tab_00.Trial["&amp;O$4&amp;"]"),Tab_00.Trial[CONTA],$B43)</f>
        <v>0</v>
      </c>
      <c r="P43" s="78">
        <f t="shared" ca="1" si="54"/>
        <v>0</v>
      </c>
      <c r="Q43" s="78">
        <f t="shared" ca="1" si="33"/>
        <v>0</v>
      </c>
      <c r="R43" s="4">
        <f ca="1">SUMIFS(INDIRECT("Tab_00.Trial["&amp;R$4&amp;"]"),Tab_00.Trial[CONTA],$B43)</f>
        <v>0</v>
      </c>
      <c r="S43" s="78">
        <f t="shared" ca="1" si="55"/>
        <v>0</v>
      </c>
      <c r="T43" s="78">
        <f t="shared" ca="1" si="35"/>
        <v>0</v>
      </c>
      <c r="U43" s="4">
        <f ca="1">SUMIFS(INDIRECT("Tab_00.Trial["&amp;U$4&amp;"]"),Tab_00.Trial[CONTA],$B43)</f>
        <v>0</v>
      </c>
      <c r="V43" s="78">
        <f t="shared" ca="1" si="56"/>
        <v>0</v>
      </c>
      <c r="W43" s="78">
        <f t="shared" ca="1" si="37"/>
        <v>0</v>
      </c>
      <c r="X43" s="4">
        <f ca="1">SUMIFS(INDIRECT("Tab_00.Trial["&amp;X$4&amp;"]"),Tab_00.Trial[CONTA],$B43)</f>
        <v>0</v>
      </c>
      <c r="Y43" s="78">
        <f t="shared" ca="1" si="57"/>
        <v>0</v>
      </c>
      <c r="Z43" s="78">
        <f t="shared" ca="1" si="39"/>
        <v>0</v>
      </c>
      <c r="AA43" s="4">
        <f ca="1">SUMIFS(INDIRECT("Tab_00.Trial["&amp;AA$4&amp;"]"),Tab_00.Trial[CONTA],$B43)</f>
        <v>0</v>
      </c>
      <c r="AB43" s="78">
        <f t="shared" ca="1" si="58"/>
        <v>0</v>
      </c>
      <c r="AC43" s="78">
        <f t="shared" ca="1" si="41"/>
        <v>0</v>
      </c>
      <c r="AD43" s="4">
        <f ca="1">SUMIFS(INDIRECT("Tab_00.Trial["&amp;AD$4&amp;"]"),Tab_00.Trial[CONTA],$B43)</f>
        <v>0</v>
      </c>
      <c r="AE43" s="78">
        <f t="shared" ca="1" si="59"/>
        <v>0</v>
      </c>
      <c r="AF43" s="78">
        <f t="shared" ca="1" si="43"/>
        <v>0</v>
      </c>
      <c r="AG43" s="4">
        <f ca="1">SUMIFS(INDIRECT("Tab_00.Trial["&amp;AG$4&amp;"]"),Tab_00.Trial[CONTA],$B43)</f>
        <v>0</v>
      </c>
      <c r="AH43" s="78">
        <f t="shared" ca="1" si="60"/>
        <v>0</v>
      </c>
      <c r="AI43" s="78">
        <f t="shared" ca="1" si="45"/>
        <v>0</v>
      </c>
      <c r="AJ43" s="4">
        <f ca="1">SUMIFS(INDIRECT("Tab_00.Trial["&amp;AJ$4&amp;"]"),Tab_00.Trial[CONTA],$B43)</f>
        <v>0</v>
      </c>
      <c r="AK43" s="78">
        <f t="shared" ca="1" si="61"/>
        <v>0</v>
      </c>
      <c r="AL43" s="78">
        <f t="shared" ca="1" si="47"/>
        <v>0</v>
      </c>
      <c r="AM43" s="4">
        <f ca="1">SUMIFS(INDIRECT("Tab_00.Trial["&amp;AM$4&amp;"]"),Tab_00.Trial[CONTA],$B43)</f>
        <v>0</v>
      </c>
      <c r="AN43" s="78">
        <f t="shared" ca="1" si="62"/>
        <v>0</v>
      </c>
      <c r="AO43" s="78">
        <f t="shared" ca="1" si="49"/>
        <v>0</v>
      </c>
      <c r="AP43" s="141"/>
      <c r="AQ43" s="142"/>
      <c r="AR43" s="142"/>
    </row>
    <row r="44" spans="2:44" ht="15" hidden="1" customHeight="1" outlineLevel="1" x14ac:dyDescent="0.3">
      <c r="B44" s="14"/>
      <c r="C44" s="15"/>
      <c r="D44" s="4">
        <f>SUMIFS(Tab_99.Trial[DEZEMBRO],Tab_99.Trial[CONTA],$B44)</f>
        <v>0</v>
      </c>
      <c r="E44" s="78">
        <f t="shared" si="50"/>
        <v>0</v>
      </c>
      <c r="F44" s="4">
        <f ca="1">SUMIFS(INDIRECT("Tab_00.Trial["&amp;F$4&amp;"]"),Tab_00.Trial[CONTA],$B44)</f>
        <v>0</v>
      </c>
      <c r="G44" s="78">
        <f t="shared" ca="1" si="51"/>
        <v>0</v>
      </c>
      <c r="H44" s="78">
        <f t="shared" ca="1" si="27"/>
        <v>0</v>
      </c>
      <c r="I44" s="4">
        <f ca="1">SUMIFS(INDIRECT("Tab_00.Trial["&amp;I$4&amp;"]"),Tab_00.Trial[CONTA],$B44)</f>
        <v>0</v>
      </c>
      <c r="J44" s="78">
        <f t="shared" ca="1" si="52"/>
        <v>0</v>
      </c>
      <c r="K44" s="78">
        <f t="shared" ca="1" si="29"/>
        <v>0</v>
      </c>
      <c r="L44" s="4">
        <f ca="1">SUMIFS(INDIRECT("Tab_00.Trial["&amp;L$4&amp;"]"),Tab_00.Trial[CONTA],$B44)</f>
        <v>0</v>
      </c>
      <c r="M44" s="78">
        <f t="shared" ca="1" si="53"/>
        <v>0</v>
      </c>
      <c r="N44" s="78">
        <f t="shared" ca="1" si="31"/>
        <v>0</v>
      </c>
      <c r="O44" s="4">
        <f ca="1">SUMIFS(INDIRECT("Tab_00.Trial["&amp;O$4&amp;"]"),Tab_00.Trial[CONTA],$B44)</f>
        <v>0</v>
      </c>
      <c r="P44" s="78">
        <f t="shared" ca="1" si="54"/>
        <v>0</v>
      </c>
      <c r="Q44" s="78">
        <f t="shared" ca="1" si="33"/>
        <v>0</v>
      </c>
      <c r="R44" s="4">
        <f ca="1">SUMIFS(INDIRECT("Tab_00.Trial["&amp;R$4&amp;"]"),Tab_00.Trial[CONTA],$B44)</f>
        <v>0</v>
      </c>
      <c r="S44" s="78">
        <f t="shared" ca="1" si="55"/>
        <v>0</v>
      </c>
      <c r="T44" s="78">
        <f t="shared" ca="1" si="35"/>
        <v>0</v>
      </c>
      <c r="U44" s="4">
        <f ca="1">SUMIFS(INDIRECT("Tab_00.Trial["&amp;U$4&amp;"]"),Tab_00.Trial[CONTA],$B44)</f>
        <v>0</v>
      </c>
      <c r="V44" s="78">
        <f t="shared" ca="1" si="56"/>
        <v>0</v>
      </c>
      <c r="W44" s="78">
        <f t="shared" ca="1" si="37"/>
        <v>0</v>
      </c>
      <c r="X44" s="4">
        <f ca="1">SUMIFS(INDIRECT("Tab_00.Trial["&amp;X$4&amp;"]"),Tab_00.Trial[CONTA],$B44)</f>
        <v>0</v>
      </c>
      <c r="Y44" s="78">
        <f t="shared" ca="1" si="57"/>
        <v>0</v>
      </c>
      <c r="Z44" s="78">
        <f t="shared" ca="1" si="39"/>
        <v>0</v>
      </c>
      <c r="AA44" s="4">
        <f ca="1">SUMIFS(INDIRECT("Tab_00.Trial["&amp;AA$4&amp;"]"),Tab_00.Trial[CONTA],$B44)</f>
        <v>0</v>
      </c>
      <c r="AB44" s="78">
        <f t="shared" ca="1" si="58"/>
        <v>0</v>
      </c>
      <c r="AC44" s="78">
        <f t="shared" ca="1" si="41"/>
        <v>0</v>
      </c>
      <c r="AD44" s="4">
        <f ca="1">SUMIFS(INDIRECT("Tab_00.Trial["&amp;AD$4&amp;"]"),Tab_00.Trial[CONTA],$B44)</f>
        <v>0</v>
      </c>
      <c r="AE44" s="78">
        <f t="shared" ca="1" si="59"/>
        <v>0</v>
      </c>
      <c r="AF44" s="78">
        <f t="shared" ca="1" si="43"/>
        <v>0</v>
      </c>
      <c r="AG44" s="4">
        <f ca="1">SUMIFS(INDIRECT("Tab_00.Trial["&amp;AG$4&amp;"]"),Tab_00.Trial[CONTA],$B44)</f>
        <v>0</v>
      </c>
      <c r="AH44" s="78">
        <f t="shared" ca="1" si="60"/>
        <v>0</v>
      </c>
      <c r="AI44" s="78">
        <f t="shared" ca="1" si="45"/>
        <v>0</v>
      </c>
      <c r="AJ44" s="4">
        <f ca="1">SUMIFS(INDIRECT("Tab_00.Trial["&amp;AJ$4&amp;"]"),Tab_00.Trial[CONTA],$B44)</f>
        <v>0</v>
      </c>
      <c r="AK44" s="78">
        <f t="shared" ca="1" si="61"/>
        <v>0</v>
      </c>
      <c r="AL44" s="78">
        <f t="shared" ca="1" si="47"/>
        <v>0</v>
      </c>
      <c r="AM44" s="4">
        <f ca="1">SUMIFS(INDIRECT("Tab_00.Trial["&amp;AM$4&amp;"]"),Tab_00.Trial[CONTA],$B44)</f>
        <v>0</v>
      </c>
      <c r="AN44" s="78">
        <f t="shared" ca="1" si="62"/>
        <v>0</v>
      </c>
      <c r="AO44" s="78">
        <f t="shared" ca="1" si="49"/>
        <v>0</v>
      </c>
      <c r="AP44" s="141"/>
      <c r="AQ44" s="142"/>
      <c r="AR44" s="142"/>
    </row>
    <row r="45" spans="2:44" ht="5.0999999999999996" hidden="1" customHeight="1" outlineLevel="1" x14ac:dyDescent="0.3">
      <c r="B45" s="74"/>
      <c r="C45" s="75"/>
      <c r="D45" s="76"/>
      <c r="E45" s="77"/>
      <c r="F45" s="76"/>
      <c r="G45" s="77"/>
      <c r="H45" s="77"/>
      <c r="I45" s="76"/>
      <c r="J45" s="77"/>
      <c r="K45" s="77"/>
      <c r="L45" s="76"/>
      <c r="M45" s="77"/>
      <c r="N45" s="77"/>
      <c r="O45" s="76"/>
      <c r="P45" s="77"/>
      <c r="Q45" s="77"/>
      <c r="R45" s="76"/>
      <c r="S45" s="77"/>
      <c r="T45" s="77"/>
      <c r="U45" s="76"/>
      <c r="V45" s="77"/>
      <c r="W45" s="77"/>
      <c r="X45" s="76"/>
      <c r="Y45" s="77"/>
      <c r="Z45" s="77"/>
      <c r="AA45" s="76"/>
      <c r="AB45" s="77"/>
      <c r="AC45" s="77"/>
      <c r="AD45" s="76"/>
      <c r="AE45" s="77"/>
      <c r="AF45" s="77"/>
      <c r="AG45" s="76"/>
      <c r="AH45" s="77"/>
      <c r="AI45" s="77"/>
      <c r="AJ45" s="76"/>
      <c r="AK45" s="77"/>
      <c r="AL45" s="77"/>
      <c r="AM45" s="76"/>
      <c r="AN45" s="77"/>
      <c r="AO45" s="77"/>
    </row>
    <row r="46" spans="2:44" ht="15" customHeight="1" x14ac:dyDescent="0.3">
      <c r="B46" s="3" t="s">
        <v>42</v>
      </c>
      <c r="C46" s="14" t="s">
        <v>87</v>
      </c>
      <c r="D46" s="4">
        <f>SUBTOTAL(9,D$47:D$59)</f>
        <v>0</v>
      </c>
      <c r="E46" s="78">
        <f t="shared" ref="E46:E58" si="63">IFERROR($D46/$D$160,0)</f>
        <v>0</v>
      </c>
      <c r="F46" s="4">
        <f ca="1">SUBTOTAL(9,F$47:F$59)</f>
        <v>0</v>
      </c>
      <c r="G46" s="78">
        <f t="shared" ref="G46:G58" ca="1" si="64">IFERROR($F46/$F$160,0)</f>
        <v>0</v>
      </c>
      <c r="H46" s="78">
        <f t="shared" ca="1" si="27"/>
        <v>0</v>
      </c>
      <c r="I46" s="4">
        <f ca="1">SUBTOTAL(9,I$47:I$59)</f>
        <v>0</v>
      </c>
      <c r="J46" s="78">
        <f t="shared" ref="J46:J58" ca="1" si="65">IFERROR($I46/$I$160,0)</f>
        <v>0</v>
      </c>
      <c r="K46" s="78">
        <f t="shared" ca="1" si="29"/>
        <v>0</v>
      </c>
      <c r="L46" s="4">
        <f ca="1">SUBTOTAL(9,L$47:L$59)</f>
        <v>0</v>
      </c>
      <c r="M46" s="78">
        <f t="shared" ref="M46:M58" ca="1" si="66">IFERROR($L46/$L$160,0)</f>
        <v>0</v>
      </c>
      <c r="N46" s="78">
        <f t="shared" ca="1" si="31"/>
        <v>0</v>
      </c>
      <c r="O46" s="4">
        <f ca="1">SUBTOTAL(9,O$47:O$59)</f>
        <v>0</v>
      </c>
      <c r="P46" s="78">
        <f t="shared" ref="P46:P58" ca="1" si="67">IFERROR($O46/$O$160,0)</f>
        <v>0</v>
      </c>
      <c r="Q46" s="78">
        <f t="shared" ca="1" si="33"/>
        <v>0</v>
      </c>
      <c r="R46" s="4">
        <f ca="1">SUBTOTAL(9,R$47:R$59)</f>
        <v>0</v>
      </c>
      <c r="S46" s="78">
        <f t="shared" ref="S46:S58" ca="1" si="68">IFERROR($R46/$R$160,0)</f>
        <v>0</v>
      </c>
      <c r="T46" s="78">
        <f t="shared" ca="1" si="35"/>
        <v>0</v>
      </c>
      <c r="U46" s="4">
        <f ca="1">SUBTOTAL(9,U$47:U$59)</f>
        <v>0</v>
      </c>
      <c r="V46" s="78">
        <f t="shared" ref="V46:V58" ca="1" si="69">IFERROR($U46/$U$160,0)</f>
        <v>0</v>
      </c>
      <c r="W46" s="78">
        <f t="shared" ca="1" si="37"/>
        <v>0</v>
      </c>
      <c r="X46" s="4">
        <f ca="1">SUBTOTAL(9,X$47:X$59)</f>
        <v>0</v>
      </c>
      <c r="Y46" s="78">
        <f t="shared" ref="Y46:Y58" ca="1" si="70">IFERROR($X46/$X$160,0)</f>
        <v>0</v>
      </c>
      <c r="Z46" s="78">
        <f t="shared" ca="1" si="39"/>
        <v>0</v>
      </c>
      <c r="AA46" s="4">
        <f ca="1">SUBTOTAL(9,AA$47:AA$59)</f>
        <v>0</v>
      </c>
      <c r="AB46" s="78">
        <f t="shared" ref="AB46:AB58" ca="1" si="71">IFERROR($AA46/$AA$160,0)</f>
        <v>0</v>
      </c>
      <c r="AC46" s="78">
        <f t="shared" ca="1" si="41"/>
        <v>0</v>
      </c>
      <c r="AD46" s="4">
        <f ca="1">SUBTOTAL(9,AD$47:AD$59)</f>
        <v>0</v>
      </c>
      <c r="AE46" s="78">
        <f t="shared" ref="AE46:AE58" ca="1" si="72">IFERROR($AD46/$AD$160,0)</f>
        <v>0</v>
      </c>
      <c r="AF46" s="78">
        <f t="shared" ca="1" si="43"/>
        <v>0</v>
      </c>
      <c r="AG46" s="4">
        <f ca="1">SUBTOTAL(9,AG$47:AG$59)</f>
        <v>86.53</v>
      </c>
      <c r="AH46" s="78">
        <f t="shared" ref="AH46:AH58" ca="1" si="73">IFERROR($AG46/$AG$160,0)</f>
        <v>0</v>
      </c>
      <c r="AI46" s="78">
        <f t="shared" ca="1" si="45"/>
        <v>0</v>
      </c>
      <c r="AJ46" s="4">
        <f ca="1">SUBTOTAL(9,AJ$47:AJ$59)</f>
        <v>98.63</v>
      </c>
      <c r="AK46" s="78">
        <f t="shared" ref="AK46:AK58" ca="1" si="74">IFERROR($AJ46/$AJ$160,0)</f>
        <v>0</v>
      </c>
      <c r="AL46" s="78">
        <f t="shared" ca="1" si="47"/>
        <v>0.13980000000000001</v>
      </c>
      <c r="AM46" s="4">
        <f ca="1">SUBTOTAL(9,AM$47:AM$59)</f>
        <v>1997.63</v>
      </c>
      <c r="AN46" s="78">
        <f t="shared" ref="AN46:AN58" ca="1" si="75">IFERROR(AM46/AM$160,0)</f>
        <v>0</v>
      </c>
      <c r="AO46" s="78">
        <f t="shared" ca="1" si="49"/>
        <v>19.253799999999998</v>
      </c>
    </row>
    <row r="47" spans="2:44" ht="15" customHeight="1" outlineLevel="1" x14ac:dyDescent="0.3">
      <c r="B47" s="14" t="s">
        <v>296</v>
      </c>
      <c r="C47" s="15" t="s">
        <v>297</v>
      </c>
      <c r="D47" s="4">
        <f>SUMIFS(Tab_99.Trial[DEZEMBRO],Tab_99.Trial[CONTA],$B47)</f>
        <v>0</v>
      </c>
      <c r="E47" s="78">
        <f t="shared" si="63"/>
        <v>0</v>
      </c>
      <c r="F47" s="4">
        <f ca="1">SUMIFS(INDIRECT("Tab_00.Trial["&amp;F$4&amp;"]"),Tab_00.Trial[CONTA],$B47)</f>
        <v>0</v>
      </c>
      <c r="G47" s="78">
        <f t="shared" ca="1" si="64"/>
        <v>0</v>
      </c>
      <c r="H47" s="78">
        <f t="shared" ca="1" si="27"/>
        <v>0</v>
      </c>
      <c r="I47" s="4">
        <f ca="1">SUMIFS(INDIRECT("Tab_00.Trial["&amp;I$4&amp;"]"),Tab_00.Trial[CONTA],$B47)</f>
        <v>0</v>
      </c>
      <c r="J47" s="78">
        <f t="shared" ca="1" si="65"/>
        <v>0</v>
      </c>
      <c r="K47" s="78">
        <f t="shared" ca="1" si="29"/>
        <v>0</v>
      </c>
      <c r="L47" s="4">
        <f ca="1">SUMIFS(INDIRECT("Tab_00.Trial["&amp;L$4&amp;"]"),Tab_00.Trial[CONTA],$B47)</f>
        <v>0</v>
      </c>
      <c r="M47" s="78">
        <f t="shared" ca="1" si="66"/>
        <v>0</v>
      </c>
      <c r="N47" s="78">
        <f t="shared" ca="1" si="31"/>
        <v>0</v>
      </c>
      <c r="O47" s="4">
        <f ca="1">SUMIFS(INDIRECT("Tab_00.Trial["&amp;O$4&amp;"]"),Tab_00.Trial[CONTA],$B47)</f>
        <v>0</v>
      </c>
      <c r="P47" s="78">
        <f t="shared" ca="1" si="67"/>
        <v>0</v>
      </c>
      <c r="Q47" s="78">
        <f t="shared" ca="1" si="33"/>
        <v>0</v>
      </c>
      <c r="R47" s="4">
        <f ca="1">SUMIFS(INDIRECT("Tab_00.Trial["&amp;R$4&amp;"]"),Tab_00.Trial[CONTA],$B47)</f>
        <v>0</v>
      </c>
      <c r="S47" s="78">
        <f t="shared" ca="1" si="68"/>
        <v>0</v>
      </c>
      <c r="T47" s="78">
        <f t="shared" ca="1" si="35"/>
        <v>0</v>
      </c>
      <c r="U47" s="4">
        <f ca="1">SUMIFS(INDIRECT("Tab_00.Trial["&amp;U$4&amp;"]"),Tab_00.Trial[CONTA],$B47)</f>
        <v>0</v>
      </c>
      <c r="V47" s="78">
        <f t="shared" ca="1" si="69"/>
        <v>0</v>
      </c>
      <c r="W47" s="78">
        <f t="shared" ca="1" si="37"/>
        <v>0</v>
      </c>
      <c r="X47" s="4">
        <f ca="1">SUMIFS(INDIRECT("Tab_00.Trial["&amp;X$4&amp;"]"),Tab_00.Trial[CONTA],$B47)</f>
        <v>0</v>
      </c>
      <c r="Y47" s="78">
        <f t="shared" ca="1" si="70"/>
        <v>0</v>
      </c>
      <c r="Z47" s="78">
        <f t="shared" ca="1" si="39"/>
        <v>0</v>
      </c>
      <c r="AA47" s="4">
        <f ca="1">SUMIFS(INDIRECT("Tab_00.Trial["&amp;AA$4&amp;"]"),Tab_00.Trial[CONTA],$B47)</f>
        <v>0</v>
      </c>
      <c r="AB47" s="78">
        <f t="shared" ca="1" si="71"/>
        <v>0</v>
      </c>
      <c r="AC47" s="78">
        <f t="shared" ca="1" si="41"/>
        <v>0</v>
      </c>
      <c r="AD47" s="4">
        <f ca="1">SUMIFS(INDIRECT("Tab_00.Trial["&amp;AD$4&amp;"]"),Tab_00.Trial[CONTA],$B47)</f>
        <v>0</v>
      </c>
      <c r="AE47" s="78">
        <f t="shared" ca="1" si="72"/>
        <v>0</v>
      </c>
      <c r="AF47" s="78">
        <f t="shared" ca="1" si="43"/>
        <v>0</v>
      </c>
      <c r="AG47" s="4">
        <f ca="1">SUMIFS(INDIRECT("Tab_00.Trial["&amp;AG$4&amp;"]"),Tab_00.Trial[CONTA],$B47)</f>
        <v>0</v>
      </c>
      <c r="AH47" s="78">
        <f t="shared" ca="1" si="73"/>
        <v>0</v>
      </c>
      <c r="AI47" s="78">
        <f t="shared" ca="1" si="45"/>
        <v>0</v>
      </c>
      <c r="AJ47" s="4">
        <f ca="1">SUMIFS(INDIRECT("Tab_00.Trial["&amp;AJ$4&amp;"]"),Tab_00.Trial[CONTA],$B47)</f>
        <v>0</v>
      </c>
      <c r="AK47" s="78">
        <f t="shared" ca="1" si="74"/>
        <v>0</v>
      </c>
      <c r="AL47" s="78">
        <f t="shared" ca="1" si="47"/>
        <v>0</v>
      </c>
      <c r="AM47" s="4">
        <f ca="1">SUMIFS(INDIRECT("Tab_00.Trial["&amp;AM$4&amp;"]"),Tab_00.Trial[CONTA],$B47)</f>
        <v>0</v>
      </c>
      <c r="AN47" s="78">
        <f t="shared" ca="1" si="75"/>
        <v>0</v>
      </c>
      <c r="AO47" s="78">
        <f t="shared" ca="1" si="49"/>
        <v>0</v>
      </c>
    </row>
    <row r="48" spans="2:44" ht="15" customHeight="1" outlineLevel="1" x14ac:dyDescent="0.3">
      <c r="B48" s="183" t="s">
        <v>844</v>
      </c>
      <c r="C48" s="183" t="s">
        <v>845</v>
      </c>
      <c r="D48" s="4">
        <f>SUMIFS(Tab_99.Trial[DEZEMBRO],Tab_99.Trial[CONTA],$B48)</f>
        <v>0</v>
      </c>
      <c r="E48" s="78">
        <f t="shared" si="63"/>
        <v>0</v>
      </c>
      <c r="F48" s="4">
        <f ca="1">SUMIFS(INDIRECT("Tab_00.Trial["&amp;F$4&amp;"]"),Tab_00.Trial[CONTA],$B48)</f>
        <v>0</v>
      </c>
      <c r="G48" s="78">
        <f t="shared" ca="1" si="64"/>
        <v>0</v>
      </c>
      <c r="H48" s="78">
        <f t="shared" ca="1" si="27"/>
        <v>0</v>
      </c>
      <c r="I48" s="4">
        <f ca="1">SUMIFS(INDIRECT("Tab_00.Trial["&amp;I$4&amp;"]"),Tab_00.Trial[CONTA],$B48)</f>
        <v>0</v>
      </c>
      <c r="J48" s="78">
        <f t="shared" ca="1" si="65"/>
        <v>0</v>
      </c>
      <c r="K48" s="78">
        <f t="shared" ca="1" si="29"/>
        <v>0</v>
      </c>
      <c r="L48" s="4">
        <f ca="1">SUMIFS(INDIRECT("Tab_00.Trial["&amp;L$4&amp;"]"),Tab_00.Trial[CONTA],$B48)</f>
        <v>0</v>
      </c>
      <c r="M48" s="78">
        <f t="shared" ca="1" si="66"/>
        <v>0</v>
      </c>
      <c r="N48" s="78">
        <f t="shared" ca="1" si="31"/>
        <v>0</v>
      </c>
      <c r="O48" s="4">
        <f ca="1">SUMIFS(INDIRECT("Tab_00.Trial["&amp;O$4&amp;"]"),Tab_00.Trial[CONTA],$B48)</f>
        <v>0</v>
      </c>
      <c r="P48" s="78">
        <f t="shared" ca="1" si="67"/>
        <v>0</v>
      </c>
      <c r="Q48" s="78">
        <f t="shared" ca="1" si="33"/>
        <v>0</v>
      </c>
      <c r="R48" s="4">
        <f ca="1">SUMIFS(INDIRECT("Tab_00.Trial["&amp;R$4&amp;"]"),Tab_00.Trial[CONTA],$B48)</f>
        <v>0</v>
      </c>
      <c r="S48" s="78">
        <f t="shared" ca="1" si="68"/>
        <v>0</v>
      </c>
      <c r="T48" s="78">
        <f t="shared" ca="1" si="35"/>
        <v>0</v>
      </c>
      <c r="U48" s="4">
        <f ca="1">SUMIFS(INDIRECT("Tab_00.Trial["&amp;U$4&amp;"]"),Tab_00.Trial[CONTA],$B48)</f>
        <v>0</v>
      </c>
      <c r="V48" s="78">
        <f t="shared" ca="1" si="69"/>
        <v>0</v>
      </c>
      <c r="W48" s="78">
        <f t="shared" ca="1" si="37"/>
        <v>0</v>
      </c>
      <c r="X48" s="4">
        <f ca="1">SUMIFS(INDIRECT("Tab_00.Trial["&amp;X$4&amp;"]"),Tab_00.Trial[CONTA],$B48)</f>
        <v>0</v>
      </c>
      <c r="Y48" s="78">
        <f t="shared" ca="1" si="70"/>
        <v>0</v>
      </c>
      <c r="Z48" s="78">
        <f t="shared" ca="1" si="39"/>
        <v>0</v>
      </c>
      <c r="AA48" s="4">
        <f ca="1">SUMIFS(INDIRECT("Tab_00.Trial["&amp;AA$4&amp;"]"),Tab_00.Trial[CONTA],$B48)</f>
        <v>0</v>
      </c>
      <c r="AB48" s="78">
        <f t="shared" ca="1" si="71"/>
        <v>0</v>
      </c>
      <c r="AC48" s="78">
        <f t="shared" ca="1" si="41"/>
        <v>0</v>
      </c>
      <c r="AD48" s="4">
        <f ca="1">SUMIFS(INDIRECT("Tab_00.Trial["&amp;AD$4&amp;"]"),Tab_00.Trial[CONTA],$B48)</f>
        <v>0</v>
      </c>
      <c r="AE48" s="78">
        <f t="shared" ca="1" si="72"/>
        <v>0</v>
      </c>
      <c r="AF48" s="78">
        <f t="shared" ca="1" si="43"/>
        <v>0</v>
      </c>
      <c r="AG48" s="4">
        <f ca="1">SUMIFS(INDIRECT("Tab_00.Trial["&amp;AG$4&amp;"]"),Tab_00.Trial[CONTA],$B48)</f>
        <v>86.53</v>
      </c>
      <c r="AH48" s="78">
        <f t="shared" ca="1" si="73"/>
        <v>0</v>
      </c>
      <c r="AI48" s="78">
        <f t="shared" ca="1" si="45"/>
        <v>0</v>
      </c>
      <c r="AJ48" s="4">
        <f ca="1">SUMIFS(INDIRECT("Tab_00.Trial["&amp;AJ$4&amp;"]"),Tab_00.Trial[CONTA],$B48)</f>
        <v>98.63</v>
      </c>
      <c r="AK48" s="78">
        <f t="shared" ca="1" si="74"/>
        <v>0</v>
      </c>
      <c r="AL48" s="78">
        <f t="shared" ca="1" si="47"/>
        <v>0.13980000000000001</v>
      </c>
      <c r="AM48" s="4">
        <f ca="1">SUMIFS(INDIRECT("Tab_00.Trial["&amp;AM$4&amp;"]"),Tab_00.Trial[CONTA],$B48)</f>
        <v>1997.63</v>
      </c>
      <c r="AN48" s="78">
        <f t="shared" ca="1" si="75"/>
        <v>0</v>
      </c>
      <c r="AO48" s="78">
        <f t="shared" ca="1" si="49"/>
        <v>19.253799999999998</v>
      </c>
    </row>
    <row r="49" spans="2:41" ht="15" customHeight="1" outlineLevel="1" x14ac:dyDescent="0.3">
      <c r="B49" s="14"/>
      <c r="C49" s="15"/>
      <c r="D49" s="4">
        <f>SUMIFS(Tab_99.Trial[DEZEMBRO],Tab_99.Trial[CONTA],$B49)</f>
        <v>0</v>
      </c>
      <c r="E49" s="78">
        <f t="shared" si="63"/>
        <v>0</v>
      </c>
      <c r="F49" s="4">
        <f ca="1">SUMIFS(INDIRECT("Tab_00.Trial["&amp;F$4&amp;"]"),Tab_00.Trial[CONTA],$B49)</f>
        <v>0</v>
      </c>
      <c r="G49" s="78">
        <f t="shared" ca="1" si="64"/>
        <v>0</v>
      </c>
      <c r="H49" s="78">
        <f t="shared" ca="1" si="27"/>
        <v>0</v>
      </c>
      <c r="I49" s="4">
        <f ca="1">SUMIFS(INDIRECT("Tab_00.Trial["&amp;I$4&amp;"]"),Tab_00.Trial[CONTA],$B49)</f>
        <v>0</v>
      </c>
      <c r="J49" s="78">
        <f t="shared" ca="1" si="65"/>
        <v>0</v>
      </c>
      <c r="K49" s="78">
        <f t="shared" ca="1" si="29"/>
        <v>0</v>
      </c>
      <c r="L49" s="4">
        <f ca="1">SUMIFS(INDIRECT("Tab_00.Trial["&amp;L$4&amp;"]"),Tab_00.Trial[CONTA],$B49)</f>
        <v>0</v>
      </c>
      <c r="M49" s="78">
        <f t="shared" ca="1" si="66"/>
        <v>0</v>
      </c>
      <c r="N49" s="78">
        <f t="shared" ca="1" si="31"/>
        <v>0</v>
      </c>
      <c r="O49" s="4">
        <f ca="1">SUMIFS(INDIRECT("Tab_00.Trial["&amp;O$4&amp;"]"),Tab_00.Trial[CONTA],$B49)</f>
        <v>0</v>
      </c>
      <c r="P49" s="78">
        <f t="shared" ca="1" si="67"/>
        <v>0</v>
      </c>
      <c r="Q49" s="78">
        <f t="shared" ca="1" si="33"/>
        <v>0</v>
      </c>
      <c r="R49" s="4">
        <f ca="1">SUMIFS(INDIRECT("Tab_00.Trial["&amp;R$4&amp;"]"),Tab_00.Trial[CONTA],$B49)</f>
        <v>0</v>
      </c>
      <c r="S49" s="78">
        <f t="shared" ca="1" si="68"/>
        <v>0</v>
      </c>
      <c r="T49" s="78">
        <f t="shared" ca="1" si="35"/>
        <v>0</v>
      </c>
      <c r="U49" s="4">
        <f ca="1">SUMIFS(INDIRECT("Tab_00.Trial["&amp;U$4&amp;"]"),Tab_00.Trial[CONTA],$B49)</f>
        <v>0</v>
      </c>
      <c r="V49" s="78">
        <f t="shared" ca="1" si="69"/>
        <v>0</v>
      </c>
      <c r="W49" s="78">
        <f t="shared" ca="1" si="37"/>
        <v>0</v>
      </c>
      <c r="X49" s="4">
        <f ca="1">SUMIFS(INDIRECT("Tab_00.Trial["&amp;X$4&amp;"]"),Tab_00.Trial[CONTA],$B49)</f>
        <v>0</v>
      </c>
      <c r="Y49" s="78">
        <f t="shared" ca="1" si="70"/>
        <v>0</v>
      </c>
      <c r="Z49" s="78">
        <f t="shared" ca="1" si="39"/>
        <v>0</v>
      </c>
      <c r="AA49" s="4">
        <f ca="1">SUMIFS(INDIRECT("Tab_00.Trial["&amp;AA$4&amp;"]"),Tab_00.Trial[CONTA],$B49)</f>
        <v>0</v>
      </c>
      <c r="AB49" s="78">
        <f t="shared" ca="1" si="71"/>
        <v>0</v>
      </c>
      <c r="AC49" s="78">
        <f t="shared" ca="1" si="41"/>
        <v>0</v>
      </c>
      <c r="AD49" s="4">
        <f ca="1">SUMIFS(INDIRECT("Tab_00.Trial["&amp;AD$4&amp;"]"),Tab_00.Trial[CONTA],$B49)</f>
        <v>0</v>
      </c>
      <c r="AE49" s="78">
        <f t="shared" ca="1" si="72"/>
        <v>0</v>
      </c>
      <c r="AF49" s="78">
        <f t="shared" ca="1" si="43"/>
        <v>0</v>
      </c>
      <c r="AG49" s="4">
        <f ca="1">SUMIFS(INDIRECT("Tab_00.Trial["&amp;AG$4&amp;"]"),Tab_00.Trial[CONTA],$B49)</f>
        <v>0</v>
      </c>
      <c r="AH49" s="78">
        <f t="shared" ca="1" si="73"/>
        <v>0</v>
      </c>
      <c r="AI49" s="78">
        <f t="shared" ca="1" si="45"/>
        <v>0</v>
      </c>
      <c r="AJ49" s="4">
        <f ca="1">SUMIFS(INDIRECT("Tab_00.Trial["&amp;AJ$4&amp;"]"),Tab_00.Trial[CONTA],$B49)</f>
        <v>0</v>
      </c>
      <c r="AK49" s="78">
        <f t="shared" ca="1" si="74"/>
        <v>0</v>
      </c>
      <c r="AL49" s="78">
        <f t="shared" ca="1" si="47"/>
        <v>0</v>
      </c>
      <c r="AM49" s="4">
        <f ca="1">SUMIFS(INDIRECT("Tab_00.Trial["&amp;AM$4&amp;"]"),Tab_00.Trial[CONTA],$B49)</f>
        <v>0</v>
      </c>
      <c r="AN49" s="78">
        <f t="shared" ca="1" si="75"/>
        <v>0</v>
      </c>
      <c r="AO49" s="78">
        <f t="shared" ca="1" si="49"/>
        <v>0</v>
      </c>
    </row>
    <row r="50" spans="2:41" ht="15" customHeight="1" outlineLevel="1" x14ac:dyDescent="0.3">
      <c r="B50" s="14"/>
      <c r="C50" s="15"/>
      <c r="D50" s="4">
        <f>SUMIFS(Tab_99.Trial[DEZEMBRO],Tab_99.Trial[CONTA],$B50)</f>
        <v>0</v>
      </c>
      <c r="E50" s="78">
        <f t="shared" si="63"/>
        <v>0</v>
      </c>
      <c r="F50" s="4">
        <f ca="1">SUMIFS(INDIRECT("Tab_00.Trial["&amp;F$4&amp;"]"),Tab_00.Trial[CONTA],$B50)</f>
        <v>0</v>
      </c>
      <c r="G50" s="78">
        <f t="shared" ca="1" si="64"/>
        <v>0</v>
      </c>
      <c r="H50" s="78">
        <f t="shared" ca="1" si="27"/>
        <v>0</v>
      </c>
      <c r="I50" s="4">
        <f ca="1">SUMIFS(INDIRECT("Tab_00.Trial["&amp;I$4&amp;"]"),Tab_00.Trial[CONTA],$B50)</f>
        <v>0</v>
      </c>
      <c r="J50" s="78">
        <f t="shared" ca="1" si="65"/>
        <v>0</v>
      </c>
      <c r="K50" s="78">
        <f t="shared" ca="1" si="29"/>
        <v>0</v>
      </c>
      <c r="L50" s="4">
        <f ca="1">SUMIFS(INDIRECT("Tab_00.Trial["&amp;L$4&amp;"]"),Tab_00.Trial[CONTA],$B50)</f>
        <v>0</v>
      </c>
      <c r="M50" s="78">
        <f t="shared" ca="1" si="66"/>
        <v>0</v>
      </c>
      <c r="N50" s="78">
        <f t="shared" ca="1" si="31"/>
        <v>0</v>
      </c>
      <c r="O50" s="4">
        <f ca="1">SUMIFS(INDIRECT("Tab_00.Trial["&amp;O$4&amp;"]"),Tab_00.Trial[CONTA],$B50)</f>
        <v>0</v>
      </c>
      <c r="P50" s="78">
        <f t="shared" ca="1" si="67"/>
        <v>0</v>
      </c>
      <c r="Q50" s="78">
        <f t="shared" ca="1" si="33"/>
        <v>0</v>
      </c>
      <c r="R50" s="4">
        <f ca="1">SUMIFS(INDIRECT("Tab_00.Trial["&amp;R$4&amp;"]"),Tab_00.Trial[CONTA],$B50)</f>
        <v>0</v>
      </c>
      <c r="S50" s="78">
        <f t="shared" ca="1" si="68"/>
        <v>0</v>
      </c>
      <c r="T50" s="78">
        <f t="shared" ca="1" si="35"/>
        <v>0</v>
      </c>
      <c r="U50" s="4">
        <f ca="1">SUMIFS(INDIRECT("Tab_00.Trial["&amp;U$4&amp;"]"),Tab_00.Trial[CONTA],$B50)</f>
        <v>0</v>
      </c>
      <c r="V50" s="78">
        <f t="shared" ca="1" si="69"/>
        <v>0</v>
      </c>
      <c r="W50" s="78">
        <f t="shared" ca="1" si="37"/>
        <v>0</v>
      </c>
      <c r="X50" s="4">
        <f ca="1">SUMIFS(INDIRECT("Tab_00.Trial["&amp;X$4&amp;"]"),Tab_00.Trial[CONTA],$B50)</f>
        <v>0</v>
      </c>
      <c r="Y50" s="78">
        <f t="shared" ca="1" si="70"/>
        <v>0</v>
      </c>
      <c r="Z50" s="78">
        <f t="shared" ca="1" si="39"/>
        <v>0</v>
      </c>
      <c r="AA50" s="4">
        <f ca="1">SUMIFS(INDIRECT("Tab_00.Trial["&amp;AA$4&amp;"]"),Tab_00.Trial[CONTA],$B50)</f>
        <v>0</v>
      </c>
      <c r="AB50" s="78">
        <f t="shared" ca="1" si="71"/>
        <v>0</v>
      </c>
      <c r="AC50" s="78">
        <f t="shared" ca="1" si="41"/>
        <v>0</v>
      </c>
      <c r="AD50" s="4">
        <f ca="1">SUMIFS(INDIRECT("Tab_00.Trial["&amp;AD$4&amp;"]"),Tab_00.Trial[CONTA],$B50)</f>
        <v>0</v>
      </c>
      <c r="AE50" s="78">
        <f t="shared" ca="1" si="72"/>
        <v>0</v>
      </c>
      <c r="AF50" s="78">
        <f t="shared" ca="1" si="43"/>
        <v>0</v>
      </c>
      <c r="AG50" s="4">
        <f ca="1">SUMIFS(INDIRECT("Tab_00.Trial["&amp;AG$4&amp;"]"),Tab_00.Trial[CONTA],$B50)</f>
        <v>0</v>
      </c>
      <c r="AH50" s="78">
        <f t="shared" ca="1" si="73"/>
        <v>0</v>
      </c>
      <c r="AI50" s="78">
        <f t="shared" ca="1" si="45"/>
        <v>0</v>
      </c>
      <c r="AJ50" s="4">
        <f ca="1">SUMIFS(INDIRECT("Tab_00.Trial["&amp;AJ$4&amp;"]"),Tab_00.Trial[CONTA],$B50)</f>
        <v>0</v>
      </c>
      <c r="AK50" s="78">
        <f t="shared" ca="1" si="74"/>
        <v>0</v>
      </c>
      <c r="AL50" s="78">
        <f t="shared" ca="1" si="47"/>
        <v>0</v>
      </c>
      <c r="AM50" s="4">
        <f ca="1">SUMIFS(INDIRECT("Tab_00.Trial["&amp;AM$4&amp;"]"),Tab_00.Trial[CONTA],$B50)</f>
        <v>0</v>
      </c>
      <c r="AN50" s="78">
        <f t="shared" ca="1" si="75"/>
        <v>0</v>
      </c>
      <c r="AO50" s="78">
        <f t="shared" ca="1" si="49"/>
        <v>0</v>
      </c>
    </row>
    <row r="51" spans="2:41" ht="15" customHeight="1" outlineLevel="1" x14ac:dyDescent="0.3">
      <c r="B51" s="14"/>
      <c r="C51" s="15"/>
      <c r="D51" s="4">
        <f>SUMIFS(Tab_99.Trial[DEZEMBRO],Tab_99.Trial[CONTA],$B51)</f>
        <v>0</v>
      </c>
      <c r="E51" s="78">
        <f t="shared" si="63"/>
        <v>0</v>
      </c>
      <c r="F51" s="4">
        <f ca="1">SUMIFS(INDIRECT("Tab_00.Trial["&amp;F$4&amp;"]"),Tab_00.Trial[CONTA],$B51)</f>
        <v>0</v>
      </c>
      <c r="G51" s="78">
        <f t="shared" ca="1" si="64"/>
        <v>0</v>
      </c>
      <c r="H51" s="78">
        <f t="shared" ca="1" si="27"/>
        <v>0</v>
      </c>
      <c r="I51" s="4">
        <f ca="1">SUMIFS(INDIRECT("Tab_00.Trial["&amp;I$4&amp;"]"),Tab_00.Trial[CONTA],$B51)</f>
        <v>0</v>
      </c>
      <c r="J51" s="78">
        <f t="shared" ca="1" si="65"/>
        <v>0</v>
      </c>
      <c r="K51" s="78">
        <f t="shared" ca="1" si="29"/>
        <v>0</v>
      </c>
      <c r="L51" s="4">
        <f ca="1">SUMIFS(INDIRECT("Tab_00.Trial["&amp;L$4&amp;"]"),Tab_00.Trial[CONTA],$B51)</f>
        <v>0</v>
      </c>
      <c r="M51" s="78">
        <f t="shared" ca="1" si="66"/>
        <v>0</v>
      </c>
      <c r="N51" s="78">
        <f t="shared" ca="1" si="31"/>
        <v>0</v>
      </c>
      <c r="O51" s="4">
        <f ca="1">SUMIFS(INDIRECT("Tab_00.Trial["&amp;O$4&amp;"]"),Tab_00.Trial[CONTA],$B51)</f>
        <v>0</v>
      </c>
      <c r="P51" s="78">
        <f t="shared" ca="1" si="67"/>
        <v>0</v>
      </c>
      <c r="Q51" s="78">
        <f t="shared" ca="1" si="33"/>
        <v>0</v>
      </c>
      <c r="R51" s="4">
        <f ca="1">SUMIFS(INDIRECT("Tab_00.Trial["&amp;R$4&amp;"]"),Tab_00.Trial[CONTA],$B51)</f>
        <v>0</v>
      </c>
      <c r="S51" s="78">
        <f t="shared" ca="1" si="68"/>
        <v>0</v>
      </c>
      <c r="T51" s="78">
        <f t="shared" ca="1" si="35"/>
        <v>0</v>
      </c>
      <c r="U51" s="4">
        <f ca="1">SUMIFS(INDIRECT("Tab_00.Trial["&amp;U$4&amp;"]"),Tab_00.Trial[CONTA],$B51)</f>
        <v>0</v>
      </c>
      <c r="V51" s="78">
        <f t="shared" ca="1" si="69"/>
        <v>0</v>
      </c>
      <c r="W51" s="78">
        <f t="shared" ca="1" si="37"/>
        <v>0</v>
      </c>
      <c r="X51" s="4">
        <f ca="1">SUMIFS(INDIRECT("Tab_00.Trial["&amp;X$4&amp;"]"),Tab_00.Trial[CONTA],$B51)</f>
        <v>0</v>
      </c>
      <c r="Y51" s="78">
        <f t="shared" ca="1" si="70"/>
        <v>0</v>
      </c>
      <c r="Z51" s="78">
        <f t="shared" ca="1" si="39"/>
        <v>0</v>
      </c>
      <c r="AA51" s="4">
        <f ca="1">SUMIFS(INDIRECT("Tab_00.Trial["&amp;AA$4&amp;"]"),Tab_00.Trial[CONTA],$B51)</f>
        <v>0</v>
      </c>
      <c r="AB51" s="78">
        <f t="shared" ca="1" si="71"/>
        <v>0</v>
      </c>
      <c r="AC51" s="78">
        <f t="shared" ca="1" si="41"/>
        <v>0</v>
      </c>
      <c r="AD51" s="4">
        <f ca="1">SUMIFS(INDIRECT("Tab_00.Trial["&amp;AD$4&amp;"]"),Tab_00.Trial[CONTA],$B51)</f>
        <v>0</v>
      </c>
      <c r="AE51" s="78">
        <f t="shared" ca="1" si="72"/>
        <v>0</v>
      </c>
      <c r="AF51" s="78">
        <f t="shared" ca="1" si="43"/>
        <v>0</v>
      </c>
      <c r="AG51" s="4">
        <f ca="1">SUMIFS(INDIRECT("Tab_00.Trial["&amp;AG$4&amp;"]"),Tab_00.Trial[CONTA],$B51)</f>
        <v>0</v>
      </c>
      <c r="AH51" s="78">
        <f t="shared" ca="1" si="73"/>
        <v>0</v>
      </c>
      <c r="AI51" s="78">
        <f t="shared" ca="1" si="45"/>
        <v>0</v>
      </c>
      <c r="AJ51" s="4">
        <f ca="1">SUMIFS(INDIRECT("Tab_00.Trial["&amp;AJ$4&amp;"]"),Tab_00.Trial[CONTA],$B51)</f>
        <v>0</v>
      </c>
      <c r="AK51" s="78">
        <f t="shared" ca="1" si="74"/>
        <v>0</v>
      </c>
      <c r="AL51" s="78">
        <f t="shared" ca="1" si="47"/>
        <v>0</v>
      </c>
      <c r="AM51" s="4">
        <f ca="1">SUMIFS(INDIRECT("Tab_00.Trial["&amp;AM$4&amp;"]"),Tab_00.Trial[CONTA],$B51)</f>
        <v>0</v>
      </c>
      <c r="AN51" s="78">
        <f t="shared" ca="1" si="75"/>
        <v>0</v>
      </c>
      <c r="AO51" s="78">
        <f t="shared" ca="1" si="49"/>
        <v>0</v>
      </c>
    </row>
    <row r="52" spans="2:41" ht="15" customHeight="1" outlineLevel="1" x14ac:dyDescent="0.3">
      <c r="B52" s="14"/>
      <c r="C52" s="15"/>
      <c r="D52" s="4">
        <f>SUMIFS(Tab_99.Trial[DEZEMBRO],Tab_99.Trial[CONTA],$B52)</f>
        <v>0</v>
      </c>
      <c r="E52" s="78">
        <f t="shared" si="63"/>
        <v>0</v>
      </c>
      <c r="F52" s="4">
        <f ca="1">SUMIFS(INDIRECT("Tab_00.Trial["&amp;F$4&amp;"]"),Tab_00.Trial[CONTA],$B52)</f>
        <v>0</v>
      </c>
      <c r="G52" s="78">
        <f t="shared" ca="1" si="64"/>
        <v>0</v>
      </c>
      <c r="H52" s="78">
        <f t="shared" ca="1" si="27"/>
        <v>0</v>
      </c>
      <c r="I52" s="4">
        <f ca="1">SUMIFS(INDIRECT("Tab_00.Trial["&amp;I$4&amp;"]"),Tab_00.Trial[CONTA],$B52)</f>
        <v>0</v>
      </c>
      <c r="J52" s="78">
        <f t="shared" ca="1" si="65"/>
        <v>0</v>
      </c>
      <c r="K52" s="78">
        <f t="shared" ca="1" si="29"/>
        <v>0</v>
      </c>
      <c r="L52" s="4">
        <f ca="1">SUMIFS(INDIRECT("Tab_00.Trial["&amp;L$4&amp;"]"),Tab_00.Trial[CONTA],$B52)</f>
        <v>0</v>
      </c>
      <c r="M52" s="78">
        <f t="shared" ca="1" si="66"/>
        <v>0</v>
      </c>
      <c r="N52" s="78">
        <f t="shared" ca="1" si="31"/>
        <v>0</v>
      </c>
      <c r="O52" s="4">
        <f ca="1">SUMIFS(INDIRECT("Tab_00.Trial["&amp;O$4&amp;"]"),Tab_00.Trial[CONTA],$B52)</f>
        <v>0</v>
      </c>
      <c r="P52" s="78">
        <f t="shared" ca="1" si="67"/>
        <v>0</v>
      </c>
      <c r="Q52" s="78">
        <f t="shared" ca="1" si="33"/>
        <v>0</v>
      </c>
      <c r="R52" s="4">
        <f ca="1">SUMIFS(INDIRECT("Tab_00.Trial["&amp;R$4&amp;"]"),Tab_00.Trial[CONTA],$B52)</f>
        <v>0</v>
      </c>
      <c r="S52" s="78">
        <f t="shared" ca="1" si="68"/>
        <v>0</v>
      </c>
      <c r="T52" s="78">
        <f t="shared" ca="1" si="35"/>
        <v>0</v>
      </c>
      <c r="U52" s="4">
        <f ca="1">SUMIFS(INDIRECT("Tab_00.Trial["&amp;U$4&amp;"]"),Tab_00.Trial[CONTA],$B52)</f>
        <v>0</v>
      </c>
      <c r="V52" s="78">
        <f t="shared" ca="1" si="69"/>
        <v>0</v>
      </c>
      <c r="W52" s="78">
        <f t="shared" ca="1" si="37"/>
        <v>0</v>
      </c>
      <c r="X52" s="4">
        <f ca="1">SUMIFS(INDIRECT("Tab_00.Trial["&amp;X$4&amp;"]"),Tab_00.Trial[CONTA],$B52)</f>
        <v>0</v>
      </c>
      <c r="Y52" s="78">
        <f t="shared" ca="1" si="70"/>
        <v>0</v>
      </c>
      <c r="Z52" s="78">
        <f t="shared" ca="1" si="39"/>
        <v>0</v>
      </c>
      <c r="AA52" s="4">
        <f ca="1">SUMIFS(INDIRECT("Tab_00.Trial["&amp;AA$4&amp;"]"),Tab_00.Trial[CONTA],$B52)</f>
        <v>0</v>
      </c>
      <c r="AB52" s="78">
        <f t="shared" ca="1" si="71"/>
        <v>0</v>
      </c>
      <c r="AC52" s="78">
        <f t="shared" ca="1" si="41"/>
        <v>0</v>
      </c>
      <c r="AD52" s="4">
        <f ca="1">SUMIFS(INDIRECT("Tab_00.Trial["&amp;AD$4&amp;"]"),Tab_00.Trial[CONTA],$B52)</f>
        <v>0</v>
      </c>
      <c r="AE52" s="78">
        <f t="shared" ca="1" si="72"/>
        <v>0</v>
      </c>
      <c r="AF52" s="78">
        <f t="shared" ca="1" si="43"/>
        <v>0</v>
      </c>
      <c r="AG52" s="4">
        <f ca="1">SUMIFS(INDIRECT("Tab_00.Trial["&amp;AG$4&amp;"]"),Tab_00.Trial[CONTA],$B52)</f>
        <v>0</v>
      </c>
      <c r="AH52" s="78">
        <f t="shared" ca="1" si="73"/>
        <v>0</v>
      </c>
      <c r="AI52" s="78">
        <f t="shared" ca="1" si="45"/>
        <v>0</v>
      </c>
      <c r="AJ52" s="4">
        <f ca="1">SUMIFS(INDIRECT("Tab_00.Trial["&amp;AJ$4&amp;"]"),Tab_00.Trial[CONTA],$B52)</f>
        <v>0</v>
      </c>
      <c r="AK52" s="78">
        <f t="shared" ca="1" si="74"/>
        <v>0</v>
      </c>
      <c r="AL52" s="78">
        <f t="shared" ca="1" si="47"/>
        <v>0</v>
      </c>
      <c r="AM52" s="4">
        <f ca="1">SUMIFS(INDIRECT("Tab_00.Trial["&amp;AM$4&amp;"]"),Tab_00.Trial[CONTA],$B52)</f>
        <v>0</v>
      </c>
      <c r="AN52" s="78">
        <f t="shared" ca="1" si="75"/>
        <v>0</v>
      </c>
      <c r="AO52" s="78">
        <f t="shared" ca="1" si="49"/>
        <v>0</v>
      </c>
    </row>
    <row r="53" spans="2:41" ht="15" customHeight="1" outlineLevel="1" x14ac:dyDescent="0.3">
      <c r="B53" s="14"/>
      <c r="C53" s="15"/>
      <c r="D53" s="4">
        <f>SUMIFS(Tab_99.Trial[DEZEMBRO],Tab_99.Trial[CONTA],$B53)</f>
        <v>0</v>
      </c>
      <c r="E53" s="78">
        <f t="shared" si="63"/>
        <v>0</v>
      </c>
      <c r="F53" s="4">
        <f ca="1">SUMIFS(INDIRECT("Tab_00.Trial["&amp;F$4&amp;"]"),Tab_00.Trial[CONTA],$B53)</f>
        <v>0</v>
      </c>
      <c r="G53" s="78">
        <f t="shared" ca="1" si="64"/>
        <v>0</v>
      </c>
      <c r="H53" s="78">
        <f t="shared" ca="1" si="27"/>
        <v>0</v>
      </c>
      <c r="I53" s="4">
        <f ca="1">SUMIFS(INDIRECT("Tab_00.Trial["&amp;I$4&amp;"]"),Tab_00.Trial[CONTA],$B53)</f>
        <v>0</v>
      </c>
      <c r="J53" s="78">
        <f t="shared" ca="1" si="65"/>
        <v>0</v>
      </c>
      <c r="K53" s="78">
        <f t="shared" ca="1" si="29"/>
        <v>0</v>
      </c>
      <c r="L53" s="4">
        <f ca="1">SUMIFS(INDIRECT("Tab_00.Trial["&amp;L$4&amp;"]"),Tab_00.Trial[CONTA],$B53)</f>
        <v>0</v>
      </c>
      <c r="M53" s="78">
        <f t="shared" ca="1" si="66"/>
        <v>0</v>
      </c>
      <c r="N53" s="78">
        <f t="shared" ca="1" si="31"/>
        <v>0</v>
      </c>
      <c r="O53" s="4">
        <f ca="1">SUMIFS(INDIRECT("Tab_00.Trial["&amp;O$4&amp;"]"),Tab_00.Trial[CONTA],$B53)</f>
        <v>0</v>
      </c>
      <c r="P53" s="78">
        <f t="shared" ca="1" si="67"/>
        <v>0</v>
      </c>
      <c r="Q53" s="78">
        <f t="shared" ca="1" si="33"/>
        <v>0</v>
      </c>
      <c r="R53" s="4">
        <f ca="1">SUMIFS(INDIRECT("Tab_00.Trial["&amp;R$4&amp;"]"),Tab_00.Trial[CONTA],$B53)</f>
        <v>0</v>
      </c>
      <c r="S53" s="78">
        <f t="shared" ca="1" si="68"/>
        <v>0</v>
      </c>
      <c r="T53" s="78">
        <f t="shared" ca="1" si="35"/>
        <v>0</v>
      </c>
      <c r="U53" s="4">
        <f ca="1">SUMIFS(INDIRECT("Tab_00.Trial["&amp;U$4&amp;"]"),Tab_00.Trial[CONTA],$B53)</f>
        <v>0</v>
      </c>
      <c r="V53" s="78">
        <f t="shared" ca="1" si="69"/>
        <v>0</v>
      </c>
      <c r="W53" s="78">
        <f t="shared" ca="1" si="37"/>
        <v>0</v>
      </c>
      <c r="X53" s="4">
        <f ca="1">SUMIFS(INDIRECT("Tab_00.Trial["&amp;X$4&amp;"]"),Tab_00.Trial[CONTA],$B53)</f>
        <v>0</v>
      </c>
      <c r="Y53" s="78">
        <f t="shared" ca="1" si="70"/>
        <v>0</v>
      </c>
      <c r="Z53" s="78">
        <f t="shared" ca="1" si="39"/>
        <v>0</v>
      </c>
      <c r="AA53" s="4">
        <f ca="1">SUMIFS(INDIRECT("Tab_00.Trial["&amp;AA$4&amp;"]"),Tab_00.Trial[CONTA],$B53)</f>
        <v>0</v>
      </c>
      <c r="AB53" s="78">
        <f t="shared" ca="1" si="71"/>
        <v>0</v>
      </c>
      <c r="AC53" s="78">
        <f t="shared" ca="1" si="41"/>
        <v>0</v>
      </c>
      <c r="AD53" s="4">
        <f ca="1">SUMIFS(INDIRECT("Tab_00.Trial["&amp;AD$4&amp;"]"),Tab_00.Trial[CONTA],$B53)</f>
        <v>0</v>
      </c>
      <c r="AE53" s="78">
        <f t="shared" ca="1" si="72"/>
        <v>0</v>
      </c>
      <c r="AF53" s="78">
        <f t="shared" ca="1" si="43"/>
        <v>0</v>
      </c>
      <c r="AG53" s="4">
        <f ca="1">SUMIFS(INDIRECT("Tab_00.Trial["&amp;AG$4&amp;"]"),Tab_00.Trial[CONTA],$B53)</f>
        <v>0</v>
      </c>
      <c r="AH53" s="78">
        <f t="shared" ca="1" si="73"/>
        <v>0</v>
      </c>
      <c r="AI53" s="78">
        <f t="shared" ca="1" si="45"/>
        <v>0</v>
      </c>
      <c r="AJ53" s="4">
        <f ca="1">SUMIFS(INDIRECT("Tab_00.Trial["&amp;AJ$4&amp;"]"),Tab_00.Trial[CONTA],$B53)</f>
        <v>0</v>
      </c>
      <c r="AK53" s="78">
        <f t="shared" ca="1" si="74"/>
        <v>0</v>
      </c>
      <c r="AL53" s="78">
        <f t="shared" ca="1" si="47"/>
        <v>0</v>
      </c>
      <c r="AM53" s="4">
        <f ca="1">SUMIFS(INDIRECT("Tab_00.Trial["&amp;AM$4&amp;"]"),Tab_00.Trial[CONTA],$B53)</f>
        <v>0</v>
      </c>
      <c r="AN53" s="78">
        <f t="shared" ca="1" si="75"/>
        <v>0</v>
      </c>
      <c r="AO53" s="78">
        <f t="shared" ca="1" si="49"/>
        <v>0</v>
      </c>
    </row>
    <row r="54" spans="2:41" ht="15" customHeight="1" outlineLevel="1" x14ac:dyDescent="0.3">
      <c r="B54" s="14"/>
      <c r="C54" s="15"/>
      <c r="D54" s="4">
        <f>SUMIFS(Tab_99.Trial[DEZEMBRO],Tab_99.Trial[CONTA],$B54)</f>
        <v>0</v>
      </c>
      <c r="E54" s="78">
        <f t="shared" si="63"/>
        <v>0</v>
      </c>
      <c r="F54" s="4">
        <f ca="1">SUMIFS(INDIRECT("Tab_00.Trial["&amp;F$4&amp;"]"),Tab_00.Trial[CONTA],$B54)</f>
        <v>0</v>
      </c>
      <c r="G54" s="78">
        <f t="shared" ca="1" si="64"/>
        <v>0</v>
      </c>
      <c r="H54" s="78">
        <f t="shared" ca="1" si="27"/>
        <v>0</v>
      </c>
      <c r="I54" s="4">
        <f ca="1">SUMIFS(INDIRECT("Tab_00.Trial["&amp;I$4&amp;"]"),Tab_00.Trial[CONTA],$B54)</f>
        <v>0</v>
      </c>
      <c r="J54" s="78">
        <f t="shared" ca="1" si="65"/>
        <v>0</v>
      </c>
      <c r="K54" s="78">
        <f t="shared" ca="1" si="29"/>
        <v>0</v>
      </c>
      <c r="L54" s="4">
        <f ca="1">SUMIFS(INDIRECT("Tab_00.Trial["&amp;L$4&amp;"]"),Tab_00.Trial[CONTA],$B54)</f>
        <v>0</v>
      </c>
      <c r="M54" s="78">
        <f t="shared" ca="1" si="66"/>
        <v>0</v>
      </c>
      <c r="N54" s="78">
        <f t="shared" ca="1" si="31"/>
        <v>0</v>
      </c>
      <c r="O54" s="4">
        <f ca="1">SUMIFS(INDIRECT("Tab_00.Trial["&amp;O$4&amp;"]"),Tab_00.Trial[CONTA],$B54)</f>
        <v>0</v>
      </c>
      <c r="P54" s="78">
        <f t="shared" ca="1" si="67"/>
        <v>0</v>
      </c>
      <c r="Q54" s="78">
        <f t="shared" ca="1" si="33"/>
        <v>0</v>
      </c>
      <c r="R54" s="4">
        <f ca="1">SUMIFS(INDIRECT("Tab_00.Trial["&amp;R$4&amp;"]"),Tab_00.Trial[CONTA],$B54)</f>
        <v>0</v>
      </c>
      <c r="S54" s="78">
        <f t="shared" ca="1" si="68"/>
        <v>0</v>
      </c>
      <c r="T54" s="78">
        <f t="shared" ca="1" si="35"/>
        <v>0</v>
      </c>
      <c r="U54" s="4">
        <f ca="1">SUMIFS(INDIRECT("Tab_00.Trial["&amp;U$4&amp;"]"),Tab_00.Trial[CONTA],$B54)</f>
        <v>0</v>
      </c>
      <c r="V54" s="78">
        <f t="shared" ca="1" si="69"/>
        <v>0</v>
      </c>
      <c r="W54" s="78">
        <f t="shared" ca="1" si="37"/>
        <v>0</v>
      </c>
      <c r="X54" s="4">
        <f ca="1">SUMIFS(INDIRECT("Tab_00.Trial["&amp;X$4&amp;"]"),Tab_00.Trial[CONTA],$B54)</f>
        <v>0</v>
      </c>
      <c r="Y54" s="78">
        <f t="shared" ca="1" si="70"/>
        <v>0</v>
      </c>
      <c r="Z54" s="78">
        <f t="shared" ca="1" si="39"/>
        <v>0</v>
      </c>
      <c r="AA54" s="4">
        <f ca="1">SUMIFS(INDIRECT("Tab_00.Trial["&amp;AA$4&amp;"]"),Tab_00.Trial[CONTA],$B54)</f>
        <v>0</v>
      </c>
      <c r="AB54" s="78">
        <f t="shared" ca="1" si="71"/>
        <v>0</v>
      </c>
      <c r="AC54" s="78">
        <f t="shared" ca="1" si="41"/>
        <v>0</v>
      </c>
      <c r="AD54" s="4">
        <f ca="1">SUMIFS(INDIRECT("Tab_00.Trial["&amp;AD$4&amp;"]"),Tab_00.Trial[CONTA],$B54)</f>
        <v>0</v>
      </c>
      <c r="AE54" s="78">
        <f t="shared" ca="1" si="72"/>
        <v>0</v>
      </c>
      <c r="AF54" s="78">
        <f t="shared" ca="1" si="43"/>
        <v>0</v>
      </c>
      <c r="AG54" s="4">
        <f ca="1">SUMIFS(INDIRECT("Tab_00.Trial["&amp;AG$4&amp;"]"),Tab_00.Trial[CONTA],$B54)</f>
        <v>0</v>
      </c>
      <c r="AH54" s="78">
        <f t="shared" ca="1" si="73"/>
        <v>0</v>
      </c>
      <c r="AI54" s="78">
        <f t="shared" ca="1" si="45"/>
        <v>0</v>
      </c>
      <c r="AJ54" s="4">
        <f ca="1">SUMIFS(INDIRECT("Tab_00.Trial["&amp;AJ$4&amp;"]"),Tab_00.Trial[CONTA],$B54)</f>
        <v>0</v>
      </c>
      <c r="AK54" s="78">
        <f t="shared" ca="1" si="74"/>
        <v>0</v>
      </c>
      <c r="AL54" s="78">
        <f t="shared" ca="1" si="47"/>
        <v>0</v>
      </c>
      <c r="AM54" s="4">
        <f ca="1">SUMIFS(INDIRECT("Tab_00.Trial["&amp;AM$4&amp;"]"),Tab_00.Trial[CONTA],$B54)</f>
        <v>0</v>
      </c>
      <c r="AN54" s="78">
        <f t="shared" ca="1" si="75"/>
        <v>0</v>
      </c>
      <c r="AO54" s="78">
        <f t="shared" ca="1" si="49"/>
        <v>0</v>
      </c>
    </row>
    <row r="55" spans="2:41" ht="15" customHeight="1" outlineLevel="1" x14ac:dyDescent="0.3">
      <c r="B55" s="14"/>
      <c r="C55" s="15"/>
      <c r="D55" s="4">
        <f>SUMIFS(Tab_99.Trial[DEZEMBRO],Tab_99.Trial[CONTA],$B55)</f>
        <v>0</v>
      </c>
      <c r="E55" s="78">
        <f t="shared" si="63"/>
        <v>0</v>
      </c>
      <c r="F55" s="4">
        <f ca="1">SUMIFS(INDIRECT("Tab_00.Trial["&amp;F$4&amp;"]"),Tab_00.Trial[CONTA],$B55)</f>
        <v>0</v>
      </c>
      <c r="G55" s="78">
        <f t="shared" ca="1" si="64"/>
        <v>0</v>
      </c>
      <c r="H55" s="78">
        <f t="shared" ca="1" si="27"/>
        <v>0</v>
      </c>
      <c r="I55" s="4">
        <f ca="1">SUMIFS(INDIRECT("Tab_00.Trial["&amp;I$4&amp;"]"),Tab_00.Trial[CONTA],$B55)</f>
        <v>0</v>
      </c>
      <c r="J55" s="78">
        <f t="shared" ca="1" si="65"/>
        <v>0</v>
      </c>
      <c r="K55" s="78">
        <f t="shared" ca="1" si="29"/>
        <v>0</v>
      </c>
      <c r="L55" s="4">
        <f ca="1">SUMIFS(INDIRECT("Tab_00.Trial["&amp;L$4&amp;"]"),Tab_00.Trial[CONTA],$B55)</f>
        <v>0</v>
      </c>
      <c r="M55" s="78">
        <f t="shared" ca="1" si="66"/>
        <v>0</v>
      </c>
      <c r="N55" s="78">
        <f t="shared" ca="1" si="31"/>
        <v>0</v>
      </c>
      <c r="O55" s="4">
        <f ca="1">SUMIFS(INDIRECT("Tab_00.Trial["&amp;O$4&amp;"]"),Tab_00.Trial[CONTA],$B55)</f>
        <v>0</v>
      </c>
      <c r="P55" s="78">
        <f t="shared" ca="1" si="67"/>
        <v>0</v>
      </c>
      <c r="Q55" s="78">
        <f t="shared" ca="1" si="33"/>
        <v>0</v>
      </c>
      <c r="R55" s="4">
        <f ca="1">SUMIFS(INDIRECT("Tab_00.Trial["&amp;R$4&amp;"]"),Tab_00.Trial[CONTA],$B55)</f>
        <v>0</v>
      </c>
      <c r="S55" s="78">
        <f t="shared" ca="1" si="68"/>
        <v>0</v>
      </c>
      <c r="T55" s="78">
        <f t="shared" ca="1" si="35"/>
        <v>0</v>
      </c>
      <c r="U55" s="4">
        <f ca="1">SUMIFS(INDIRECT("Tab_00.Trial["&amp;U$4&amp;"]"),Tab_00.Trial[CONTA],$B55)</f>
        <v>0</v>
      </c>
      <c r="V55" s="78">
        <f t="shared" ca="1" si="69"/>
        <v>0</v>
      </c>
      <c r="W55" s="78">
        <f t="shared" ca="1" si="37"/>
        <v>0</v>
      </c>
      <c r="X55" s="4">
        <f ca="1">SUMIFS(INDIRECT("Tab_00.Trial["&amp;X$4&amp;"]"),Tab_00.Trial[CONTA],$B55)</f>
        <v>0</v>
      </c>
      <c r="Y55" s="78">
        <f t="shared" ca="1" si="70"/>
        <v>0</v>
      </c>
      <c r="Z55" s="78">
        <f t="shared" ca="1" si="39"/>
        <v>0</v>
      </c>
      <c r="AA55" s="4">
        <f ca="1">SUMIFS(INDIRECT("Tab_00.Trial["&amp;AA$4&amp;"]"),Tab_00.Trial[CONTA],$B55)</f>
        <v>0</v>
      </c>
      <c r="AB55" s="78">
        <f t="shared" ca="1" si="71"/>
        <v>0</v>
      </c>
      <c r="AC55" s="78">
        <f t="shared" ca="1" si="41"/>
        <v>0</v>
      </c>
      <c r="AD55" s="4">
        <f ca="1">SUMIFS(INDIRECT("Tab_00.Trial["&amp;AD$4&amp;"]"),Tab_00.Trial[CONTA],$B55)</f>
        <v>0</v>
      </c>
      <c r="AE55" s="78">
        <f t="shared" ca="1" si="72"/>
        <v>0</v>
      </c>
      <c r="AF55" s="78">
        <f t="shared" ca="1" si="43"/>
        <v>0</v>
      </c>
      <c r="AG55" s="4">
        <f ca="1">SUMIFS(INDIRECT("Tab_00.Trial["&amp;AG$4&amp;"]"),Tab_00.Trial[CONTA],$B55)</f>
        <v>0</v>
      </c>
      <c r="AH55" s="78">
        <f t="shared" ca="1" si="73"/>
        <v>0</v>
      </c>
      <c r="AI55" s="78">
        <f t="shared" ca="1" si="45"/>
        <v>0</v>
      </c>
      <c r="AJ55" s="4">
        <f ca="1">SUMIFS(INDIRECT("Tab_00.Trial["&amp;AJ$4&amp;"]"),Tab_00.Trial[CONTA],$B55)</f>
        <v>0</v>
      </c>
      <c r="AK55" s="78">
        <f t="shared" ca="1" si="74"/>
        <v>0</v>
      </c>
      <c r="AL55" s="78">
        <f t="shared" ca="1" si="47"/>
        <v>0</v>
      </c>
      <c r="AM55" s="4">
        <f ca="1">SUMIFS(INDIRECT("Tab_00.Trial["&amp;AM$4&amp;"]"),Tab_00.Trial[CONTA],$B55)</f>
        <v>0</v>
      </c>
      <c r="AN55" s="78">
        <f t="shared" ca="1" si="75"/>
        <v>0</v>
      </c>
      <c r="AO55" s="78">
        <f t="shared" ca="1" si="49"/>
        <v>0</v>
      </c>
    </row>
    <row r="56" spans="2:41" ht="15" customHeight="1" outlineLevel="1" x14ac:dyDescent="0.3">
      <c r="B56" s="14"/>
      <c r="C56" s="15"/>
      <c r="D56" s="4">
        <f>SUMIFS(Tab_99.Trial[DEZEMBRO],Tab_99.Trial[CONTA],$B56)</f>
        <v>0</v>
      </c>
      <c r="E56" s="78">
        <f t="shared" si="63"/>
        <v>0</v>
      </c>
      <c r="F56" s="4">
        <f ca="1">SUMIFS(INDIRECT("Tab_00.Trial["&amp;F$4&amp;"]"),Tab_00.Trial[CONTA],$B56)</f>
        <v>0</v>
      </c>
      <c r="G56" s="78">
        <f t="shared" ca="1" si="64"/>
        <v>0</v>
      </c>
      <c r="H56" s="78">
        <f t="shared" ca="1" si="27"/>
        <v>0</v>
      </c>
      <c r="I56" s="4">
        <f ca="1">SUMIFS(INDIRECT("Tab_00.Trial["&amp;I$4&amp;"]"),Tab_00.Trial[CONTA],$B56)</f>
        <v>0</v>
      </c>
      <c r="J56" s="78">
        <f t="shared" ca="1" si="65"/>
        <v>0</v>
      </c>
      <c r="K56" s="78">
        <f t="shared" ca="1" si="29"/>
        <v>0</v>
      </c>
      <c r="L56" s="4">
        <f ca="1">SUMIFS(INDIRECT("Tab_00.Trial["&amp;L$4&amp;"]"),Tab_00.Trial[CONTA],$B56)</f>
        <v>0</v>
      </c>
      <c r="M56" s="78">
        <f t="shared" ca="1" si="66"/>
        <v>0</v>
      </c>
      <c r="N56" s="78">
        <f t="shared" ca="1" si="31"/>
        <v>0</v>
      </c>
      <c r="O56" s="4">
        <f ca="1">SUMIFS(INDIRECT("Tab_00.Trial["&amp;O$4&amp;"]"),Tab_00.Trial[CONTA],$B56)</f>
        <v>0</v>
      </c>
      <c r="P56" s="78">
        <f t="shared" ca="1" si="67"/>
        <v>0</v>
      </c>
      <c r="Q56" s="78">
        <f t="shared" ca="1" si="33"/>
        <v>0</v>
      </c>
      <c r="R56" s="4">
        <f ca="1">SUMIFS(INDIRECT("Tab_00.Trial["&amp;R$4&amp;"]"),Tab_00.Trial[CONTA],$B56)</f>
        <v>0</v>
      </c>
      <c r="S56" s="78">
        <f t="shared" ca="1" si="68"/>
        <v>0</v>
      </c>
      <c r="T56" s="78">
        <f t="shared" ca="1" si="35"/>
        <v>0</v>
      </c>
      <c r="U56" s="4">
        <f ca="1">SUMIFS(INDIRECT("Tab_00.Trial["&amp;U$4&amp;"]"),Tab_00.Trial[CONTA],$B56)</f>
        <v>0</v>
      </c>
      <c r="V56" s="78">
        <f t="shared" ca="1" si="69"/>
        <v>0</v>
      </c>
      <c r="W56" s="78">
        <f t="shared" ca="1" si="37"/>
        <v>0</v>
      </c>
      <c r="X56" s="4">
        <f ca="1">SUMIFS(INDIRECT("Tab_00.Trial["&amp;X$4&amp;"]"),Tab_00.Trial[CONTA],$B56)</f>
        <v>0</v>
      </c>
      <c r="Y56" s="78">
        <f t="shared" ca="1" si="70"/>
        <v>0</v>
      </c>
      <c r="Z56" s="78">
        <f t="shared" ca="1" si="39"/>
        <v>0</v>
      </c>
      <c r="AA56" s="4">
        <f ca="1">SUMIFS(INDIRECT("Tab_00.Trial["&amp;AA$4&amp;"]"),Tab_00.Trial[CONTA],$B56)</f>
        <v>0</v>
      </c>
      <c r="AB56" s="78">
        <f t="shared" ca="1" si="71"/>
        <v>0</v>
      </c>
      <c r="AC56" s="78">
        <f t="shared" ca="1" si="41"/>
        <v>0</v>
      </c>
      <c r="AD56" s="4">
        <f ca="1">SUMIFS(INDIRECT("Tab_00.Trial["&amp;AD$4&amp;"]"),Tab_00.Trial[CONTA],$B56)</f>
        <v>0</v>
      </c>
      <c r="AE56" s="78">
        <f t="shared" ca="1" si="72"/>
        <v>0</v>
      </c>
      <c r="AF56" s="78">
        <f t="shared" ca="1" si="43"/>
        <v>0</v>
      </c>
      <c r="AG56" s="4">
        <f ca="1">SUMIFS(INDIRECT("Tab_00.Trial["&amp;AG$4&amp;"]"),Tab_00.Trial[CONTA],$B56)</f>
        <v>0</v>
      </c>
      <c r="AH56" s="78">
        <f t="shared" ca="1" si="73"/>
        <v>0</v>
      </c>
      <c r="AI56" s="78">
        <f t="shared" ca="1" si="45"/>
        <v>0</v>
      </c>
      <c r="AJ56" s="4">
        <f ca="1">SUMIFS(INDIRECT("Tab_00.Trial["&amp;AJ$4&amp;"]"),Tab_00.Trial[CONTA],$B56)</f>
        <v>0</v>
      </c>
      <c r="AK56" s="78">
        <f t="shared" ca="1" si="74"/>
        <v>0</v>
      </c>
      <c r="AL56" s="78">
        <f t="shared" ca="1" si="47"/>
        <v>0</v>
      </c>
      <c r="AM56" s="4">
        <f ca="1">SUMIFS(INDIRECT("Tab_00.Trial["&amp;AM$4&amp;"]"),Tab_00.Trial[CONTA],$B56)</f>
        <v>0</v>
      </c>
      <c r="AN56" s="78">
        <f t="shared" ca="1" si="75"/>
        <v>0</v>
      </c>
      <c r="AO56" s="78">
        <f t="shared" ca="1" si="49"/>
        <v>0</v>
      </c>
    </row>
    <row r="57" spans="2:41" ht="15" customHeight="1" outlineLevel="1" x14ac:dyDescent="0.3">
      <c r="B57" s="14"/>
      <c r="C57" s="15"/>
      <c r="D57" s="4">
        <f>SUMIFS(Tab_99.Trial[DEZEMBRO],Tab_99.Trial[CONTA],$B57)</f>
        <v>0</v>
      </c>
      <c r="E57" s="78">
        <f t="shared" si="63"/>
        <v>0</v>
      </c>
      <c r="F57" s="4">
        <f ca="1">SUMIFS(INDIRECT("Tab_00.Trial["&amp;F$4&amp;"]"),Tab_00.Trial[CONTA],$B57)</f>
        <v>0</v>
      </c>
      <c r="G57" s="78">
        <f t="shared" ca="1" si="64"/>
        <v>0</v>
      </c>
      <c r="H57" s="78">
        <f t="shared" ca="1" si="27"/>
        <v>0</v>
      </c>
      <c r="I57" s="4">
        <f ca="1">SUMIFS(INDIRECT("Tab_00.Trial["&amp;I$4&amp;"]"),Tab_00.Trial[CONTA],$B57)</f>
        <v>0</v>
      </c>
      <c r="J57" s="78">
        <f t="shared" ca="1" si="65"/>
        <v>0</v>
      </c>
      <c r="K57" s="78">
        <f t="shared" ca="1" si="29"/>
        <v>0</v>
      </c>
      <c r="L57" s="4">
        <f ca="1">SUMIFS(INDIRECT("Tab_00.Trial["&amp;L$4&amp;"]"),Tab_00.Trial[CONTA],$B57)</f>
        <v>0</v>
      </c>
      <c r="M57" s="78">
        <f t="shared" ca="1" si="66"/>
        <v>0</v>
      </c>
      <c r="N57" s="78">
        <f t="shared" ca="1" si="31"/>
        <v>0</v>
      </c>
      <c r="O57" s="4">
        <f ca="1">SUMIFS(INDIRECT("Tab_00.Trial["&amp;O$4&amp;"]"),Tab_00.Trial[CONTA],$B57)</f>
        <v>0</v>
      </c>
      <c r="P57" s="78">
        <f t="shared" ca="1" si="67"/>
        <v>0</v>
      </c>
      <c r="Q57" s="78">
        <f t="shared" ca="1" si="33"/>
        <v>0</v>
      </c>
      <c r="R57" s="4">
        <f ca="1">SUMIFS(INDIRECT("Tab_00.Trial["&amp;R$4&amp;"]"),Tab_00.Trial[CONTA],$B57)</f>
        <v>0</v>
      </c>
      <c r="S57" s="78">
        <f t="shared" ca="1" si="68"/>
        <v>0</v>
      </c>
      <c r="T57" s="78">
        <f t="shared" ca="1" si="35"/>
        <v>0</v>
      </c>
      <c r="U57" s="4">
        <f ca="1">SUMIFS(INDIRECT("Tab_00.Trial["&amp;U$4&amp;"]"),Tab_00.Trial[CONTA],$B57)</f>
        <v>0</v>
      </c>
      <c r="V57" s="78">
        <f t="shared" ca="1" si="69"/>
        <v>0</v>
      </c>
      <c r="W57" s="78">
        <f t="shared" ca="1" si="37"/>
        <v>0</v>
      </c>
      <c r="X57" s="4">
        <f ca="1">SUMIFS(INDIRECT("Tab_00.Trial["&amp;X$4&amp;"]"),Tab_00.Trial[CONTA],$B57)</f>
        <v>0</v>
      </c>
      <c r="Y57" s="78">
        <f t="shared" ca="1" si="70"/>
        <v>0</v>
      </c>
      <c r="Z57" s="78">
        <f t="shared" ca="1" si="39"/>
        <v>0</v>
      </c>
      <c r="AA57" s="4">
        <f ca="1">SUMIFS(INDIRECT("Tab_00.Trial["&amp;AA$4&amp;"]"),Tab_00.Trial[CONTA],$B57)</f>
        <v>0</v>
      </c>
      <c r="AB57" s="78">
        <f t="shared" ca="1" si="71"/>
        <v>0</v>
      </c>
      <c r="AC57" s="78">
        <f t="shared" ca="1" si="41"/>
        <v>0</v>
      </c>
      <c r="AD57" s="4">
        <f ca="1">SUMIFS(INDIRECT("Tab_00.Trial["&amp;AD$4&amp;"]"),Tab_00.Trial[CONTA],$B57)</f>
        <v>0</v>
      </c>
      <c r="AE57" s="78">
        <f t="shared" ca="1" si="72"/>
        <v>0</v>
      </c>
      <c r="AF57" s="78">
        <f t="shared" ca="1" si="43"/>
        <v>0</v>
      </c>
      <c r="AG57" s="4">
        <f ca="1">SUMIFS(INDIRECT("Tab_00.Trial["&amp;AG$4&amp;"]"),Tab_00.Trial[CONTA],$B57)</f>
        <v>0</v>
      </c>
      <c r="AH57" s="78">
        <f t="shared" ca="1" si="73"/>
        <v>0</v>
      </c>
      <c r="AI57" s="78">
        <f t="shared" ca="1" si="45"/>
        <v>0</v>
      </c>
      <c r="AJ57" s="4">
        <f ca="1">SUMIFS(INDIRECT("Tab_00.Trial["&amp;AJ$4&amp;"]"),Tab_00.Trial[CONTA],$B57)</f>
        <v>0</v>
      </c>
      <c r="AK57" s="78">
        <f t="shared" ca="1" si="74"/>
        <v>0</v>
      </c>
      <c r="AL57" s="78">
        <f t="shared" ca="1" si="47"/>
        <v>0</v>
      </c>
      <c r="AM57" s="4">
        <f ca="1">SUMIFS(INDIRECT("Tab_00.Trial["&amp;AM$4&amp;"]"),Tab_00.Trial[CONTA],$B57)</f>
        <v>0</v>
      </c>
      <c r="AN57" s="78">
        <f t="shared" ca="1" si="75"/>
        <v>0</v>
      </c>
      <c r="AO57" s="78">
        <f t="shared" ca="1" si="49"/>
        <v>0</v>
      </c>
    </row>
    <row r="58" spans="2:41" ht="15" customHeight="1" outlineLevel="1" x14ac:dyDescent="0.3">
      <c r="B58" s="14"/>
      <c r="C58" s="15"/>
      <c r="D58" s="4">
        <f>SUMIFS(Tab_99.Trial[DEZEMBRO],Tab_99.Trial[CONTA],$B58)</f>
        <v>0</v>
      </c>
      <c r="E58" s="78">
        <f t="shared" si="63"/>
        <v>0</v>
      </c>
      <c r="F58" s="4">
        <f ca="1">SUMIFS(INDIRECT("Tab_00.Trial["&amp;F$4&amp;"]"),Tab_00.Trial[CONTA],$B58)</f>
        <v>0</v>
      </c>
      <c r="G58" s="78">
        <f t="shared" ca="1" si="64"/>
        <v>0</v>
      </c>
      <c r="H58" s="78">
        <f t="shared" ca="1" si="27"/>
        <v>0</v>
      </c>
      <c r="I58" s="4">
        <f ca="1">SUMIFS(INDIRECT("Tab_00.Trial["&amp;I$4&amp;"]"),Tab_00.Trial[CONTA],$B58)</f>
        <v>0</v>
      </c>
      <c r="J58" s="78">
        <f t="shared" ca="1" si="65"/>
        <v>0</v>
      </c>
      <c r="K58" s="78">
        <f t="shared" ca="1" si="29"/>
        <v>0</v>
      </c>
      <c r="L58" s="4">
        <f ca="1">SUMIFS(INDIRECT("Tab_00.Trial["&amp;L$4&amp;"]"),Tab_00.Trial[CONTA],$B58)</f>
        <v>0</v>
      </c>
      <c r="M58" s="78">
        <f t="shared" ca="1" si="66"/>
        <v>0</v>
      </c>
      <c r="N58" s="78">
        <f t="shared" ca="1" si="31"/>
        <v>0</v>
      </c>
      <c r="O58" s="4">
        <f ca="1">SUMIFS(INDIRECT("Tab_00.Trial["&amp;O$4&amp;"]"),Tab_00.Trial[CONTA],$B58)</f>
        <v>0</v>
      </c>
      <c r="P58" s="78">
        <f t="shared" ca="1" si="67"/>
        <v>0</v>
      </c>
      <c r="Q58" s="78">
        <f t="shared" ca="1" si="33"/>
        <v>0</v>
      </c>
      <c r="R58" s="4">
        <f ca="1">SUMIFS(INDIRECT("Tab_00.Trial["&amp;R$4&amp;"]"),Tab_00.Trial[CONTA],$B58)</f>
        <v>0</v>
      </c>
      <c r="S58" s="78">
        <f t="shared" ca="1" si="68"/>
        <v>0</v>
      </c>
      <c r="T58" s="78">
        <f t="shared" ca="1" si="35"/>
        <v>0</v>
      </c>
      <c r="U58" s="4">
        <f ca="1">SUMIFS(INDIRECT("Tab_00.Trial["&amp;U$4&amp;"]"),Tab_00.Trial[CONTA],$B58)</f>
        <v>0</v>
      </c>
      <c r="V58" s="78">
        <f t="shared" ca="1" si="69"/>
        <v>0</v>
      </c>
      <c r="W58" s="78">
        <f t="shared" ca="1" si="37"/>
        <v>0</v>
      </c>
      <c r="X58" s="4">
        <f ca="1">SUMIFS(INDIRECT("Tab_00.Trial["&amp;X$4&amp;"]"),Tab_00.Trial[CONTA],$B58)</f>
        <v>0</v>
      </c>
      <c r="Y58" s="78">
        <f t="shared" ca="1" si="70"/>
        <v>0</v>
      </c>
      <c r="Z58" s="78">
        <f t="shared" ca="1" si="39"/>
        <v>0</v>
      </c>
      <c r="AA58" s="4">
        <f ca="1">SUMIFS(INDIRECT("Tab_00.Trial["&amp;AA$4&amp;"]"),Tab_00.Trial[CONTA],$B58)</f>
        <v>0</v>
      </c>
      <c r="AB58" s="78">
        <f t="shared" ca="1" si="71"/>
        <v>0</v>
      </c>
      <c r="AC58" s="78">
        <f t="shared" ca="1" si="41"/>
        <v>0</v>
      </c>
      <c r="AD58" s="4">
        <f ca="1">SUMIFS(INDIRECT("Tab_00.Trial["&amp;AD$4&amp;"]"),Tab_00.Trial[CONTA],$B58)</f>
        <v>0</v>
      </c>
      <c r="AE58" s="78">
        <f t="shared" ca="1" si="72"/>
        <v>0</v>
      </c>
      <c r="AF58" s="78">
        <f t="shared" ca="1" si="43"/>
        <v>0</v>
      </c>
      <c r="AG58" s="4">
        <f ca="1">SUMIFS(INDIRECT("Tab_00.Trial["&amp;AG$4&amp;"]"),Tab_00.Trial[CONTA],$B58)</f>
        <v>0</v>
      </c>
      <c r="AH58" s="78">
        <f t="shared" ca="1" si="73"/>
        <v>0</v>
      </c>
      <c r="AI58" s="78">
        <f t="shared" ca="1" si="45"/>
        <v>0</v>
      </c>
      <c r="AJ58" s="4">
        <f ca="1">SUMIFS(INDIRECT("Tab_00.Trial["&amp;AJ$4&amp;"]"),Tab_00.Trial[CONTA],$B58)</f>
        <v>0</v>
      </c>
      <c r="AK58" s="78">
        <f t="shared" ca="1" si="74"/>
        <v>0</v>
      </c>
      <c r="AL58" s="78">
        <f t="shared" ca="1" si="47"/>
        <v>0</v>
      </c>
      <c r="AM58" s="4">
        <f ca="1">SUMIFS(INDIRECT("Tab_00.Trial["&amp;AM$4&amp;"]"),Tab_00.Trial[CONTA],$B58)</f>
        <v>0</v>
      </c>
      <c r="AN58" s="78">
        <f t="shared" ca="1" si="75"/>
        <v>0</v>
      </c>
      <c r="AO58" s="78">
        <f t="shared" ca="1" si="49"/>
        <v>0</v>
      </c>
    </row>
    <row r="59" spans="2:41" ht="5.0999999999999996" customHeight="1" outlineLevel="1" x14ac:dyDescent="0.3">
      <c r="B59" s="74"/>
      <c r="C59" s="75"/>
      <c r="D59" s="76"/>
      <c r="E59" s="77"/>
      <c r="F59" s="76"/>
      <c r="G59" s="77"/>
      <c r="H59" s="77"/>
      <c r="I59" s="76"/>
      <c r="J59" s="77"/>
      <c r="K59" s="77"/>
      <c r="L59" s="76"/>
      <c r="M59" s="77"/>
      <c r="N59" s="77"/>
      <c r="O59" s="76"/>
      <c r="P59" s="77"/>
      <c r="Q59" s="77"/>
      <c r="R59" s="76"/>
      <c r="S59" s="77"/>
      <c r="T59" s="77"/>
      <c r="U59" s="76"/>
      <c r="V59" s="77"/>
      <c r="W59" s="77"/>
      <c r="X59" s="76"/>
      <c r="Y59" s="77"/>
      <c r="Z59" s="77"/>
      <c r="AA59" s="76"/>
      <c r="AB59" s="77"/>
      <c r="AC59" s="77"/>
      <c r="AD59" s="76"/>
      <c r="AE59" s="77"/>
      <c r="AF59" s="77"/>
      <c r="AG59" s="76"/>
      <c r="AH59" s="77"/>
      <c r="AI59" s="77"/>
      <c r="AJ59" s="76"/>
      <c r="AK59" s="77"/>
      <c r="AL59" s="77"/>
      <c r="AM59" s="76"/>
      <c r="AN59" s="77"/>
      <c r="AO59" s="77"/>
    </row>
    <row r="60" spans="2:41" ht="15" customHeight="1" collapsed="1" x14ac:dyDescent="0.3">
      <c r="B60" s="3" t="s">
        <v>43</v>
      </c>
      <c r="C60" s="14" t="s">
        <v>139</v>
      </c>
      <c r="D60" s="4">
        <f>SUBTOTAL(9,D$61:D$67)</f>
        <v>0</v>
      </c>
      <c r="E60" s="78">
        <f t="shared" ref="E60:E65" si="76">IFERROR($D60/$D$160,0)</f>
        <v>0</v>
      </c>
      <c r="F60" s="4">
        <f ca="1">SUBTOTAL(9,F$61:F$67)</f>
        <v>5256.5</v>
      </c>
      <c r="G60" s="78">
        <f t="shared" ref="G60:G66" ca="1" si="77">IFERROR($F60/$F$160,0)</f>
        <v>1E-4</v>
      </c>
      <c r="H60" s="78">
        <f t="shared" ca="1" si="27"/>
        <v>0</v>
      </c>
      <c r="I60" s="4">
        <f ca="1">SUBTOTAL(9,I$61:I$67)</f>
        <v>11150.76</v>
      </c>
      <c r="J60" s="78">
        <f t="shared" ref="J60:J66" ca="1" si="78">IFERROR($I60/$I$160,0)</f>
        <v>1E-4</v>
      </c>
      <c r="K60" s="78">
        <f t="shared" ca="1" si="29"/>
        <v>1.1213</v>
      </c>
      <c r="L60" s="4">
        <f ca="1">SUBTOTAL(9,L$61:L$67)</f>
        <v>1342.92</v>
      </c>
      <c r="M60" s="78">
        <f t="shared" ref="M60:M66" ca="1" si="79">IFERROR($L60/$L$160,0)</f>
        <v>0</v>
      </c>
      <c r="N60" s="78">
        <f t="shared" ca="1" si="31"/>
        <v>-0.87960000000000005</v>
      </c>
      <c r="O60" s="4">
        <f ca="1">SUBTOTAL(9,O$61:O$67)</f>
        <v>1342.92</v>
      </c>
      <c r="P60" s="78">
        <f t="shared" ref="P60:P66" ca="1" si="80">IFERROR($O60/$O$160,0)</f>
        <v>0</v>
      </c>
      <c r="Q60" s="78">
        <f t="shared" ca="1" si="33"/>
        <v>0</v>
      </c>
      <c r="R60" s="4">
        <f ca="1">SUBTOTAL(9,R$61:R$67)</f>
        <v>1298.3399999999999</v>
      </c>
      <c r="S60" s="78">
        <f t="shared" ref="S60:S66" ca="1" si="81">IFERROR($R60/$R$160,0)</f>
        <v>0</v>
      </c>
      <c r="T60" s="78">
        <f t="shared" ca="1" si="35"/>
        <v>-3.32E-2</v>
      </c>
      <c r="U60" s="4">
        <f ca="1">SUBTOTAL(9,U$61:U$67)</f>
        <v>0</v>
      </c>
      <c r="V60" s="78">
        <f t="shared" ref="V60:V66" ca="1" si="82">IFERROR($U60/$U$160,0)</f>
        <v>0</v>
      </c>
      <c r="W60" s="78">
        <f t="shared" ca="1" si="37"/>
        <v>-1</v>
      </c>
      <c r="X60" s="4">
        <f ca="1">SUBTOTAL(9,X$61:X$67)</f>
        <v>0</v>
      </c>
      <c r="Y60" s="78">
        <f t="shared" ref="Y60:Y66" ca="1" si="83">IFERROR($X60/$X$160,0)</f>
        <v>0</v>
      </c>
      <c r="Z60" s="78">
        <f t="shared" ca="1" si="39"/>
        <v>0</v>
      </c>
      <c r="AA60" s="4">
        <f ca="1">SUBTOTAL(9,AA$61:AA$67)</f>
        <v>0</v>
      </c>
      <c r="AB60" s="78">
        <f t="shared" ref="AB60:AB66" ca="1" si="84">IFERROR($AA60/$AA$160,0)</f>
        <v>0</v>
      </c>
      <c r="AC60" s="78">
        <f t="shared" ca="1" si="41"/>
        <v>0</v>
      </c>
      <c r="AD60" s="4">
        <f ca="1">SUBTOTAL(9,AD$61:AD$67)</f>
        <v>306.7</v>
      </c>
      <c r="AE60" s="78">
        <f t="shared" ref="AE60:AE66" ca="1" si="85">IFERROR($AD60/$AD$160,0)</f>
        <v>0</v>
      </c>
      <c r="AF60" s="78">
        <f t="shared" ca="1" si="43"/>
        <v>0</v>
      </c>
      <c r="AG60" s="4">
        <f ca="1">SUBTOTAL(9,AG$61:AG$67)</f>
        <v>6872.45</v>
      </c>
      <c r="AH60" s="78">
        <f t="shared" ref="AH60:AH66" ca="1" si="86">IFERROR($AG60/$AG$160,0)</f>
        <v>1E-4</v>
      </c>
      <c r="AI60" s="78">
        <f t="shared" ca="1" si="45"/>
        <v>21.407699999999998</v>
      </c>
      <c r="AJ60" s="4">
        <f ca="1">SUBTOTAL(9,AJ$61:AJ$67)</f>
        <v>79463.289999999994</v>
      </c>
      <c r="AK60" s="78">
        <f t="shared" ref="AK60:AK66" ca="1" si="87">IFERROR($AJ60/$AJ$160,0)</f>
        <v>8.9999999999999998E-4</v>
      </c>
      <c r="AL60" s="78">
        <f t="shared" ca="1" si="47"/>
        <v>10.5626</v>
      </c>
      <c r="AM60" s="4">
        <f ca="1">SUBTOTAL(9,AM$61:AM$67)</f>
        <v>0</v>
      </c>
      <c r="AN60" s="78">
        <f t="shared" ref="AN60:AN65" ca="1" si="88">IFERROR(AM60/AM$160,0)</f>
        <v>0</v>
      </c>
      <c r="AO60" s="78">
        <f t="shared" ca="1" si="49"/>
        <v>-1</v>
      </c>
    </row>
    <row r="61" spans="2:41" ht="15" hidden="1" customHeight="1" outlineLevel="1" x14ac:dyDescent="0.3">
      <c r="B61" s="14" t="s">
        <v>179</v>
      </c>
      <c r="C61" s="15" t="s">
        <v>293</v>
      </c>
      <c r="D61" s="4">
        <f>SUMIFS(Tab_99.Trial[DEZEMBRO],Tab_99.Trial[CONTA],$B61)</f>
        <v>0</v>
      </c>
      <c r="E61" s="78">
        <f t="shared" si="76"/>
        <v>0</v>
      </c>
      <c r="F61" s="4">
        <f ca="1">SUMIFS(INDIRECT("Tab_00.Trial["&amp;F$4&amp;"]"),Tab_00.Trial[CONTA],$B61)</f>
        <v>44.58</v>
      </c>
      <c r="G61" s="78">
        <f t="shared" ca="1" si="77"/>
        <v>0</v>
      </c>
      <c r="H61" s="78">
        <f t="shared" ca="1" si="27"/>
        <v>0</v>
      </c>
      <c r="I61" s="4">
        <f ca="1">SUMIFS(INDIRECT("Tab_00.Trial["&amp;I$4&amp;"]"),Tab_00.Trial[CONTA],$B61)</f>
        <v>44.58</v>
      </c>
      <c r="J61" s="78">
        <f t="shared" ca="1" si="78"/>
        <v>0</v>
      </c>
      <c r="K61" s="78">
        <f t="shared" ca="1" si="29"/>
        <v>0</v>
      </c>
      <c r="L61" s="4">
        <f ca="1">SUMIFS(INDIRECT("Tab_00.Trial["&amp;L$4&amp;"]"),Tab_00.Trial[CONTA],$B61)</f>
        <v>44.58</v>
      </c>
      <c r="M61" s="78">
        <f t="shared" ca="1" si="79"/>
        <v>0</v>
      </c>
      <c r="N61" s="78">
        <f t="shared" ca="1" si="31"/>
        <v>0</v>
      </c>
      <c r="O61" s="4">
        <f ca="1">SUMIFS(INDIRECT("Tab_00.Trial["&amp;O$4&amp;"]"),Tab_00.Trial[CONTA],$B61)</f>
        <v>44.58</v>
      </c>
      <c r="P61" s="78">
        <f t="shared" ca="1" si="80"/>
        <v>0</v>
      </c>
      <c r="Q61" s="78">
        <f t="shared" ca="1" si="33"/>
        <v>0</v>
      </c>
      <c r="R61" s="4">
        <f ca="1">SUMIFS(INDIRECT("Tab_00.Trial["&amp;R$4&amp;"]"),Tab_00.Trial[CONTA],$B61)</f>
        <v>0</v>
      </c>
      <c r="S61" s="78">
        <f t="shared" ca="1" si="81"/>
        <v>0</v>
      </c>
      <c r="T61" s="78">
        <f t="shared" ca="1" si="35"/>
        <v>-1</v>
      </c>
      <c r="U61" s="4">
        <f ca="1">SUMIFS(INDIRECT("Tab_00.Trial["&amp;U$4&amp;"]"),Tab_00.Trial[CONTA],$B61)</f>
        <v>0</v>
      </c>
      <c r="V61" s="78">
        <f t="shared" ca="1" si="82"/>
        <v>0</v>
      </c>
      <c r="W61" s="78">
        <f t="shared" ca="1" si="37"/>
        <v>0</v>
      </c>
      <c r="X61" s="4">
        <f ca="1">SUMIFS(INDIRECT("Tab_00.Trial["&amp;X$4&amp;"]"),Tab_00.Trial[CONTA],$B61)</f>
        <v>0</v>
      </c>
      <c r="Y61" s="78">
        <f t="shared" ca="1" si="83"/>
        <v>0</v>
      </c>
      <c r="Z61" s="78">
        <f t="shared" ca="1" si="39"/>
        <v>0</v>
      </c>
      <c r="AA61" s="4">
        <f ca="1">SUMIFS(INDIRECT("Tab_00.Trial["&amp;AA$4&amp;"]"),Tab_00.Trial[CONTA],$B61)</f>
        <v>0</v>
      </c>
      <c r="AB61" s="78">
        <f t="shared" ca="1" si="84"/>
        <v>0</v>
      </c>
      <c r="AC61" s="78">
        <f t="shared" ca="1" si="41"/>
        <v>0</v>
      </c>
      <c r="AD61" s="4">
        <f ca="1">SUMIFS(INDIRECT("Tab_00.Trial["&amp;AD$4&amp;"]"),Tab_00.Trial[CONTA],$B61)</f>
        <v>0</v>
      </c>
      <c r="AE61" s="78">
        <f t="shared" ca="1" si="85"/>
        <v>0</v>
      </c>
      <c r="AF61" s="78">
        <f t="shared" ca="1" si="43"/>
        <v>0</v>
      </c>
      <c r="AG61" s="4">
        <f ca="1">SUMIFS(INDIRECT("Tab_00.Trial["&amp;AG$4&amp;"]"),Tab_00.Trial[CONTA],$B61)</f>
        <v>0</v>
      </c>
      <c r="AH61" s="78">
        <f t="shared" ca="1" si="86"/>
        <v>0</v>
      </c>
      <c r="AI61" s="78">
        <f t="shared" ca="1" si="45"/>
        <v>0</v>
      </c>
      <c r="AJ61" s="4">
        <f ca="1">SUMIFS(INDIRECT("Tab_00.Trial["&amp;AJ$4&amp;"]"),Tab_00.Trial[CONTA],$B61)</f>
        <v>0</v>
      </c>
      <c r="AK61" s="78">
        <f t="shared" ca="1" si="87"/>
        <v>0</v>
      </c>
      <c r="AL61" s="78">
        <f t="shared" ca="1" si="47"/>
        <v>0</v>
      </c>
      <c r="AM61" s="4">
        <f ca="1">SUMIFS(INDIRECT("Tab_00.Trial["&amp;AM$4&amp;"]"),Tab_00.Trial[CONTA],$B61)</f>
        <v>0</v>
      </c>
      <c r="AN61" s="78">
        <f t="shared" ca="1" si="88"/>
        <v>0</v>
      </c>
      <c r="AO61" s="78">
        <f t="shared" ca="1" si="49"/>
        <v>0</v>
      </c>
    </row>
    <row r="62" spans="2:41" ht="15" hidden="1" customHeight="1" outlineLevel="1" x14ac:dyDescent="0.3">
      <c r="B62" s="14" t="s">
        <v>294</v>
      </c>
      <c r="C62" s="15" t="s">
        <v>295</v>
      </c>
      <c r="D62" s="4">
        <f>SUMIFS(Tab_99.Trial[DEZEMBRO],Tab_99.Trial[CONTA],$B62)</f>
        <v>0</v>
      </c>
      <c r="E62" s="78">
        <f t="shared" si="76"/>
        <v>0</v>
      </c>
      <c r="F62" s="4">
        <f ca="1">SUMIFS(INDIRECT("Tab_00.Trial["&amp;F$4&amp;"]"),Tab_00.Trial[CONTA],$B62)</f>
        <v>5211.92</v>
      </c>
      <c r="G62" s="78">
        <f t="shared" ca="1" si="77"/>
        <v>1E-4</v>
      </c>
      <c r="H62" s="78">
        <f t="shared" ca="1" si="27"/>
        <v>0</v>
      </c>
      <c r="I62" s="4">
        <f ca="1">SUMIFS(INDIRECT("Tab_00.Trial["&amp;I$4&amp;"]"),Tab_00.Trial[CONTA],$B62)+892.32</f>
        <v>11106.18</v>
      </c>
      <c r="J62" s="78">
        <f t="shared" ca="1" si="78"/>
        <v>1E-4</v>
      </c>
      <c r="K62" s="78">
        <f t="shared" ca="1" si="29"/>
        <v>1.1309</v>
      </c>
      <c r="L62" s="4">
        <f ca="1">SUMIFS(INDIRECT("Tab_00.Trial["&amp;L$4&amp;"]"),Tab_00.Trial[CONTA],$B62)+1120.32</f>
        <v>1298.3399999999999</v>
      </c>
      <c r="M62" s="78">
        <f t="shared" ca="1" si="79"/>
        <v>0</v>
      </c>
      <c r="N62" s="78">
        <f t="shared" ca="1" si="31"/>
        <v>-0.8831</v>
      </c>
      <c r="O62" s="4">
        <f ca="1">SUMIFS(INDIRECT("Tab_00.Trial["&amp;O$4&amp;"]"),Tab_00.Trial[CONTA],$B62)+1298.34</f>
        <v>1298.3399999999999</v>
      </c>
      <c r="P62" s="78">
        <f t="shared" ca="1" si="80"/>
        <v>0</v>
      </c>
      <c r="Q62" s="78">
        <f t="shared" ca="1" si="33"/>
        <v>0</v>
      </c>
      <c r="R62" s="4">
        <f ca="1">SUMIFS(INDIRECT("Tab_00.Trial["&amp;R$4&amp;"]"),Tab_00.Trial[CONTA],$B62)+1298.34</f>
        <v>1298.3399999999999</v>
      </c>
      <c r="S62" s="78">
        <f t="shared" ca="1" si="81"/>
        <v>0</v>
      </c>
      <c r="T62" s="78">
        <f t="shared" ca="1" si="35"/>
        <v>0</v>
      </c>
      <c r="U62" s="4">
        <f ca="1">SUMIFS(INDIRECT("Tab_00.Trial["&amp;U$4&amp;"]"),Tab_00.Trial[CONTA],$B62)</f>
        <v>0</v>
      </c>
      <c r="V62" s="78">
        <f t="shared" ca="1" si="82"/>
        <v>0</v>
      </c>
      <c r="W62" s="78">
        <f t="shared" ca="1" si="37"/>
        <v>-1</v>
      </c>
      <c r="X62" s="4">
        <f ca="1">SUMIFS(INDIRECT("Tab_00.Trial["&amp;X$4&amp;"]"),Tab_00.Trial[CONTA],$B62)</f>
        <v>0</v>
      </c>
      <c r="Y62" s="78">
        <f t="shared" ca="1" si="83"/>
        <v>0</v>
      </c>
      <c r="Z62" s="78">
        <f t="shared" ca="1" si="39"/>
        <v>0</v>
      </c>
      <c r="AA62" s="4">
        <f ca="1">SUMIFS(INDIRECT("Tab_00.Trial["&amp;AA$4&amp;"]"),Tab_00.Trial[CONTA],$B62)</f>
        <v>0</v>
      </c>
      <c r="AB62" s="78">
        <f t="shared" ca="1" si="84"/>
        <v>0</v>
      </c>
      <c r="AC62" s="78">
        <f t="shared" ca="1" si="41"/>
        <v>0</v>
      </c>
      <c r="AD62" s="4">
        <f ca="1">SUMIFS(INDIRECT("Tab_00.Trial["&amp;AD$4&amp;"]"),Tab_00.Trial[CONTA],$B62)</f>
        <v>306.7</v>
      </c>
      <c r="AE62" s="78">
        <f t="shared" ca="1" si="85"/>
        <v>0</v>
      </c>
      <c r="AF62" s="78">
        <f t="shared" ca="1" si="43"/>
        <v>0</v>
      </c>
      <c r="AG62" s="4">
        <f ca="1">SUMIFS(INDIRECT("Tab_00.Trial["&amp;AG$4&amp;"]"),Tab_00.Trial[CONTA],$B62)</f>
        <v>4092.77</v>
      </c>
      <c r="AH62" s="78">
        <f t="shared" ca="1" si="86"/>
        <v>0</v>
      </c>
      <c r="AI62" s="78">
        <f t="shared" ca="1" si="45"/>
        <v>12.3445</v>
      </c>
      <c r="AJ62" s="4">
        <f ca="1">SUMIFS(INDIRECT("Tab_00.Trial["&amp;AJ$4&amp;"]"),Tab_00.Trial[CONTA],$B62)</f>
        <v>985.98</v>
      </c>
      <c r="AK62" s="78">
        <f t="shared" ca="1" si="87"/>
        <v>0</v>
      </c>
      <c r="AL62" s="78">
        <f t="shared" ca="1" si="47"/>
        <v>-0.7591</v>
      </c>
      <c r="AM62" s="4">
        <f ca="1">SUMIFS(INDIRECT("Tab_00.Trial["&amp;AM$4&amp;"]"),Tab_00.Trial[CONTA],$B62)</f>
        <v>0</v>
      </c>
      <c r="AN62" s="78">
        <f t="shared" ca="1" si="88"/>
        <v>0</v>
      </c>
      <c r="AO62" s="78">
        <f t="shared" ca="1" si="49"/>
        <v>-1</v>
      </c>
    </row>
    <row r="63" spans="2:41" ht="15" hidden="1" customHeight="1" outlineLevel="1" x14ac:dyDescent="0.3">
      <c r="B63" s="14" t="s">
        <v>818</v>
      </c>
      <c r="C63" s="15" t="s">
        <v>819</v>
      </c>
      <c r="D63" s="4">
        <f>SUMIFS(Tab_99.Trial[DEZEMBRO],Tab_99.Trial[CONTA],$B63)</f>
        <v>0</v>
      </c>
      <c r="E63" s="78">
        <f t="shared" si="76"/>
        <v>0</v>
      </c>
      <c r="F63" s="4">
        <f ca="1">SUMIFS(INDIRECT("Tab_00.Trial["&amp;F$4&amp;"]"),Tab_00.Trial[CONTA],$B63)</f>
        <v>0</v>
      </c>
      <c r="G63" s="78">
        <f t="shared" ca="1" si="77"/>
        <v>0</v>
      </c>
      <c r="H63" s="78">
        <f t="shared" ca="1" si="27"/>
        <v>0</v>
      </c>
      <c r="I63" s="4">
        <f ca="1">SUMIFS(INDIRECT("Tab_00.Trial["&amp;I$4&amp;"]"),Tab_00.Trial[CONTA],$B63)</f>
        <v>0</v>
      </c>
      <c r="J63" s="78">
        <f t="shared" ca="1" si="78"/>
        <v>0</v>
      </c>
      <c r="K63" s="78">
        <f t="shared" ca="1" si="29"/>
        <v>0</v>
      </c>
      <c r="L63" s="4">
        <f ca="1">SUMIFS(INDIRECT("Tab_00.Trial["&amp;L$4&amp;"]"),Tab_00.Trial[CONTA],$B63)</f>
        <v>0</v>
      </c>
      <c r="M63" s="78">
        <f t="shared" ca="1" si="79"/>
        <v>0</v>
      </c>
      <c r="N63" s="78">
        <f t="shared" ca="1" si="31"/>
        <v>0</v>
      </c>
      <c r="O63" s="4">
        <f ca="1">SUMIFS(INDIRECT("Tab_00.Trial["&amp;O$4&amp;"]"),Tab_00.Trial[CONTA],$B63)</f>
        <v>0</v>
      </c>
      <c r="P63" s="78">
        <f t="shared" ca="1" si="80"/>
        <v>0</v>
      </c>
      <c r="Q63" s="78">
        <f t="shared" ca="1" si="33"/>
        <v>0</v>
      </c>
      <c r="R63" s="4">
        <f ca="1">SUMIFS(INDIRECT("Tab_00.Trial["&amp;R$4&amp;"]"),Tab_00.Trial[CONTA],$B63)</f>
        <v>0</v>
      </c>
      <c r="S63" s="78">
        <f t="shared" ca="1" si="81"/>
        <v>0</v>
      </c>
      <c r="T63" s="78">
        <f t="shared" ca="1" si="35"/>
        <v>0</v>
      </c>
      <c r="U63" s="4">
        <f ca="1">SUMIFS(INDIRECT("Tab_00.Trial["&amp;U$4&amp;"]"),Tab_00.Trial[CONTA],$B63)</f>
        <v>0</v>
      </c>
      <c r="V63" s="78">
        <f t="shared" ca="1" si="82"/>
        <v>0</v>
      </c>
      <c r="W63" s="78">
        <f t="shared" ca="1" si="37"/>
        <v>0</v>
      </c>
      <c r="X63" s="4">
        <f ca="1">SUMIFS(INDIRECT("Tab_00.Trial["&amp;X$4&amp;"]"),Tab_00.Trial[CONTA],$B63)</f>
        <v>0</v>
      </c>
      <c r="Y63" s="78">
        <f t="shared" ca="1" si="83"/>
        <v>0</v>
      </c>
      <c r="Z63" s="78">
        <f t="shared" ca="1" si="39"/>
        <v>0</v>
      </c>
      <c r="AA63" s="4">
        <f ca="1">SUMIFS(INDIRECT("Tab_00.Trial["&amp;AA$4&amp;"]"),Tab_00.Trial[CONTA],$B63)</f>
        <v>0</v>
      </c>
      <c r="AB63" s="78">
        <f t="shared" ca="1" si="84"/>
        <v>0</v>
      </c>
      <c r="AC63" s="78">
        <f t="shared" ca="1" si="41"/>
        <v>0</v>
      </c>
      <c r="AD63" s="4">
        <f ca="1">SUMIFS(INDIRECT("Tab_00.Trial["&amp;AD$4&amp;"]"),Tab_00.Trial[CONTA],$B63)</f>
        <v>0</v>
      </c>
      <c r="AE63" s="78">
        <f t="shared" ca="1" si="85"/>
        <v>0</v>
      </c>
      <c r="AF63" s="78">
        <f t="shared" ca="1" si="43"/>
        <v>0</v>
      </c>
      <c r="AG63" s="4">
        <f ca="1">SUMIFS(INDIRECT("Tab_00.Trial["&amp;AG$4&amp;"]"),Tab_00.Trial[CONTA],$B63)</f>
        <v>2779.68</v>
      </c>
      <c r="AH63" s="78">
        <f t="shared" ca="1" si="86"/>
        <v>0</v>
      </c>
      <c r="AI63" s="78">
        <f t="shared" ca="1" si="45"/>
        <v>0</v>
      </c>
      <c r="AJ63" s="4">
        <f ca="1">SUMIFS(INDIRECT("Tab_00.Trial["&amp;AJ$4&amp;"]"),Tab_00.Trial[CONTA],$B63)</f>
        <v>78477.31</v>
      </c>
      <c r="AK63" s="78">
        <f t="shared" ca="1" si="87"/>
        <v>8.9999999999999998E-4</v>
      </c>
      <c r="AL63" s="78">
        <f t="shared" ca="1" si="47"/>
        <v>27.232500000000002</v>
      </c>
      <c r="AM63" s="4">
        <f ca="1">SUMIFS(INDIRECT("Tab_00.Trial["&amp;AM$4&amp;"]"),Tab_00.Trial[CONTA],$B63)</f>
        <v>0</v>
      </c>
      <c r="AN63" s="78">
        <f t="shared" ca="1" si="88"/>
        <v>0</v>
      </c>
      <c r="AO63" s="78">
        <f t="shared" ca="1" si="49"/>
        <v>-1</v>
      </c>
    </row>
    <row r="64" spans="2:41" ht="15" hidden="1" customHeight="1" outlineLevel="1" x14ac:dyDescent="0.3">
      <c r="B64" s="14" t="s">
        <v>816</v>
      </c>
      <c r="C64" s="15" t="s">
        <v>817</v>
      </c>
      <c r="D64" s="4">
        <f>SUMIFS(Tab_99.Trial[DEZEMBRO],Tab_99.Trial[CONTA],$B64)</f>
        <v>0</v>
      </c>
      <c r="E64" s="78">
        <f t="shared" si="76"/>
        <v>0</v>
      </c>
      <c r="F64" s="4">
        <f ca="1">SUMIFS(INDIRECT("Tab_00.Trial["&amp;F$4&amp;"]"),Tab_00.Trial[CONTA],$B64)</f>
        <v>0</v>
      </c>
      <c r="G64" s="78">
        <f t="shared" ca="1" si="77"/>
        <v>0</v>
      </c>
      <c r="H64" s="78">
        <f t="shared" ca="1" si="27"/>
        <v>0</v>
      </c>
      <c r="I64" s="4">
        <f ca="1">SUMIFS(INDIRECT("Tab_00.Trial["&amp;I$4&amp;"]"),Tab_00.Trial[CONTA],$B64)</f>
        <v>0</v>
      </c>
      <c r="J64" s="78">
        <f t="shared" ca="1" si="78"/>
        <v>0</v>
      </c>
      <c r="K64" s="78">
        <f t="shared" ca="1" si="29"/>
        <v>0</v>
      </c>
      <c r="L64" s="4">
        <f ca="1">SUMIFS(INDIRECT("Tab_00.Trial["&amp;L$4&amp;"]"),Tab_00.Trial[CONTA],$B64)</f>
        <v>0</v>
      </c>
      <c r="M64" s="78">
        <f t="shared" ca="1" si="79"/>
        <v>0</v>
      </c>
      <c r="N64" s="78">
        <f t="shared" ca="1" si="31"/>
        <v>0</v>
      </c>
      <c r="O64" s="4">
        <f ca="1">SUMIFS(INDIRECT("Tab_00.Trial["&amp;O$4&amp;"]"),Tab_00.Trial[CONTA],$B64)</f>
        <v>0</v>
      </c>
      <c r="P64" s="78">
        <f t="shared" ca="1" si="80"/>
        <v>0</v>
      </c>
      <c r="Q64" s="78">
        <f t="shared" ca="1" si="33"/>
        <v>0</v>
      </c>
      <c r="R64" s="4">
        <f ca="1">SUMIFS(INDIRECT("Tab_00.Trial["&amp;R$4&amp;"]"),Tab_00.Trial[CONTA],$B64)</f>
        <v>0</v>
      </c>
      <c r="S64" s="78">
        <f t="shared" ca="1" si="81"/>
        <v>0</v>
      </c>
      <c r="T64" s="78">
        <f t="shared" ca="1" si="35"/>
        <v>0</v>
      </c>
      <c r="U64" s="4">
        <f ca="1">SUMIFS(INDIRECT("Tab_00.Trial["&amp;U$4&amp;"]"),Tab_00.Trial[CONTA],$B64)</f>
        <v>0</v>
      </c>
      <c r="V64" s="78">
        <f t="shared" ca="1" si="82"/>
        <v>0</v>
      </c>
      <c r="W64" s="78">
        <f t="shared" ca="1" si="37"/>
        <v>0</v>
      </c>
      <c r="X64" s="4">
        <f ca="1">SUMIFS(INDIRECT("Tab_00.Trial["&amp;X$4&amp;"]"),Tab_00.Trial[CONTA],$B64)</f>
        <v>0</v>
      </c>
      <c r="Y64" s="78">
        <f t="shared" ca="1" si="83"/>
        <v>0</v>
      </c>
      <c r="Z64" s="78">
        <f t="shared" ca="1" si="39"/>
        <v>0</v>
      </c>
      <c r="AA64" s="4">
        <f ca="1">SUMIFS(INDIRECT("Tab_00.Trial["&amp;AA$4&amp;"]"),Tab_00.Trial[CONTA],$B64)</f>
        <v>0</v>
      </c>
      <c r="AB64" s="78">
        <f t="shared" ca="1" si="84"/>
        <v>0</v>
      </c>
      <c r="AC64" s="78">
        <f t="shared" ca="1" si="41"/>
        <v>0</v>
      </c>
      <c r="AD64" s="4">
        <f ca="1">SUMIFS(INDIRECT("Tab_00.Trial["&amp;AD$4&amp;"]"),Tab_00.Trial[CONTA],$B64)</f>
        <v>0</v>
      </c>
      <c r="AE64" s="78">
        <f t="shared" ca="1" si="85"/>
        <v>0</v>
      </c>
      <c r="AF64" s="78">
        <f t="shared" ca="1" si="43"/>
        <v>0</v>
      </c>
      <c r="AG64" s="4">
        <f ca="1">SUMIFS(INDIRECT("Tab_00.Trial["&amp;AG$4&amp;"]"),Tab_00.Trial[CONTA],$B64)</f>
        <v>0</v>
      </c>
      <c r="AH64" s="78">
        <f t="shared" ca="1" si="86"/>
        <v>0</v>
      </c>
      <c r="AI64" s="78">
        <f t="shared" ca="1" si="45"/>
        <v>0</v>
      </c>
      <c r="AJ64" s="4">
        <f ca="1">SUMIFS(INDIRECT("Tab_00.Trial["&amp;AJ$4&amp;"]"),Tab_00.Trial[CONTA],$B64)</f>
        <v>0</v>
      </c>
      <c r="AK64" s="78">
        <f t="shared" ca="1" si="87"/>
        <v>0</v>
      </c>
      <c r="AL64" s="78">
        <f t="shared" ca="1" si="47"/>
        <v>0</v>
      </c>
      <c r="AM64" s="4">
        <f ca="1">SUMIFS(INDIRECT("Tab_00.Trial["&amp;AM$4&amp;"]"),Tab_00.Trial[CONTA],$B64)</f>
        <v>0</v>
      </c>
      <c r="AN64" s="78">
        <f t="shared" ca="1" si="88"/>
        <v>0</v>
      </c>
      <c r="AO64" s="78">
        <f t="shared" ca="1" si="49"/>
        <v>0</v>
      </c>
    </row>
    <row r="65" spans="2:43" ht="15" hidden="1" customHeight="1" outlineLevel="1" x14ac:dyDescent="0.3">
      <c r="B65" s="14"/>
      <c r="C65" s="15"/>
      <c r="D65" s="4">
        <f>SUMIFS(Tab_99.Trial[DEZEMBRO],Tab_99.Trial[CONTA],$B65)</f>
        <v>0</v>
      </c>
      <c r="E65" s="78">
        <f t="shared" si="76"/>
        <v>0</v>
      </c>
      <c r="F65" s="4">
        <f ca="1">SUMIFS(INDIRECT("Tab_00.Trial["&amp;F$4&amp;"]"),Tab_00.Trial[CONTA],$B65)</f>
        <v>0</v>
      </c>
      <c r="G65" s="78">
        <f t="shared" ca="1" si="77"/>
        <v>0</v>
      </c>
      <c r="H65" s="78">
        <f t="shared" ca="1" si="27"/>
        <v>0</v>
      </c>
      <c r="I65" s="4">
        <f ca="1">SUMIFS(INDIRECT("Tab_00.Trial["&amp;I$4&amp;"]"),Tab_00.Trial[CONTA],$B65)</f>
        <v>0</v>
      </c>
      <c r="J65" s="78">
        <f t="shared" ca="1" si="78"/>
        <v>0</v>
      </c>
      <c r="K65" s="78">
        <f t="shared" ca="1" si="29"/>
        <v>0</v>
      </c>
      <c r="L65" s="4">
        <f ca="1">SUMIFS(INDIRECT("Tab_00.Trial["&amp;L$4&amp;"]"),Tab_00.Trial[CONTA],$B65)</f>
        <v>0</v>
      </c>
      <c r="M65" s="78">
        <f t="shared" ca="1" si="79"/>
        <v>0</v>
      </c>
      <c r="N65" s="78">
        <f t="shared" ca="1" si="31"/>
        <v>0</v>
      </c>
      <c r="O65" s="4">
        <f ca="1">SUMIFS(INDIRECT("Tab_00.Trial["&amp;O$4&amp;"]"),Tab_00.Trial[CONTA],$B65)</f>
        <v>0</v>
      </c>
      <c r="P65" s="78">
        <f t="shared" ca="1" si="80"/>
        <v>0</v>
      </c>
      <c r="Q65" s="78">
        <f t="shared" ca="1" si="33"/>
        <v>0</v>
      </c>
      <c r="R65" s="4">
        <f ca="1">SUMIFS(INDIRECT("Tab_00.Trial["&amp;R$4&amp;"]"),Tab_00.Trial[CONTA],$B65)</f>
        <v>0</v>
      </c>
      <c r="S65" s="78">
        <f t="shared" ca="1" si="81"/>
        <v>0</v>
      </c>
      <c r="T65" s="78">
        <f t="shared" ca="1" si="35"/>
        <v>0</v>
      </c>
      <c r="U65" s="4">
        <f ca="1">SUMIFS(INDIRECT("Tab_00.Trial["&amp;U$4&amp;"]"),Tab_00.Trial[CONTA],$B65)</f>
        <v>0</v>
      </c>
      <c r="V65" s="78">
        <f t="shared" ca="1" si="82"/>
        <v>0</v>
      </c>
      <c r="W65" s="78">
        <f t="shared" ca="1" si="37"/>
        <v>0</v>
      </c>
      <c r="X65" s="4">
        <f ca="1">SUMIFS(INDIRECT("Tab_00.Trial["&amp;X$4&amp;"]"),Tab_00.Trial[CONTA],$B65)</f>
        <v>0</v>
      </c>
      <c r="Y65" s="78">
        <f t="shared" ca="1" si="83"/>
        <v>0</v>
      </c>
      <c r="Z65" s="78">
        <f t="shared" ca="1" si="39"/>
        <v>0</v>
      </c>
      <c r="AA65" s="4">
        <f ca="1">SUMIFS(INDIRECT("Tab_00.Trial["&amp;AA$4&amp;"]"),Tab_00.Trial[CONTA],$B65)</f>
        <v>0</v>
      </c>
      <c r="AB65" s="78">
        <f t="shared" ca="1" si="84"/>
        <v>0</v>
      </c>
      <c r="AC65" s="78">
        <f t="shared" ca="1" si="41"/>
        <v>0</v>
      </c>
      <c r="AD65" s="4">
        <f ca="1">SUMIFS(INDIRECT("Tab_00.Trial["&amp;AD$4&amp;"]"),Tab_00.Trial[CONTA],$B65)</f>
        <v>0</v>
      </c>
      <c r="AE65" s="78">
        <f t="shared" ca="1" si="85"/>
        <v>0</v>
      </c>
      <c r="AF65" s="78">
        <f t="shared" ca="1" si="43"/>
        <v>0</v>
      </c>
      <c r="AG65" s="4">
        <f ca="1">SUMIFS(INDIRECT("Tab_00.Trial["&amp;AG$4&amp;"]"),Tab_00.Trial[CONTA],$B65)</f>
        <v>0</v>
      </c>
      <c r="AH65" s="78">
        <f t="shared" ca="1" si="86"/>
        <v>0</v>
      </c>
      <c r="AI65" s="78">
        <f t="shared" ca="1" si="45"/>
        <v>0</v>
      </c>
      <c r="AJ65" s="4">
        <f ca="1">SUMIFS(INDIRECT("Tab_00.Trial["&amp;AJ$4&amp;"]"),Tab_00.Trial[CONTA],$B65)</f>
        <v>0</v>
      </c>
      <c r="AK65" s="78">
        <f t="shared" ca="1" si="87"/>
        <v>0</v>
      </c>
      <c r="AL65" s="78">
        <f t="shared" ca="1" si="47"/>
        <v>0</v>
      </c>
      <c r="AM65" s="4">
        <f ca="1">SUMIFS(INDIRECT("Tab_00.Trial["&amp;AM$4&amp;"]"),Tab_00.Trial[CONTA],$B65)</f>
        <v>0</v>
      </c>
      <c r="AN65" s="78">
        <f t="shared" ca="1" si="88"/>
        <v>0</v>
      </c>
      <c r="AO65" s="78">
        <f t="shared" ca="1" si="49"/>
        <v>0</v>
      </c>
    </row>
    <row r="66" spans="2:43" ht="15" hidden="1" customHeight="1" outlineLevel="1" x14ac:dyDescent="0.3">
      <c r="B66" s="14"/>
      <c r="C66" s="15"/>
      <c r="F66" s="4">
        <f ca="1">SUMIFS(INDIRECT("Tab_00.Trial["&amp;F$4&amp;"]"),Tab_00.Trial[CONTA],$B66)</f>
        <v>0</v>
      </c>
      <c r="G66" s="78">
        <f t="shared" ca="1" si="77"/>
        <v>0</v>
      </c>
      <c r="H66" s="78">
        <f t="shared" ca="1" si="27"/>
        <v>0</v>
      </c>
      <c r="I66" s="4">
        <f ca="1">SUMIFS(INDIRECT("Tab_00.Trial["&amp;I$4&amp;"]"),Tab_00.Trial[CONTA],$B66)</f>
        <v>0</v>
      </c>
      <c r="J66" s="78">
        <f t="shared" ca="1" si="78"/>
        <v>0</v>
      </c>
      <c r="K66" s="78">
        <f t="shared" ca="1" si="29"/>
        <v>0</v>
      </c>
      <c r="L66" s="4">
        <f ca="1">SUMIFS(INDIRECT("Tab_00.Trial["&amp;L$4&amp;"]"),Tab_00.Trial[CONTA],$B66)</f>
        <v>0</v>
      </c>
      <c r="M66" s="78">
        <f t="shared" ca="1" si="79"/>
        <v>0</v>
      </c>
      <c r="N66" s="78">
        <f t="shared" ca="1" si="31"/>
        <v>0</v>
      </c>
      <c r="O66" s="4">
        <f ca="1">SUMIFS(INDIRECT("Tab_00.Trial["&amp;O$4&amp;"]"),Tab_00.Trial[CONTA],$B66)</f>
        <v>0</v>
      </c>
      <c r="P66" s="78">
        <f t="shared" ca="1" si="80"/>
        <v>0</v>
      </c>
      <c r="Q66" s="78">
        <f t="shared" ca="1" si="33"/>
        <v>0</v>
      </c>
      <c r="R66" s="4">
        <f ca="1">SUMIFS(INDIRECT("Tab_00.Trial["&amp;R$4&amp;"]"),Tab_00.Trial[CONTA],$B66)</f>
        <v>0</v>
      </c>
      <c r="S66" s="78">
        <f t="shared" ca="1" si="81"/>
        <v>0</v>
      </c>
      <c r="T66" s="78">
        <f t="shared" ca="1" si="35"/>
        <v>0</v>
      </c>
      <c r="U66" s="4">
        <f ca="1">SUMIFS(INDIRECT("Tab_00.Trial["&amp;U$4&amp;"]"),Tab_00.Trial[CONTA],$B66)</f>
        <v>0</v>
      </c>
      <c r="V66" s="78">
        <f t="shared" ca="1" si="82"/>
        <v>0</v>
      </c>
      <c r="W66" s="78">
        <f t="shared" ca="1" si="37"/>
        <v>0</v>
      </c>
      <c r="X66" s="4">
        <f ca="1">SUMIFS(INDIRECT("Tab_00.Trial["&amp;X$4&amp;"]"),Tab_00.Trial[CONTA],$B66)</f>
        <v>0</v>
      </c>
      <c r="Y66" s="78">
        <f t="shared" ca="1" si="83"/>
        <v>0</v>
      </c>
      <c r="Z66" s="78">
        <f t="shared" ca="1" si="39"/>
        <v>0</v>
      </c>
      <c r="AA66" s="4">
        <f ca="1">SUMIFS(INDIRECT("Tab_00.Trial["&amp;AA$4&amp;"]"),Tab_00.Trial[CONTA],$B66)</f>
        <v>0</v>
      </c>
      <c r="AB66" s="78">
        <f t="shared" ca="1" si="84"/>
        <v>0</v>
      </c>
      <c r="AC66" s="78">
        <f t="shared" ca="1" si="41"/>
        <v>0</v>
      </c>
      <c r="AD66" s="4">
        <f ca="1">SUMIFS(INDIRECT("Tab_00.Trial["&amp;AD$4&amp;"]"),Tab_00.Trial[CONTA],$B66)</f>
        <v>0</v>
      </c>
      <c r="AE66" s="78">
        <f t="shared" ca="1" si="85"/>
        <v>0</v>
      </c>
      <c r="AF66" s="78">
        <f t="shared" ca="1" si="43"/>
        <v>0</v>
      </c>
      <c r="AG66" s="4">
        <f ca="1">SUMIFS(INDIRECT("Tab_00.Trial["&amp;AG$4&amp;"]"),Tab_00.Trial[CONTA],$B66)</f>
        <v>0</v>
      </c>
      <c r="AH66" s="78">
        <f t="shared" ca="1" si="86"/>
        <v>0</v>
      </c>
      <c r="AI66" s="78">
        <f t="shared" ca="1" si="45"/>
        <v>0</v>
      </c>
      <c r="AJ66" s="4">
        <f ca="1">SUMIFS(INDIRECT("Tab_00.Trial["&amp;AJ$4&amp;"]"),Tab_00.Trial[CONTA],$B66)</f>
        <v>0</v>
      </c>
      <c r="AK66" s="78">
        <f t="shared" ca="1" si="87"/>
        <v>0</v>
      </c>
      <c r="AL66" s="78">
        <f t="shared" ca="1" si="47"/>
        <v>0</v>
      </c>
      <c r="AM66" s="4">
        <f ca="1">SUMIFS(INDIRECT("Tab_00.Trial["&amp;AM$4&amp;"]"),Tab_00.Trial[CONTA],$B66)</f>
        <v>0</v>
      </c>
      <c r="AN66" s="78">
        <f t="shared" ref="AN66" ca="1" si="89">IFERROR(AM66/AM$160,0)</f>
        <v>0</v>
      </c>
      <c r="AO66" s="78">
        <f t="shared" ca="1" si="49"/>
        <v>0</v>
      </c>
      <c r="AP66" s="142"/>
    </row>
    <row r="67" spans="2:43" ht="5.0999999999999996" hidden="1" customHeight="1" outlineLevel="1" x14ac:dyDescent="0.3">
      <c r="B67" s="74"/>
      <c r="C67" s="75"/>
      <c r="D67" s="76"/>
      <c r="E67" s="77"/>
      <c r="F67" s="76"/>
      <c r="G67" s="77"/>
      <c r="H67" s="77"/>
      <c r="I67" s="76"/>
      <c r="J67" s="77"/>
      <c r="K67" s="77"/>
      <c r="L67" s="76"/>
      <c r="M67" s="77"/>
      <c r="N67" s="77"/>
      <c r="O67" s="76"/>
      <c r="P67" s="77"/>
      <c r="Q67" s="77"/>
      <c r="R67" s="76"/>
      <c r="S67" s="77"/>
      <c r="T67" s="77"/>
      <c r="U67" s="76"/>
      <c r="V67" s="77"/>
      <c r="W67" s="77"/>
      <c r="X67" s="76"/>
      <c r="Y67" s="77"/>
      <c r="Z67" s="77"/>
      <c r="AA67" s="76"/>
      <c r="AB67" s="77"/>
      <c r="AC67" s="77"/>
      <c r="AD67" s="76"/>
      <c r="AE67" s="77"/>
      <c r="AF67" s="77"/>
      <c r="AG67" s="76"/>
      <c r="AH67" s="77"/>
      <c r="AI67" s="77"/>
      <c r="AJ67" s="76"/>
      <c r="AK67" s="77"/>
      <c r="AL67" s="77"/>
      <c r="AM67" s="76"/>
      <c r="AN67" s="77"/>
      <c r="AO67" s="77"/>
    </row>
    <row r="68" spans="2:43" ht="14.25" customHeight="1" collapsed="1" x14ac:dyDescent="0.3">
      <c r="B68" s="3" t="s">
        <v>141</v>
      </c>
      <c r="C68" s="14" t="s">
        <v>140</v>
      </c>
      <c r="D68" s="4">
        <f>SUBTOTAL(9,D$71:D$73)</f>
        <v>0</v>
      </c>
      <c r="E68" s="78">
        <f>IFERROR($D68/$D$160,0)</f>
        <v>0</v>
      </c>
      <c r="F68" s="4">
        <f ca="1">SUBTOTAL(9,F$71:F$73)</f>
        <v>0</v>
      </c>
      <c r="G68" s="78">
        <f ca="1">IFERROR($F68/$F$160,0)</f>
        <v>0</v>
      </c>
      <c r="H68" s="78">
        <f t="shared" ca="1" si="27"/>
        <v>0</v>
      </c>
      <c r="I68" s="4">
        <f ca="1">SUBTOTAL(9,I$71:I$73)</f>
        <v>0</v>
      </c>
      <c r="J68" s="78">
        <f ca="1">IFERROR($I68/$I$160,0)</f>
        <v>0</v>
      </c>
      <c r="K68" s="78">
        <f t="shared" ca="1" si="29"/>
        <v>0</v>
      </c>
      <c r="L68" s="4">
        <f ca="1">SUBTOTAL(9,L$71:L$73)</f>
        <v>0</v>
      </c>
      <c r="M68" s="78">
        <f ca="1">IFERROR($L68/$L$160,0)</f>
        <v>0</v>
      </c>
      <c r="N68" s="78">
        <f t="shared" ca="1" si="31"/>
        <v>0</v>
      </c>
      <c r="O68" s="4">
        <f ca="1">SUBTOTAL(9,O$71:O$73)</f>
        <v>0</v>
      </c>
      <c r="P68" s="78">
        <f ca="1">IFERROR($O68/$O$160,0)</f>
        <v>0</v>
      </c>
      <c r="Q68" s="78">
        <f t="shared" ca="1" si="33"/>
        <v>0</v>
      </c>
      <c r="R68" s="4">
        <f ca="1">SUBTOTAL(9,R$71:R$73)</f>
        <v>0</v>
      </c>
      <c r="S68" s="78">
        <f ca="1">IFERROR($R68/$R$160,0)</f>
        <v>0</v>
      </c>
      <c r="T68" s="78">
        <f t="shared" ca="1" si="35"/>
        <v>0</v>
      </c>
      <c r="U68" s="4">
        <f ca="1">SUBTOTAL(9,U$71:U$73)</f>
        <v>0</v>
      </c>
      <c r="V68" s="78">
        <f ca="1">IFERROR($U68/$U$160,0)</f>
        <v>0</v>
      </c>
      <c r="W68" s="78">
        <f t="shared" ca="1" si="37"/>
        <v>0</v>
      </c>
      <c r="X68" s="4">
        <f ca="1">SUBTOTAL(9,X$71:X$73)</f>
        <v>0</v>
      </c>
      <c r="Y68" s="78">
        <f ca="1">IFERROR($X68/$X$160,0)</f>
        <v>0</v>
      </c>
      <c r="Z68" s="78">
        <f t="shared" ca="1" si="39"/>
        <v>0</v>
      </c>
      <c r="AA68" s="4">
        <f ca="1">SUBTOTAL(9,AA$71:AA$73)</f>
        <v>0</v>
      </c>
      <c r="AB68" s="78">
        <f ca="1">IFERROR($AA68/$AA$160,0)</f>
        <v>0</v>
      </c>
      <c r="AC68" s="78">
        <f t="shared" ca="1" si="41"/>
        <v>0</v>
      </c>
      <c r="AD68" s="4">
        <f ca="1">SUBTOTAL(9,AD$71:AD$73)</f>
        <v>0</v>
      </c>
      <c r="AE68" s="78">
        <f ca="1">IFERROR($AD68/$AD$160,0)</f>
        <v>0</v>
      </c>
      <c r="AF68" s="78">
        <f t="shared" ca="1" si="43"/>
        <v>0</v>
      </c>
      <c r="AG68" s="4">
        <f ca="1">SUBTOTAL(9,AG$71:AG$73)</f>
        <v>0</v>
      </c>
      <c r="AH68" s="78">
        <f ca="1">IFERROR($AG68/$AG$160,0)</f>
        <v>0</v>
      </c>
      <c r="AI68" s="78">
        <f t="shared" ca="1" si="45"/>
        <v>0</v>
      </c>
      <c r="AJ68" s="4">
        <f ca="1">SUBTOTAL(9,AJ$71:AJ$73)</f>
        <v>0</v>
      </c>
      <c r="AK68" s="78">
        <f ca="1">IFERROR($AJ68/$AJ$160,0)</f>
        <v>0</v>
      </c>
      <c r="AL68" s="78">
        <f t="shared" ca="1" si="47"/>
        <v>0</v>
      </c>
      <c r="AM68" s="4">
        <f ca="1">SUBTOTAL(9,AM$71:AM$73)</f>
        <v>0</v>
      </c>
      <c r="AN68" s="78">
        <f ca="1">IFERROR(AM68/AM$160,0)</f>
        <v>0</v>
      </c>
      <c r="AO68" s="78">
        <f t="shared" ca="1" si="49"/>
        <v>0</v>
      </c>
    </row>
    <row r="69" spans="2:43" ht="15" hidden="1" customHeight="1" outlineLevel="1" x14ac:dyDescent="0.3">
      <c r="B69" s="3" t="s">
        <v>298</v>
      </c>
      <c r="C69" s="14" t="s">
        <v>299</v>
      </c>
      <c r="D69" s="4">
        <f>SUMIFS(Tab_99.Trial[DEZEMBRO],Tab_99.Trial[CONTA],$B69)</f>
        <v>0</v>
      </c>
      <c r="E69" s="78">
        <f>IFERROR($D69/$D$160,0)</f>
        <v>0</v>
      </c>
      <c r="F69" s="4">
        <f ca="1">SUMIFS(INDIRECT("Tab_00.Trial["&amp;F$4&amp;"]"),Tab_00.Trial[CONTA],$B69)</f>
        <v>2289.33</v>
      </c>
      <c r="G69" s="78">
        <f ca="1">IFERROR($F69/$F$160,0)</f>
        <v>0</v>
      </c>
      <c r="H69" s="78">
        <f t="shared" ca="1" si="27"/>
        <v>0</v>
      </c>
      <c r="I69" s="4">
        <f ca="1">SUMIFS(INDIRECT("Tab_00.Trial["&amp;I$4&amp;"]"),Tab_00.Trial[CONTA],$B69)</f>
        <v>2289.33</v>
      </c>
      <c r="J69" s="78">
        <f ca="1">IFERROR($I69/$I$160,0)</f>
        <v>0</v>
      </c>
      <c r="K69" s="78">
        <f t="shared" ca="1" si="29"/>
        <v>0</v>
      </c>
      <c r="L69" s="4">
        <f ca="1">SUMIFS(INDIRECT("Tab_00.Trial["&amp;L$4&amp;"]"),Tab_00.Trial[CONTA],$B69)</f>
        <v>1713.85</v>
      </c>
      <c r="M69" s="78">
        <f ca="1">IFERROR($L69/$L$160,0)</f>
        <v>0</v>
      </c>
      <c r="N69" s="78">
        <f t="shared" ca="1" si="31"/>
        <v>-0.25140000000000001</v>
      </c>
      <c r="O69" s="4">
        <f ca="1">SUMIFS(INDIRECT("Tab_00.Trial["&amp;O$4&amp;"]"),Tab_00.Trial[CONTA],$B69)</f>
        <v>1426.11</v>
      </c>
      <c r="P69" s="78">
        <f ca="1">IFERROR($O69/$O$160,0)</f>
        <v>0</v>
      </c>
      <c r="Q69" s="78">
        <f t="shared" ca="1" si="33"/>
        <v>-0.16789999999999999</v>
      </c>
      <c r="R69" s="4">
        <f ca="1">SUMIFS(INDIRECT("Tab_00.Trial["&amp;R$4&amp;"]"),Tab_00.Trial[CONTA],$B69)</f>
        <v>1138.3699999999999</v>
      </c>
      <c r="S69" s="78">
        <f ca="1">IFERROR($R69/$R$160,0)</f>
        <v>0</v>
      </c>
      <c r="T69" s="78">
        <f t="shared" ca="1" si="35"/>
        <v>-0.20180000000000001</v>
      </c>
      <c r="U69" s="4">
        <f ca="1">SUMIFS(INDIRECT("Tab_00.Trial["&amp;U$4&amp;"]"),Tab_00.Trial[CONTA],$B69)</f>
        <v>562.89</v>
      </c>
      <c r="V69" s="78">
        <f ca="1">IFERROR($U69/$U$160,0)</f>
        <v>0</v>
      </c>
      <c r="W69" s="78">
        <f t="shared" ca="1" si="37"/>
        <v>-0.50549999999999995</v>
      </c>
      <c r="X69" s="4">
        <f ca="1">SUMIFS(INDIRECT("Tab_00.Trial["&amp;X$4&amp;"]"),Tab_00.Trial[CONTA],$B69)</f>
        <v>562.89</v>
      </c>
      <c r="Y69" s="78">
        <f ca="1">IFERROR($X69/$X$160,0)</f>
        <v>0</v>
      </c>
      <c r="Z69" s="78">
        <f t="shared" ca="1" si="39"/>
        <v>0</v>
      </c>
      <c r="AA69" s="4">
        <f ca="1">SUMIFS(INDIRECT("Tab_00.Trial["&amp;AA$4&amp;"]"),Tab_00.Trial[CONTA],$B69)</f>
        <v>562.89</v>
      </c>
      <c r="AB69" s="78">
        <f ca="1">IFERROR($AA69/$AA$160,0)</f>
        <v>0</v>
      </c>
      <c r="AC69" s="78">
        <f t="shared" ca="1" si="41"/>
        <v>0</v>
      </c>
      <c r="AD69" s="4">
        <f ca="1">SUMIFS(INDIRECT("Tab_00.Trial["&amp;AD$4&amp;"]"),Tab_00.Trial[CONTA],$B69)</f>
        <v>0</v>
      </c>
      <c r="AE69" s="78">
        <f ca="1">IFERROR($AD69/$AD$160,0)</f>
        <v>0</v>
      </c>
      <c r="AF69" s="78">
        <f t="shared" ca="1" si="43"/>
        <v>-1</v>
      </c>
      <c r="AG69" s="4">
        <f ca="1">SUMIFS(INDIRECT("Tab_00.Trial["&amp;AG$4&amp;"]"),Tab_00.Trial[CONTA],$B69)</f>
        <v>3209.38</v>
      </c>
      <c r="AH69" s="78">
        <f ca="1">IFERROR($AG69/$AG$160,0)</f>
        <v>0</v>
      </c>
      <c r="AI69" s="78">
        <f t="shared" ca="1" si="45"/>
        <v>0</v>
      </c>
      <c r="AJ69" s="4">
        <f ca="1">SUMIFS(INDIRECT("Tab_00.Trial["&amp;AJ$4&amp;"]"),Tab_00.Trial[CONTA],$B69)</f>
        <v>2917.62</v>
      </c>
      <c r="AK69" s="78">
        <f ca="1">IFERROR($AJ69/$AJ$160,0)</f>
        <v>0</v>
      </c>
      <c r="AL69" s="78">
        <f t="shared" ca="1" si="47"/>
        <v>-9.0899999999999995E-2</v>
      </c>
      <c r="AM69" s="4">
        <f ca="1">SUMIFS(INDIRECT("Tab_00.Trial["&amp;AM$4&amp;"]"),Tab_00.Trial[CONTA],$B69)</f>
        <v>2625.86</v>
      </c>
      <c r="AN69" s="78">
        <f ca="1">IFERROR(AM69/AM$160,0)</f>
        <v>0</v>
      </c>
      <c r="AO69" s="78">
        <f t="shared" ca="1" si="49"/>
        <v>-0.1</v>
      </c>
    </row>
    <row r="70" spans="2:43" ht="15" hidden="1" customHeight="1" outlineLevel="1" x14ac:dyDescent="0.3">
      <c r="B70" s="138"/>
      <c r="C70" s="139"/>
      <c r="D70" s="4">
        <f>SUMIFS(Tab_99.Trial[DEZEMBRO],Tab_99.Trial[CONTA],$B70)</f>
        <v>0</v>
      </c>
      <c r="E70" s="78">
        <f>IFERROR($D70/$D$160,0)</f>
        <v>0</v>
      </c>
      <c r="F70" s="4">
        <f ca="1">SUMIFS(INDIRECT("Tab_00.Trial["&amp;F$4&amp;"]"),Tab_00.Trial[CONTA],$B70)</f>
        <v>0</v>
      </c>
      <c r="G70" s="78">
        <f ca="1">IFERROR($F70/$F$160,0)</f>
        <v>0</v>
      </c>
      <c r="H70" s="78">
        <f t="shared" ca="1" si="27"/>
        <v>0</v>
      </c>
      <c r="I70" s="4">
        <f ca="1">SUMIFS(INDIRECT("Tab_00.Trial["&amp;I$4&amp;"]"),Tab_00.Trial[CONTA],$B70)</f>
        <v>0</v>
      </c>
      <c r="J70" s="78">
        <f ca="1">IFERROR($I70/$I$160,0)</f>
        <v>0</v>
      </c>
      <c r="K70" s="78">
        <f t="shared" ca="1" si="29"/>
        <v>0</v>
      </c>
      <c r="L70" s="4">
        <f ca="1">SUMIFS(INDIRECT("Tab_00.Trial["&amp;L$4&amp;"]"),Tab_00.Trial[CONTA],$B70)</f>
        <v>0</v>
      </c>
      <c r="M70" s="78">
        <f ca="1">IFERROR($L70/$L$160,0)</f>
        <v>0</v>
      </c>
      <c r="N70" s="78">
        <f t="shared" ca="1" si="31"/>
        <v>0</v>
      </c>
      <c r="O70" s="4">
        <f ca="1">SUMIFS(INDIRECT("Tab_00.Trial["&amp;O$4&amp;"]"),Tab_00.Trial[CONTA],$B70)</f>
        <v>0</v>
      </c>
      <c r="P70" s="78">
        <f ca="1">IFERROR($O70/$O$160,0)</f>
        <v>0</v>
      </c>
      <c r="Q70" s="78">
        <f t="shared" ca="1" si="33"/>
        <v>0</v>
      </c>
      <c r="R70" s="4">
        <f ca="1">SUMIFS(INDIRECT("Tab_00.Trial["&amp;R$4&amp;"]"),Tab_00.Trial[CONTA],$B70)</f>
        <v>0</v>
      </c>
      <c r="S70" s="78">
        <f ca="1">IFERROR($R70/$R$160,0)</f>
        <v>0</v>
      </c>
      <c r="T70" s="78">
        <f t="shared" ca="1" si="35"/>
        <v>0</v>
      </c>
      <c r="U70" s="4">
        <f ca="1">SUMIFS(INDIRECT("Tab_00.Trial["&amp;U$4&amp;"]"),Tab_00.Trial[CONTA],$B70)</f>
        <v>0</v>
      </c>
      <c r="V70" s="78">
        <f ca="1">IFERROR($U70/$U$160,0)</f>
        <v>0</v>
      </c>
      <c r="W70" s="78">
        <f t="shared" ca="1" si="37"/>
        <v>0</v>
      </c>
      <c r="X70" s="4">
        <f ca="1">SUMIFS(INDIRECT("Tab_00.Trial["&amp;X$4&amp;"]"),Tab_00.Trial[CONTA],$B70)</f>
        <v>0</v>
      </c>
      <c r="Y70" s="78">
        <f ca="1">IFERROR($X70/$X$160,0)</f>
        <v>0</v>
      </c>
      <c r="Z70" s="78">
        <f t="shared" ca="1" si="39"/>
        <v>0</v>
      </c>
      <c r="AA70" s="4">
        <f ca="1">SUMIFS(INDIRECT("Tab_00.Trial["&amp;AA$4&amp;"]"),Tab_00.Trial[CONTA],$B70)</f>
        <v>0</v>
      </c>
      <c r="AB70" s="78">
        <f ca="1">IFERROR($AA70/$AA$160,0)</f>
        <v>0</v>
      </c>
      <c r="AC70" s="78">
        <f t="shared" ca="1" si="41"/>
        <v>0</v>
      </c>
      <c r="AD70" s="4">
        <f ca="1">SUMIFS(INDIRECT("Tab_00.Trial["&amp;AD$4&amp;"]"),Tab_00.Trial[CONTA],$B70)</f>
        <v>0</v>
      </c>
      <c r="AE70" s="78">
        <f ca="1">IFERROR($AD70/$AD$160,0)</f>
        <v>0</v>
      </c>
      <c r="AF70" s="78">
        <f t="shared" ca="1" si="43"/>
        <v>0</v>
      </c>
      <c r="AG70" s="4">
        <f ca="1">SUMIFS(INDIRECT("Tab_00.Trial["&amp;AG$4&amp;"]"),Tab_00.Trial[CONTA],$B70)</f>
        <v>0</v>
      </c>
      <c r="AH70" s="78">
        <f ca="1">IFERROR($AG70/$AG$160,0)</f>
        <v>0</v>
      </c>
      <c r="AI70" s="78">
        <f t="shared" ca="1" si="45"/>
        <v>0</v>
      </c>
      <c r="AJ70" s="4">
        <f ca="1">SUMIFS(INDIRECT("Tab_00.Trial["&amp;AJ$4&amp;"]"),Tab_00.Trial[CONTA],$B70)</f>
        <v>0</v>
      </c>
      <c r="AK70" s="78">
        <f ca="1">IFERROR($AJ70/$AJ$160,0)</f>
        <v>0</v>
      </c>
      <c r="AL70" s="78">
        <f t="shared" ca="1" si="47"/>
        <v>0</v>
      </c>
      <c r="AM70" s="4">
        <f ca="1">SUMIFS(INDIRECT("Tab_00.Trial["&amp;AM$4&amp;"]"),Tab_00.Trial[CONTA],$B70)</f>
        <v>0</v>
      </c>
      <c r="AN70" s="78">
        <f ca="1">IFERROR(AM70/AM$160,0)</f>
        <v>0</v>
      </c>
      <c r="AO70" s="78">
        <f t="shared" ca="1" si="49"/>
        <v>0</v>
      </c>
    </row>
    <row r="71" spans="2:43" ht="15" hidden="1" customHeight="1" outlineLevel="1" x14ac:dyDescent="0.3">
      <c r="B71" s="138"/>
      <c r="C71" s="139"/>
      <c r="D71" s="4">
        <f>SUMIFS(Tab_99.Trial[DEZEMBRO],Tab_99.Trial[CONTA],$B71)</f>
        <v>0</v>
      </c>
      <c r="E71" s="78">
        <f>IFERROR($D71/$D$160,0)</f>
        <v>0</v>
      </c>
      <c r="F71" s="4">
        <f ca="1">SUMIFS(INDIRECT("Tab_00.Trial["&amp;F$4&amp;"]"),Tab_00.Trial[CONTA],$B71)</f>
        <v>0</v>
      </c>
      <c r="G71" s="78">
        <f ca="1">IFERROR($F71/$F$160,0)</f>
        <v>0</v>
      </c>
      <c r="H71" s="78">
        <f t="shared" ca="1" si="27"/>
        <v>0</v>
      </c>
      <c r="I71" s="4">
        <f ca="1">SUMIFS(INDIRECT("Tab_00.Trial["&amp;I$4&amp;"]"),Tab_00.Trial[CONTA],$B71)</f>
        <v>0</v>
      </c>
      <c r="J71" s="78">
        <f ca="1">IFERROR($I71/$I$160,0)</f>
        <v>0</v>
      </c>
      <c r="K71" s="78">
        <f t="shared" ca="1" si="29"/>
        <v>0</v>
      </c>
      <c r="L71" s="4">
        <f ca="1">SUMIFS(INDIRECT("Tab_00.Trial["&amp;L$4&amp;"]"),Tab_00.Trial[CONTA],$B71)</f>
        <v>0</v>
      </c>
      <c r="M71" s="78">
        <f ca="1">IFERROR($L71/$L$160,0)</f>
        <v>0</v>
      </c>
      <c r="N71" s="78">
        <f t="shared" ca="1" si="31"/>
        <v>0</v>
      </c>
      <c r="O71" s="4">
        <f ca="1">SUMIFS(INDIRECT("Tab_00.Trial["&amp;O$4&amp;"]"),Tab_00.Trial[CONTA],$B71)</f>
        <v>0</v>
      </c>
      <c r="P71" s="78">
        <f ca="1">IFERROR($O71/$O$160,0)</f>
        <v>0</v>
      </c>
      <c r="Q71" s="78">
        <f t="shared" ca="1" si="33"/>
        <v>0</v>
      </c>
      <c r="R71" s="4">
        <f ca="1">SUMIFS(INDIRECT("Tab_00.Trial["&amp;R$4&amp;"]"),Tab_00.Trial[CONTA],$B71)</f>
        <v>0</v>
      </c>
      <c r="S71" s="78">
        <f ca="1">IFERROR($R71/$R$160,0)</f>
        <v>0</v>
      </c>
      <c r="T71" s="78">
        <f t="shared" ca="1" si="35"/>
        <v>0</v>
      </c>
      <c r="U71" s="4">
        <f ca="1">SUMIFS(INDIRECT("Tab_00.Trial["&amp;U$4&amp;"]"),Tab_00.Trial[CONTA],$B71)</f>
        <v>0</v>
      </c>
      <c r="V71" s="78">
        <f ca="1">IFERROR($U71/$U$160,0)</f>
        <v>0</v>
      </c>
      <c r="W71" s="78">
        <f t="shared" ca="1" si="37"/>
        <v>0</v>
      </c>
      <c r="X71" s="4">
        <f ca="1">SUMIFS(INDIRECT("Tab_00.Trial["&amp;X$4&amp;"]"),Tab_00.Trial[CONTA],$B71)</f>
        <v>0</v>
      </c>
      <c r="Y71" s="78">
        <f ca="1">IFERROR($X71/$X$160,0)</f>
        <v>0</v>
      </c>
      <c r="Z71" s="78">
        <f t="shared" ca="1" si="39"/>
        <v>0</v>
      </c>
      <c r="AA71" s="4">
        <f ca="1">SUMIFS(INDIRECT("Tab_00.Trial["&amp;AA$4&amp;"]"),Tab_00.Trial[CONTA],$B71)</f>
        <v>0</v>
      </c>
      <c r="AB71" s="78">
        <f ca="1">IFERROR($AA71/$AA$160,0)</f>
        <v>0</v>
      </c>
      <c r="AC71" s="78">
        <f t="shared" ca="1" si="41"/>
        <v>0</v>
      </c>
      <c r="AD71" s="4">
        <f ca="1">SUMIFS(INDIRECT("Tab_00.Trial["&amp;AD$4&amp;"]"),Tab_00.Trial[CONTA],$B71)</f>
        <v>0</v>
      </c>
      <c r="AE71" s="78">
        <f ca="1">IFERROR($AD71/$AD$160,0)</f>
        <v>0</v>
      </c>
      <c r="AF71" s="78">
        <f t="shared" ca="1" si="43"/>
        <v>0</v>
      </c>
      <c r="AG71" s="4">
        <f ca="1">SUMIFS(INDIRECT("Tab_00.Trial["&amp;AG$4&amp;"]"),Tab_00.Trial[CONTA],$B71)</f>
        <v>0</v>
      </c>
      <c r="AH71" s="78">
        <f ca="1">IFERROR($AG71/$AG$160,0)</f>
        <v>0</v>
      </c>
      <c r="AI71" s="78">
        <f t="shared" ca="1" si="45"/>
        <v>0</v>
      </c>
      <c r="AJ71" s="4">
        <f ca="1">SUMIFS(INDIRECT("Tab_00.Trial["&amp;AJ$4&amp;"]"),Tab_00.Trial[CONTA],$B71)</f>
        <v>0</v>
      </c>
      <c r="AK71" s="78">
        <f ca="1">IFERROR($AJ71/$AJ$160,0)</f>
        <v>0</v>
      </c>
      <c r="AL71" s="78">
        <f t="shared" ca="1" si="47"/>
        <v>0</v>
      </c>
      <c r="AM71" s="4">
        <f ca="1">SUMIFS(INDIRECT("Tab_00.Trial["&amp;AM$4&amp;"]"),Tab_00.Trial[CONTA],$B71)</f>
        <v>0</v>
      </c>
      <c r="AN71" s="78">
        <f ca="1">IFERROR(AM71/AM$160,0)</f>
        <v>0</v>
      </c>
      <c r="AO71" s="78">
        <f t="shared" ca="1" si="49"/>
        <v>0</v>
      </c>
    </row>
    <row r="72" spans="2:43" ht="15" hidden="1" customHeight="1" outlineLevel="1" x14ac:dyDescent="0.3">
      <c r="B72" s="14"/>
      <c r="C72" s="15"/>
      <c r="D72" s="4">
        <f>SUMIFS(Tab_99.Trial[DEZEMBRO],Tab_99.Trial[CONTA],$B72)</f>
        <v>0</v>
      </c>
      <c r="E72" s="78">
        <f>IFERROR($D72/$D$160,0)</f>
        <v>0</v>
      </c>
      <c r="F72" s="4">
        <f ca="1">SUMIFS(INDIRECT("Tab_00.Trial["&amp;F$4&amp;"]"),Tab_00.Trial[CONTA],$B72)</f>
        <v>0</v>
      </c>
      <c r="G72" s="78">
        <f ca="1">IFERROR($F72/$F$160,0)</f>
        <v>0</v>
      </c>
      <c r="H72" s="78">
        <f t="shared" ca="1" si="27"/>
        <v>0</v>
      </c>
      <c r="I72" s="4">
        <f ca="1">SUMIFS(INDIRECT("Tab_00.Trial["&amp;I$4&amp;"]"),Tab_00.Trial[CONTA],$B72)</f>
        <v>0</v>
      </c>
      <c r="J72" s="78">
        <f ca="1">IFERROR($I72/$I$160,0)</f>
        <v>0</v>
      </c>
      <c r="K72" s="78">
        <f t="shared" ca="1" si="29"/>
        <v>0</v>
      </c>
      <c r="L72" s="4">
        <f ca="1">SUMIFS(INDIRECT("Tab_00.Trial["&amp;L$4&amp;"]"),Tab_00.Trial[CONTA],$B72)</f>
        <v>0</v>
      </c>
      <c r="M72" s="78">
        <f ca="1">IFERROR($L72/$L$160,0)</f>
        <v>0</v>
      </c>
      <c r="N72" s="78">
        <f t="shared" ca="1" si="31"/>
        <v>0</v>
      </c>
      <c r="O72" s="4">
        <f ca="1">SUMIFS(INDIRECT("Tab_00.Trial["&amp;O$4&amp;"]"),Tab_00.Trial[CONTA],$B72)</f>
        <v>0</v>
      </c>
      <c r="P72" s="78">
        <f ca="1">IFERROR($O72/$O$160,0)</f>
        <v>0</v>
      </c>
      <c r="Q72" s="78">
        <f t="shared" ca="1" si="33"/>
        <v>0</v>
      </c>
      <c r="R72" s="4">
        <f ca="1">SUMIFS(INDIRECT("Tab_00.Trial["&amp;R$4&amp;"]"),Tab_00.Trial[CONTA],$B72)</f>
        <v>0</v>
      </c>
      <c r="S72" s="78">
        <f ca="1">IFERROR($R72/$R$160,0)</f>
        <v>0</v>
      </c>
      <c r="T72" s="78">
        <f t="shared" ca="1" si="35"/>
        <v>0</v>
      </c>
      <c r="U72" s="4">
        <f ca="1">SUMIFS(INDIRECT("Tab_00.Trial["&amp;U$4&amp;"]"),Tab_00.Trial[CONTA],$B72)</f>
        <v>0</v>
      </c>
      <c r="V72" s="78">
        <f ca="1">IFERROR($U72/$U$160,0)</f>
        <v>0</v>
      </c>
      <c r="W72" s="78">
        <f t="shared" ca="1" si="37"/>
        <v>0</v>
      </c>
      <c r="X72" s="4">
        <f ca="1">SUMIFS(INDIRECT("Tab_00.Trial["&amp;X$4&amp;"]"),Tab_00.Trial[CONTA],$B72)</f>
        <v>0</v>
      </c>
      <c r="Y72" s="78">
        <f ca="1">IFERROR($X72/$X$160,0)</f>
        <v>0</v>
      </c>
      <c r="Z72" s="78">
        <f t="shared" ca="1" si="39"/>
        <v>0</v>
      </c>
      <c r="AA72" s="4">
        <f ca="1">SUMIFS(INDIRECT("Tab_00.Trial["&amp;AA$4&amp;"]"),Tab_00.Trial[CONTA],$B72)</f>
        <v>0</v>
      </c>
      <c r="AB72" s="78">
        <f ca="1">IFERROR($AA72/$AA$160,0)</f>
        <v>0</v>
      </c>
      <c r="AC72" s="78">
        <f t="shared" ca="1" si="41"/>
        <v>0</v>
      </c>
      <c r="AD72" s="4">
        <f ca="1">SUMIFS(INDIRECT("Tab_00.Trial["&amp;AD$4&amp;"]"),Tab_00.Trial[CONTA],$B72)</f>
        <v>0</v>
      </c>
      <c r="AE72" s="78">
        <f ca="1">IFERROR($AD72/$AD$160,0)</f>
        <v>0</v>
      </c>
      <c r="AF72" s="78">
        <f t="shared" ca="1" si="43"/>
        <v>0</v>
      </c>
      <c r="AG72" s="4">
        <f ca="1">SUMIFS(INDIRECT("Tab_00.Trial["&amp;AG$4&amp;"]"),Tab_00.Trial[CONTA],$B72)</f>
        <v>0</v>
      </c>
      <c r="AH72" s="78">
        <f ca="1">IFERROR($AG72/$AG$160,0)</f>
        <v>0</v>
      </c>
      <c r="AI72" s="78">
        <f t="shared" ca="1" si="45"/>
        <v>0</v>
      </c>
      <c r="AJ72" s="4">
        <f ca="1">SUMIFS(INDIRECT("Tab_00.Trial["&amp;AJ$4&amp;"]"),Tab_00.Trial[CONTA],$B72)</f>
        <v>0</v>
      </c>
      <c r="AK72" s="78">
        <f ca="1">IFERROR($AJ72/$AJ$160,0)</f>
        <v>0</v>
      </c>
      <c r="AL72" s="78">
        <f t="shared" ca="1" si="47"/>
        <v>0</v>
      </c>
      <c r="AM72" s="4">
        <f ca="1">SUMIFS(INDIRECT("Tab_00.Trial["&amp;AM$4&amp;"]"),Tab_00.Trial[CONTA],$B72)</f>
        <v>0</v>
      </c>
      <c r="AN72" s="78">
        <f ca="1">IFERROR(AM72/AM$160,0)</f>
        <v>0</v>
      </c>
      <c r="AO72" s="78">
        <f t="shared" ca="1" si="49"/>
        <v>0</v>
      </c>
    </row>
    <row r="73" spans="2:43" ht="5.0999999999999996" hidden="1" customHeight="1" outlineLevel="1" x14ac:dyDescent="0.3">
      <c r="B73" s="74"/>
      <c r="C73" s="75"/>
      <c r="D73" s="76"/>
      <c r="E73" s="77"/>
      <c r="F73" s="76"/>
      <c r="G73" s="77"/>
      <c r="H73" s="77"/>
      <c r="I73" s="76"/>
      <c r="J73" s="77"/>
      <c r="K73" s="77"/>
      <c r="L73" s="76"/>
      <c r="M73" s="77"/>
      <c r="N73" s="77"/>
      <c r="O73" s="76"/>
      <c r="P73" s="77"/>
      <c r="Q73" s="77"/>
      <c r="R73" s="76"/>
      <c r="S73" s="77"/>
      <c r="T73" s="77"/>
      <c r="U73" s="76"/>
      <c r="V73" s="77"/>
      <c r="W73" s="77"/>
      <c r="X73" s="76"/>
      <c r="Y73" s="77"/>
      <c r="Z73" s="77"/>
      <c r="AA73" s="76"/>
      <c r="AB73" s="77"/>
      <c r="AC73" s="77"/>
      <c r="AD73" s="76"/>
      <c r="AE73" s="77"/>
      <c r="AF73" s="77"/>
      <c r="AG73" s="76"/>
      <c r="AH73" s="77"/>
      <c r="AI73" s="77"/>
      <c r="AJ73" s="76"/>
      <c r="AK73" s="77"/>
      <c r="AL73" s="77"/>
      <c r="AM73" s="76"/>
      <c r="AN73" s="77"/>
      <c r="AO73" s="77"/>
    </row>
    <row r="74" spans="2:43" ht="15" customHeight="1" collapsed="1" x14ac:dyDescent="0.3">
      <c r="B74" s="3" t="s">
        <v>142</v>
      </c>
      <c r="C74" s="14" t="s">
        <v>100</v>
      </c>
      <c r="D74" s="4">
        <f>SUBTOTAL(9,D$75:D$90)</f>
        <v>0</v>
      </c>
      <c r="E74" s="78">
        <f t="shared" ref="E74:E89" si="90">IFERROR($D74/$D$160,0)</f>
        <v>0</v>
      </c>
      <c r="F74" s="4">
        <f ca="1">SUBTOTAL(9,F$75:F$90)</f>
        <v>0</v>
      </c>
      <c r="G74" s="78">
        <f t="shared" ref="G74:G89" ca="1" si="91">IFERROR($F74/$F$160,0)</f>
        <v>0</v>
      </c>
      <c r="H74" s="78">
        <f t="shared" ca="1" si="27"/>
        <v>0</v>
      </c>
      <c r="I74" s="4">
        <f ca="1">SUBTOTAL(9,I$75:I$90)</f>
        <v>0</v>
      </c>
      <c r="J74" s="78">
        <f t="shared" ref="J74:J89" ca="1" si="92">IFERROR($I74/$I$160,0)</f>
        <v>0</v>
      </c>
      <c r="K74" s="78">
        <f t="shared" ca="1" si="29"/>
        <v>0</v>
      </c>
      <c r="L74" s="4">
        <f ca="1">SUBTOTAL(9,L$75:L$90)</f>
        <v>0</v>
      </c>
      <c r="M74" s="78">
        <f t="shared" ref="M74:M89" ca="1" si="93">IFERROR($L74/$L$160,0)</f>
        <v>0</v>
      </c>
      <c r="N74" s="78">
        <f t="shared" ca="1" si="31"/>
        <v>0</v>
      </c>
      <c r="O74" s="4">
        <f ca="1">SUBTOTAL(9,O$75:O$90)</f>
        <v>0</v>
      </c>
      <c r="P74" s="78">
        <f t="shared" ref="P74:P89" ca="1" si="94">IFERROR($O74/$O$160,0)</f>
        <v>0</v>
      </c>
      <c r="Q74" s="78">
        <f t="shared" ca="1" si="33"/>
        <v>0</v>
      </c>
      <c r="R74" s="4">
        <f ca="1">SUBTOTAL(9,R$75:R$90)</f>
        <v>0</v>
      </c>
      <c r="S74" s="78">
        <f t="shared" ref="S74:S89" ca="1" si="95">IFERROR($R74/$R$160,0)</f>
        <v>0</v>
      </c>
      <c r="T74" s="78">
        <f t="shared" ca="1" si="35"/>
        <v>0</v>
      </c>
      <c r="U74" s="4">
        <f ca="1">SUBTOTAL(9,U$75:U$90)</f>
        <v>0</v>
      </c>
      <c r="V74" s="78">
        <f t="shared" ref="V74:V89" ca="1" si="96">IFERROR($U74/$U$160,0)</f>
        <v>0</v>
      </c>
      <c r="W74" s="78">
        <f t="shared" ca="1" si="37"/>
        <v>0</v>
      </c>
      <c r="X74" s="4">
        <f ca="1">SUBTOTAL(9,X$75:X$90)</f>
        <v>0</v>
      </c>
      <c r="Y74" s="78">
        <f t="shared" ref="Y74:Y89" ca="1" si="97">IFERROR($X74/$X$160,0)</f>
        <v>0</v>
      </c>
      <c r="Z74" s="78">
        <f t="shared" ca="1" si="39"/>
        <v>0</v>
      </c>
      <c r="AA74" s="4">
        <f ca="1">SUBTOTAL(9,AA$75:AA$90)</f>
        <v>0</v>
      </c>
      <c r="AB74" s="78">
        <f t="shared" ref="AB74:AB89" ca="1" si="98">IFERROR($AA74/$AA$160,0)</f>
        <v>0</v>
      </c>
      <c r="AC74" s="78">
        <f t="shared" ca="1" si="41"/>
        <v>0</v>
      </c>
      <c r="AD74" s="4">
        <f ca="1">SUBTOTAL(9,AD$75:AD$90)</f>
        <v>0</v>
      </c>
      <c r="AE74" s="78">
        <f t="shared" ref="AE74:AE89" ca="1" si="99">IFERROR($AD74/$AD$160,0)</f>
        <v>0</v>
      </c>
      <c r="AF74" s="78">
        <f t="shared" ca="1" si="43"/>
        <v>0</v>
      </c>
      <c r="AG74" s="4">
        <f ca="1">SUBTOTAL(9,AG$75:AG$90)</f>
        <v>0</v>
      </c>
      <c r="AH74" s="78">
        <f t="shared" ref="AH74:AH89" ca="1" si="100">IFERROR($AG74/$AG$160,0)</f>
        <v>0</v>
      </c>
      <c r="AI74" s="78">
        <f t="shared" ca="1" si="45"/>
        <v>0</v>
      </c>
      <c r="AJ74" s="4">
        <f ca="1">SUBTOTAL(9,AJ$75:AJ$90)</f>
        <v>0</v>
      </c>
      <c r="AK74" s="78">
        <f t="shared" ref="AK74:AK89" ca="1" si="101">IFERROR($AJ74/$AJ$160,0)</f>
        <v>0</v>
      </c>
      <c r="AL74" s="78">
        <f t="shared" ca="1" si="47"/>
        <v>0</v>
      </c>
      <c r="AM74" s="4">
        <f ca="1">SUBTOTAL(9,AM$75:AM$90)</f>
        <v>0</v>
      </c>
      <c r="AN74" s="78">
        <f t="shared" ref="AN74:AN89" ca="1" si="102">IFERROR(AM74/AM$160,0)</f>
        <v>0</v>
      </c>
      <c r="AO74" s="78">
        <f t="shared" ca="1" si="49"/>
        <v>0</v>
      </c>
    </row>
    <row r="75" spans="2:43" ht="15" hidden="1" customHeight="1" outlineLevel="1" x14ac:dyDescent="0.3">
      <c r="B75" s="14"/>
      <c r="C75" s="15" t="s">
        <v>180</v>
      </c>
      <c r="D75" s="4">
        <f>SUMIFS(Tab_99.Trial[DEZEMBRO],Tab_99.Trial[CONTA],$B75)</f>
        <v>0</v>
      </c>
      <c r="E75" s="78">
        <f t="shared" si="90"/>
        <v>0</v>
      </c>
      <c r="F75" s="4">
        <f ca="1">SUMIFS(INDIRECT("Tab_00.Trial["&amp;F$4&amp;"]"),Tab_00.Trial[CONTA],$B75)</f>
        <v>0</v>
      </c>
      <c r="G75" s="78">
        <f t="shared" ca="1" si="91"/>
        <v>0</v>
      </c>
      <c r="H75" s="78">
        <f t="shared" ca="1" si="27"/>
        <v>0</v>
      </c>
      <c r="I75" s="4">
        <f ca="1">SUMIFS(INDIRECT("Tab_00.Trial["&amp;I$4&amp;"]"),Tab_00.Trial[CONTA],$B75)</f>
        <v>0</v>
      </c>
      <c r="J75" s="78">
        <f t="shared" ca="1" si="92"/>
        <v>0</v>
      </c>
      <c r="K75" s="78">
        <f t="shared" ca="1" si="29"/>
        <v>0</v>
      </c>
      <c r="L75" s="4">
        <f ca="1">SUMIFS(INDIRECT("Tab_00.Trial["&amp;L$4&amp;"]"),Tab_00.Trial[CONTA],$B75)</f>
        <v>0</v>
      </c>
      <c r="M75" s="78">
        <f t="shared" ca="1" si="93"/>
        <v>0</v>
      </c>
      <c r="N75" s="78">
        <f t="shared" ca="1" si="31"/>
        <v>0</v>
      </c>
      <c r="O75" s="4">
        <f ca="1">SUMIFS(INDIRECT("Tab_00.Trial["&amp;O$4&amp;"]"),Tab_00.Trial[CONTA],$B75)</f>
        <v>0</v>
      </c>
      <c r="P75" s="78">
        <f t="shared" ca="1" si="94"/>
        <v>0</v>
      </c>
      <c r="Q75" s="78">
        <f t="shared" ca="1" si="33"/>
        <v>0</v>
      </c>
      <c r="R75" s="4">
        <f ca="1">SUMIFS(INDIRECT("Tab_00.Trial["&amp;R$4&amp;"]"),Tab_00.Trial[CONTA],$B75)</f>
        <v>0</v>
      </c>
      <c r="S75" s="78">
        <f t="shared" ca="1" si="95"/>
        <v>0</v>
      </c>
      <c r="T75" s="78">
        <f t="shared" ca="1" si="35"/>
        <v>0</v>
      </c>
      <c r="U75" s="4">
        <f ca="1">SUMIFS(INDIRECT("Tab_00.Trial["&amp;U$4&amp;"]"),Tab_00.Trial[CONTA],$B75)</f>
        <v>0</v>
      </c>
      <c r="V75" s="78">
        <f t="shared" ca="1" si="96"/>
        <v>0</v>
      </c>
      <c r="W75" s="78">
        <f t="shared" ca="1" si="37"/>
        <v>0</v>
      </c>
      <c r="X75" s="4">
        <f ca="1">SUMIFS(INDIRECT("Tab_00.Trial["&amp;X$4&amp;"]"),Tab_00.Trial[CONTA],$B75)</f>
        <v>0</v>
      </c>
      <c r="Y75" s="78">
        <f t="shared" ca="1" si="97"/>
        <v>0</v>
      </c>
      <c r="Z75" s="78">
        <f t="shared" ca="1" si="39"/>
        <v>0</v>
      </c>
      <c r="AA75" s="4">
        <f ca="1">SUMIFS(INDIRECT("Tab_00.Trial["&amp;AA$4&amp;"]"),Tab_00.Trial[CONTA],$B75)</f>
        <v>0</v>
      </c>
      <c r="AB75" s="78">
        <f t="shared" ca="1" si="98"/>
        <v>0</v>
      </c>
      <c r="AC75" s="78">
        <f t="shared" ca="1" si="41"/>
        <v>0</v>
      </c>
      <c r="AD75" s="4">
        <f ca="1">SUMIFS(INDIRECT("Tab_00.Trial["&amp;AD$4&amp;"]"),Tab_00.Trial[CONTA],$B75)</f>
        <v>0</v>
      </c>
      <c r="AE75" s="78">
        <f t="shared" ca="1" si="99"/>
        <v>0</v>
      </c>
      <c r="AF75" s="78">
        <f t="shared" ca="1" si="43"/>
        <v>0</v>
      </c>
      <c r="AG75" s="4">
        <f ca="1">SUMIFS(INDIRECT("Tab_00.Trial["&amp;AG$4&amp;"]"),Tab_00.Trial[CONTA],$B75)</f>
        <v>0</v>
      </c>
      <c r="AH75" s="78">
        <f t="shared" ca="1" si="100"/>
        <v>0</v>
      </c>
      <c r="AI75" s="78">
        <f t="shared" ca="1" si="45"/>
        <v>0</v>
      </c>
      <c r="AJ75" s="4">
        <f ca="1">SUMIFS(INDIRECT("Tab_00.Trial["&amp;AJ$4&amp;"]"),Tab_00.Trial[CONTA],$B75)</f>
        <v>0</v>
      </c>
      <c r="AK75" s="78">
        <f t="shared" ca="1" si="101"/>
        <v>0</v>
      </c>
      <c r="AL75" s="78">
        <f t="shared" ca="1" si="47"/>
        <v>0</v>
      </c>
      <c r="AM75" s="4">
        <f ca="1">SUMIFS(INDIRECT("Tab_00.Trial["&amp;AM$4&amp;"]"),Tab_00.Trial[CONTA],$B75)</f>
        <v>0</v>
      </c>
      <c r="AN75" s="78">
        <f t="shared" ca="1" si="102"/>
        <v>0</v>
      </c>
      <c r="AO75" s="78">
        <f t="shared" ca="1" si="49"/>
        <v>0</v>
      </c>
      <c r="AQ75" s="142"/>
    </row>
    <row r="76" spans="2:43" ht="15" hidden="1" customHeight="1" outlineLevel="1" x14ac:dyDescent="0.3">
      <c r="B76" s="14"/>
      <c r="C76" s="15"/>
      <c r="D76" s="4">
        <f>SUMIFS(Tab_99.Trial[DEZEMBRO],Tab_99.Trial[CONTA],$B76)</f>
        <v>0</v>
      </c>
      <c r="E76" s="78">
        <f t="shared" si="90"/>
        <v>0</v>
      </c>
      <c r="F76" s="4">
        <f ca="1">SUMIFS(INDIRECT("Tab_00.Trial["&amp;F$4&amp;"]"),Tab_00.Trial[CONTA],$B76)</f>
        <v>0</v>
      </c>
      <c r="G76" s="78">
        <f t="shared" ca="1" si="91"/>
        <v>0</v>
      </c>
      <c r="H76" s="78">
        <f t="shared" ca="1" si="27"/>
        <v>0</v>
      </c>
      <c r="I76" s="4">
        <f ca="1">SUMIFS(INDIRECT("Tab_00.Trial["&amp;I$4&amp;"]"),Tab_00.Trial[CONTA],$B76)</f>
        <v>0</v>
      </c>
      <c r="J76" s="78">
        <f t="shared" ca="1" si="92"/>
        <v>0</v>
      </c>
      <c r="K76" s="78">
        <f t="shared" ca="1" si="29"/>
        <v>0</v>
      </c>
      <c r="L76" s="4">
        <f ca="1">SUMIFS(INDIRECT("Tab_00.Trial["&amp;L$4&amp;"]"),Tab_00.Trial[CONTA],$B76)</f>
        <v>0</v>
      </c>
      <c r="M76" s="78">
        <f t="shared" ca="1" si="93"/>
        <v>0</v>
      </c>
      <c r="N76" s="78">
        <f t="shared" ca="1" si="31"/>
        <v>0</v>
      </c>
      <c r="O76" s="4">
        <f ca="1">SUMIFS(INDIRECT("Tab_00.Trial["&amp;O$4&amp;"]"),Tab_00.Trial[CONTA],$B76)</f>
        <v>0</v>
      </c>
      <c r="P76" s="78">
        <f t="shared" ca="1" si="94"/>
        <v>0</v>
      </c>
      <c r="Q76" s="78">
        <f t="shared" ca="1" si="33"/>
        <v>0</v>
      </c>
      <c r="R76" s="4">
        <f ca="1">SUMIFS(INDIRECT("Tab_00.Trial["&amp;R$4&amp;"]"),Tab_00.Trial[CONTA],$B76)</f>
        <v>0</v>
      </c>
      <c r="S76" s="78">
        <f t="shared" ca="1" si="95"/>
        <v>0</v>
      </c>
      <c r="T76" s="78">
        <f t="shared" ca="1" si="35"/>
        <v>0</v>
      </c>
      <c r="U76" s="4">
        <f ca="1">SUMIFS(INDIRECT("Tab_00.Trial["&amp;U$4&amp;"]"),Tab_00.Trial[CONTA],$B76)</f>
        <v>0</v>
      </c>
      <c r="V76" s="78">
        <f t="shared" ca="1" si="96"/>
        <v>0</v>
      </c>
      <c r="W76" s="78">
        <f t="shared" ca="1" si="37"/>
        <v>0</v>
      </c>
      <c r="X76" s="4">
        <f ca="1">SUMIFS(INDIRECT("Tab_00.Trial["&amp;X$4&amp;"]"),Tab_00.Trial[CONTA],$B76)</f>
        <v>0</v>
      </c>
      <c r="Y76" s="78">
        <f t="shared" ca="1" si="97"/>
        <v>0</v>
      </c>
      <c r="Z76" s="78">
        <f t="shared" ca="1" si="39"/>
        <v>0</v>
      </c>
      <c r="AA76" s="4">
        <f ca="1">SUMIFS(INDIRECT("Tab_00.Trial["&amp;AA$4&amp;"]"),Tab_00.Trial[CONTA],$B76)</f>
        <v>0</v>
      </c>
      <c r="AB76" s="78">
        <f t="shared" ca="1" si="98"/>
        <v>0</v>
      </c>
      <c r="AC76" s="78">
        <f t="shared" ca="1" si="41"/>
        <v>0</v>
      </c>
      <c r="AD76" s="4">
        <f ca="1">SUMIFS(INDIRECT("Tab_00.Trial["&amp;AD$4&amp;"]"),Tab_00.Trial[CONTA],$B76)</f>
        <v>0</v>
      </c>
      <c r="AE76" s="78">
        <f t="shared" ca="1" si="99"/>
        <v>0</v>
      </c>
      <c r="AF76" s="78">
        <f t="shared" ca="1" si="43"/>
        <v>0</v>
      </c>
      <c r="AG76" s="4">
        <f ca="1">SUMIFS(INDIRECT("Tab_00.Trial["&amp;AG$4&amp;"]"),Tab_00.Trial[CONTA],$B76)</f>
        <v>0</v>
      </c>
      <c r="AH76" s="78">
        <f t="shared" ca="1" si="100"/>
        <v>0</v>
      </c>
      <c r="AI76" s="78">
        <f t="shared" ca="1" si="45"/>
        <v>0</v>
      </c>
      <c r="AJ76" s="4">
        <f ca="1">SUMIFS(INDIRECT("Tab_00.Trial["&amp;AJ$4&amp;"]"),Tab_00.Trial[CONTA],$B76)</f>
        <v>0</v>
      </c>
      <c r="AK76" s="78">
        <f t="shared" ca="1" si="101"/>
        <v>0</v>
      </c>
      <c r="AL76" s="78">
        <f t="shared" ca="1" si="47"/>
        <v>0</v>
      </c>
      <c r="AM76" s="4">
        <f ca="1">SUMIFS(INDIRECT("Tab_00.Trial["&amp;AM$4&amp;"]"),Tab_00.Trial[CONTA],$B76)</f>
        <v>0</v>
      </c>
      <c r="AN76" s="78">
        <f t="shared" ca="1" si="102"/>
        <v>0</v>
      </c>
      <c r="AO76" s="78">
        <f t="shared" ca="1" si="49"/>
        <v>0</v>
      </c>
      <c r="AQ76" s="142"/>
    </row>
    <row r="77" spans="2:43" ht="15" hidden="1" customHeight="1" outlineLevel="1" x14ac:dyDescent="0.3">
      <c r="B77" s="14"/>
      <c r="C77" s="15"/>
      <c r="D77" s="4">
        <f>SUMIFS(Tab_99.Trial[DEZEMBRO],Tab_99.Trial[CONTA],$B77)</f>
        <v>0</v>
      </c>
      <c r="E77" s="78">
        <f t="shared" si="90"/>
        <v>0</v>
      </c>
      <c r="F77" s="4">
        <f ca="1">SUMIFS(INDIRECT("Tab_00.Trial["&amp;F$4&amp;"]"),Tab_00.Trial[CONTA],$B77)</f>
        <v>0</v>
      </c>
      <c r="G77" s="78">
        <f t="shared" ca="1" si="91"/>
        <v>0</v>
      </c>
      <c r="H77" s="78">
        <f t="shared" ca="1" si="27"/>
        <v>0</v>
      </c>
      <c r="I77" s="4">
        <f ca="1">SUMIFS(INDIRECT("Tab_00.Trial["&amp;I$4&amp;"]"),Tab_00.Trial[CONTA],$B77)</f>
        <v>0</v>
      </c>
      <c r="J77" s="78">
        <f t="shared" ca="1" si="92"/>
        <v>0</v>
      </c>
      <c r="K77" s="78">
        <f t="shared" ca="1" si="29"/>
        <v>0</v>
      </c>
      <c r="L77" s="4">
        <f ca="1">SUMIFS(INDIRECT("Tab_00.Trial["&amp;L$4&amp;"]"),Tab_00.Trial[CONTA],$B77)</f>
        <v>0</v>
      </c>
      <c r="M77" s="78">
        <f t="shared" ca="1" si="93"/>
        <v>0</v>
      </c>
      <c r="N77" s="78">
        <f t="shared" ca="1" si="31"/>
        <v>0</v>
      </c>
      <c r="O77" s="4">
        <f ca="1">SUMIFS(INDIRECT("Tab_00.Trial["&amp;O$4&amp;"]"),Tab_00.Trial[CONTA],$B77)</f>
        <v>0</v>
      </c>
      <c r="P77" s="78">
        <f t="shared" ca="1" si="94"/>
        <v>0</v>
      </c>
      <c r="Q77" s="78">
        <f t="shared" ca="1" si="33"/>
        <v>0</v>
      </c>
      <c r="R77" s="4">
        <f ca="1">SUMIFS(INDIRECT("Tab_00.Trial["&amp;R$4&amp;"]"),Tab_00.Trial[CONTA],$B77)</f>
        <v>0</v>
      </c>
      <c r="S77" s="78">
        <f t="shared" ca="1" si="95"/>
        <v>0</v>
      </c>
      <c r="T77" s="78">
        <f t="shared" ca="1" si="35"/>
        <v>0</v>
      </c>
      <c r="U77" s="4">
        <f ca="1">SUMIFS(INDIRECT("Tab_00.Trial["&amp;U$4&amp;"]"),Tab_00.Trial[CONTA],$B77)</f>
        <v>0</v>
      </c>
      <c r="V77" s="78">
        <f t="shared" ca="1" si="96"/>
        <v>0</v>
      </c>
      <c r="W77" s="78">
        <f t="shared" ca="1" si="37"/>
        <v>0</v>
      </c>
      <c r="X77" s="4">
        <f ca="1">SUMIFS(INDIRECT("Tab_00.Trial["&amp;X$4&amp;"]"),Tab_00.Trial[CONTA],$B77)</f>
        <v>0</v>
      </c>
      <c r="Y77" s="78">
        <f t="shared" ca="1" si="97"/>
        <v>0</v>
      </c>
      <c r="Z77" s="78">
        <f t="shared" ca="1" si="39"/>
        <v>0</v>
      </c>
      <c r="AA77" s="4">
        <f ca="1">SUMIFS(INDIRECT("Tab_00.Trial["&amp;AA$4&amp;"]"),Tab_00.Trial[CONTA],$B77)</f>
        <v>0</v>
      </c>
      <c r="AB77" s="78">
        <f t="shared" ca="1" si="98"/>
        <v>0</v>
      </c>
      <c r="AC77" s="78">
        <f t="shared" ca="1" si="41"/>
        <v>0</v>
      </c>
      <c r="AD77" s="4">
        <f ca="1">SUMIFS(INDIRECT("Tab_00.Trial["&amp;AD$4&amp;"]"),Tab_00.Trial[CONTA],$B77)</f>
        <v>0</v>
      </c>
      <c r="AE77" s="78">
        <f t="shared" ca="1" si="99"/>
        <v>0</v>
      </c>
      <c r="AF77" s="78">
        <f t="shared" ca="1" si="43"/>
        <v>0</v>
      </c>
      <c r="AG77" s="4">
        <f ca="1">SUMIFS(INDIRECT("Tab_00.Trial["&amp;AG$4&amp;"]"),Tab_00.Trial[CONTA],$B77)</f>
        <v>0</v>
      </c>
      <c r="AH77" s="78">
        <f t="shared" ca="1" si="100"/>
        <v>0</v>
      </c>
      <c r="AI77" s="78">
        <f t="shared" ca="1" si="45"/>
        <v>0</v>
      </c>
      <c r="AJ77" s="4">
        <f ca="1">SUMIFS(INDIRECT("Tab_00.Trial["&amp;AJ$4&amp;"]"),Tab_00.Trial[CONTA],$B77)</f>
        <v>0</v>
      </c>
      <c r="AK77" s="78">
        <f t="shared" ca="1" si="101"/>
        <v>0</v>
      </c>
      <c r="AL77" s="78">
        <f t="shared" ca="1" si="47"/>
        <v>0</v>
      </c>
      <c r="AM77" s="4">
        <f ca="1">SUMIFS(INDIRECT("Tab_00.Trial["&amp;AM$4&amp;"]"),Tab_00.Trial[CONTA],$B77)</f>
        <v>0</v>
      </c>
      <c r="AN77" s="78">
        <f t="shared" ca="1" si="102"/>
        <v>0</v>
      </c>
      <c r="AO77" s="78">
        <f t="shared" ca="1" si="49"/>
        <v>0</v>
      </c>
      <c r="AQ77" s="142"/>
    </row>
    <row r="78" spans="2:43" ht="15" hidden="1" customHeight="1" outlineLevel="1" x14ac:dyDescent="0.3">
      <c r="B78" s="14"/>
      <c r="C78" s="15"/>
      <c r="D78" s="4">
        <f>SUMIFS(Tab_99.Trial[DEZEMBRO],Tab_99.Trial[CONTA],$B78)</f>
        <v>0</v>
      </c>
      <c r="E78" s="78">
        <f t="shared" si="90"/>
        <v>0</v>
      </c>
      <c r="F78" s="4">
        <f ca="1">SUMIFS(INDIRECT("Tab_00.Trial["&amp;F$4&amp;"]"),Tab_00.Trial[CONTA],$B78)</f>
        <v>0</v>
      </c>
      <c r="G78" s="78">
        <f t="shared" ca="1" si="91"/>
        <v>0</v>
      </c>
      <c r="H78" s="78">
        <f t="shared" ca="1" si="27"/>
        <v>0</v>
      </c>
      <c r="I78" s="4">
        <f ca="1">SUMIFS(INDIRECT("Tab_00.Trial["&amp;I$4&amp;"]"),Tab_00.Trial[CONTA],$B78)</f>
        <v>0</v>
      </c>
      <c r="J78" s="78">
        <f t="shared" ca="1" si="92"/>
        <v>0</v>
      </c>
      <c r="K78" s="78">
        <f t="shared" ca="1" si="29"/>
        <v>0</v>
      </c>
      <c r="L78" s="4">
        <f ca="1">SUMIFS(INDIRECT("Tab_00.Trial["&amp;L$4&amp;"]"),Tab_00.Trial[CONTA],$B78)</f>
        <v>0</v>
      </c>
      <c r="M78" s="78">
        <f t="shared" ca="1" si="93"/>
        <v>0</v>
      </c>
      <c r="N78" s="78">
        <f t="shared" ca="1" si="31"/>
        <v>0</v>
      </c>
      <c r="O78" s="4">
        <f ca="1">SUMIFS(INDIRECT("Tab_00.Trial["&amp;O$4&amp;"]"),Tab_00.Trial[CONTA],$B78)</f>
        <v>0</v>
      </c>
      <c r="P78" s="78">
        <f t="shared" ca="1" si="94"/>
        <v>0</v>
      </c>
      <c r="Q78" s="78">
        <f t="shared" ca="1" si="33"/>
        <v>0</v>
      </c>
      <c r="R78" s="4">
        <f ca="1">SUMIFS(INDIRECT("Tab_00.Trial["&amp;R$4&amp;"]"),Tab_00.Trial[CONTA],$B78)</f>
        <v>0</v>
      </c>
      <c r="S78" s="78">
        <f t="shared" ca="1" si="95"/>
        <v>0</v>
      </c>
      <c r="T78" s="78">
        <f t="shared" ca="1" si="35"/>
        <v>0</v>
      </c>
      <c r="U78" s="4">
        <f ca="1">SUMIFS(INDIRECT("Tab_00.Trial["&amp;U$4&amp;"]"),Tab_00.Trial[CONTA],$B78)</f>
        <v>0</v>
      </c>
      <c r="V78" s="78">
        <f t="shared" ca="1" si="96"/>
        <v>0</v>
      </c>
      <c r="W78" s="78">
        <f t="shared" ca="1" si="37"/>
        <v>0</v>
      </c>
      <c r="X78" s="4">
        <f ca="1">SUMIFS(INDIRECT("Tab_00.Trial["&amp;X$4&amp;"]"),Tab_00.Trial[CONTA],$B78)</f>
        <v>0</v>
      </c>
      <c r="Y78" s="78">
        <f t="shared" ca="1" si="97"/>
        <v>0</v>
      </c>
      <c r="Z78" s="78">
        <f t="shared" ca="1" si="39"/>
        <v>0</v>
      </c>
      <c r="AA78" s="4">
        <f ca="1">SUMIFS(INDIRECT("Tab_00.Trial["&amp;AA$4&amp;"]"),Tab_00.Trial[CONTA],$B78)</f>
        <v>0</v>
      </c>
      <c r="AB78" s="78">
        <f t="shared" ca="1" si="98"/>
        <v>0</v>
      </c>
      <c r="AC78" s="78">
        <f t="shared" ca="1" si="41"/>
        <v>0</v>
      </c>
      <c r="AD78" s="4">
        <f ca="1">SUMIFS(INDIRECT("Tab_00.Trial["&amp;AD$4&amp;"]"),Tab_00.Trial[CONTA],$B78)</f>
        <v>0</v>
      </c>
      <c r="AE78" s="78">
        <f t="shared" ca="1" si="99"/>
        <v>0</v>
      </c>
      <c r="AF78" s="78">
        <f t="shared" ca="1" si="43"/>
        <v>0</v>
      </c>
      <c r="AG78" s="4">
        <f ca="1">SUMIFS(INDIRECT("Tab_00.Trial["&amp;AG$4&amp;"]"),Tab_00.Trial[CONTA],$B78)</f>
        <v>0</v>
      </c>
      <c r="AH78" s="78">
        <f t="shared" ca="1" si="100"/>
        <v>0</v>
      </c>
      <c r="AI78" s="78">
        <f t="shared" ca="1" si="45"/>
        <v>0</v>
      </c>
      <c r="AJ78" s="4">
        <f ca="1">SUMIFS(INDIRECT("Tab_00.Trial["&amp;AJ$4&amp;"]"),Tab_00.Trial[CONTA],$B78)</f>
        <v>0</v>
      </c>
      <c r="AK78" s="78">
        <f t="shared" ca="1" si="101"/>
        <v>0</v>
      </c>
      <c r="AL78" s="78">
        <f t="shared" ca="1" si="47"/>
        <v>0</v>
      </c>
      <c r="AM78" s="4">
        <f ca="1">SUMIFS(INDIRECT("Tab_00.Trial["&amp;AM$4&amp;"]"),Tab_00.Trial[CONTA],$B78)</f>
        <v>0</v>
      </c>
      <c r="AN78" s="78">
        <f t="shared" ca="1" si="102"/>
        <v>0</v>
      </c>
      <c r="AO78" s="78">
        <f t="shared" ca="1" si="49"/>
        <v>0</v>
      </c>
      <c r="AQ78" s="142"/>
    </row>
    <row r="79" spans="2:43" ht="15" hidden="1" customHeight="1" outlineLevel="1" x14ac:dyDescent="0.3">
      <c r="B79" s="14"/>
      <c r="C79" s="15"/>
      <c r="D79" s="4">
        <f>SUMIFS(Tab_99.Trial[DEZEMBRO],Tab_99.Trial[CONTA],$B79)</f>
        <v>0</v>
      </c>
      <c r="E79" s="78">
        <f t="shared" si="90"/>
        <v>0</v>
      </c>
      <c r="F79" s="4">
        <f ca="1">SUMIFS(INDIRECT("Tab_00.Trial["&amp;F$4&amp;"]"),Tab_00.Trial[CONTA],$B79)</f>
        <v>0</v>
      </c>
      <c r="G79" s="78">
        <f t="shared" ca="1" si="91"/>
        <v>0</v>
      </c>
      <c r="H79" s="78">
        <f t="shared" ca="1" si="27"/>
        <v>0</v>
      </c>
      <c r="I79" s="4">
        <f ca="1">SUMIFS(INDIRECT("Tab_00.Trial["&amp;I$4&amp;"]"),Tab_00.Trial[CONTA],$B79)</f>
        <v>0</v>
      </c>
      <c r="J79" s="78">
        <f t="shared" ca="1" si="92"/>
        <v>0</v>
      </c>
      <c r="K79" s="78">
        <f t="shared" ca="1" si="29"/>
        <v>0</v>
      </c>
      <c r="L79" s="4">
        <f ca="1">SUMIFS(INDIRECT("Tab_00.Trial["&amp;L$4&amp;"]"),Tab_00.Trial[CONTA],$B79)</f>
        <v>0</v>
      </c>
      <c r="M79" s="78">
        <f t="shared" ca="1" si="93"/>
        <v>0</v>
      </c>
      <c r="N79" s="78">
        <f t="shared" ca="1" si="31"/>
        <v>0</v>
      </c>
      <c r="O79" s="4">
        <f ca="1">SUMIFS(INDIRECT("Tab_00.Trial["&amp;O$4&amp;"]"),Tab_00.Trial[CONTA],$B79)</f>
        <v>0</v>
      </c>
      <c r="P79" s="78">
        <f t="shared" ca="1" si="94"/>
        <v>0</v>
      </c>
      <c r="Q79" s="78">
        <f t="shared" ca="1" si="33"/>
        <v>0</v>
      </c>
      <c r="R79" s="4">
        <f ca="1">SUMIFS(INDIRECT("Tab_00.Trial["&amp;R$4&amp;"]"),Tab_00.Trial[CONTA],$B79)</f>
        <v>0</v>
      </c>
      <c r="S79" s="78">
        <f t="shared" ca="1" si="95"/>
        <v>0</v>
      </c>
      <c r="T79" s="78">
        <f t="shared" ca="1" si="35"/>
        <v>0</v>
      </c>
      <c r="U79" s="4">
        <f ca="1">SUMIFS(INDIRECT("Tab_00.Trial["&amp;U$4&amp;"]"),Tab_00.Trial[CONTA],$B79)</f>
        <v>0</v>
      </c>
      <c r="V79" s="78">
        <f t="shared" ca="1" si="96"/>
        <v>0</v>
      </c>
      <c r="W79" s="78">
        <f t="shared" ca="1" si="37"/>
        <v>0</v>
      </c>
      <c r="X79" s="4">
        <f ca="1">SUMIFS(INDIRECT("Tab_00.Trial["&amp;X$4&amp;"]"),Tab_00.Trial[CONTA],$B79)</f>
        <v>0</v>
      </c>
      <c r="Y79" s="78">
        <f t="shared" ca="1" si="97"/>
        <v>0</v>
      </c>
      <c r="Z79" s="78">
        <f t="shared" ca="1" si="39"/>
        <v>0</v>
      </c>
      <c r="AA79" s="4">
        <f ca="1">SUMIFS(INDIRECT("Tab_00.Trial["&amp;AA$4&amp;"]"),Tab_00.Trial[CONTA],$B79)</f>
        <v>0</v>
      </c>
      <c r="AB79" s="78">
        <f t="shared" ca="1" si="98"/>
        <v>0</v>
      </c>
      <c r="AC79" s="78">
        <f t="shared" ca="1" si="41"/>
        <v>0</v>
      </c>
      <c r="AD79" s="4">
        <f ca="1">SUMIFS(INDIRECT("Tab_00.Trial["&amp;AD$4&amp;"]"),Tab_00.Trial[CONTA],$B79)</f>
        <v>0</v>
      </c>
      <c r="AE79" s="78">
        <f t="shared" ca="1" si="99"/>
        <v>0</v>
      </c>
      <c r="AF79" s="78">
        <f t="shared" ca="1" si="43"/>
        <v>0</v>
      </c>
      <c r="AG79" s="4">
        <f ca="1">SUMIFS(INDIRECT("Tab_00.Trial["&amp;AG$4&amp;"]"),Tab_00.Trial[CONTA],$B79)</f>
        <v>0</v>
      </c>
      <c r="AH79" s="78">
        <f t="shared" ca="1" si="100"/>
        <v>0</v>
      </c>
      <c r="AI79" s="78">
        <f t="shared" ca="1" si="45"/>
        <v>0</v>
      </c>
      <c r="AJ79" s="4">
        <f ca="1">SUMIFS(INDIRECT("Tab_00.Trial["&amp;AJ$4&amp;"]"),Tab_00.Trial[CONTA],$B79)</f>
        <v>0</v>
      </c>
      <c r="AK79" s="78">
        <f t="shared" ca="1" si="101"/>
        <v>0</v>
      </c>
      <c r="AL79" s="78">
        <f t="shared" ca="1" si="47"/>
        <v>0</v>
      </c>
      <c r="AM79" s="4">
        <f ca="1">SUMIFS(INDIRECT("Tab_00.Trial["&amp;AM$4&amp;"]"),Tab_00.Trial[CONTA],$B79)</f>
        <v>0</v>
      </c>
      <c r="AN79" s="78">
        <f t="shared" ca="1" si="102"/>
        <v>0</v>
      </c>
      <c r="AO79" s="78">
        <f t="shared" ca="1" si="49"/>
        <v>0</v>
      </c>
      <c r="AQ79" s="142"/>
    </row>
    <row r="80" spans="2:43" ht="15" hidden="1" customHeight="1" outlineLevel="1" x14ac:dyDescent="0.3">
      <c r="B80" s="14"/>
      <c r="C80" s="15"/>
      <c r="D80" s="4">
        <f>SUMIFS(Tab_99.Trial[DEZEMBRO],Tab_99.Trial[CONTA],$B80)</f>
        <v>0</v>
      </c>
      <c r="E80" s="78">
        <f t="shared" si="90"/>
        <v>0</v>
      </c>
      <c r="F80" s="4">
        <f ca="1">SUMIFS(INDIRECT("Tab_00.Trial["&amp;F$4&amp;"]"),Tab_00.Trial[CONTA],$B80)</f>
        <v>0</v>
      </c>
      <c r="G80" s="78">
        <f t="shared" ca="1" si="91"/>
        <v>0</v>
      </c>
      <c r="H80" s="78">
        <f t="shared" ca="1" si="27"/>
        <v>0</v>
      </c>
      <c r="I80" s="4">
        <f ca="1">SUMIFS(INDIRECT("Tab_00.Trial["&amp;I$4&amp;"]"),Tab_00.Trial[CONTA],$B80)</f>
        <v>0</v>
      </c>
      <c r="J80" s="78">
        <f t="shared" ca="1" si="92"/>
        <v>0</v>
      </c>
      <c r="K80" s="78">
        <f t="shared" ca="1" si="29"/>
        <v>0</v>
      </c>
      <c r="L80" s="4">
        <f ca="1">SUMIFS(INDIRECT("Tab_00.Trial["&amp;L$4&amp;"]"),Tab_00.Trial[CONTA],$B80)</f>
        <v>0</v>
      </c>
      <c r="M80" s="78">
        <f t="shared" ca="1" si="93"/>
        <v>0</v>
      </c>
      <c r="N80" s="78">
        <f t="shared" ca="1" si="31"/>
        <v>0</v>
      </c>
      <c r="O80" s="4">
        <f ca="1">SUMIFS(INDIRECT("Tab_00.Trial["&amp;O$4&amp;"]"),Tab_00.Trial[CONTA],$B80)</f>
        <v>0</v>
      </c>
      <c r="P80" s="78">
        <f t="shared" ca="1" si="94"/>
        <v>0</v>
      </c>
      <c r="Q80" s="78">
        <f t="shared" ca="1" si="33"/>
        <v>0</v>
      </c>
      <c r="R80" s="4">
        <f ca="1">SUMIFS(INDIRECT("Tab_00.Trial["&amp;R$4&amp;"]"),Tab_00.Trial[CONTA],$B80)</f>
        <v>0</v>
      </c>
      <c r="S80" s="78">
        <f t="shared" ca="1" si="95"/>
        <v>0</v>
      </c>
      <c r="T80" s="78">
        <f t="shared" ca="1" si="35"/>
        <v>0</v>
      </c>
      <c r="U80" s="4">
        <f ca="1">SUMIFS(INDIRECT("Tab_00.Trial["&amp;U$4&amp;"]"),Tab_00.Trial[CONTA],$B80)</f>
        <v>0</v>
      </c>
      <c r="V80" s="78">
        <f t="shared" ca="1" si="96"/>
        <v>0</v>
      </c>
      <c r="W80" s="78">
        <f t="shared" ca="1" si="37"/>
        <v>0</v>
      </c>
      <c r="X80" s="4">
        <f ca="1">SUMIFS(INDIRECT("Tab_00.Trial["&amp;X$4&amp;"]"),Tab_00.Trial[CONTA],$B80)</f>
        <v>0</v>
      </c>
      <c r="Y80" s="78">
        <f t="shared" ca="1" si="97"/>
        <v>0</v>
      </c>
      <c r="Z80" s="78">
        <f t="shared" ca="1" si="39"/>
        <v>0</v>
      </c>
      <c r="AA80" s="4">
        <f ca="1">SUMIFS(INDIRECT("Tab_00.Trial["&amp;AA$4&amp;"]"),Tab_00.Trial[CONTA],$B80)</f>
        <v>0</v>
      </c>
      <c r="AB80" s="78">
        <f t="shared" ca="1" si="98"/>
        <v>0</v>
      </c>
      <c r="AC80" s="78">
        <f t="shared" ca="1" si="41"/>
        <v>0</v>
      </c>
      <c r="AD80" s="4">
        <f ca="1">SUMIFS(INDIRECT("Tab_00.Trial["&amp;AD$4&amp;"]"),Tab_00.Trial[CONTA],$B80)</f>
        <v>0</v>
      </c>
      <c r="AE80" s="78">
        <f t="shared" ca="1" si="99"/>
        <v>0</v>
      </c>
      <c r="AF80" s="78">
        <f t="shared" ca="1" si="43"/>
        <v>0</v>
      </c>
      <c r="AG80" s="4">
        <f ca="1">SUMIFS(INDIRECT("Tab_00.Trial["&amp;AG$4&amp;"]"),Tab_00.Trial[CONTA],$B80)</f>
        <v>0</v>
      </c>
      <c r="AH80" s="78">
        <f t="shared" ca="1" si="100"/>
        <v>0</v>
      </c>
      <c r="AI80" s="78">
        <f t="shared" ca="1" si="45"/>
        <v>0</v>
      </c>
      <c r="AJ80" s="4">
        <f ca="1">SUMIFS(INDIRECT("Tab_00.Trial["&amp;AJ$4&amp;"]"),Tab_00.Trial[CONTA],$B80)</f>
        <v>0</v>
      </c>
      <c r="AK80" s="78">
        <f t="shared" ca="1" si="101"/>
        <v>0</v>
      </c>
      <c r="AL80" s="78">
        <f t="shared" ca="1" si="47"/>
        <v>0</v>
      </c>
      <c r="AM80" s="4">
        <f ca="1">SUMIFS(INDIRECT("Tab_00.Trial["&amp;AM$4&amp;"]"),Tab_00.Trial[CONTA],$B80)</f>
        <v>0</v>
      </c>
      <c r="AN80" s="78">
        <f t="shared" ca="1" si="102"/>
        <v>0</v>
      </c>
      <c r="AO80" s="78">
        <f t="shared" ca="1" si="49"/>
        <v>0</v>
      </c>
      <c r="AQ80" s="142"/>
    </row>
    <row r="81" spans="2:43" ht="15" hidden="1" customHeight="1" outlineLevel="1" x14ac:dyDescent="0.3">
      <c r="B81" s="14"/>
      <c r="C81" s="15"/>
      <c r="D81" s="4">
        <f>SUMIFS(Tab_99.Trial[DEZEMBRO],Tab_99.Trial[CONTA],$B81)</f>
        <v>0</v>
      </c>
      <c r="E81" s="78">
        <f t="shared" si="90"/>
        <v>0</v>
      </c>
      <c r="F81" s="4">
        <f ca="1">SUMIFS(INDIRECT("Tab_00.Trial["&amp;F$4&amp;"]"),Tab_00.Trial[CONTA],$B81)</f>
        <v>0</v>
      </c>
      <c r="G81" s="78">
        <f t="shared" ca="1" si="91"/>
        <v>0</v>
      </c>
      <c r="H81" s="78">
        <f t="shared" ca="1" si="27"/>
        <v>0</v>
      </c>
      <c r="I81" s="4">
        <f ca="1">SUMIFS(INDIRECT("Tab_00.Trial["&amp;I$4&amp;"]"),Tab_00.Trial[CONTA],$B81)</f>
        <v>0</v>
      </c>
      <c r="J81" s="78">
        <f t="shared" ca="1" si="92"/>
        <v>0</v>
      </c>
      <c r="K81" s="78">
        <f t="shared" ca="1" si="29"/>
        <v>0</v>
      </c>
      <c r="L81" s="4">
        <f ca="1">SUMIFS(INDIRECT("Tab_00.Trial["&amp;L$4&amp;"]"),Tab_00.Trial[CONTA],$B81)</f>
        <v>0</v>
      </c>
      <c r="M81" s="78">
        <f t="shared" ca="1" si="93"/>
        <v>0</v>
      </c>
      <c r="N81" s="78">
        <f t="shared" ca="1" si="31"/>
        <v>0</v>
      </c>
      <c r="O81" s="4">
        <f ca="1">SUMIFS(INDIRECT("Tab_00.Trial["&amp;O$4&amp;"]"),Tab_00.Trial[CONTA],$B81)</f>
        <v>0</v>
      </c>
      <c r="P81" s="78">
        <f t="shared" ca="1" si="94"/>
        <v>0</v>
      </c>
      <c r="Q81" s="78">
        <f t="shared" ca="1" si="33"/>
        <v>0</v>
      </c>
      <c r="R81" s="4">
        <f ca="1">SUMIFS(INDIRECT("Tab_00.Trial["&amp;R$4&amp;"]"),Tab_00.Trial[CONTA],$B81)</f>
        <v>0</v>
      </c>
      <c r="S81" s="78">
        <f t="shared" ca="1" si="95"/>
        <v>0</v>
      </c>
      <c r="T81" s="78">
        <f t="shared" ca="1" si="35"/>
        <v>0</v>
      </c>
      <c r="U81" s="4">
        <f ca="1">SUMIFS(INDIRECT("Tab_00.Trial["&amp;U$4&amp;"]"),Tab_00.Trial[CONTA],$B81)</f>
        <v>0</v>
      </c>
      <c r="V81" s="78">
        <f t="shared" ca="1" si="96"/>
        <v>0</v>
      </c>
      <c r="W81" s="78">
        <f t="shared" ca="1" si="37"/>
        <v>0</v>
      </c>
      <c r="X81" s="4">
        <f ca="1">SUMIFS(INDIRECT("Tab_00.Trial["&amp;X$4&amp;"]"),Tab_00.Trial[CONTA],$B81)</f>
        <v>0</v>
      </c>
      <c r="Y81" s="78">
        <f t="shared" ca="1" si="97"/>
        <v>0</v>
      </c>
      <c r="Z81" s="78">
        <f t="shared" ca="1" si="39"/>
        <v>0</v>
      </c>
      <c r="AA81" s="4">
        <f ca="1">SUMIFS(INDIRECT("Tab_00.Trial["&amp;AA$4&amp;"]"),Tab_00.Trial[CONTA],$B81)</f>
        <v>0</v>
      </c>
      <c r="AB81" s="78">
        <f t="shared" ca="1" si="98"/>
        <v>0</v>
      </c>
      <c r="AC81" s="78">
        <f t="shared" ca="1" si="41"/>
        <v>0</v>
      </c>
      <c r="AD81" s="4">
        <f ca="1">SUMIFS(INDIRECT("Tab_00.Trial["&amp;AD$4&amp;"]"),Tab_00.Trial[CONTA],$B81)</f>
        <v>0</v>
      </c>
      <c r="AE81" s="78">
        <f t="shared" ca="1" si="99"/>
        <v>0</v>
      </c>
      <c r="AF81" s="78">
        <f t="shared" ca="1" si="43"/>
        <v>0</v>
      </c>
      <c r="AG81" s="4">
        <f ca="1">SUMIFS(INDIRECT("Tab_00.Trial["&amp;AG$4&amp;"]"),Tab_00.Trial[CONTA],$B81)</f>
        <v>0</v>
      </c>
      <c r="AH81" s="78">
        <f t="shared" ca="1" si="100"/>
        <v>0</v>
      </c>
      <c r="AI81" s="78">
        <f t="shared" ca="1" si="45"/>
        <v>0</v>
      </c>
      <c r="AJ81" s="4">
        <f ca="1">SUMIFS(INDIRECT("Tab_00.Trial["&amp;AJ$4&amp;"]"),Tab_00.Trial[CONTA],$B81)</f>
        <v>0</v>
      </c>
      <c r="AK81" s="78">
        <f t="shared" ca="1" si="101"/>
        <v>0</v>
      </c>
      <c r="AL81" s="78">
        <f t="shared" ca="1" si="47"/>
        <v>0</v>
      </c>
      <c r="AM81" s="4">
        <f ca="1">SUMIFS(INDIRECT("Tab_00.Trial["&amp;AM$4&amp;"]"),Tab_00.Trial[CONTA],$B81)</f>
        <v>0</v>
      </c>
      <c r="AN81" s="78">
        <f t="shared" ca="1" si="102"/>
        <v>0</v>
      </c>
      <c r="AO81" s="78">
        <f t="shared" ca="1" si="49"/>
        <v>0</v>
      </c>
      <c r="AQ81" s="142"/>
    </row>
    <row r="82" spans="2:43" ht="15" hidden="1" customHeight="1" outlineLevel="1" x14ac:dyDescent="0.3">
      <c r="B82" s="14"/>
      <c r="C82" s="15"/>
      <c r="D82" s="4">
        <f>SUMIFS(Tab_99.Trial[DEZEMBRO],Tab_99.Trial[CONTA],$B82)</f>
        <v>0</v>
      </c>
      <c r="E82" s="78">
        <f t="shared" si="90"/>
        <v>0</v>
      </c>
      <c r="F82" s="4">
        <f ca="1">SUMIFS(INDIRECT("Tab_00.Trial["&amp;F$4&amp;"]"),Tab_00.Trial[CONTA],$B82)</f>
        <v>0</v>
      </c>
      <c r="G82" s="78">
        <f t="shared" ca="1" si="91"/>
        <v>0</v>
      </c>
      <c r="H82" s="78">
        <f t="shared" ca="1" si="27"/>
        <v>0</v>
      </c>
      <c r="I82" s="4">
        <f ca="1">SUMIFS(INDIRECT("Tab_00.Trial["&amp;I$4&amp;"]"),Tab_00.Trial[CONTA],$B82)</f>
        <v>0</v>
      </c>
      <c r="J82" s="78">
        <f t="shared" ca="1" si="92"/>
        <v>0</v>
      </c>
      <c r="K82" s="78">
        <f t="shared" ca="1" si="29"/>
        <v>0</v>
      </c>
      <c r="L82" s="4">
        <f ca="1">SUMIFS(INDIRECT("Tab_00.Trial["&amp;L$4&amp;"]"),Tab_00.Trial[CONTA],$B82)</f>
        <v>0</v>
      </c>
      <c r="M82" s="78">
        <f t="shared" ca="1" si="93"/>
        <v>0</v>
      </c>
      <c r="N82" s="78">
        <f t="shared" ca="1" si="31"/>
        <v>0</v>
      </c>
      <c r="O82" s="4">
        <f ca="1">SUMIFS(INDIRECT("Tab_00.Trial["&amp;O$4&amp;"]"),Tab_00.Trial[CONTA],$B82)</f>
        <v>0</v>
      </c>
      <c r="P82" s="78">
        <f t="shared" ca="1" si="94"/>
        <v>0</v>
      </c>
      <c r="Q82" s="78">
        <f t="shared" ca="1" si="33"/>
        <v>0</v>
      </c>
      <c r="R82" s="4">
        <f ca="1">SUMIFS(INDIRECT("Tab_00.Trial["&amp;R$4&amp;"]"),Tab_00.Trial[CONTA],$B82)</f>
        <v>0</v>
      </c>
      <c r="S82" s="78">
        <f t="shared" ca="1" si="95"/>
        <v>0</v>
      </c>
      <c r="T82" s="78">
        <f t="shared" ca="1" si="35"/>
        <v>0</v>
      </c>
      <c r="U82" s="4">
        <f ca="1">SUMIFS(INDIRECT("Tab_00.Trial["&amp;U$4&amp;"]"),Tab_00.Trial[CONTA],$B82)</f>
        <v>0</v>
      </c>
      <c r="V82" s="78">
        <f t="shared" ca="1" si="96"/>
        <v>0</v>
      </c>
      <c r="W82" s="78">
        <f t="shared" ca="1" si="37"/>
        <v>0</v>
      </c>
      <c r="X82" s="4">
        <f ca="1">SUMIFS(INDIRECT("Tab_00.Trial["&amp;X$4&amp;"]"),Tab_00.Trial[CONTA],$B82)</f>
        <v>0</v>
      </c>
      <c r="Y82" s="78">
        <f t="shared" ca="1" si="97"/>
        <v>0</v>
      </c>
      <c r="Z82" s="78">
        <f t="shared" ca="1" si="39"/>
        <v>0</v>
      </c>
      <c r="AA82" s="4">
        <f ca="1">SUMIFS(INDIRECT("Tab_00.Trial["&amp;AA$4&amp;"]"),Tab_00.Trial[CONTA],$B82)</f>
        <v>0</v>
      </c>
      <c r="AB82" s="78">
        <f t="shared" ca="1" si="98"/>
        <v>0</v>
      </c>
      <c r="AC82" s="78">
        <f t="shared" ca="1" si="41"/>
        <v>0</v>
      </c>
      <c r="AD82" s="4">
        <f ca="1">SUMIFS(INDIRECT("Tab_00.Trial["&amp;AD$4&amp;"]"),Tab_00.Trial[CONTA],$B82)</f>
        <v>0</v>
      </c>
      <c r="AE82" s="78">
        <f t="shared" ca="1" si="99"/>
        <v>0</v>
      </c>
      <c r="AF82" s="78">
        <f t="shared" ca="1" si="43"/>
        <v>0</v>
      </c>
      <c r="AG82" s="4">
        <f ca="1">SUMIFS(INDIRECT("Tab_00.Trial["&amp;AG$4&amp;"]"),Tab_00.Trial[CONTA],$B82)</f>
        <v>0</v>
      </c>
      <c r="AH82" s="78">
        <f t="shared" ca="1" si="100"/>
        <v>0</v>
      </c>
      <c r="AI82" s="78">
        <f t="shared" ca="1" si="45"/>
        <v>0</v>
      </c>
      <c r="AJ82" s="4">
        <f ca="1">SUMIFS(INDIRECT("Tab_00.Trial["&amp;AJ$4&amp;"]"),Tab_00.Trial[CONTA],$B82)</f>
        <v>0</v>
      </c>
      <c r="AK82" s="78">
        <f t="shared" ca="1" si="101"/>
        <v>0</v>
      </c>
      <c r="AL82" s="78">
        <f t="shared" ca="1" si="47"/>
        <v>0</v>
      </c>
      <c r="AM82" s="4">
        <f ca="1">SUMIFS(INDIRECT("Tab_00.Trial["&amp;AM$4&amp;"]"),Tab_00.Trial[CONTA],$B82)</f>
        <v>0</v>
      </c>
      <c r="AN82" s="78">
        <f t="shared" ca="1" si="102"/>
        <v>0</v>
      </c>
      <c r="AO82" s="78">
        <f t="shared" ca="1" si="49"/>
        <v>0</v>
      </c>
      <c r="AQ82" s="142"/>
    </row>
    <row r="83" spans="2:43" ht="15" hidden="1" customHeight="1" outlineLevel="1" x14ac:dyDescent="0.3">
      <c r="B83" s="14"/>
      <c r="C83" s="15"/>
      <c r="D83" s="4">
        <f>SUMIFS(Tab_99.Trial[DEZEMBRO],Tab_99.Trial[CONTA],$B83)</f>
        <v>0</v>
      </c>
      <c r="E83" s="78">
        <f t="shared" si="90"/>
        <v>0</v>
      </c>
      <c r="F83" s="4">
        <f ca="1">SUMIFS(INDIRECT("Tab_00.Trial["&amp;F$4&amp;"]"),Tab_00.Trial[CONTA],$B83)</f>
        <v>0</v>
      </c>
      <c r="G83" s="78">
        <f t="shared" ca="1" si="91"/>
        <v>0</v>
      </c>
      <c r="H83" s="78">
        <f t="shared" ca="1" si="27"/>
        <v>0</v>
      </c>
      <c r="I83" s="4">
        <f ca="1">SUMIFS(INDIRECT("Tab_00.Trial["&amp;I$4&amp;"]"),Tab_00.Trial[CONTA],$B83)</f>
        <v>0</v>
      </c>
      <c r="J83" s="78">
        <f t="shared" ca="1" si="92"/>
        <v>0</v>
      </c>
      <c r="K83" s="78">
        <f t="shared" ca="1" si="29"/>
        <v>0</v>
      </c>
      <c r="L83" s="4">
        <f ca="1">SUMIFS(INDIRECT("Tab_00.Trial["&amp;L$4&amp;"]"),Tab_00.Trial[CONTA],$B83)</f>
        <v>0</v>
      </c>
      <c r="M83" s="78">
        <f t="shared" ca="1" si="93"/>
        <v>0</v>
      </c>
      <c r="N83" s="78">
        <f t="shared" ca="1" si="31"/>
        <v>0</v>
      </c>
      <c r="O83" s="4">
        <f ca="1">SUMIFS(INDIRECT("Tab_00.Trial["&amp;O$4&amp;"]"),Tab_00.Trial[CONTA],$B83)</f>
        <v>0</v>
      </c>
      <c r="P83" s="78">
        <f t="shared" ca="1" si="94"/>
        <v>0</v>
      </c>
      <c r="Q83" s="78">
        <f t="shared" ca="1" si="33"/>
        <v>0</v>
      </c>
      <c r="R83" s="4">
        <f ca="1">SUMIFS(INDIRECT("Tab_00.Trial["&amp;R$4&amp;"]"),Tab_00.Trial[CONTA],$B83)</f>
        <v>0</v>
      </c>
      <c r="S83" s="78">
        <f t="shared" ca="1" si="95"/>
        <v>0</v>
      </c>
      <c r="T83" s="78">
        <f t="shared" ca="1" si="35"/>
        <v>0</v>
      </c>
      <c r="U83" s="4">
        <f ca="1">SUMIFS(INDIRECT("Tab_00.Trial["&amp;U$4&amp;"]"),Tab_00.Trial[CONTA],$B83)</f>
        <v>0</v>
      </c>
      <c r="V83" s="78">
        <f t="shared" ca="1" si="96"/>
        <v>0</v>
      </c>
      <c r="W83" s="78">
        <f t="shared" ca="1" si="37"/>
        <v>0</v>
      </c>
      <c r="X83" s="4">
        <f ca="1">SUMIFS(INDIRECT("Tab_00.Trial["&amp;X$4&amp;"]"),Tab_00.Trial[CONTA],$B83)</f>
        <v>0</v>
      </c>
      <c r="Y83" s="78">
        <f t="shared" ca="1" si="97"/>
        <v>0</v>
      </c>
      <c r="Z83" s="78">
        <f t="shared" ca="1" si="39"/>
        <v>0</v>
      </c>
      <c r="AA83" s="4">
        <f ca="1">SUMIFS(INDIRECT("Tab_00.Trial["&amp;AA$4&amp;"]"),Tab_00.Trial[CONTA],$B83)</f>
        <v>0</v>
      </c>
      <c r="AB83" s="78">
        <f t="shared" ca="1" si="98"/>
        <v>0</v>
      </c>
      <c r="AC83" s="78">
        <f t="shared" ca="1" si="41"/>
        <v>0</v>
      </c>
      <c r="AD83" s="4">
        <f ca="1">SUMIFS(INDIRECT("Tab_00.Trial["&amp;AD$4&amp;"]"),Tab_00.Trial[CONTA],$B83)</f>
        <v>0</v>
      </c>
      <c r="AE83" s="78">
        <f t="shared" ca="1" si="99"/>
        <v>0</v>
      </c>
      <c r="AF83" s="78">
        <f t="shared" ca="1" si="43"/>
        <v>0</v>
      </c>
      <c r="AG83" s="4">
        <f ca="1">SUMIFS(INDIRECT("Tab_00.Trial["&amp;AG$4&amp;"]"),Tab_00.Trial[CONTA],$B83)</f>
        <v>0</v>
      </c>
      <c r="AH83" s="78">
        <f t="shared" ca="1" si="100"/>
        <v>0</v>
      </c>
      <c r="AI83" s="78">
        <f t="shared" ca="1" si="45"/>
        <v>0</v>
      </c>
      <c r="AJ83" s="4">
        <f ca="1">SUMIFS(INDIRECT("Tab_00.Trial["&amp;AJ$4&amp;"]"),Tab_00.Trial[CONTA],$B83)</f>
        <v>0</v>
      </c>
      <c r="AK83" s="78">
        <f t="shared" ca="1" si="101"/>
        <v>0</v>
      </c>
      <c r="AL83" s="78">
        <f t="shared" ca="1" si="47"/>
        <v>0</v>
      </c>
      <c r="AM83" s="4">
        <f ca="1">SUMIFS(INDIRECT("Tab_00.Trial["&amp;AM$4&amp;"]"),Tab_00.Trial[CONTA],$B83)</f>
        <v>0</v>
      </c>
      <c r="AN83" s="78">
        <f t="shared" ca="1" si="102"/>
        <v>0</v>
      </c>
      <c r="AO83" s="78">
        <f t="shared" ca="1" si="49"/>
        <v>0</v>
      </c>
      <c r="AQ83" s="142"/>
    </row>
    <row r="84" spans="2:43" ht="15" hidden="1" customHeight="1" outlineLevel="1" x14ac:dyDescent="0.3">
      <c r="B84" s="14"/>
      <c r="C84" s="15"/>
      <c r="D84" s="4">
        <f>SUMIFS(Tab_99.Trial[DEZEMBRO],Tab_99.Trial[CONTA],$B84)</f>
        <v>0</v>
      </c>
      <c r="E84" s="78">
        <f t="shared" si="90"/>
        <v>0</v>
      </c>
      <c r="F84" s="4">
        <f ca="1">SUMIFS(INDIRECT("Tab_00.Trial["&amp;F$4&amp;"]"),Tab_00.Trial[CONTA],$B84)</f>
        <v>0</v>
      </c>
      <c r="G84" s="78">
        <f t="shared" ca="1" si="91"/>
        <v>0</v>
      </c>
      <c r="H84" s="78">
        <f t="shared" ca="1" si="27"/>
        <v>0</v>
      </c>
      <c r="I84" s="4">
        <f ca="1">SUMIFS(INDIRECT("Tab_00.Trial["&amp;I$4&amp;"]"),Tab_00.Trial[CONTA],$B84)</f>
        <v>0</v>
      </c>
      <c r="J84" s="78">
        <f t="shared" ca="1" si="92"/>
        <v>0</v>
      </c>
      <c r="K84" s="78">
        <f t="shared" ca="1" si="29"/>
        <v>0</v>
      </c>
      <c r="L84" s="4">
        <f ca="1">SUMIFS(INDIRECT("Tab_00.Trial["&amp;L$4&amp;"]"),Tab_00.Trial[CONTA],$B84)</f>
        <v>0</v>
      </c>
      <c r="M84" s="78">
        <f t="shared" ca="1" si="93"/>
        <v>0</v>
      </c>
      <c r="N84" s="78">
        <f t="shared" ca="1" si="31"/>
        <v>0</v>
      </c>
      <c r="O84" s="4">
        <f ca="1">SUMIFS(INDIRECT("Tab_00.Trial["&amp;O$4&amp;"]"),Tab_00.Trial[CONTA],$B84)</f>
        <v>0</v>
      </c>
      <c r="P84" s="78">
        <f t="shared" ca="1" si="94"/>
        <v>0</v>
      </c>
      <c r="Q84" s="78">
        <f t="shared" ca="1" si="33"/>
        <v>0</v>
      </c>
      <c r="R84" s="4">
        <f ca="1">SUMIFS(INDIRECT("Tab_00.Trial["&amp;R$4&amp;"]"),Tab_00.Trial[CONTA],$B84)</f>
        <v>0</v>
      </c>
      <c r="S84" s="78">
        <f t="shared" ca="1" si="95"/>
        <v>0</v>
      </c>
      <c r="T84" s="78">
        <f t="shared" ca="1" si="35"/>
        <v>0</v>
      </c>
      <c r="U84" s="4">
        <f ca="1">SUMIFS(INDIRECT("Tab_00.Trial["&amp;U$4&amp;"]"),Tab_00.Trial[CONTA],$B84)</f>
        <v>0</v>
      </c>
      <c r="V84" s="78">
        <f t="shared" ca="1" si="96"/>
        <v>0</v>
      </c>
      <c r="W84" s="78">
        <f t="shared" ca="1" si="37"/>
        <v>0</v>
      </c>
      <c r="X84" s="4">
        <f ca="1">SUMIFS(INDIRECT("Tab_00.Trial["&amp;X$4&amp;"]"),Tab_00.Trial[CONTA],$B84)</f>
        <v>0</v>
      </c>
      <c r="Y84" s="78">
        <f t="shared" ca="1" si="97"/>
        <v>0</v>
      </c>
      <c r="Z84" s="78">
        <f t="shared" ca="1" si="39"/>
        <v>0</v>
      </c>
      <c r="AA84" s="4">
        <f ca="1">SUMIFS(INDIRECT("Tab_00.Trial["&amp;AA$4&amp;"]"),Tab_00.Trial[CONTA],$B84)</f>
        <v>0</v>
      </c>
      <c r="AB84" s="78">
        <f t="shared" ca="1" si="98"/>
        <v>0</v>
      </c>
      <c r="AC84" s="78">
        <f t="shared" ca="1" si="41"/>
        <v>0</v>
      </c>
      <c r="AD84" s="4">
        <f ca="1">SUMIFS(INDIRECT("Tab_00.Trial["&amp;AD$4&amp;"]"),Tab_00.Trial[CONTA],$B84)</f>
        <v>0</v>
      </c>
      <c r="AE84" s="78">
        <f t="shared" ca="1" si="99"/>
        <v>0</v>
      </c>
      <c r="AF84" s="78">
        <f t="shared" ca="1" si="43"/>
        <v>0</v>
      </c>
      <c r="AG84" s="4">
        <f ca="1">SUMIFS(INDIRECT("Tab_00.Trial["&amp;AG$4&amp;"]"),Tab_00.Trial[CONTA],$B84)</f>
        <v>0</v>
      </c>
      <c r="AH84" s="78">
        <f t="shared" ca="1" si="100"/>
        <v>0</v>
      </c>
      <c r="AI84" s="78">
        <f t="shared" ca="1" si="45"/>
        <v>0</v>
      </c>
      <c r="AJ84" s="4">
        <f ca="1">SUMIFS(INDIRECT("Tab_00.Trial["&amp;AJ$4&amp;"]"),Tab_00.Trial[CONTA],$B84)</f>
        <v>0</v>
      </c>
      <c r="AK84" s="78">
        <f t="shared" ca="1" si="101"/>
        <v>0</v>
      </c>
      <c r="AL84" s="78">
        <f t="shared" ca="1" si="47"/>
        <v>0</v>
      </c>
      <c r="AM84" s="4">
        <f ca="1">SUMIFS(INDIRECT("Tab_00.Trial["&amp;AM$4&amp;"]"),Tab_00.Trial[CONTA],$B84)</f>
        <v>0</v>
      </c>
      <c r="AN84" s="78">
        <f t="shared" ca="1" si="102"/>
        <v>0</v>
      </c>
      <c r="AO84" s="78">
        <f t="shared" ca="1" si="49"/>
        <v>0</v>
      </c>
      <c r="AQ84" s="142"/>
    </row>
    <row r="85" spans="2:43" ht="15" hidden="1" customHeight="1" outlineLevel="1" x14ac:dyDescent="0.3">
      <c r="B85" s="14"/>
      <c r="C85" s="15"/>
      <c r="D85" s="4">
        <f>SUMIFS(Tab_99.Trial[DEZEMBRO],Tab_99.Trial[CONTA],$B85)</f>
        <v>0</v>
      </c>
      <c r="E85" s="78">
        <f t="shared" si="90"/>
        <v>0</v>
      </c>
      <c r="F85" s="4">
        <f ca="1">SUMIFS(INDIRECT("Tab_00.Trial["&amp;F$4&amp;"]"),Tab_00.Trial[CONTA],$B85)</f>
        <v>0</v>
      </c>
      <c r="G85" s="78">
        <f t="shared" ca="1" si="91"/>
        <v>0</v>
      </c>
      <c r="H85" s="78">
        <f t="shared" ca="1" si="27"/>
        <v>0</v>
      </c>
      <c r="I85" s="4">
        <f ca="1">SUMIFS(INDIRECT("Tab_00.Trial["&amp;I$4&amp;"]"),Tab_00.Trial[CONTA],$B85)</f>
        <v>0</v>
      </c>
      <c r="J85" s="78">
        <f t="shared" ca="1" si="92"/>
        <v>0</v>
      </c>
      <c r="K85" s="78">
        <f t="shared" ca="1" si="29"/>
        <v>0</v>
      </c>
      <c r="L85" s="4">
        <f ca="1">SUMIFS(INDIRECT("Tab_00.Trial["&amp;L$4&amp;"]"),Tab_00.Trial[CONTA],$B85)</f>
        <v>0</v>
      </c>
      <c r="M85" s="78">
        <f t="shared" ca="1" si="93"/>
        <v>0</v>
      </c>
      <c r="N85" s="78">
        <f t="shared" ca="1" si="31"/>
        <v>0</v>
      </c>
      <c r="O85" s="4">
        <f ca="1">SUMIFS(INDIRECT("Tab_00.Trial["&amp;O$4&amp;"]"),Tab_00.Trial[CONTA],$B85)</f>
        <v>0</v>
      </c>
      <c r="P85" s="78">
        <f t="shared" ca="1" si="94"/>
        <v>0</v>
      </c>
      <c r="Q85" s="78">
        <f t="shared" ca="1" si="33"/>
        <v>0</v>
      </c>
      <c r="R85" s="4">
        <f ca="1">SUMIFS(INDIRECT("Tab_00.Trial["&amp;R$4&amp;"]"),Tab_00.Trial[CONTA],$B85)</f>
        <v>0</v>
      </c>
      <c r="S85" s="78">
        <f t="shared" ca="1" si="95"/>
        <v>0</v>
      </c>
      <c r="T85" s="78">
        <f t="shared" ca="1" si="35"/>
        <v>0</v>
      </c>
      <c r="U85" s="4">
        <f ca="1">SUMIFS(INDIRECT("Tab_00.Trial["&amp;U$4&amp;"]"),Tab_00.Trial[CONTA],$B85)</f>
        <v>0</v>
      </c>
      <c r="V85" s="78">
        <f t="shared" ca="1" si="96"/>
        <v>0</v>
      </c>
      <c r="W85" s="78">
        <f t="shared" ca="1" si="37"/>
        <v>0</v>
      </c>
      <c r="X85" s="4">
        <f ca="1">SUMIFS(INDIRECT("Tab_00.Trial["&amp;X$4&amp;"]"),Tab_00.Trial[CONTA],$B85)</f>
        <v>0</v>
      </c>
      <c r="Y85" s="78">
        <f t="shared" ca="1" si="97"/>
        <v>0</v>
      </c>
      <c r="Z85" s="78">
        <f t="shared" ca="1" si="39"/>
        <v>0</v>
      </c>
      <c r="AA85" s="4">
        <f ca="1">SUMIFS(INDIRECT("Tab_00.Trial["&amp;AA$4&amp;"]"),Tab_00.Trial[CONTA],$B85)</f>
        <v>0</v>
      </c>
      <c r="AB85" s="78">
        <f t="shared" ca="1" si="98"/>
        <v>0</v>
      </c>
      <c r="AC85" s="78">
        <f t="shared" ca="1" si="41"/>
        <v>0</v>
      </c>
      <c r="AD85" s="4">
        <f ca="1">SUMIFS(INDIRECT("Tab_00.Trial["&amp;AD$4&amp;"]"),Tab_00.Trial[CONTA],$B85)</f>
        <v>0</v>
      </c>
      <c r="AE85" s="78">
        <f t="shared" ca="1" si="99"/>
        <v>0</v>
      </c>
      <c r="AF85" s="78">
        <f t="shared" ca="1" si="43"/>
        <v>0</v>
      </c>
      <c r="AG85" s="4">
        <f ca="1">SUMIFS(INDIRECT("Tab_00.Trial["&amp;AG$4&amp;"]"),Tab_00.Trial[CONTA],$B85)</f>
        <v>0</v>
      </c>
      <c r="AH85" s="78">
        <f t="shared" ca="1" si="100"/>
        <v>0</v>
      </c>
      <c r="AI85" s="78">
        <f t="shared" ca="1" si="45"/>
        <v>0</v>
      </c>
      <c r="AJ85" s="4">
        <f ca="1">SUMIFS(INDIRECT("Tab_00.Trial["&amp;AJ$4&amp;"]"),Tab_00.Trial[CONTA],$B85)</f>
        <v>0</v>
      </c>
      <c r="AK85" s="78">
        <f t="shared" ca="1" si="101"/>
        <v>0</v>
      </c>
      <c r="AL85" s="78">
        <f t="shared" ca="1" si="47"/>
        <v>0</v>
      </c>
      <c r="AM85" s="4">
        <f ca="1">SUMIFS(INDIRECT("Tab_00.Trial["&amp;AM$4&amp;"]"),Tab_00.Trial[CONTA],$B85)</f>
        <v>0</v>
      </c>
      <c r="AN85" s="78">
        <f t="shared" ca="1" si="102"/>
        <v>0</v>
      </c>
      <c r="AO85" s="78">
        <f t="shared" ca="1" si="49"/>
        <v>0</v>
      </c>
      <c r="AQ85" s="142"/>
    </row>
    <row r="86" spans="2:43" ht="15" hidden="1" customHeight="1" outlineLevel="1" x14ac:dyDescent="0.3">
      <c r="B86" s="14"/>
      <c r="C86" s="15"/>
      <c r="D86" s="4">
        <f>SUMIFS(Tab_99.Trial[DEZEMBRO],Tab_99.Trial[CONTA],$B86)</f>
        <v>0</v>
      </c>
      <c r="E86" s="78">
        <f t="shared" si="90"/>
        <v>0</v>
      </c>
      <c r="F86" s="4">
        <f ca="1">SUMIFS(INDIRECT("Tab_00.Trial["&amp;F$4&amp;"]"),Tab_00.Trial[CONTA],$B86)</f>
        <v>0</v>
      </c>
      <c r="G86" s="78">
        <f t="shared" ca="1" si="91"/>
        <v>0</v>
      </c>
      <c r="H86" s="78">
        <f t="shared" ca="1" si="27"/>
        <v>0</v>
      </c>
      <c r="I86" s="4">
        <f ca="1">SUMIFS(INDIRECT("Tab_00.Trial["&amp;I$4&amp;"]"),Tab_00.Trial[CONTA],$B86)</f>
        <v>0</v>
      </c>
      <c r="J86" s="78">
        <f t="shared" ca="1" si="92"/>
        <v>0</v>
      </c>
      <c r="K86" s="78">
        <f t="shared" ca="1" si="29"/>
        <v>0</v>
      </c>
      <c r="L86" s="4">
        <f ca="1">SUMIFS(INDIRECT("Tab_00.Trial["&amp;L$4&amp;"]"),Tab_00.Trial[CONTA],$B86)</f>
        <v>0</v>
      </c>
      <c r="M86" s="78">
        <f t="shared" ca="1" si="93"/>
        <v>0</v>
      </c>
      <c r="N86" s="78">
        <f t="shared" ca="1" si="31"/>
        <v>0</v>
      </c>
      <c r="O86" s="4">
        <f ca="1">SUMIFS(INDIRECT("Tab_00.Trial["&amp;O$4&amp;"]"),Tab_00.Trial[CONTA],$B86)</f>
        <v>0</v>
      </c>
      <c r="P86" s="78">
        <f t="shared" ca="1" si="94"/>
        <v>0</v>
      </c>
      <c r="Q86" s="78">
        <f t="shared" ca="1" si="33"/>
        <v>0</v>
      </c>
      <c r="R86" s="4">
        <f ca="1">SUMIFS(INDIRECT("Tab_00.Trial["&amp;R$4&amp;"]"),Tab_00.Trial[CONTA],$B86)</f>
        <v>0</v>
      </c>
      <c r="S86" s="78">
        <f t="shared" ca="1" si="95"/>
        <v>0</v>
      </c>
      <c r="T86" s="78">
        <f t="shared" ca="1" si="35"/>
        <v>0</v>
      </c>
      <c r="U86" s="4">
        <f ca="1">SUMIFS(INDIRECT("Tab_00.Trial["&amp;U$4&amp;"]"),Tab_00.Trial[CONTA],$B86)</f>
        <v>0</v>
      </c>
      <c r="V86" s="78">
        <f t="shared" ca="1" si="96"/>
        <v>0</v>
      </c>
      <c r="W86" s="78">
        <f t="shared" ca="1" si="37"/>
        <v>0</v>
      </c>
      <c r="X86" s="4">
        <f ca="1">SUMIFS(INDIRECT("Tab_00.Trial["&amp;X$4&amp;"]"),Tab_00.Trial[CONTA],$B86)</f>
        <v>0</v>
      </c>
      <c r="Y86" s="78">
        <f t="shared" ca="1" si="97"/>
        <v>0</v>
      </c>
      <c r="Z86" s="78">
        <f t="shared" ca="1" si="39"/>
        <v>0</v>
      </c>
      <c r="AA86" s="4">
        <f ca="1">SUMIFS(INDIRECT("Tab_00.Trial["&amp;AA$4&amp;"]"),Tab_00.Trial[CONTA],$B86)</f>
        <v>0</v>
      </c>
      <c r="AB86" s="78">
        <f t="shared" ca="1" si="98"/>
        <v>0</v>
      </c>
      <c r="AC86" s="78">
        <f t="shared" ca="1" si="41"/>
        <v>0</v>
      </c>
      <c r="AD86" s="4">
        <f ca="1">SUMIFS(INDIRECT("Tab_00.Trial["&amp;AD$4&amp;"]"),Tab_00.Trial[CONTA],$B86)</f>
        <v>0</v>
      </c>
      <c r="AE86" s="78">
        <f t="shared" ca="1" si="99"/>
        <v>0</v>
      </c>
      <c r="AF86" s="78">
        <f t="shared" ca="1" si="43"/>
        <v>0</v>
      </c>
      <c r="AG86" s="4">
        <f ca="1">SUMIFS(INDIRECT("Tab_00.Trial["&amp;AG$4&amp;"]"),Tab_00.Trial[CONTA],$B86)</f>
        <v>0</v>
      </c>
      <c r="AH86" s="78">
        <f t="shared" ca="1" si="100"/>
        <v>0</v>
      </c>
      <c r="AI86" s="78">
        <f t="shared" ca="1" si="45"/>
        <v>0</v>
      </c>
      <c r="AJ86" s="4">
        <f ca="1">SUMIFS(INDIRECT("Tab_00.Trial["&amp;AJ$4&amp;"]"),Tab_00.Trial[CONTA],$B86)</f>
        <v>0</v>
      </c>
      <c r="AK86" s="78">
        <f t="shared" ca="1" si="101"/>
        <v>0</v>
      </c>
      <c r="AL86" s="78">
        <f t="shared" ca="1" si="47"/>
        <v>0</v>
      </c>
      <c r="AM86" s="4">
        <f ca="1">SUMIFS(INDIRECT("Tab_00.Trial["&amp;AM$4&amp;"]"),Tab_00.Trial[CONTA],$B86)</f>
        <v>0</v>
      </c>
      <c r="AN86" s="78">
        <f t="shared" ca="1" si="102"/>
        <v>0</v>
      </c>
      <c r="AO86" s="78">
        <f t="shared" ca="1" si="49"/>
        <v>0</v>
      </c>
      <c r="AQ86" s="142"/>
    </row>
    <row r="87" spans="2:43" ht="15" hidden="1" customHeight="1" outlineLevel="1" x14ac:dyDescent="0.3">
      <c r="B87" s="14"/>
      <c r="C87" s="15"/>
      <c r="D87" s="4">
        <f>SUMIFS(Tab_99.Trial[DEZEMBRO],Tab_99.Trial[CONTA],$B87)</f>
        <v>0</v>
      </c>
      <c r="E87" s="78">
        <f t="shared" si="90"/>
        <v>0</v>
      </c>
      <c r="F87" s="4">
        <f ca="1">SUMIFS(INDIRECT("Tab_00.Trial["&amp;F$4&amp;"]"),Tab_00.Trial[CONTA],$B87)</f>
        <v>0</v>
      </c>
      <c r="G87" s="78">
        <f t="shared" ca="1" si="91"/>
        <v>0</v>
      </c>
      <c r="H87" s="78">
        <f t="shared" ca="1" si="27"/>
        <v>0</v>
      </c>
      <c r="I87" s="4">
        <f ca="1">SUMIFS(INDIRECT("Tab_00.Trial["&amp;I$4&amp;"]"),Tab_00.Trial[CONTA],$B87)</f>
        <v>0</v>
      </c>
      <c r="J87" s="78">
        <f t="shared" ca="1" si="92"/>
        <v>0</v>
      </c>
      <c r="K87" s="78">
        <f t="shared" ca="1" si="29"/>
        <v>0</v>
      </c>
      <c r="L87" s="4">
        <f ca="1">SUMIFS(INDIRECT("Tab_00.Trial["&amp;L$4&amp;"]"),Tab_00.Trial[CONTA],$B87)</f>
        <v>0</v>
      </c>
      <c r="M87" s="78">
        <f t="shared" ca="1" si="93"/>
        <v>0</v>
      </c>
      <c r="N87" s="78">
        <f t="shared" ca="1" si="31"/>
        <v>0</v>
      </c>
      <c r="O87" s="4">
        <f ca="1">SUMIFS(INDIRECT("Tab_00.Trial["&amp;O$4&amp;"]"),Tab_00.Trial[CONTA],$B87)</f>
        <v>0</v>
      </c>
      <c r="P87" s="78">
        <f t="shared" ca="1" si="94"/>
        <v>0</v>
      </c>
      <c r="Q87" s="78">
        <f t="shared" ca="1" si="33"/>
        <v>0</v>
      </c>
      <c r="R87" s="4">
        <f ca="1">SUMIFS(INDIRECT("Tab_00.Trial["&amp;R$4&amp;"]"),Tab_00.Trial[CONTA],$B87)</f>
        <v>0</v>
      </c>
      <c r="S87" s="78">
        <f t="shared" ca="1" si="95"/>
        <v>0</v>
      </c>
      <c r="T87" s="78">
        <f t="shared" ca="1" si="35"/>
        <v>0</v>
      </c>
      <c r="U87" s="4">
        <f ca="1">SUMIFS(INDIRECT("Tab_00.Trial["&amp;U$4&amp;"]"),Tab_00.Trial[CONTA],$B87)</f>
        <v>0</v>
      </c>
      <c r="V87" s="78">
        <f t="shared" ca="1" si="96"/>
        <v>0</v>
      </c>
      <c r="W87" s="78">
        <f t="shared" ca="1" si="37"/>
        <v>0</v>
      </c>
      <c r="X87" s="4">
        <f ca="1">SUMIFS(INDIRECT("Tab_00.Trial["&amp;X$4&amp;"]"),Tab_00.Trial[CONTA],$B87)</f>
        <v>0</v>
      </c>
      <c r="Y87" s="78">
        <f t="shared" ca="1" si="97"/>
        <v>0</v>
      </c>
      <c r="Z87" s="78">
        <f t="shared" ca="1" si="39"/>
        <v>0</v>
      </c>
      <c r="AA87" s="4">
        <f ca="1">SUMIFS(INDIRECT("Tab_00.Trial["&amp;AA$4&amp;"]"),Tab_00.Trial[CONTA],$B87)</f>
        <v>0</v>
      </c>
      <c r="AB87" s="78">
        <f t="shared" ca="1" si="98"/>
        <v>0</v>
      </c>
      <c r="AC87" s="78">
        <f t="shared" ca="1" si="41"/>
        <v>0</v>
      </c>
      <c r="AD87" s="4">
        <f ca="1">SUMIFS(INDIRECT("Tab_00.Trial["&amp;AD$4&amp;"]"),Tab_00.Trial[CONTA],$B87)</f>
        <v>0</v>
      </c>
      <c r="AE87" s="78">
        <f t="shared" ca="1" si="99"/>
        <v>0</v>
      </c>
      <c r="AF87" s="78">
        <f t="shared" ca="1" si="43"/>
        <v>0</v>
      </c>
      <c r="AG87" s="4">
        <f ca="1">SUMIFS(INDIRECT("Tab_00.Trial["&amp;AG$4&amp;"]"),Tab_00.Trial[CONTA],$B87)</f>
        <v>0</v>
      </c>
      <c r="AH87" s="78">
        <f t="shared" ca="1" si="100"/>
        <v>0</v>
      </c>
      <c r="AI87" s="78">
        <f t="shared" ca="1" si="45"/>
        <v>0</v>
      </c>
      <c r="AJ87" s="4">
        <f ca="1">SUMIFS(INDIRECT("Tab_00.Trial["&amp;AJ$4&amp;"]"),Tab_00.Trial[CONTA],$B87)</f>
        <v>0</v>
      </c>
      <c r="AK87" s="78">
        <f t="shared" ca="1" si="101"/>
        <v>0</v>
      </c>
      <c r="AL87" s="78">
        <f t="shared" ca="1" si="47"/>
        <v>0</v>
      </c>
      <c r="AM87" s="4">
        <f ca="1">SUMIFS(INDIRECT("Tab_00.Trial["&amp;AM$4&amp;"]"),Tab_00.Trial[CONTA],$B87)</f>
        <v>0</v>
      </c>
      <c r="AN87" s="78">
        <f t="shared" ca="1" si="102"/>
        <v>0</v>
      </c>
      <c r="AO87" s="78">
        <f t="shared" ca="1" si="49"/>
        <v>0</v>
      </c>
      <c r="AQ87" s="142"/>
    </row>
    <row r="88" spans="2:43" ht="15" hidden="1" customHeight="1" outlineLevel="1" x14ac:dyDescent="0.3">
      <c r="B88" s="14"/>
      <c r="C88" s="15"/>
      <c r="D88" s="4">
        <f>SUMIFS(Tab_99.Trial[DEZEMBRO],Tab_99.Trial[CONTA],$B88)</f>
        <v>0</v>
      </c>
      <c r="E88" s="78">
        <f t="shared" si="90"/>
        <v>0</v>
      </c>
      <c r="F88" s="4">
        <f ca="1">SUMIFS(INDIRECT("Tab_00.Trial["&amp;F$4&amp;"]"),Tab_00.Trial[CONTA],$B88)</f>
        <v>0</v>
      </c>
      <c r="G88" s="78">
        <f t="shared" ca="1" si="91"/>
        <v>0</v>
      </c>
      <c r="H88" s="78">
        <f t="shared" ca="1" si="27"/>
        <v>0</v>
      </c>
      <c r="I88" s="4">
        <f ca="1">SUMIFS(INDIRECT("Tab_00.Trial["&amp;I$4&amp;"]"),Tab_00.Trial[CONTA],$B88)</f>
        <v>0</v>
      </c>
      <c r="J88" s="78">
        <f t="shared" ca="1" si="92"/>
        <v>0</v>
      </c>
      <c r="K88" s="78">
        <f t="shared" ca="1" si="29"/>
        <v>0</v>
      </c>
      <c r="L88" s="4">
        <f ca="1">SUMIFS(INDIRECT("Tab_00.Trial["&amp;L$4&amp;"]"),Tab_00.Trial[CONTA],$B88)</f>
        <v>0</v>
      </c>
      <c r="M88" s="78">
        <f t="shared" ca="1" si="93"/>
        <v>0</v>
      </c>
      <c r="N88" s="78">
        <f t="shared" ca="1" si="31"/>
        <v>0</v>
      </c>
      <c r="O88" s="4">
        <f ca="1">SUMIFS(INDIRECT("Tab_00.Trial["&amp;O$4&amp;"]"),Tab_00.Trial[CONTA],$B88)</f>
        <v>0</v>
      </c>
      <c r="P88" s="78">
        <f t="shared" ca="1" si="94"/>
        <v>0</v>
      </c>
      <c r="Q88" s="78">
        <f t="shared" ca="1" si="33"/>
        <v>0</v>
      </c>
      <c r="R88" s="4">
        <f ca="1">SUMIFS(INDIRECT("Tab_00.Trial["&amp;R$4&amp;"]"),Tab_00.Trial[CONTA],$B88)</f>
        <v>0</v>
      </c>
      <c r="S88" s="78">
        <f t="shared" ca="1" si="95"/>
        <v>0</v>
      </c>
      <c r="T88" s="78">
        <f t="shared" ca="1" si="35"/>
        <v>0</v>
      </c>
      <c r="U88" s="4">
        <f ca="1">SUMIFS(INDIRECT("Tab_00.Trial["&amp;U$4&amp;"]"),Tab_00.Trial[CONTA],$B88)</f>
        <v>0</v>
      </c>
      <c r="V88" s="78">
        <f t="shared" ca="1" si="96"/>
        <v>0</v>
      </c>
      <c r="W88" s="78">
        <f t="shared" ca="1" si="37"/>
        <v>0</v>
      </c>
      <c r="X88" s="4">
        <f ca="1">SUMIFS(INDIRECT("Tab_00.Trial["&amp;X$4&amp;"]"),Tab_00.Trial[CONTA],$B88)</f>
        <v>0</v>
      </c>
      <c r="Y88" s="78">
        <f t="shared" ca="1" si="97"/>
        <v>0</v>
      </c>
      <c r="Z88" s="78">
        <f t="shared" ca="1" si="39"/>
        <v>0</v>
      </c>
      <c r="AA88" s="4">
        <f ca="1">SUMIFS(INDIRECT("Tab_00.Trial["&amp;AA$4&amp;"]"),Tab_00.Trial[CONTA],$B88)</f>
        <v>0</v>
      </c>
      <c r="AB88" s="78">
        <f t="shared" ca="1" si="98"/>
        <v>0</v>
      </c>
      <c r="AC88" s="78">
        <f t="shared" ca="1" si="41"/>
        <v>0</v>
      </c>
      <c r="AD88" s="4">
        <f ca="1">SUMIFS(INDIRECT("Tab_00.Trial["&amp;AD$4&amp;"]"),Tab_00.Trial[CONTA],$B88)</f>
        <v>0</v>
      </c>
      <c r="AE88" s="78">
        <f t="shared" ca="1" si="99"/>
        <v>0</v>
      </c>
      <c r="AF88" s="78">
        <f t="shared" ca="1" si="43"/>
        <v>0</v>
      </c>
      <c r="AG88" s="4">
        <f ca="1">SUMIFS(INDIRECT("Tab_00.Trial["&amp;AG$4&amp;"]"),Tab_00.Trial[CONTA],$B88)</f>
        <v>0</v>
      </c>
      <c r="AH88" s="78">
        <f t="shared" ca="1" si="100"/>
        <v>0</v>
      </c>
      <c r="AI88" s="78">
        <f t="shared" ca="1" si="45"/>
        <v>0</v>
      </c>
      <c r="AJ88" s="4">
        <f ca="1">SUMIFS(INDIRECT("Tab_00.Trial["&amp;AJ$4&amp;"]"),Tab_00.Trial[CONTA],$B88)</f>
        <v>0</v>
      </c>
      <c r="AK88" s="78">
        <f t="shared" ca="1" si="101"/>
        <v>0</v>
      </c>
      <c r="AL88" s="78">
        <f t="shared" ca="1" si="47"/>
        <v>0</v>
      </c>
      <c r="AM88" s="4">
        <f ca="1">SUMIFS(INDIRECT("Tab_00.Trial["&amp;AM$4&amp;"]"),Tab_00.Trial[CONTA],$B88)</f>
        <v>0</v>
      </c>
      <c r="AN88" s="78">
        <f t="shared" ca="1" si="102"/>
        <v>0</v>
      </c>
      <c r="AO88" s="78">
        <f t="shared" ca="1" si="49"/>
        <v>0</v>
      </c>
      <c r="AQ88" s="142"/>
    </row>
    <row r="89" spans="2:43" ht="15" hidden="1" customHeight="1" outlineLevel="1" x14ac:dyDescent="0.3">
      <c r="B89" s="14"/>
      <c r="C89" s="15"/>
      <c r="D89" s="4">
        <f>SUMIFS(Tab_99.Trial[DEZEMBRO],Tab_99.Trial[CONTA],$B89)</f>
        <v>0</v>
      </c>
      <c r="E89" s="78">
        <f t="shared" si="90"/>
        <v>0</v>
      </c>
      <c r="F89" s="4">
        <f ca="1">SUMIFS(INDIRECT("Tab_00.Trial["&amp;F$4&amp;"]"),Tab_00.Trial[CONTA],$B89)</f>
        <v>0</v>
      </c>
      <c r="G89" s="78">
        <f t="shared" ca="1" si="91"/>
        <v>0</v>
      </c>
      <c r="H89" s="78">
        <f t="shared" ca="1" si="27"/>
        <v>0</v>
      </c>
      <c r="I89" s="4">
        <f ca="1">SUMIFS(INDIRECT("Tab_00.Trial["&amp;I$4&amp;"]"),Tab_00.Trial[CONTA],$B89)</f>
        <v>0</v>
      </c>
      <c r="J89" s="78">
        <f t="shared" ca="1" si="92"/>
        <v>0</v>
      </c>
      <c r="K89" s="78">
        <f t="shared" ca="1" si="29"/>
        <v>0</v>
      </c>
      <c r="L89" s="4">
        <f ca="1">SUMIFS(INDIRECT("Tab_00.Trial["&amp;L$4&amp;"]"),Tab_00.Trial[CONTA],$B89)</f>
        <v>0</v>
      </c>
      <c r="M89" s="78">
        <f t="shared" ca="1" si="93"/>
        <v>0</v>
      </c>
      <c r="N89" s="78">
        <f t="shared" ca="1" si="31"/>
        <v>0</v>
      </c>
      <c r="O89" s="4">
        <f ca="1">SUMIFS(INDIRECT("Tab_00.Trial["&amp;O$4&amp;"]"),Tab_00.Trial[CONTA],$B89)</f>
        <v>0</v>
      </c>
      <c r="P89" s="78">
        <f t="shared" ca="1" si="94"/>
        <v>0</v>
      </c>
      <c r="Q89" s="78">
        <f t="shared" ca="1" si="33"/>
        <v>0</v>
      </c>
      <c r="R89" s="4">
        <f ca="1">SUMIFS(INDIRECT("Tab_00.Trial["&amp;R$4&amp;"]"),Tab_00.Trial[CONTA],$B89)</f>
        <v>0</v>
      </c>
      <c r="S89" s="78">
        <f t="shared" ca="1" si="95"/>
        <v>0</v>
      </c>
      <c r="T89" s="78">
        <f t="shared" ca="1" si="35"/>
        <v>0</v>
      </c>
      <c r="U89" s="4">
        <f ca="1">SUMIFS(INDIRECT("Tab_00.Trial["&amp;U$4&amp;"]"),Tab_00.Trial[CONTA],$B89)</f>
        <v>0</v>
      </c>
      <c r="V89" s="78">
        <f t="shared" ca="1" si="96"/>
        <v>0</v>
      </c>
      <c r="W89" s="78">
        <f t="shared" ca="1" si="37"/>
        <v>0</v>
      </c>
      <c r="X89" s="4">
        <f ca="1">SUMIFS(INDIRECT("Tab_00.Trial["&amp;X$4&amp;"]"),Tab_00.Trial[CONTA],$B89)</f>
        <v>0</v>
      </c>
      <c r="Y89" s="78">
        <f t="shared" ca="1" si="97"/>
        <v>0</v>
      </c>
      <c r="Z89" s="78">
        <f t="shared" ca="1" si="39"/>
        <v>0</v>
      </c>
      <c r="AA89" s="4">
        <f ca="1">SUMIFS(INDIRECT("Tab_00.Trial["&amp;AA$4&amp;"]"),Tab_00.Trial[CONTA],$B89)</f>
        <v>0</v>
      </c>
      <c r="AB89" s="78">
        <f t="shared" ca="1" si="98"/>
        <v>0</v>
      </c>
      <c r="AC89" s="78">
        <f t="shared" ca="1" si="41"/>
        <v>0</v>
      </c>
      <c r="AD89" s="4">
        <f ca="1">SUMIFS(INDIRECT("Tab_00.Trial["&amp;AD$4&amp;"]"),Tab_00.Trial[CONTA],$B89)</f>
        <v>0</v>
      </c>
      <c r="AE89" s="78">
        <f t="shared" ca="1" si="99"/>
        <v>0</v>
      </c>
      <c r="AF89" s="78">
        <f t="shared" ca="1" si="43"/>
        <v>0</v>
      </c>
      <c r="AG89" s="4">
        <f ca="1">SUMIFS(INDIRECT("Tab_00.Trial["&amp;AG$4&amp;"]"),Tab_00.Trial[CONTA],$B89)</f>
        <v>0</v>
      </c>
      <c r="AH89" s="78">
        <f t="shared" ca="1" si="100"/>
        <v>0</v>
      </c>
      <c r="AI89" s="78">
        <f t="shared" ca="1" si="45"/>
        <v>0</v>
      </c>
      <c r="AJ89" s="4">
        <f ca="1">SUMIFS(INDIRECT("Tab_00.Trial["&amp;AJ$4&amp;"]"),Tab_00.Trial[CONTA],$B89)</f>
        <v>0</v>
      </c>
      <c r="AK89" s="78">
        <f t="shared" ca="1" si="101"/>
        <v>0</v>
      </c>
      <c r="AL89" s="78">
        <f t="shared" ca="1" si="47"/>
        <v>0</v>
      </c>
      <c r="AM89" s="4">
        <f ca="1">SUMIFS(INDIRECT("Tab_00.Trial["&amp;AM$4&amp;"]"),Tab_00.Trial[CONTA],$B89)</f>
        <v>0</v>
      </c>
      <c r="AN89" s="78">
        <f t="shared" ca="1" si="102"/>
        <v>0</v>
      </c>
      <c r="AO89" s="78">
        <f t="shared" ca="1" si="49"/>
        <v>0</v>
      </c>
    </row>
    <row r="90" spans="2:43" ht="5.0999999999999996" hidden="1" customHeight="1" outlineLevel="1" x14ac:dyDescent="0.3">
      <c r="B90" s="74"/>
      <c r="C90" s="75"/>
      <c r="D90" s="76"/>
      <c r="E90" s="77"/>
      <c r="F90" s="76"/>
      <c r="G90" s="77"/>
      <c r="H90" s="77"/>
      <c r="I90" s="76"/>
      <c r="J90" s="77"/>
      <c r="K90" s="77"/>
      <c r="L90" s="76"/>
      <c r="M90" s="77"/>
      <c r="N90" s="77"/>
      <c r="O90" s="76"/>
      <c r="P90" s="77"/>
      <c r="Q90" s="77"/>
      <c r="R90" s="76"/>
      <c r="S90" s="77"/>
      <c r="T90" s="77"/>
      <c r="U90" s="76"/>
      <c r="V90" s="77"/>
      <c r="W90" s="77"/>
      <c r="X90" s="76"/>
      <c r="Y90" s="77"/>
      <c r="Z90" s="77"/>
      <c r="AA90" s="76"/>
      <c r="AB90" s="77"/>
      <c r="AC90" s="77"/>
      <c r="AD90" s="76"/>
      <c r="AE90" s="77"/>
      <c r="AF90" s="77"/>
      <c r="AG90" s="76"/>
      <c r="AH90" s="77"/>
      <c r="AI90" s="77"/>
      <c r="AJ90" s="76"/>
      <c r="AK90" s="77"/>
      <c r="AL90" s="77"/>
      <c r="AM90" s="76"/>
      <c r="AN90" s="77"/>
      <c r="AO90" s="77"/>
    </row>
    <row r="91" spans="2:43" ht="15" customHeight="1" collapsed="1" x14ac:dyDescent="0.3">
      <c r="C91" s="3"/>
      <c r="D91" s="16">
        <f>SUBTOTAL(9,D$6:D$90)</f>
        <v>0</v>
      </c>
      <c r="E91" s="80">
        <f>IFERROR($D91/$D$160,0)</f>
        <v>0</v>
      </c>
      <c r="F91" s="16">
        <f ca="1">SUBTOTAL(9,F$6:F$90)</f>
        <v>10972314.029999999</v>
      </c>
      <c r="G91" s="80">
        <f ca="1">IFERROR($F91/$F$160,0)</f>
        <v>0.13120000000000001</v>
      </c>
      <c r="H91" s="80">
        <f t="shared" ca="1" si="27"/>
        <v>0</v>
      </c>
      <c r="I91" s="16">
        <f ca="1">SUBTOTAL(9,I$6:I$90)</f>
        <v>10211828.609999999</v>
      </c>
      <c r="J91" s="80">
        <f ca="1">IFERROR($I91/$I$160,0)</f>
        <v>0.12330000000000001</v>
      </c>
      <c r="K91" s="80">
        <f t="shared" ca="1" si="29"/>
        <v>-6.93E-2</v>
      </c>
      <c r="L91" s="16">
        <f ca="1">SUBTOTAL(9,L$6:L$90)</f>
        <v>10039848.640000001</v>
      </c>
      <c r="M91" s="80">
        <f ca="1">IFERROR($L91/$L$160,0)</f>
        <v>0.12089999999999999</v>
      </c>
      <c r="N91" s="80">
        <f t="shared" ca="1" si="31"/>
        <v>-1.6799999999999999E-2</v>
      </c>
      <c r="O91" s="16">
        <f ca="1">SUBTOTAL(9,O$6:O$90)</f>
        <v>10476516.800000001</v>
      </c>
      <c r="P91" s="80">
        <f ca="1">IFERROR($O91/$O$160,0)</f>
        <v>0.12570000000000001</v>
      </c>
      <c r="Q91" s="80">
        <f t="shared" ca="1" si="33"/>
        <v>4.3499999999999997E-2</v>
      </c>
      <c r="R91" s="16">
        <f ca="1">SUBTOTAL(9,R$6:R$90)</f>
        <v>10555496.390000001</v>
      </c>
      <c r="S91" s="80">
        <f ca="1">IFERROR($R91/$R$160,0)</f>
        <v>0.12609999999999999</v>
      </c>
      <c r="T91" s="80">
        <f t="shared" ca="1" si="35"/>
        <v>7.4999999999999997E-3</v>
      </c>
      <c r="U91" s="16">
        <f ca="1">SUBTOTAL(9,U$6:U$90)</f>
        <v>10887346.75</v>
      </c>
      <c r="V91" s="80">
        <f ca="1">IFERROR($U91/$U$160,0)</f>
        <v>0.12889999999999999</v>
      </c>
      <c r="W91" s="80">
        <f t="shared" ca="1" si="37"/>
        <v>3.1399999999999997E-2</v>
      </c>
      <c r="X91" s="16">
        <f ca="1">SUBTOTAL(9,X$6:X$90)</f>
        <v>10887346.75</v>
      </c>
      <c r="Y91" s="80">
        <f ca="1">IFERROR($X91/$X$160,0)</f>
        <v>0.12889999999999999</v>
      </c>
      <c r="Z91" s="80">
        <f t="shared" ca="1" si="39"/>
        <v>0</v>
      </c>
      <c r="AA91" s="16">
        <f ca="1">SUBTOTAL(9,AA$6:AA$90)</f>
        <v>10887346.75</v>
      </c>
      <c r="AB91" s="80">
        <f ca="1">IFERROR($AA91/$AA$160,0)</f>
        <v>0.12889999999999999</v>
      </c>
      <c r="AC91" s="80">
        <f t="shared" ca="1" si="41"/>
        <v>0</v>
      </c>
      <c r="AD91" s="16">
        <f ca="1">SUBTOTAL(9,AD$6:AD$90)</f>
        <v>11006207.220000001</v>
      </c>
      <c r="AE91" s="80">
        <f ca="1">IFERROR($AD91/$AD$160,0)</f>
        <v>0.12959999999999999</v>
      </c>
      <c r="AF91" s="80">
        <f t="shared" ca="1" si="43"/>
        <v>1.09E-2</v>
      </c>
      <c r="AG91" s="16">
        <f ca="1">SUBTOTAL(9,AG$6:AG$90)</f>
        <v>11124943.189999999</v>
      </c>
      <c r="AH91" s="80">
        <f ca="1">IFERROR($AG91/$AG$160,0)</f>
        <v>0.13059999999999999</v>
      </c>
      <c r="AI91" s="80">
        <f t="shared" ca="1" si="45"/>
        <v>1.0800000000000001E-2</v>
      </c>
      <c r="AJ91" s="16">
        <f ca="1">SUBTOTAL(9,AJ$6:AJ$90)</f>
        <v>11200343.220000001</v>
      </c>
      <c r="AK91" s="80">
        <f ca="1">IFERROR($AJ91/$AJ$160,0)</f>
        <v>0.13100000000000001</v>
      </c>
      <c r="AL91" s="80">
        <f t="shared" ca="1" si="47"/>
        <v>6.7999999999999996E-3</v>
      </c>
      <c r="AM91" s="16">
        <f ca="1">SUBTOTAL(9,AM$6:AM$90)</f>
        <v>11232830.060000001</v>
      </c>
      <c r="AN91" s="80">
        <f ca="1">IFERROR(AM91/AM$160,0)</f>
        <v>0.13159999999999999</v>
      </c>
      <c r="AO91" s="80">
        <f t="shared" ca="1" si="49"/>
        <v>2.8999999999999998E-3</v>
      </c>
    </row>
    <row r="92" spans="2:43" ht="9.9" customHeight="1" x14ac:dyDescent="0.3">
      <c r="C92" s="3"/>
      <c r="AN92" s="78"/>
      <c r="AO92" s="78"/>
    </row>
    <row r="93" spans="2:43" ht="15" customHeight="1" x14ac:dyDescent="0.3">
      <c r="C93" s="9" t="s">
        <v>34</v>
      </c>
      <c r="AN93" s="78"/>
      <c r="AO93" s="78"/>
    </row>
    <row r="94" spans="2:43" ht="15" customHeight="1" collapsed="1" x14ac:dyDescent="0.3">
      <c r="B94" s="3" t="s">
        <v>92</v>
      </c>
      <c r="C94" s="14" t="s">
        <v>87</v>
      </c>
      <c r="D94" s="4">
        <f>SUBTOTAL(9,D$95:D$97)</f>
        <v>0</v>
      </c>
      <c r="E94" s="78">
        <f>IFERROR($D94/$D$160,0)</f>
        <v>0</v>
      </c>
      <c r="F94" s="4">
        <f ca="1">SUBTOTAL(9,F$95:F$97)</f>
        <v>24698297</v>
      </c>
      <c r="G94" s="78">
        <f ca="1">IFERROR($F94/$F$160,0)</f>
        <v>0.2954</v>
      </c>
      <c r="H94" s="78">
        <f t="shared" ref="H94:H95" ca="1" si="103">IFERROR(($F94-$D94)/ABS($D94),0)</f>
        <v>0</v>
      </c>
      <c r="I94" s="4">
        <f ca="1">SUBTOTAL(9,I$95:I$97)</f>
        <v>24698297</v>
      </c>
      <c r="J94" s="78">
        <f ca="1">IFERROR($I94/$I$160,0)</f>
        <v>0.29809999999999998</v>
      </c>
      <c r="K94" s="78">
        <f t="shared" ref="K94:K95" ca="1" si="104">IFERROR(($I94-$F94)/ABS($F94),0)</f>
        <v>0</v>
      </c>
      <c r="L94" s="4">
        <f ca="1">SUBTOTAL(9,L$95:L$97)</f>
        <v>25048650.870000001</v>
      </c>
      <c r="M94" s="78">
        <f ca="1">IFERROR($L94/$L$160,0)</f>
        <v>0.30170000000000002</v>
      </c>
      <c r="N94" s="78">
        <f t="shared" ref="N94:N95" ca="1" si="105">IFERROR(($L94-$I94)/ABS($I94),0)</f>
        <v>1.4200000000000001E-2</v>
      </c>
      <c r="O94" s="4">
        <f ca="1">SUBTOTAL(9,O$95:O$97)</f>
        <v>24933831.27</v>
      </c>
      <c r="P94" s="78">
        <f ca="1">IFERROR($O94/$O$160,0)</f>
        <v>0.29909999999999998</v>
      </c>
      <c r="Q94" s="78">
        <f t="shared" ref="Q94:Q95" ca="1" si="106">IFERROR(($O94-$L94)/ABS($L94),0)</f>
        <v>-4.5999999999999999E-3</v>
      </c>
      <c r="R94" s="4">
        <f ca="1">SUBTOTAL(9,R$95:R$97)</f>
        <v>25173527.609999999</v>
      </c>
      <c r="S94" s="78">
        <f ca="1">IFERROR($R94/$R$160,0)</f>
        <v>0.30070000000000002</v>
      </c>
      <c r="T94" s="78">
        <f t="shared" ref="T94:T95" ca="1" si="107">IFERROR(($R94-$O94)/ABS($O94),0)</f>
        <v>9.5999999999999992E-3</v>
      </c>
      <c r="U94" s="4">
        <f ca="1">SUBTOTAL(9,U$95:U$97)</f>
        <v>25628848</v>
      </c>
      <c r="V94" s="78">
        <f ca="1">IFERROR($U94/$U$160,0)</f>
        <v>0.30330000000000001</v>
      </c>
      <c r="W94" s="78">
        <f t="shared" ref="W94:W95" ca="1" si="108">IFERROR(($U94-$R94)/ABS($R94),0)</f>
        <v>1.8100000000000002E-2</v>
      </c>
      <c r="X94" s="4">
        <f ca="1">SUBTOTAL(9,X$95:X$97)</f>
        <v>25628848</v>
      </c>
      <c r="Y94" s="78">
        <f ca="1">IFERROR($X94/$X$160,0)</f>
        <v>0.30330000000000001</v>
      </c>
      <c r="Z94" s="78">
        <f t="shared" ref="Z94:Z95" ca="1" si="109">IFERROR(($X94-$U94)/ABS($U94),0)</f>
        <v>0</v>
      </c>
      <c r="AA94" s="4">
        <f ca="1">SUBTOTAL(9,AA$95:AA$97)</f>
        <v>25628848</v>
      </c>
      <c r="AB94" s="78">
        <f ca="1">IFERROR($AA94/$AA$160,0)</f>
        <v>0.30330000000000001</v>
      </c>
      <c r="AC94" s="78">
        <f t="shared" ref="AC94:AC95" ca="1" si="110">IFERROR(($AA94-$X94)/ABS($X94),0)</f>
        <v>0</v>
      </c>
      <c r="AD94" s="4">
        <f ca="1">SUBTOTAL(9,AD$95:AD$97)</f>
        <v>25968003</v>
      </c>
      <c r="AE94" s="78">
        <f ca="1">IFERROR($AD94/$AD$160,0)</f>
        <v>0.30570000000000003</v>
      </c>
      <c r="AF94" s="78">
        <f t="shared" ref="AF94:AF95" ca="1" si="111">IFERROR(($AD94-$AA94)/ABS($AA94),0)</f>
        <v>1.32E-2</v>
      </c>
      <c r="AG94" s="4">
        <f ca="1">SUBTOTAL(9,AG$95:AG$97)</f>
        <v>26078405</v>
      </c>
      <c r="AH94" s="78">
        <f ca="1">IFERROR($AG94/$AG$160,0)</f>
        <v>0.30620000000000003</v>
      </c>
      <c r="AI94" s="78">
        <f t="shared" ref="AI94:AI95" ca="1" si="112">IFERROR(($AG94-$AD94)/ABS($AD94),0)</f>
        <v>4.3E-3</v>
      </c>
      <c r="AJ94" s="4">
        <f ca="1">SUBTOTAL(9,AJ$95:AJ$97)</f>
        <v>26322642</v>
      </c>
      <c r="AK94" s="78">
        <f ca="1">IFERROR($AJ94/$AJ$160,0)</f>
        <v>0.30790000000000001</v>
      </c>
      <c r="AL94" s="78">
        <f t="shared" ref="AL94:AL95" ca="1" si="113">IFERROR(($AJ94-$AG94)/ABS($AG94),0)</f>
        <v>9.4000000000000004E-3</v>
      </c>
      <c r="AM94" s="4">
        <f ca="1">SUBTOTAL(9,AM$95:AM$97)</f>
        <v>26183193</v>
      </c>
      <c r="AN94" s="78">
        <f ca="1">IFERROR(AM94/AM$160,0)</f>
        <v>0.30669999999999997</v>
      </c>
      <c r="AO94" s="78">
        <f t="shared" ref="AO94:AO95" ca="1" si="114">IFERROR(($AM94-$AJ94)/ABS($AJ94),0)</f>
        <v>-5.3E-3</v>
      </c>
    </row>
    <row r="95" spans="2:43" ht="15" hidden="1" customHeight="1" outlineLevel="1" x14ac:dyDescent="0.3">
      <c r="B95" s="14" t="s">
        <v>308</v>
      </c>
      <c r="C95" s="15" t="s">
        <v>309</v>
      </c>
      <c r="D95" s="4">
        <f>SUMIFS(Tab_99.Trial[DEZEMBRO],Tab_99.Trial[CONTA],$B95)</f>
        <v>0</v>
      </c>
      <c r="E95" s="78">
        <f>IFERROR($D95/$D$160,0)</f>
        <v>0</v>
      </c>
      <c r="F95" s="4">
        <f ca="1">SUMIFS(INDIRECT("Tab_00.Trial["&amp;F$4&amp;"]"),Tab_00.Trial[CONTA],$B95)</f>
        <v>24698297</v>
      </c>
      <c r="G95" s="78">
        <f ca="1">IFERROR($F95/$F$160,0)</f>
        <v>0.2954</v>
      </c>
      <c r="H95" s="78">
        <f t="shared" ca="1" si="103"/>
        <v>0</v>
      </c>
      <c r="I95" s="4">
        <f ca="1">SUMIFS(INDIRECT("Tab_00.Trial["&amp;I$4&amp;"]"),Tab_00.Trial[CONTA],$B95)</f>
        <v>24698297</v>
      </c>
      <c r="J95" s="78">
        <f ca="1">IFERROR($I95/$I$160,0)</f>
        <v>0.29809999999999998</v>
      </c>
      <c r="K95" s="78">
        <f t="shared" ca="1" si="104"/>
        <v>0</v>
      </c>
      <c r="L95" s="4">
        <f ca="1">SUMIFS(INDIRECT("Tab_00.Trial["&amp;L$4&amp;"]"),Tab_00.Trial[CONTA],$B95)</f>
        <v>25048650.870000001</v>
      </c>
      <c r="M95" s="78">
        <f ca="1">IFERROR($L95/$L$160,0)</f>
        <v>0.30170000000000002</v>
      </c>
      <c r="N95" s="78">
        <f t="shared" ca="1" si="105"/>
        <v>1.4200000000000001E-2</v>
      </c>
      <c r="O95" s="4">
        <f ca="1">SUMIFS(INDIRECT("Tab_00.Trial["&amp;O$4&amp;"]"),Tab_00.Trial[CONTA],$B95)</f>
        <v>24933831.27</v>
      </c>
      <c r="P95" s="78">
        <f ca="1">IFERROR($O95/$O$160,0)</f>
        <v>0.29909999999999998</v>
      </c>
      <c r="Q95" s="78">
        <f t="shared" ca="1" si="106"/>
        <v>-4.5999999999999999E-3</v>
      </c>
      <c r="R95" s="4">
        <f ca="1">SUMIFS(INDIRECT("Tab_00.Trial["&amp;R$4&amp;"]"),Tab_00.Trial[CONTA],$B95)</f>
        <v>25173527.609999999</v>
      </c>
      <c r="S95" s="78">
        <f ca="1">IFERROR($R95/$R$160,0)</f>
        <v>0.30070000000000002</v>
      </c>
      <c r="T95" s="78">
        <f t="shared" ca="1" si="107"/>
        <v>9.5999999999999992E-3</v>
      </c>
      <c r="U95" s="4">
        <f ca="1">SUMIFS(INDIRECT("Tab_00.Trial["&amp;U$4&amp;"]"),Tab_00.Trial[CONTA],$B95)</f>
        <v>25628848</v>
      </c>
      <c r="V95" s="78">
        <f ca="1">IFERROR($U95/$U$160,0)</f>
        <v>0.30330000000000001</v>
      </c>
      <c r="W95" s="78">
        <f t="shared" ca="1" si="108"/>
        <v>1.8100000000000002E-2</v>
      </c>
      <c r="X95" s="4">
        <f ca="1">SUMIFS(INDIRECT("Tab_00.Trial["&amp;X$4&amp;"]"),Tab_00.Trial[CONTA],$B95)</f>
        <v>25628848</v>
      </c>
      <c r="Y95" s="78">
        <f ca="1">IFERROR($X95/$X$160,0)</f>
        <v>0.30330000000000001</v>
      </c>
      <c r="Z95" s="78">
        <f t="shared" ca="1" si="109"/>
        <v>0</v>
      </c>
      <c r="AA95" s="4">
        <f ca="1">SUMIFS(INDIRECT("Tab_00.Trial["&amp;AA$4&amp;"]"),Tab_00.Trial[CONTA],$B95)</f>
        <v>25628848</v>
      </c>
      <c r="AB95" s="78">
        <f ca="1">IFERROR($AA95/$AA$160,0)</f>
        <v>0.30330000000000001</v>
      </c>
      <c r="AC95" s="78">
        <f t="shared" ca="1" si="110"/>
        <v>0</v>
      </c>
      <c r="AD95" s="4">
        <f ca="1">SUMIFS(INDIRECT("Tab_00.Trial["&amp;AD$4&amp;"]"),Tab_00.Trial[CONTA],$B95)</f>
        <v>25968003</v>
      </c>
      <c r="AE95" s="78">
        <f ca="1">IFERROR($AD95/$AD$160,0)</f>
        <v>0.30570000000000003</v>
      </c>
      <c r="AF95" s="78">
        <f t="shared" ca="1" si="111"/>
        <v>1.32E-2</v>
      </c>
      <c r="AG95" s="4">
        <f ca="1">SUMIFS(INDIRECT("Tab_00.Trial["&amp;AG$4&amp;"]"),Tab_00.Trial[CONTA],$B95)</f>
        <v>26078405</v>
      </c>
      <c r="AH95" s="78">
        <f ca="1">IFERROR($AG95/$AG$160,0)</f>
        <v>0.30620000000000003</v>
      </c>
      <c r="AI95" s="78">
        <f t="shared" ca="1" si="112"/>
        <v>4.3E-3</v>
      </c>
      <c r="AJ95" s="4">
        <f ca="1">SUMIFS(INDIRECT("Tab_00.Trial["&amp;AJ$4&amp;"]"),Tab_00.Trial[CONTA],$B95)</f>
        <v>26322642</v>
      </c>
      <c r="AK95" s="78">
        <f ca="1">IFERROR($AJ95/$AJ$160,0)</f>
        <v>0.30790000000000001</v>
      </c>
      <c r="AL95" s="78">
        <f t="shared" ca="1" si="113"/>
        <v>9.4000000000000004E-3</v>
      </c>
      <c r="AM95" s="4">
        <f ca="1">SUMIFS(INDIRECT("Tab_00.Trial["&amp;AM$4&amp;"]"),Tab_00.Trial[CONTA],$B95)</f>
        <v>26183193</v>
      </c>
      <c r="AN95" s="78">
        <f ca="1">IFERROR(AM95/AM$160,0)</f>
        <v>0.30669999999999997</v>
      </c>
      <c r="AO95" s="78">
        <f t="shared" ca="1" si="114"/>
        <v>-5.3E-3</v>
      </c>
      <c r="AP95" s="1" t="s">
        <v>269</v>
      </c>
    </row>
    <row r="96" spans="2:43" ht="15" hidden="1" customHeight="1" outlineLevel="1" x14ac:dyDescent="0.3">
      <c r="B96" s="14"/>
      <c r="C96" s="14"/>
      <c r="D96" s="4">
        <f>SUMIFS(Tab_99.Trial[DEZEMBRO],Tab_99.Trial[CONTA],$B96)</f>
        <v>0</v>
      </c>
      <c r="E96" s="78">
        <f>IFERROR($D96/$D$160,0)</f>
        <v>0</v>
      </c>
      <c r="F96" s="4">
        <f ca="1">SUMIFS(INDIRECT("Tab_00.Trial["&amp;F$4&amp;"]"),Tab_00.Trial[CONTA],$B96)</f>
        <v>0</v>
      </c>
      <c r="G96" s="78">
        <f ca="1">IFERROR($F96/$F$160,0)</f>
        <v>0</v>
      </c>
      <c r="H96" s="78">
        <f t="shared" ref="H96" ca="1" si="115">IFERROR(($F96-$D96)/ABS($D96),0)</f>
        <v>0</v>
      </c>
      <c r="I96" s="4">
        <f ca="1">SUMIFS(INDIRECT("Tab_00.Trial["&amp;I$4&amp;"]"),Tab_00.Trial[CONTA],$B96)</f>
        <v>0</v>
      </c>
      <c r="J96" s="78">
        <f ca="1">IFERROR($I96/$I$160,0)</f>
        <v>0</v>
      </c>
      <c r="K96" s="78">
        <f t="shared" ref="K96" ca="1" si="116">IFERROR(($I96-$F96)/ABS($F96),0)</f>
        <v>0</v>
      </c>
      <c r="L96" s="4">
        <f ca="1">SUMIFS(INDIRECT("Tab_00.Trial["&amp;L$4&amp;"]"),Tab_00.Trial[CONTA],$B96)</f>
        <v>0</v>
      </c>
      <c r="M96" s="78">
        <f ca="1">IFERROR($L96/$L$160,0)</f>
        <v>0</v>
      </c>
      <c r="N96" s="78">
        <f t="shared" ref="N96" ca="1" si="117">IFERROR(($L96-$I96)/ABS($I96),0)</f>
        <v>0</v>
      </c>
      <c r="O96" s="4">
        <f ca="1">SUMIFS(INDIRECT("Tab_00.Trial["&amp;O$4&amp;"]"),Tab_00.Trial[CONTA],$B96)</f>
        <v>0</v>
      </c>
      <c r="P96" s="78">
        <f ca="1">IFERROR($O96/$O$160,0)</f>
        <v>0</v>
      </c>
      <c r="Q96" s="78">
        <f t="shared" ref="Q96" ca="1" si="118">IFERROR(($O96-$L96)/ABS($L96),0)</f>
        <v>0</v>
      </c>
      <c r="R96" s="4">
        <f ca="1">SUMIFS(INDIRECT("Tab_00.Trial["&amp;R$4&amp;"]"),Tab_00.Trial[CONTA],$B96)</f>
        <v>0</v>
      </c>
      <c r="S96" s="78">
        <f ca="1">IFERROR($R96/$R$160,0)</f>
        <v>0</v>
      </c>
      <c r="T96" s="78">
        <f t="shared" ref="T96" ca="1" si="119">IFERROR(($R96-$O96)/ABS($O96),0)</f>
        <v>0</v>
      </c>
      <c r="U96" s="4">
        <f ca="1">SUMIFS(INDIRECT("Tab_00.Trial["&amp;U$4&amp;"]"),Tab_00.Trial[CONTA],$B96)</f>
        <v>0</v>
      </c>
      <c r="V96" s="78">
        <f ca="1">IFERROR($U96/$U$160,0)</f>
        <v>0</v>
      </c>
      <c r="W96" s="78">
        <f t="shared" ref="W96" ca="1" si="120">IFERROR(($U96-$R96)/ABS($R96),0)</f>
        <v>0</v>
      </c>
      <c r="X96" s="4">
        <f ca="1">SUMIFS(INDIRECT("Tab_00.Trial["&amp;X$4&amp;"]"),Tab_00.Trial[CONTA],$B96)</f>
        <v>0</v>
      </c>
      <c r="Y96" s="78">
        <f ca="1">IFERROR($X96/$X$160,0)</f>
        <v>0</v>
      </c>
      <c r="Z96" s="78">
        <f t="shared" ref="Z96" ca="1" si="121">IFERROR(($X96-$U96)/ABS($U96),0)</f>
        <v>0</v>
      </c>
      <c r="AA96" s="4">
        <f ca="1">SUMIFS(INDIRECT("Tab_00.Trial["&amp;AA$4&amp;"]"),Tab_00.Trial[CONTA],$B96)</f>
        <v>0</v>
      </c>
      <c r="AB96" s="78">
        <f ca="1">IFERROR($AA96/$AA$160,0)</f>
        <v>0</v>
      </c>
      <c r="AC96" s="78">
        <f t="shared" ref="AC96" ca="1" si="122">IFERROR(($AA96-$X96)/ABS($X96),0)</f>
        <v>0</v>
      </c>
      <c r="AD96" s="4">
        <f ca="1">SUMIFS(INDIRECT("Tab_00.Trial["&amp;AD$4&amp;"]"),Tab_00.Trial[CONTA],$B96)</f>
        <v>0</v>
      </c>
      <c r="AE96" s="78">
        <f ca="1">IFERROR($AD96/$AD$160,0)</f>
        <v>0</v>
      </c>
      <c r="AF96" s="78">
        <f t="shared" ref="AF96" ca="1" si="123">IFERROR(($AD96-$AA96)/ABS($AA96),0)</f>
        <v>0</v>
      </c>
      <c r="AG96" s="4">
        <f ca="1">SUMIFS(INDIRECT("Tab_00.Trial["&amp;AG$4&amp;"]"),Tab_00.Trial[CONTA],$B96)</f>
        <v>0</v>
      </c>
      <c r="AH96" s="78">
        <f ca="1">IFERROR($AG96/$AG$160,0)</f>
        <v>0</v>
      </c>
      <c r="AI96" s="78">
        <f t="shared" ref="AI96" ca="1" si="124">IFERROR(($AG96-$AD96)/ABS($AD96),0)</f>
        <v>0</v>
      </c>
      <c r="AJ96" s="4">
        <f ca="1">SUMIFS(INDIRECT("Tab_00.Trial["&amp;AJ$4&amp;"]"),Tab_00.Trial[CONTA],$B96)</f>
        <v>0</v>
      </c>
      <c r="AK96" s="78">
        <f ca="1">IFERROR($AJ96/$AJ$160,0)</f>
        <v>0</v>
      </c>
      <c r="AL96" s="78">
        <f t="shared" ref="AL96" ca="1" si="125">IFERROR(($AJ96-$AG96)/ABS($AG96),0)</f>
        <v>0</v>
      </c>
      <c r="AM96" s="4">
        <f ca="1">SUMIFS(INDIRECT("Tab_00.Trial["&amp;AM$4&amp;"]"),Tab_00.Trial[CONTA],$B96)</f>
        <v>0</v>
      </c>
      <c r="AN96" s="78">
        <f ca="1">IFERROR(AM96/AM$160,0)</f>
        <v>0</v>
      </c>
      <c r="AO96" s="78">
        <f t="shared" ref="AO96" ca="1" si="126">IFERROR(($AM96-$AJ96)/ABS($AJ96),0)</f>
        <v>0</v>
      </c>
    </row>
    <row r="97" spans="2:42" ht="5.0999999999999996" hidden="1" customHeight="1" outlineLevel="1" x14ac:dyDescent="0.3">
      <c r="B97" s="74"/>
      <c r="C97" s="74"/>
      <c r="D97" s="76"/>
      <c r="E97" s="77"/>
      <c r="F97" s="76"/>
      <c r="G97" s="77"/>
      <c r="H97" s="77"/>
      <c r="I97" s="76"/>
      <c r="J97" s="77"/>
      <c r="K97" s="77"/>
      <c r="L97" s="76"/>
      <c r="M97" s="77"/>
      <c r="N97" s="77"/>
      <c r="O97" s="76"/>
      <c r="P97" s="77"/>
      <c r="Q97" s="77"/>
      <c r="R97" s="76"/>
      <c r="S97" s="77"/>
      <c r="T97" s="77"/>
      <c r="U97" s="76"/>
      <c r="V97" s="77"/>
      <c r="W97" s="77"/>
      <c r="X97" s="76"/>
      <c r="Y97" s="77"/>
      <c r="Z97" s="77"/>
      <c r="AA97" s="76"/>
      <c r="AB97" s="77"/>
      <c r="AC97" s="77"/>
      <c r="AD97" s="76"/>
      <c r="AE97" s="77"/>
      <c r="AF97" s="77"/>
      <c r="AG97" s="76"/>
      <c r="AH97" s="77"/>
      <c r="AI97" s="77"/>
      <c r="AJ97" s="76"/>
      <c r="AK97" s="77"/>
      <c r="AL97" s="77"/>
      <c r="AM97" s="76"/>
      <c r="AN97" s="77"/>
      <c r="AO97" s="77"/>
    </row>
    <row r="98" spans="2:42" ht="15" customHeight="1" collapsed="1" x14ac:dyDescent="0.3">
      <c r="B98" s="3" t="s">
        <v>93</v>
      </c>
      <c r="C98" s="14" t="s">
        <v>90</v>
      </c>
      <c r="D98" s="4">
        <f>SUBTOTAL(9,D$99:D$101)</f>
        <v>0</v>
      </c>
      <c r="E98" s="78">
        <f>IFERROR($D98/$D$160,0)</f>
        <v>0</v>
      </c>
      <c r="F98" s="4">
        <f ca="1">SUBTOTAL(9,F$99:F$101)</f>
        <v>252090.79</v>
      </c>
      <c r="G98" s="78">
        <f ca="1">IFERROR($F98/$F$160,0)</f>
        <v>3.0000000000000001E-3</v>
      </c>
      <c r="H98" s="78">
        <f t="shared" ref="H98" ca="1" si="127">IFERROR(($F98-$D98)/ABS($D98),0)</f>
        <v>0</v>
      </c>
      <c r="I98" s="4">
        <f ca="1">SUBTOTAL(9,I$99:I$101)</f>
        <v>252576.51</v>
      </c>
      <c r="J98" s="78">
        <f ca="1">IFERROR($I98/$I$160,0)</f>
        <v>3.0000000000000001E-3</v>
      </c>
      <c r="K98" s="78">
        <f t="shared" ref="K98" ca="1" si="128">IFERROR(($I98-$F98)/ABS($F98),0)</f>
        <v>1.9E-3</v>
      </c>
      <c r="L98" s="4">
        <f ca="1">SUBTOTAL(9,L$99:L$101)</f>
        <v>253487.9</v>
      </c>
      <c r="M98" s="78">
        <f ca="1">IFERROR($L98/$L$160,0)</f>
        <v>3.0999999999999999E-3</v>
      </c>
      <c r="N98" s="78">
        <f t="shared" ref="N98" ca="1" si="129">IFERROR(($L98-$I98)/ABS($I98),0)</f>
        <v>3.5999999999999999E-3</v>
      </c>
      <c r="O98" s="4">
        <f ca="1">SUBTOTAL(9,O$99:O$101)</f>
        <v>254045.35</v>
      </c>
      <c r="P98" s="78">
        <f ca="1">IFERROR($O98/$O$160,0)</f>
        <v>3.0000000000000001E-3</v>
      </c>
      <c r="Q98" s="78">
        <f t="shared" ref="Q98" ca="1" si="130">IFERROR(($O98-$L98)/ABS($L98),0)</f>
        <v>2.2000000000000001E-3</v>
      </c>
      <c r="R98" s="4">
        <f ca="1">SUBTOTAL(9,R$99:R$101)</f>
        <v>254457.27</v>
      </c>
      <c r="S98" s="78">
        <f ca="1">IFERROR($R98/$R$160,0)</f>
        <v>3.0000000000000001E-3</v>
      </c>
      <c r="T98" s="78">
        <f t="shared" ref="T98" ca="1" si="131">IFERROR(($R98-$O98)/ABS($O98),0)</f>
        <v>1.6000000000000001E-3</v>
      </c>
      <c r="U98" s="4">
        <f ca="1">SUBTOTAL(9,U$99:U$101)</f>
        <v>255285.62</v>
      </c>
      <c r="V98" s="78">
        <f ca="1">IFERROR($U98/$U$160,0)</f>
        <v>3.0000000000000001E-3</v>
      </c>
      <c r="W98" s="78">
        <f t="shared" ref="W98" ca="1" si="132">IFERROR(($U98-$R98)/ABS($R98),0)</f>
        <v>3.3E-3</v>
      </c>
      <c r="X98" s="4">
        <f ca="1">SUBTOTAL(9,X$99:X$101)</f>
        <v>255285.62</v>
      </c>
      <c r="Y98" s="78">
        <f ca="1">IFERROR($X98/$X$160,0)</f>
        <v>3.0000000000000001E-3</v>
      </c>
      <c r="Z98" s="78">
        <f t="shared" ref="Z98" ca="1" si="133">IFERROR(($X98-$U98)/ABS($U98),0)</f>
        <v>0</v>
      </c>
      <c r="AA98" s="4">
        <f ca="1">SUBTOTAL(9,AA$99:AA$101)</f>
        <v>255285.62</v>
      </c>
      <c r="AB98" s="78">
        <f ca="1">IFERROR($AA98/$AA$160,0)</f>
        <v>3.0000000000000001E-3</v>
      </c>
      <c r="AC98" s="78">
        <f t="shared" ref="AC98" ca="1" si="134">IFERROR(($AA98-$X98)/ABS($X98),0)</f>
        <v>0</v>
      </c>
      <c r="AD98" s="4">
        <f ca="1">SUBTOTAL(9,AD$99:AD$101)</f>
        <v>255855.14</v>
      </c>
      <c r="AE98" s="78">
        <f ca="1">IFERROR($AD98/$AD$160,0)</f>
        <v>3.0000000000000001E-3</v>
      </c>
      <c r="AF98" s="78">
        <f t="shared" ref="AF98" ca="1" si="135">IFERROR(($AD98-$AA98)/ABS($AA98),0)</f>
        <v>2.2000000000000001E-3</v>
      </c>
      <c r="AG98" s="4">
        <f ca="1">SUBTOTAL(9,AG$99:AG$101)</f>
        <v>256169.55</v>
      </c>
      <c r="AH98" s="78">
        <f ca="1">IFERROR($AG98/$AG$160,0)</f>
        <v>3.0000000000000001E-3</v>
      </c>
      <c r="AI98" s="78">
        <f t="shared" ref="AI98" ca="1" si="136">IFERROR(($AG98-$AD98)/ABS($AD98),0)</f>
        <v>1.1999999999999999E-3</v>
      </c>
      <c r="AJ98" s="4">
        <f ca="1">SUBTOTAL(9,AJ$99:AJ$101)</f>
        <v>256983.97</v>
      </c>
      <c r="AK98" s="78">
        <f ca="1">IFERROR($AJ98/$AJ$160,0)</f>
        <v>3.0000000000000001E-3</v>
      </c>
      <c r="AL98" s="78">
        <f t="shared" ref="AL98" ca="1" si="137">IFERROR(($AJ98-$AG98)/ABS($AG98),0)</f>
        <v>3.2000000000000002E-3</v>
      </c>
      <c r="AM98" s="4">
        <f ca="1">SUBTOTAL(9,AM$99:AM$101)</f>
        <v>256983.97</v>
      </c>
      <c r="AN98" s="78">
        <f ca="1">IFERROR(AM98/AM$160,0)</f>
        <v>3.0000000000000001E-3</v>
      </c>
      <c r="AO98" s="78">
        <f t="shared" ref="AO98" ca="1" si="138">IFERROR(($AM98-$AJ98)/ABS($AJ98),0)</f>
        <v>0</v>
      </c>
    </row>
    <row r="99" spans="2:42" ht="15" hidden="1" customHeight="1" outlineLevel="1" x14ac:dyDescent="0.3">
      <c r="B99" s="14" t="s">
        <v>300</v>
      </c>
      <c r="C99" s="15" t="s">
        <v>301</v>
      </c>
      <c r="D99" s="4">
        <f>SUMIFS(Tab_99.Trial[DEZEMBRO],Tab_99.Trial[CONTA],$B99)</f>
        <v>0</v>
      </c>
      <c r="E99" s="78">
        <f>IFERROR($D99/$D$160,0)</f>
        <v>0</v>
      </c>
      <c r="F99" s="4">
        <f ca="1">SUMIFS(INDIRECT("Tab_00.Trial["&amp;F$4&amp;"]"),Tab_00.Trial[CONTA],$B99)</f>
        <v>252090.79</v>
      </c>
      <c r="G99" s="78">
        <f ca="1">IFERROR($F99/$F$160,0)</f>
        <v>3.0000000000000001E-3</v>
      </c>
      <c r="H99" s="78">
        <f t="shared" ref="H99:H100" ca="1" si="139">IFERROR(($F99-$D99)/ABS($D99),0)</f>
        <v>0</v>
      </c>
      <c r="I99" s="4">
        <f ca="1">SUMIFS(INDIRECT("Tab_00.Trial["&amp;I$4&amp;"]"),Tab_00.Trial[CONTA],$B99)</f>
        <v>252576.51</v>
      </c>
      <c r="J99" s="78">
        <f ca="1">IFERROR($I99/$I$160,0)</f>
        <v>3.0000000000000001E-3</v>
      </c>
      <c r="K99" s="78">
        <f t="shared" ref="K99:K100" ca="1" si="140">IFERROR(($I99-$F99)/ABS($F99),0)</f>
        <v>1.9E-3</v>
      </c>
      <c r="L99" s="4">
        <f ca="1">SUMIFS(INDIRECT("Tab_00.Trial["&amp;L$4&amp;"]"),Tab_00.Trial[CONTA],$B99)</f>
        <v>253487.9</v>
      </c>
      <c r="M99" s="78">
        <f ca="1">IFERROR($L99/$L$160,0)</f>
        <v>3.0999999999999999E-3</v>
      </c>
      <c r="N99" s="78">
        <f t="shared" ref="N99:N100" ca="1" si="141">IFERROR(($L99-$I99)/ABS($I99),0)</f>
        <v>3.5999999999999999E-3</v>
      </c>
      <c r="O99" s="4">
        <f ca="1">SUMIFS(INDIRECT("Tab_00.Trial["&amp;O$4&amp;"]"),Tab_00.Trial[CONTA],$B99)</f>
        <v>254045.35</v>
      </c>
      <c r="P99" s="78">
        <f ca="1">IFERROR($O99/$O$160,0)</f>
        <v>3.0000000000000001E-3</v>
      </c>
      <c r="Q99" s="78">
        <f t="shared" ref="Q99:Q100" ca="1" si="142">IFERROR(($O99-$L99)/ABS($L99),0)</f>
        <v>2.2000000000000001E-3</v>
      </c>
      <c r="R99" s="4">
        <f ca="1">SUMIFS(INDIRECT("Tab_00.Trial["&amp;R$4&amp;"]"),Tab_00.Trial[CONTA],$B99)</f>
        <v>254457.27</v>
      </c>
      <c r="S99" s="78">
        <f ca="1">IFERROR($R99/$R$160,0)</f>
        <v>3.0000000000000001E-3</v>
      </c>
      <c r="T99" s="78">
        <f t="shared" ref="T99:T100" ca="1" si="143">IFERROR(($R99-$O99)/ABS($O99),0)</f>
        <v>1.6000000000000001E-3</v>
      </c>
      <c r="U99" s="4">
        <f ca="1">SUMIFS(INDIRECT("Tab_00.Trial["&amp;U$4&amp;"]"),Tab_00.Trial[CONTA],$B99)</f>
        <v>255285.62</v>
      </c>
      <c r="V99" s="78">
        <f ca="1">IFERROR($U99/$U$160,0)</f>
        <v>3.0000000000000001E-3</v>
      </c>
      <c r="W99" s="78">
        <f t="shared" ref="W99:W100" ca="1" si="144">IFERROR(($U99-$R99)/ABS($R99),0)</f>
        <v>3.3E-3</v>
      </c>
      <c r="X99" s="4">
        <f ca="1">SUMIFS(INDIRECT("Tab_00.Trial["&amp;X$4&amp;"]"),Tab_00.Trial[CONTA],$B99)</f>
        <v>255285.62</v>
      </c>
      <c r="Y99" s="78">
        <f ca="1">IFERROR($X99/$X$160,0)</f>
        <v>3.0000000000000001E-3</v>
      </c>
      <c r="Z99" s="78">
        <f t="shared" ref="Z99:Z100" ca="1" si="145">IFERROR(($X99-$U99)/ABS($U99),0)</f>
        <v>0</v>
      </c>
      <c r="AA99" s="4">
        <f ca="1">SUMIFS(INDIRECT("Tab_00.Trial["&amp;AA$4&amp;"]"),Tab_00.Trial[CONTA],$B99)</f>
        <v>255285.62</v>
      </c>
      <c r="AB99" s="78">
        <f ca="1">IFERROR($AA99/$AA$160,0)</f>
        <v>3.0000000000000001E-3</v>
      </c>
      <c r="AC99" s="78">
        <f t="shared" ref="AC99:AC100" ca="1" si="146">IFERROR(($AA99-$X99)/ABS($X99),0)</f>
        <v>0</v>
      </c>
      <c r="AD99" s="4">
        <f ca="1">SUMIFS(INDIRECT("Tab_00.Trial["&amp;AD$4&amp;"]"),Tab_00.Trial[CONTA],$B99)</f>
        <v>255855.14</v>
      </c>
      <c r="AE99" s="78">
        <f ca="1">IFERROR($AD99/$AD$160,0)</f>
        <v>3.0000000000000001E-3</v>
      </c>
      <c r="AF99" s="78">
        <f t="shared" ref="AF99:AF100" ca="1" si="147">IFERROR(($AD99-$AA99)/ABS($AA99),0)</f>
        <v>2.2000000000000001E-3</v>
      </c>
      <c r="AG99" s="4">
        <f ca="1">SUMIFS(INDIRECT("Tab_00.Trial["&amp;AG$4&amp;"]"),Tab_00.Trial[CONTA],$B99)</f>
        <v>256169.55</v>
      </c>
      <c r="AH99" s="78">
        <f ca="1">IFERROR($AG99/$AG$160,0)</f>
        <v>3.0000000000000001E-3</v>
      </c>
      <c r="AI99" s="78">
        <f t="shared" ref="AI99:AI100" ca="1" si="148">IFERROR(($AG99-$AD99)/ABS($AD99),0)</f>
        <v>1.1999999999999999E-3</v>
      </c>
      <c r="AJ99" s="4">
        <f ca="1">SUMIFS(INDIRECT("Tab_00.Trial["&amp;AJ$4&amp;"]"),Tab_00.Trial[CONTA],$B99)</f>
        <v>256983.97</v>
      </c>
      <c r="AK99" s="78">
        <f ca="1">IFERROR($AJ99/$AJ$160,0)</f>
        <v>3.0000000000000001E-3</v>
      </c>
      <c r="AL99" s="78">
        <f t="shared" ref="AL99:AL100" ca="1" si="149">IFERROR(($AJ99-$AG99)/ABS($AG99),0)</f>
        <v>3.2000000000000002E-3</v>
      </c>
      <c r="AM99" s="4">
        <f ca="1">SUMIFS(INDIRECT("Tab_00.Trial["&amp;AM$4&amp;"]"),Tab_00.Trial[CONTA],$B99)</f>
        <v>256983.97</v>
      </c>
      <c r="AN99" s="78">
        <f ca="1">IFERROR(AM99/AM$160,0)</f>
        <v>3.0000000000000001E-3</v>
      </c>
      <c r="AO99" s="78">
        <f t="shared" ref="AO99:AO100" ca="1" si="150">IFERROR(($AM99-$AJ99)/ABS($AJ99),0)</f>
        <v>0</v>
      </c>
      <c r="AP99" s="1" t="s">
        <v>269</v>
      </c>
    </row>
    <row r="100" spans="2:42" ht="15" hidden="1" customHeight="1" outlineLevel="1" x14ac:dyDescent="0.3">
      <c r="B100" s="14"/>
      <c r="C100" s="15"/>
      <c r="D100" s="4">
        <f>SUMIFS(Tab_99.Trial[DEZEMBRO],Tab_99.Trial[CONTA],$B100)</f>
        <v>0</v>
      </c>
      <c r="E100" s="78">
        <f>IFERROR($D100/$D$160,0)</f>
        <v>0</v>
      </c>
      <c r="F100" s="4">
        <f ca="1">SUMIFS(INDIRECT("Tab_00.Trial["&amp;F$4&amp;"]"),Tab_00.Trial[CONTA],$B100)</f>
        <v>0</v>
      </c>
      <c r="G100" s="78">
        <f ca="1">IFERROR($F100/$F$160,0)</f>
        <v>0</v>
      </c>
      <c r="H100" s="78">
        <f t="shared" ca="1" si="139"/>
        <v>0</v>
      </c>
      <c r="I100" s="4">
        <f ca="1">SUMIFS(INDIRECT("Tab_00.Trial["&amp;I$4&amp;"]"),Tab_00.Trial[CONTA],$B100)</f>
        <v>0</v>
      </c>
      <c r="J100" s="78">
        <f ca="1">IFERROR($I100/$I$160,0)</f>
        <v>0</v>
      </c>
      <c r="K100" s="78">
        <f t="shared" ca="1" si="140"/>
        <v>0</v>
      </c>
      <c r="L100" s="4">
        <f ca="1">SUMIFS(INDIRECT("Tab_00.Trial["&amp;L$4&amp;"]"),Tab_00.Trial[CONTA],$B100)</f>
        <v>0</v>
      </c>
      <c r="M100" s="78">
        <f ca="1">IFERROR($L100/$L$160,0)</f>
        <v>0</v>
      </c>
      <c r="N100" s="78">
        <f t="shared" ca="1" si="141"/>
        <v>0</v>
      </c>
      <c r="O100" s="4">
        <f ca="1">SUMIFS(INDIRECT("Tab_00.Trial["&amp;O$4&amp;"]"),Tab_00.Trial[CONTA],$B100)</f>
        <v>0</v>
      </c>
      <c r="P100" s="78">
        <f ca="1">IFERROR($O100/$O$160,0)</f>
        <v>0</v>
      </c>
      <c r="Q100" s="78">
        <f t="shared" ca="1" si="142"/>
        <v>0</v>
      </c>
      <c r="R100" s="4">
        <f ca="1">SUMIFS(INDIRECT("Tab_00.Trial["&amp;R$4&amp;"]"),Tab_00.Trial[CONTA],$B100)</f>
        <v>0</v>
      </c>
      <c r="S100" s="78">
        <f ca="1">IFERROR($R100/$R$160,0)</f>
        <v>0</v>
      </c>
      <c r="T100" s="78">
        <f t="shared" ca="1" si="143"/>
        <v>0</v>
      </c>
      <c r="U100" s="4">
        <f ca="1">SUMIFS(INDIRECT("Tab_00.Trial["&amp;U$4&amp;"]"),Tab_00.Trial[CONTA],$B100)</f>
        <v>0</v>
      </c>
      <c r="V100" s="78">
        <f ca="1">IFERROR($U100/$U$160,0)</f>
        <v>0</v>
      </c>
      <c r="W100" s="78">
        <f t="shared" ca="1" si="144"/>
        <v>0</v>
      </c>
      <c r="X100" s="4">
        <f ca="1">SUMIFS(INDIRECT("Tab_00.Trial["&amp;X$4&amp;"]"),Tab_00.Trial[CONTA],$B100)</f>
        <v>0</v>
      </c>
      <c r="Y100" s="78">
        <f ca="1">IFERROR($X100/$X$160,0)</f>
        <v>0</v>
      </c>
      <c r="Z100" s="78">
        <f t="shared" ca="1" si="145"/>
        <v>0</v>
      </c>
      <c r="AA100" s="4">
        <f ca="1">SUMIFS(INDIRECT("Tab_00.Trial["&amp;AA$4&amp;"]"),Tab_00.Trial[CONTA],$B100)</f>
        <v>0</v>
      </c>
      <c r="AB100" s="78">
        <f ca="1">IFERROR($AA100/$AA$160,0)</f>
        <v>0</v>
      </c>
      <c r="AC100" s="78">
        <f t="shared" ca="1" si="146"/>
        <v>0</v>
      </c>
      <c r="AD100" s="4">
        <f ca="1">SUMIFS(INDIRECT("Tab_00.Trial["&amp;AD$4&amp;"]"),Tab_00.Trial[CONTA],$B100)</f>
        <v>0</v>
      </c>
      <c r="AE100" s="78">
        <f ca="1">IFERROR($AD100/$AD$160,0)</f>
        <v>0</v>
      </c>
      <c r="AF100" s="78">
        <f t="shared" ca="1" si="147"/>
        <v>0</v>
      </c>
      <c r="AG100" s="4">
        <f ca="1">SUMIFS(INDIRECT("Tab_00.Trial["&amp;AG$4&amp;"]"),Tab_00.Trial[CONTA],$B100)</f>
        <v>0</v>
      </c>
      <c r="AH100" s="78">
        <f ca="1">IFERROR($AG100/$AG$160,0)</f>
        <v>0</v>
      </c>
      <c r="AI100" s="78">
        <f t="shared" ca="1" si="148"/>
        <v>0</v>
      </c>
      <c r="AJ100" s="4">
        <f ca="1">SUMIFS(INDIRECT("Tab_00.Trial["&amp;AJ$4&amp;"]"),Tab_00.Trial[CONTA],$B100)</f>
        <v>0</v>
      </c>
      <c r="AK100" s="78">
        <f ca="1">IFERROR($AJ100/$AJ$160,0)</f>
        <v>0</v>
      </c>
      <c r="AL100" s="78">
        <f t="shared" ca="1" si="149"/>
        <v>0</v>
      </c>
      <c r="AM100" s="4">
        <f ca="1">SUMIFS(INDIRECT("Tab_00.Trial["&amp;AM$4&amp;"]"),Tab_00.Trial[CONTA],$B100)</f>
        <v>0</v>
      </c>
      <c r="AN100" s="78">
        <f ca="1">IFERROR(AM100/AM$160,0)</f>
        <v>0</v>
      </c>
      <c r="AO100" s="78">
        <f t="shared" ca="1" si="150"/>
        <v>0</v>
      </c>
    </row>
    <row r="101" spans="2:42" ht="5.0999999999999996" hidden="1" customHeight="1" outlineLevel="1" x14ac:dyDescent="0.3">
      <c r="B101" s="74"/>
      <c r="C101" s="75"/>
      <c r="D101" s="76"/>
      <c r="E101" s="77"/>
      <c r="F101" s="76"/>
      <c r="G101" s="77"/>
      <c r="H101" s="77"/>
      <c r="I101" s="76"/>
      <c r="J101" s="77"/>
      <c r="K101" s="77"/>
      <c r="L101" s="76"/>
      <c r="M101" s="77"/>
      <c r="N101" s="77"/>
      <c r="O101" s="76"/>
      <c r="P101" s="77"/>
      <c r="Q101" s="77"/>
      <c r="R101" s="76"/>
      <c r="S101" s="77"/>
      <c r="T101" s="77"/>
      <c r="U101" s="76"/>
      <c r="V101" s="77"/>
      <c r="W101" s="77"/>
      <c r="X101" s="76"/>
      <c r="Y101" s="77"/>
      <c r="Z101" s="77"/>
      <c r="AA101" s="76"/>
      <c r="AB101" s="77"/>
      <c r="AC101" s="77"/>
      <c r="AD101" s="76"/>
      <c r="AE101" s="77"/>
      <c r="AF101" s="77"/>
      <c r="AG101" s="76"/>
      <c r="AH101" s="77"/>
      <c r="AI101" s="77"/>
      <c r="AJ101" s="76"/>
      <c r="AK101" s="77"/>
      <c r="AL101" s="77"/>
      <c r="AM101" s="76"/>
      <c r="AN101" s="77"/>
      <c r="AO101" s="77"/>
    </row>
    <row r="102" spans="2:42" ht="15" customHeight="1" collapsed="1" x14ac:dyDescent="0.3">
      <c r="B102" s="3" t="s">
        <v>91</v>
      </c>
      <c r="C102" s="14" t="s">
        <v>119</v>
      </c>
      <c r="D102" s="4">
        <f>SUBTOTAL(9,D$103:D$116)</f>
        <v>0</v>
      </c>
      <c r="E102" s="78">
        <v>6.0000000000000001E-3</v>
      </c>
      <c r="F102" s="4">
        <f ca="1">SUBTOTAL(9,F$103:F$116)</f>
        <v>0</v>
      </c>
      <c r="G102" s="78">
        <v>6.7000000000000002E-3</v>
      </c>
      <c r="H102" s="78">
        <v>-5.0999999999999997E-2</v>
      </c>
      <c r="I102" s="4">
        <f ca="1">SUBTOTAL(9,I$103:I$116)</f>
        <v>0</v>
      </c>
      <c r="J102" s="78">
        <v>7.0000000000000001E-3</v>
      </c>
      <c r="K102" s="78">
        <v>-2.5000000000000001E-3</v>
      </c>
      <c r="L102" s="4">
        <f ca="1">SUBTOTAL(9,L$103:L$116)</f>
        <v>0</v>
      </c>
      <c r="M102" s="78">
        <v>7.0000000000000001E-3</v>
      </c>
      <c r="N102" s="78">
        <v>-2.5000000000000001E-3</v>
      </c>
      <c r="O102" s="4">
        <f ca="1">SUBTOTAL(9,O$103:O$116)</f>
        <v>0</v>
      </c>
      <c r="P102" s="78">
        <v>7.1000000000000004E-3</v>
      </c>
      <c r="Q102" s="78">
        <v>-2.0999999999999999E-3</v>
      </c>
      <c r="R102" s="4">
        <f ca="1">SUBTOTAL(9,R$103:R$116)</f>
        <v>0</v>
      </c>
      <c r="S102" s="78">
        <v>6.0000000000000001E-3</v>
      </c>
      <c r="T102" s="78">
        <v>-5.9999999999999995E-4</v>
      </c>
      <c r="U102" s="4">
        <f ca="1">SUBTOTAL(9,U$103:U$116)</f>
        <v>0</v>
      </c>
      <c r="V102" s="78">
        <v>6.1000000000000004E-3</v>
      </c>
      <c r="W102" s="78">
        <v>8.6E-3</v>
      </c>
      <c r="X102" s="4">
        <f ca="1">SUBTOTAL(9,X$103:X$116)</f>
        <v>0</v>
      </c>
      <c r="Y102" s="78">
        <v>6.0000000000000001E-3</v>
      </c>
      <c r="Z102" s="78">
        <v>-8.9999999999999998E-4</v>
      </c>
      <c r="AA102" s="4">
        <f ca="1">SUBTOTAL(9,AA$103:AA$116)</f>
        <v>0</v>
      </c>
      <c r="AB102" s="78">
        <v>5.8999999999999999E-3</v>
      </c>
      <c r="AC102" s="78">
        <v>-5.9999999999999995E-4</v>
      </c>
      <c r="AD102" s="4">
        <f ca="1">SUBTOTAL(9,AD$103:AD$116)</f>
        <v>0</v>
      </c>
      <c r="AE102" s="78">
        <v>6.1000000000000004E-3</v>
      </c>
      <c r="AF102" s="78">
        <v>2.2100000000000002E-2</v>
      </c>
      <c r="AG102" s="4">
        <f ca="1">SUBTOTAL(9,AG$103:AG$116)</f>
        <v>0</v>
      </c>
      <c r="AH102" s="78">
        <v>5.8999999999999999E-3</v>
      </c>
      <c r="AI102" s="78">
        <v>6.8999999999999999E-3</v>
      </c>
      <c r="AJ102" s="4">
        <f ca="1">SUBTOTAL(9,AJ$103:AJ$116)</f>
        <v>0</v>
      </c>
      <c r="AK102" s="78">
        <v>5.7999999999999996E-3</v>
      </c>
      <c r="AL102" s="78">
        <v>-5.9999999999999995E-4</v>
      </c>
      <c r="AM102" s="4">
        <f ca="1">SUBTOTAL(9,AM$103:AM$116)</f>
        <v>0</v>
      </c>
      <c r="AN102" s="78">
        <v>6.0000000000000001E-3</v>
      </c>
      <c r="AO102" s="78">
        <v>2.53E-2</v>
      </c>
    </row>
    <row r="103" spans="2:42" ht="15" hidden="1" customHeight="1" outlineLevel="1" x14ac:dyDescent="0.3">
      <c r="B103" s="14"/>
      <c r="C103" s="15"/>
      <c r="D103" s="4">
        <f>SUMIFS(Tab_99.Trial[DEZEMBRO],Tab_99.Trial[CONTA],$B103)</f>
        <v>0</v>
      </c>
      <c r="E103" s="78">
        <f t="shared" ref="E103:E115" si="151">IFERROR($D103/$D$160,0)</f>
        <v>0</v>
      </c>
      <c r="F103" s="4">
        <f ca="1">SUMIFS(INDIRECT("Tab_00.Trial["&amp;F$4&amp;"]"),Tab_00.Trial[CONTA],$B103)</f>
        <v>0</v>
      </c>
      <c r="G103" s="78">
        <f t="shared" ref="G103:G115" ca="1" si="152">IFERROR($F103/$F$160,0)</f>
        <v>0</v>
      </c>
      <c r="H103" s="78">
        <f t="shared" ref="H103:H115" ca="1" si="153">IFERROR(($F103-$D103)/ABS($D103),0)</f>
        <v>0</v>
      </c>
      <c r="I103" s="4">
        <f ca="1">SUMIFS(INDIRECT("Tab_00.Trial["&amp;I$4&amp;"]"),Tab_00.Trial[CONTA],$B103)</f>
        <v>0</v>
      </c>
      <c r="J103" s="78">
        <f t="shared" ref="J103:J115" ca="1" si="154">IFERROR($I103/$I$160,0)</f>
        <v>0</v>
      </c>
      <c r="K103" s="78">
        <f t="shared" ref="K103:K115" ca="1" si="155">IFERROR(($I103-$F103)/ABS($F103),0)</f>
        <v>0</v>
      </c>
      <c r="L103" s="4">
        <f ca="1">SUMIFS(INDIRECT("Tab_00.Trial["&amp;L$4&amp;"]"),Tab_00.Trial[CONTA],$B103)</f>
        <v>0</v>
      </c>
      <c r="M103" s="78">
        <f t="shared" ref="M103:M115" ca="1" si="156">IFERROR($L103/$L$160,0)</f>
        <v>0</v>
      </c>
      <c r="N103" s="78">
        <f t="shared" ref="N103:N115" ca="1" si="157">IFERROR(($L103-$I103)/ABS($I103),0)</f>
        <v>0</v>
      </c>
      <c r="O103" s="4">
        <f ca="1">SUMIFS(INDIRECT("Tab_00.Trial["&amp;O$4&amp;"]"),Tab_00.Trial[CONTA],$B103)</f>
        <v>0</v>
      </c>
      <c r="P103" s="78">
        <f t="shared" ref="P103:P115" ca="1" si="158">IFERROR($O103/$O$160,0)</f>
        <v>0</v>
      </c>
      <c r="Q103" s="78">
        <f t="shared" ref="Q103:Q115" ca="1" si="159">IFERROR(($O103-$L103)/ABS($L103),0)</f>
        <v>0</v>
      </c>
      <c r="R103" s="4">
        <f ca="1">SUMIFS(INDIRECT("Tab_00.Trial["&amp;R$4&amp;"]"),Tab_00.Trial[CONTA],$B103)</f>
        <v>0</v>
      </c>
      <c r="S103" s="78">
        <f t="shared" ref="S103:S115" ca="1" si="160">IFERROR($R103/$R$160,0)</f>
        <v>0</v>
      </c>
      <c r="T103" s="78">
        <f t="shared" ref="T103:T115" ca="1" si="161">IFERROR(($R103-$O103)/ABS($O103),0)</f>
        <v>0</v>
      </c>
      <c r="U103" s="4">
        <f ca="1">SUMIFS(INDIRECT("Tab_00.Trial["&amp;U$4&amp;"]"),Tab_00.Trial[CONTA],$B103)</f>
        <v>0</v>
      </c>
      <c r="V103" s="78">
        <f t="shared" ref="V103:V115" ca="1" si="162">IFERROR($U103/$U$160,0)</f>
        <v>0</v>
      </c>
      <c r="W103" s="78">
        <f t="shared" ref="W103:W115" ca="1" si="163">IFERROR(($U103-$R103)/ABS($R103),0)</f>
        <v>0</v>
      </c>
      <c r="X103" s="4">
        <f ca="1">SUMIFS(INDIRECT("Tab_00.Trial["&amp;X$4&amp;"]"),Tab_00.Trial[CONTA],$B103)</f>
        <v>0</v>
      </c>
      <c r="Y103" s="78">
        <f t="shared" ref="Y103:Y115" ca="1" si="164">IFERROR($X103/$X$160,0)</f>
        <v>0</v>
      </c>
      <c r="Z103" s="78">
        <f t="shared" ref="Z103:Z115" ca="1" si="165">IFERROR(($X103-$U103)/ABS($U103),0)</f>
        <v>0</v>
      </c>
      <c r="AA103" s="4">
        <f ca="1">SUMIFS(INDIRECT("Tab_00.Trial["&amp;AA$4&amp;"]"),Tab_00.Trial[CONTA],$B103)</f>
        <v>0</v>
      </c>
      <c r="AB103" s="78">
        <f t="shared" ref="AB103:AB115" ca="1" si="166">IFERROR($AA103/$AA$160,0)</f>
        <v>0</v>
      </c>
      <c r="AC103" s="78">
        <f t="shared" ref="AC103:AC115" ca="1" si="167">IFERROR(($AA103-$X103)/ABS($X103),0)</f>
        <v>0</v>
      </c>
      <c r="AD103" s="4">
        <f ca="1">SUMIFS(INDIRECT("Tab_00.Trial["&amp;AD$4&amp;"]"),Tab_00.Trial[CONTA],$B103)</f>
        <v>0</v>
      </c>
      <c r="AE103" s="78">
        <f t="shared" ref="AE103:AE115" ca="1" si="168">IFERROR($AD103/$AD$160,0)</f>
        <v>0</v>
      </c>
      <c r="AF103" s="78">
        <f t="shared" ref="AF103:AF115" ca="1" si="169">IFERROR(($AD103-$AA103)/ABS($AA103),0)</f>
        <v>0</v>
      </c>
      <c r="AG103" s="4">
        <f ca="1">SUMIFS(INDIRECT("Tab_00.Trial["&amp;AG$4&amp;"]"),Tab_00.Trial[CONTA],$B103)</f>
        <v>0</v>
      </c>
      <c r="AH103" s="78">
        <f t="shared" ref="AH103:AH115" ca="1" si="170">IFERROR($AG103/$AG$160,0)</f>
        <v>0</v>
      </c>
      <c r="AI103" s="78">
        <f t="shared" ref="AI103:AI115" ca="1" si="171">IFERROR(($AG103-$AD103)/ABS($AD103),0)</f>
        <v>0</v>
      </c>
      <c r="AJ103" s="4">
        <f ca="1">SUMIFS(INDIRECT("Tab_00.Trial["&amp;AJ$4&amp;"]"),Tab_00.Trial[CONTA],$B103)</f>
        <v>0</v>
      </c>
      <c r="AK103" s="78">
        <f t="shared" ref="AK103:AK115" ca="1" si="172">IFERROR($AJ103/$AJ$160,0)</f>
        <v>0</v>
      </c>
      <c r="AL103" s="78">
        <f t="shared" ref="AL103:AL115" ca="1" si="173">IFERROR(($AJ103-$AG103)/ABS($AG103),0)</f>
        <v>0</v>
      </c>
      <c r="AM103" s="4">
        <f ca="1">SUMIFS(INDIRECT("Tab_00.Trial["&amp;AM$4&amp;"]"),Tab_00.Trial[CONTA],$B103)</f>
        <v>0</v>
      </c>
      <c r="AN103" s="78">
        <f t="shared" ref="AN103:AN115" ca="1" si="174">IFERROR(AM103/AM$160,0)</f>
        <v>0</v>
      </c>
      <c r="AO103" s="78">
        <f t="shared" ref="AO103:AO115" ca="1" si="175">IFERROR(($AM103-$AJ103)/ABS($AJ103),0)</f>
        <v>0</v>
      </c>
    </row>
    <row r="104" spans="2:42" ht="15" hidden="1" customHeight="1" outlineLevel="1" x14ac:dyDescent="0.3">
      <c r="B104" s="14"/>
      <c r="C104" s="15"/>
      <c r="D104" s="4">
        <f>SUMIFS(Tab_99.Trial[DEZEMBRO],Tab_99.Trial[CONTA],$B104)</f>
        <v>0</v>
      </c>
      <c r="E104" s="78">
        <f t="shared" si="151"/>
        <v>0</v>
      </c>
      <c r="F104" s="4">
        <f ca="1">SUMIFS(INDIRECT("Tab_00.Trial["&amp;F$4&amp;"]"),Tab_00.Trial[CONTA],$B104)</f>
        <v>0</v>
      </c>
      <c r="G104" s="78">
        <f t="shared" ca="1" si="152"/>
        <v>0</v>
      </c>
      <c r="H104" s="78">
        <f t="shared" ca="1" si="153"/>
        <v>0</v>
      </c>
      <c r="I104" s="4">
        <f ca="1">SUMIFS(INDIRECT("Tab_00.Trial["&amp;I$4&amp;"]"),Tab_00.Trial[CONTA],$B104)</f>
        <v>0</v>
      </c>
      <c r="J104" s="78">
        <f t="shared" ca="1" si="154"/>
        <v>0</v>
      </c>
      <c r="K104" s="78">
        <f t="shared" ca="1" si="155"/>
        <v>0</v>
      </c>
      <c r="L104" s="4">
        <f ca="1">SUMIFS(INDIRECT("Tab_00.Trial["&amp;L$4&amp;"]"),Tab_00.Trial[CONTA],$B104)</f>
        <v>0</v>
      </c>
      <c r="M104" s="78">
        <f t="shared" ca="1" si="156"/>
        <v>0</v>
      </c>
      <c r="N104" s="78">
        <f t="shared" ca="1" si="157"/>
        <v>0</v>
      </c>
      <c r="O104" s="4">
        <f ca="1">SUMIFS(INDIRECT("Tab_00.Trial["&amp;O$4&amp;"]"),Tab_00.Trial[CONTA],$B104)</f>
        <v>0</v>
      </c>
      <c r="P104" s="78">
        <f t="shared" ca="1" si="158"/>
        <v>0</v>
      </c>
      <c r="Q104" s="78">
        <f t="shared" ca="1" si="159"/>
        <v>0</v>
      </c>
      <c r="R104" s="4">
        <f ca="1">SUMIFS(INDIRECT("Tab_00.Trial["&amp;R$4&amp;"]"),Tab_00.Trial[CONTA],$B104)</f>
        <v>0</v>
      </c>
      <c r="S104" s="78">
        <f t="shared" ca="1" si="160"/>
        <v>0</v>
      </c>
      <c r="T104" s="78">
        <f t="shared" ca="1" si="161"/>
        <v>0</v>
      </c>
      <c r="U104" s="4">
        <f ca="1">SUMIFS(INDIRECT("Tab_00.Trial["&amp;U$4&amp;"]"),Tab_00.Trial[CONTA],$B104)</f>
        <v>0</v>
      </c>
      <c r="V104" s="78">
        <f t="shared" ca="1" si="162"/>
        <v>0</v>
      </c>
      <c r="W104" s="78">
        <f t="shared" ca="1" si="163"/>
        <v>0</v>
      </c>
      <c r="X104" s="4">
        <f ca="1">SUMIFS(INDIRECT("Tab_00.Trial["&amp;X$4&amp;"]"),Tab_00.Trial[CONTA],$B104)</f>
        <v>0</v>
      </c>
      <c r="Y104" s="78">
        <f t="shared" ca="1" si="164"/>
        <v>0</v>
      </c>
      <c r="Z104" s="78">
        <f t="shared" ca="1" si="165"/>
        <v>0</v>
      </c>
      <c r="AA104" s="4">
        <f ca="1">SUMIFS(INDIRECT("Tab_00.Trial["&amp;AA$4&amp;"]"),Tab_00.Trial[CONTA],$B104)</f>
        <v>0</v>
      </c>
      <c r="AB104" s="78">
        <f t="shared" ca="1" si="166"/>
        <v>0</v>
      </c>
      <c r="AC104" s="78">
        <f t="shared" ca="1" si="167"/>
        <v>0</v>
      </c>
      <c r="AD104" s="4">
        <f ca="1">SUMIFS(INDIRECT("Tab_00.Trial["&amp;AD$4&amp;"]"),Tab_00.Trial[CONTA],$B104)</f>
        <v>0</v>
      </c>
      <c r="AE104" s="78">
        <f t="shared" ca="1" si="168"/>
        <v>0</v>
      </c>
      <c r="AF104" s="78">
        <f t="shared" ca="1" si="169"/>
        <v>0</v>
      </c>
      <c r="AG104" s="4">
        <f ca="1">SUMIFS(INDIRECT("Tab_00.Trial["&amp;AG$4&amp;"]"),Tab_00.Trial[CONTA],$B104)</f>
        <v>0</v>
      </c>
      <c r="AH104" s="78">
        <f t="shared" ca="1" si="170"/>
        <v>0</v>
      </c>
      <c r="AI104" s="78">
        <f t="shared" ca="1" si="171"/>
        <v>0</v>
      </c>
      <c r="AJ104" s="4">
        <f ca="1">SUMIFS(INDIRECT("Tab_00.Trial["&amp;AJ$4&amp;"]"),Tab_00.Trial[CONTA],$B104)</f>
        <v>0</v>
      </c>
      <c r="AK104" s="78">
        <f t="shared" ca="1" si="172"/>
        <v>0</v>
      </c>
      <c r="AL104" s="78">
        <f t="shared" ca="1" si="173"/>
        <v>0</v>
      </c>
      <c r="AM104" s="4">
        <f ca="1">SUMIFS(INDIRECT("Tab_00.Trial["&amp;AM$4&amp;"]"),Tab_00.Trial[CONTA],$B104)</f>
        <v>0</v>
      </c>
      <c r="AN104" s="78">
        <f t="shared" ca="1" si="174"/>
        <v>0</v>
      </c>
      <c r="AO104" s="78">
        <f t="shared" ca="1" si="175"/>
        <v>0</v>
      </c>
    </row>
    <row r="105" spans="2:42" ht="15" hidden="1" customHeight="1" outlineLevel="1" x14ac:dyDescent="0.3">
      <c r="B105" s="14"/>
      <c r="C105" s="15"/>
      <c r="D105" s="4">
        <f>SUMIFS(Tab_99.Trial[DEZEMBRO],Tab_99.Trial[CONTA],$B105)</f>
        <v>0</v>
      </c>
      <c r="E105" s="78">
        <f t="shared" si="151"/>
        <v>0</v>
      </c>
      <c r="F105" s="4">
        <f ca="1">SUMIFS(INDIRECT("Tab_00.Trial["&amp;F$4&amp;"]"),Tab_00.Trial[CONTA],$B105)</f>
        <v>0</v>
      </c>
      <c r="G105" s="78">
        <f t="shared" ca="1" si="152"/>
        <v>0</v>
      </c>
      <c r="H105" s="78">
        <f t="shared" ca="1" si="153"/>
        <v>0</v>
      </c>
      <c r="I105" s="4">
        <f ca="1">SUMIFS(INDIRECT("Tab_00.Trial["&amp;I$4&amp;"]"),Tab_00.Trial[CONTA],$B105)</f>
        <v>0</v>
      </c>
      <c r="J105" s="78">
        <f t="shared" ca="1" si="154"/>
        <v>0</v>
      </c>
      <c r="K105" s="78">
        <f t="shared" ca="1" si="155"/>
        <v>0</v>
      </c>
      <c r="L105" s="4">
        <f ca="1">SUMIFS(INDIRECT("Tab_00.Trial["&amp;L$4&amp;"]"),Tab_00.Trial[CONTA],$B105)</f>
        <v>0</v>
      </c>
      <c r="M105" s="78">
        <f t="shared" ca="1" si="156"/>
        <v>0</v>
      </c>
      <c r="N105" s="78">
        <f t="shared" ca="1" si="157"/>
        <v>0</v>
      </c>
      <c r="O105" s="4">
        <f ca="1">SUMIFS(INDIRECT("Tab_00.Trial["&amp;O$4&amp;"]"),Tab_00.Trial[CONTA],$B105)</f>
        <v>0</v>
      </c>
      <c r="P105" s="78">
        <f t="shared" ca="1" si="158"/>
        <v>0</v>
      </c>
      <c r="Q105" s="78">
        <f t="shared" ca="1" si="159"/>
        <v>0</v>
      </c>
      <c r="R105" s="4">
        <f ca="1">SUMIFS(INDIRECT("Tab_00.Trial["&amp;R$4&amp;"]"),Tab_00.Trial[CONTA],$B105)</f>
        <v>0</v>
      </c>
      <c r="S105" s="78">
        <f t="shared" ca="1" si="160"/>
        <v>0</v>
      </c>
      <c r="T105" s="78">
        <f t="shared" ca="1" si="161"/>
        <v>0</v>
      </c>
      <c r="U105" s="4">
        <f ca="1">SUMIFS(INDIRECT("Tab_00.Trial["&amp;U$4&amp;"]"),Tab_00.Trial[CONTA],$B105)</f>
        <v>0</v>
      </c>
      <c r="V105" s="78">
        <f t="shared" ca="1" si="162"/>
        <v>0</v>
      </c>
      <c r="W105" s="78">
        <f t="shared" ca="1" si="163"/>
        <v>0</v>
      </c>
      <c r="X105" s="4">
        <f ca="1">SUMIFS(INDIRECT("Tab_00.Trial["&amp;X$4&amp;"]"),Tab_00.Trial[CONTA],$B105)</f>
        <v>0</v>
      </c>
      <c r="Y105" s="78">
        <f t="shared" ca="1" si="164"/>
        <v>0</v>
      </c>
      <c r="Z105" s="78">
        <f t="shared" ca="1" si="165"/>
        <v>0</v>
      </c>
      <c r="AA105" s="4">
        <f ca="1">SUMIFS(INDIRECT("Tab_00.Trial["&amp;AA$4&amp;"]"),Tab_00.Trial[CONTA],$B105)</f>
        <v>0</v>
      </c>
      <c r="AB105" s="78">
        <f t="shared" ca="1" si="166"/>
        <v>0</v>
      </c>
      <c r="AC105" s="78">
        <f t="shared" ca="1" si="167"/>
        <v>0</v>
      </c>
      <c r="AD105" s="4">
        <f ca="1">SUMIFS(INDIRECT("Tab_00.Trial["&amp;AD$4&amp;"]"),Tab_00.Trial[CONTA],$B105)</f>
        <v>0</v>
      </c>
      <c r="AE105" s="78">
        <f t="shared" ca="1" si="168"/>
        <v>0</v>
      </c>
      <c r="AF105" s="78">
        <f t="shared" ca="1" si="169"/>
        <v>0</v>
      </c>
      <c r="AG105" s="4">
        <f ca="1">SUMIFS(INDIRECT("Tab_00.Trial["&amp;AG$4&amp;"]"),Tab_00.Trial[CONTA],$B105)</f>
        <v>0</v>
      </c>
      <c r="AH105" s="78">
        <f t="shared" ca="1" si="170"/>
        <v>0</v>
      </c>
      <c r="AI105" s="78">
        <f t="shared" ca="1" si="171"/>
        <v>0</v>
      </c>
      <c r="AJ105" s="4">
        <f ca="1">SUMIFS(INDIRECT("Tab_00.Trial["&amp;AJ$4&amp;"]"),Tab_00.Trial[CONTA],$B105)</f>
        <v>0</v>
      </c>
      <c r="AK105" s="78">
        <f t="shared" ca="1" si="172"/>
        <v>0</v>
      </c>
      <c r="AL105" s="78">
        <f t="shared" ca="1" si="173"/>
        <v>0</v>
      </c>
      <c r="AM105" s="4">
        <f ca="1">SUMIFS(INDIRECT("Tab_00.Trial["&amp;AM$4&amp;"]"),Tab_00.Trial[CONTA],$B105)</f>
        <v>0</v>
      </c>
      <c r="AN105" s="78">
        <f t="shared" ca="1" si="174"/>
        <v>0</v>
      </c>
      <c r="AO105" s="78">
        <f t="shared" ca="1" si="175"/>
        <v>0</v>
      </c>
    </row>
    <row r="106" spans="2:42" ht="15" hidden="1" customHeight="1" outlineLevel="1" x14ac:dyDescent="0.3">
      <c r="B106" s="14"/>
      <c r="C106" s="15"/>
      <c r="D106" s="4">
        <f>SUMIFS(Tab_99.Trial[DEZEMBRO],Tab_99.Trial[CONTA],$B106)</f>
        <v>0</v>
      </c>
      <c r="E106" s="78">
        <f t="shared" si="151"/>
        <v>0</v>
      </c>
      <c r="F106" s="4">
        <f ca="1">SUMIFS(INDIRECT("Tab_00.Trial["&amp;F$4&amp;"]"),Tab_00.Trial[CONTA],$B106)</f>
        <v>0</v>
      </c>
      <c r="G106" s="78">
        <f t="shared" ca="1" si="152"/>
        <v>0</v>
      </c>
      <c r="H106" s="78">
        <f t="shared" ca="1" si="153"/>
        <v>0</v>
      </c>
      <c r="I106" s="4">
        <f ca="1">SUMIFS(INDIRECT("Tab_00.Trial["&amp;I$4&amp;"]"),Tab_00.Trial[CONTA],$B106)</f>
        <v>0</v>
      </c>
      <c r="J106" s="78">
        <f t="shared" ca="1" si="154"/>
        <v>0</v>
      </c>
      <c r="K106" s="78">
        <f t="shared" ca="1" si="155"/>
        <v>0</v>
      </c>
      <c r="L106" s="4">
        <f ca="1">SUMIFS(INDIRECT("Tab_00.Trial["&amp;L$4&amp;"]"),Tab_00.Trial[CONTA],$B106)</f>
        <v>0</v>
      </c>
      <c r="M106" s="78">
        <f t="shared" ca="1" si="156"/>
        <v>0</v>
      </c>
      <c r="N106" s="78">
        <f t="shared" ca="1" si="157"/>
        <v>0</v>
      </c>
      <c r="O106" s="4">
        <f ca="1">SUMIFS(INDIRECT("Tab_00.Trial["&amp;O$4&amp;"]"),Tab_00.Trial[CONTA],$B106)</f>
        <v>0</v>
      </c>
      <c r="P106" s="78">
        <f t="shared" ca="1" si="158"/>
        <v>0</v>
      </c>
      <c r="Q106" s="78">
        <f t="shared" ca="1" si="159"/>
        <v>0</v>
      </c>
      <c r="R106" s="4">
        <f ca="1">SUMIFS(INDIRECT("Tab_00.Trial["&amp;R$4&amp;"]"),Tab_00.Trial[CONTA],$B106)</f>
        <v>0</v>
      </c>
      <c r="S106" s="78">
        <f t="shared" ca="1" si="160"/>
        <v>0</v>
      </c>
      <c r="T106" s="78">
        <f t="shared" ca="1" si="161"/>
        <v>0</v>
      </c>
      <c r="U106" s="4">
        <f ca="1">SUMIFS(INDIRECT("Tab_00.Trial["&amp;U$4&amp;"]"),Tab_00.Trial[CONTA],$B106)</f>
        <v>0</v>
      </c>
      <c r="V106" s="78">
        <f t="shared" ca="1" si="162"/>
        <v>0</v>
      </c>
      <c r="W106" s="78">
        <f t="shared" ca="1" si="163"/>
        <v>0</v>
      </c>
      <c r="X106" s="4">
        <f ca="1">SUMIFS(INDIRECT("Tab_00.Trial["&amp;X$4&amp;"]"),Tab_00.Trial[CONTA],$B106)</f>
        <v>0</v>
      </c>
      <c r="Y106" s="78">
        <f t="shared" ca="1" si="164"/>
        <v>0</v>
      </c>
      <c r="Z106" s="78">
        <f t="shared" ca="1" si="165"/>
        <v>0</v>
      </c>
      <c r="AA106" s="4">
        <f ca="1">SUMIFS(INDIRECT("Tab_00.Trial["&amp;AA$4&amp;"]"),Tab_00.Trial[CONTA],$B106)</f>
        <v>0</v>
      </c>
      <c r="AB106" s="78">
        <f t="shared" ca="1" si="166"/>
        <v>0</v>
      </c>
      <c r="AC106" s="78">
        <f t="shared" ca="1" si="167"/>
        <v>0</v>
      </c>
      <c r="AD106" s="4">
        <f ca="1">SUMIFS(INDIRECT("Tab_00.Trial["&amp;AD$4&amp;"]"),Tab_00.Trial[CONTA],$B106)</f>
        <v>0</v>
      </c>
      <c r="AE106" s="78">
        <f t="shared" ca="1" si="168"/>
        <v>0</v>
      </c>
      <c r="AF106" s="78">
        <f t="shared" ca="1" si="169"/>
        <v>0</v>
      </c>
      <c r="AG106" s="4">
        <f ca="1">SUMIFS(INDIRECT("Tab_00.Trial["&amp;AG$4&amp;"]"),Tab_00.Trial[CONTA],$B106)</f>
        <v>0</v>
      </c>
      <c r="AH106" s="78">
        <f t="shared" ca="1" si="170"/>
        <v>0</v>
      </c>
      <c r="AI106" s="78">
        <f t="shared" ca="1" si="171"/>
        <v>0</v>
      </c>
      <c r="AJ106" s="4">
        <f ca="1">SUMIFS(INDIRECT("Tab_00.Trial["&amp;AJ$4&amp;"]"),Tab_00.Trial[CONTA],$B106)</f>
        <v>0</v>
      </c>
      <c r="AK106" s="78">
        <f t="shared" ca="1" si="172"/>
        <v>0</v>
      </c>
      <c r="AL106" s="78">
        <f t="shared" ca="1" si="173"/>
        <v>0</v>
      </c>
      <c r="AM106" s="4">
        <f ca="1">SUMIFS(INDIRECT("Tab_00.Trial["&amp;AM$4&amp;"]"),Tab_00.Trial[CONTA],$B106)</f>
        <v>0</v>
      </c>
      <c r="AN106" s="78">
        <f t="shared" ca="1" si="174"/>
        <v>0</v>
      </c>
      <c r="AO106" s="78">
        <f t="shared" ca="1" si="175"/>
        <v>0</v>
      </c>
    </row>
    <row r="107" spans="2:42" ht="15" hidden="1" customHeight="1" outlineLevel="1" x14ac:dyDescent="0.3">
      <c r="B107" s="14"/>
      <c r="C107" s="15"/>
      <c r="D107" s="4">
        <f>SUMIFS(Tab_99.Trial[DEZEMBRO],Tab_99.Trial[CONTA],$B107)</f>
        <v>0</v>
      </c>
      <c r="E107" s="78">
        <f t="shared" si="151"/>
        <v>0</v>
      </c>
      <c r="F107" s="4">
        <f ca="1">SUMIFS(INDIRECT("Tab_00.Trial["&amp;F$4&amp;"]"),Tab_00.Trial[CONTA],$B107)</f>
        <v>0</v>
      </c>
      <c r="G107" s="78">
        <f t="shared" ca="1" si="152"/>
        <v>0</v>
      </c>
      <c r="H107" s="78">
        <f t="shared" ca="1" si="153"/>
        <v>0</v>
      </c>
      <c r="I107" s="4">
        <f ca="1">SUMIFS(INDIRECT("Tab_00.Trial["&amp;I$4&amp;"]"),Tab_00.Trial[CONTA],$B107)</f>
        <v>0</v>
      </c>
      <c r="J107" s="78">
        <f t="shared" ca="1" si="154"/>
        <v>0</v>
      </c>
      <c r="K107" s="78">
        <f t="shared" ca="1" si="155"/>
        <v>0</v>
      </c>
      <c r="L107" s="4">
        <f ca="1">SUMIFS(INDIRECT("Tab_00.Trial["&amp;L$4&amp;"]"),Tab_00.Trial[CONTA],$B107)</f>
        <v>0</v>
      </c>
      <c r="M107" s="78">
        <f t="shared" ca="1" si="156"/>
        <v>0</v>
      </c>
      <c r="N107" s="78">
        <f t="shared" ca="1" si="157"/>
        <v>0</v>
      </c>
      <c r="O107" s="4">
        <f ca="1">SUMIFS(INDIRECT("Tab_00.Trial["&amp;O$4&amp;"]"),Tab_00.Trial[CONTA],$B107)</f>
        <v>0</v>
      </c>
      <c r="P107" s="78">
        <f t="shared" ca="1" si="158"/>
        <v>0</v>
      </c>
      <c r="Q107" s="78">
        <f t="shared" ca="1" si="159"/>
        <v>0</v>
      </c>
      <c r="R107" s="4">
        <f ca="1">SUMIFS(INDIRECT("Tab_00.Trial["&amp;R$4&amp;"]"),Tab_00.Trial[CONTA],$B107)</f>
        <v>0</v>
      </c>
      <c r="S107" s="78">
        <f t="shared" ca="1" si="160"/>
        <v>0</v>
      </c>
      <c r="T107" s="78">
        <f t="shared" ca="1" si="161"/>
        <v>0</v>
      </c>
      <c r="U107" s="4">
        <f ca="1">SUMIFS(INDIRECT("Tab_00.Trial["&amp;U$4&amp;"]"),Tab_00.Trial[CONTA],$B107)</f>
        <v>0</v>
      </c>
      <c r="V107" s="78">
        <f t="shared" ca="1" si="162"/>
        <v>0</v>
      </c>
      <c r="W107" s="78">
        <f t="shared" ca="1" si="163"/>
        <v>0</v>
      </c>
      <c r="X107" s="4">
        <f ca="1">SUMIFS(INDIRECT("Tab_00.Trial["&amp;X$4&amp;"]"),Tab_00.Trial[CONTA],$B107)</f>
        <v>0</v>
      </c>
      <c r="Y107" s="78">
        <f t="shared" ca="1" si="164"/>
        <v>0</v>
      </c>
      <c r="Z107" s="78">
        <f t="shared" ca="1" si="165"/>
        <v>0</v>
      </c>
      <c r="AA107" s="4">
        <f ca="1">SUMIFS(INDIRECT("Tab_00.Trial["&amp;AA$4&amp;"]"),Tab_00.Trial[CONTA],$B107)</f>
        <v>0</v>
      </c>
      <c r="AB107" s="78">
        <f t="shared" ca="1" si="166"/>
        <v>0</v>
      </c>
      <c r="AC107" s="78">
        <f t="shared" ca="1" si="167"/>
        <v>0</v>
      </c>
      <c r="AD107" s="4">
        <f ca="1">SUMIFS(INDIRECT("Tab_00.Trial["&amp;AD$4&amp;"]"),Tab_00.Trial[CONTA],$B107)</f>
        <v>0</v>
      </c>
      <c r="AE107" s="78">
        <f t="shared" ca="1" si="168"/>
        <v>0</v>
      </c>
      <c r="AF107" s="78">
        <f t="shared" ca="1" si="169"/>
        <v>0</v>
      </c>
      <c r="AG107" s="4">
        <f ca="1">SUMIFS(INDIRECT("Tab_00.Trial["&amp;AG$4&amp;"]"),Tab_00.Trial[CONTA],$B107)</f>
        <v>0</v>
      </c>
      <c r="AH107" s="78">
        <f t="shared" ca="1" si="170"/>
        <v>0</v>
      </c>
      <c r="AI107" s="78">
        <f t="shared" ca="1" si="171"/>
        <v>0</v>
      </c>
      <c r="AJ107" s="4">
        <f ca="1">SUMIFS(INDIRECT("Tab_00.Trial["&amp;AJ$4&amp;"]"),Tab_00.Trial[CONTA],$B107)</f>
        <v>0</v>
      </c>
      <c r="AK107" s="78">
        <f t="shared" ca="1" si="172"/>
        <v>0</v>
      </c>
      <c r="AL107" s="78">
        <f t="shared" ca="1" si="173"/>
        <v>0</v>
      </c>
      <c r="AM107" s="4">
        <f ca="1">SUMIFS(INDIRECT("Tab_00.Trial["&amp;AM$4&amp;"]"),Tab_00.Trial[CONTA],$B107)</f>
        <v>0</v>
      </c>
      <c r="AN107" s="78">
        <f t="shared" ca="1" si="174"/>
        <v>0</v>
      </c>
      <c r="AO107" s="78">
        <f t="shared" ca="1" si="175"/>
        <v>0</v>
      </c>
    </row>
    <row r="108" spans="2:42" ht="15" hidden="1" customHeight="1" outlineLevel="1" x14ac:dyDescent="0.3">
      <c r="B108" s="14"/>
      <c r="C108" s="15"/>
      <c r="D108" s="4">
        <f>SUMIFS(Tab_99.Trial[DEZEMBRO],Tab_99.Trial[CONTA],$B108)</f>
        <v>0</v>
      </c>
      <c r="E108" s="78">
        <f t="shared" si="151"/>
        <v>0</v>
      </c>
      <c r="F108" s="4">
        <f ca="1">SUMIFS(INDIRECT("Tab_00.Trial["&amp;F$4&amp;"]"),Tab_00.Trial[CONTA],$B108)</f>
        <v>0</v>
      </c>
      <c r="G108" s="78">
        <f t="shared" ca="1" si="152"/>
        <v>0</v>
      </c>
      <c r="H108" s="78">
        <f t="shared" ca="1" si="153"/>
        <v>0</v>
      </c>
      <c r="I108" s="4">
        <f ca="1">SUMIFS(INDIRECT("Tab_00.Trial["&amp;I$4&amp;"]"),Tab_00.Trial[CONTA],$B108)</f>
        <v>0</v>
      </c>
      <c r="J108" s="78">
        <f t="shared" ca="1" si="154"/>
        <v>0</v>
      </c>
      <c r="K108" s="78">
        <f t="shared" ca="1" si="155"/>
        <v>0</v>
      </c>
      <c r="L108" s="4">
        <f ca="1">SUMIFS(INDIRECT("Tab_00.Trial["&amp;L$4&amp;"]"),Tab_00.Trial[CONTA],$B108)</f>
        <v>0</v>
      </c>
      <c r="M108" s="78">
        <f t="shared" ca="1" si="156"/>
        <v>0</v>
      </c>
      <c r="N108" s="78">
        <f t="shared" ca="1" si="157"/>
        <v>0</v>
      </c>
      <c r="O108" s="4">
        <f ca="1">SUMIFS(INDIRECT("Tab_00.Trial["&amp;O$4&amp;"]"),Tab_00.Trial[CONTA],$B108)</f>
        <v>0</v>
      </c>
      <c r="P108" s="78">
        <f t="shared" ca="1" si="158"/>
        <v>0</v>
      </c>
      <c r="Q108" s="78">
        <f t="shared" ca="1" si="159"/>
        <v>0</v>
      </c>
      <c r="R108" s="4">
        <f ca="1">SUMIFS(INDIRECT("Tab_00.Trial["&amp;R$4&amp;"]"),Tab_00.Trial[CONTA],$B108)</f>
        <v>0</v>
      </c>
      <c r="S108" s="78">
        <f t="shared" ca="1" si="160"/>
        <v>0</v>
      </c>
      <c r="T108" s="78">
        <f t="shared" ca="1" si="161"/>
        <v>0</v>
      </c>
      <c r="U108" s="4">
        <f ca="1">SUMIFS(INDIRECT("Tab_00.Trial["&amp;U$4&amp;"]"),Tab_00.Trial[CONTA],$B108)</f>
        <v>0</v>
      </c>
      <c r="V108" s="78">
        <f t="shared" ca="1" si="162"/>
        <v>0</v>
      </c>
      <c r="W108" s="78">
        <f t="shared" ca="1" si="163"/>
        <v>0</v>
      </c>
      <c r="X108" s="4">
        <f ca="1">SUMIFS(INDIRECT("Tab_00.Trial["&amp;X$4&amp;"]"),Tab_00.Trial[CONTA],$B108)</f>
        <v>0</v>
      </c>
      <c r="Y108" s="78">
        <f t="shared" ca="1" si="164"/>
        <v>0</v>
      </c>
      <c r="Z108" s="78">
        <f t="shared" ca="1" si="165"/>
        <v>0</v>
      </c>
      <c r="AA108" s="4">
        <f ca="1">SUMIFS(INDIRECT("Tab_00.Trial["&amp;AA$4&amp;"]"),Tab_00.Trial[CONTA],$B108)</f>
        <v>0</v>
      </c>
      <c r="AB108" s="78">
        <f t="shared" ca="1" si="166"/>
        <v>0</v>
      </c>
      <c r="AC108" s="78">
        <f t="shared" ca="1" si="167"/>
        <v>0</v>
      </c>
      <c r="AD108" s="4">
        <f ca="1">SUMIFS(INDIRECT("Tab_00.Trial["&amp;AD$4&amp;"]"),Tab_00.Trial[CONTA],$B108)</f>
        <v>0</v>
      </c>
      <c r="AE108" s="78">
        <f t="shared" ca="1" si="168"/>
        <v>0</v>
      </c>
      <c r="AF108" s="78">
        <f t="shared" ca="1" si="169"/>
        <v>0</v>
      </c>
      <c r="AG108" s="4">
        <f ca="1">SUMIFS(INDIRECT("Tab_00.Trial["&amp;AG$4&amp;"]"),Tab_00.Trial[CONTA],$B108)</f>
        <v>0</v>
      </c>
      <c r="AH108" s="78">
        <f t="shared" ca="1" si="170"/>
        <v>0</v>
      </c>
      <c r="AI108" s="78">
        <f t="shared" ca="1" si="171"/>
        <v>0</v>
      </c>
      <c r="AJ108" s="4">
        <f ca="1">SUMIFS(INDIRECT("Tab_00.Trial["&amp;AJ$4&amp;"]"),Tab_00.Trial[CONTA],$B108)</f>
        <v>0</v>
      </c>
      <c r="AK108" s="78">
        <f t="shared" ca="1" si="172"/>
        <v>0</v>
      </c>
      <c r="AL108" s="78">
        <f t="shared" ca="1" si="173"/>
        <v>0</v>
      </c>
      <c r="AM108" s="4">
        <f ca="1">SUMIFS(INDIRECT("Tab_00.Trial["&amp;AM$4&amp;"]"),Tab_00.Trial[CONTA],$B108)</f>
        <v>0</v>
      </c>
      <c r="AN108" s="78">
        <f t="shared" ca="1" si="174"/>
        <v>0</v>
      </c>
      <c r="AO108" s="78">
        <f t="shared" ca="1" si="175"/>
        <v>0</v>
      </c>
    </row>
    <row r="109" spans="2:42" ht="15" hidden="1" customHeight="1" outlineLevel="1" x14ac:dyDescent="0.3">
      <c r="B109" s="14"/>
      <c r="C109" s="15"/>
      <c r="D109" s="4">
        <f>SUMIFS(Tab_99.Trial[DEZEMBRO],Tab_99.Trial[CONTA],$B109)</f>
        <v>0</v>
      </c>
      <c r="E109" s="78">
        <f t="shared" si="151"/>
        <v>0</v>
      </c>
      <c r="F109" s="4">
        <f ca="1">SUMIFS(INDIRECT("Tab_00.Trial["&amp;F$4&amp;"]"),Tab_00.Trial[CONTA],$B109)</f>
        <v>0</v>
      </c>
      <c r="G109" s="78">
        <f t="shared" ca="1" si="152"/>
        <v>0</v>
      </c>
      <c r="H109" s="78">
        <f t="shared" ca="1" si="153"/>
        <v>0</v>
      </c>
      <c r="I109" s="4">
        <f ca="1">SUMIFS(INDIRECT("Tab_00.Trial["&amp;I$4&amp;"]"),Tab_00.Trial[CONTA],$B109)</f>
        <v>0</v>
      </c>
      <c r="J109" s="78">
        <f t="shared" ca="1" si="154"/>
        <v>0</v>
      </c>
      <c r="K109" s="78">
        <f t="shared" ca="1" si="155"/>
        <v>0</v>
      </c>
      <c r="L109" s="4">
        <f ca="1">SUMIFS(INDIRECT("Tab_00.Trial["&amp;L$4&amp;"]"),Tab_00.Trial[CONTA],$B109)</f>
        <v>0</v>
      </c>
      <c r="M109" s="78">
        <f t="shared" ca="1" si="156"/>
        <v>0</v>
      </c>
      <c r="N109" s="78">
        <f t="shared" ca="1" si="157"/>
        <v>0</v>
      </c>
      <c r="O109" s="4">
        <f ca="1">SUMIFS(INDIRECT("Tab_00.Trial["&amp;O$4&amp;"]"),Tab_00.Trial[CONTA],$B109)</f>
        <v>0</v>
      </c>
      <c r="P109" s="78">
        <f t="shared" ca="1" si="158"/>
        <v>0</v>
      </c>
      <c r="Q109" s="78">
        <f t="shared" ca="1" si="159"/>
        <v>0</v>
      </c>
      <c r="R109" s="4">
        <f ca="1">SUMIFS(INDIRECT("Tab_00.Trial["&amp;R$4&amp;"]"),Tab_00.Trial[CONTA],$B109)</f>
        <v>0</v>
      </c>
      <c r="S109" s="78">
        <f t="shared" ca="1" si="160"/>
        <v>0</v>
      </c>
      <c r="T109" s="78">
        <f t="shared" ca="1" si="161"/>
        <v>0</v>
      </c>
      <c r="U109" s="4">
        <f ca="1">SUMIFS(INDIRECT("Tab_00.Trial["&amp;U$4&amp;"]"),Tab_00.Trial[CONTA],$B109)</f>
        <v>0</v>
      </c>
      <c r="V109" s="78">
        <f t="shared" ca="1" si="162"/>
        <v>0</v>
      </c>
      <c r="W109" s="78">
        <f t="shared" ca="1" si="163"/>
        <v>0</v>
      </c>
      <c r="X109" s="4">
        <f ca="1">SUMIFS(INDIRECT("Tab_00.Trial["&amp;X$4&amp;"]"),Tab_00.Trial[CONTA],$B109)</f>
        <v>0</v>
      </c>
      <c r="Y109" s="78">
        <f t="shared" ca="1" si="164"/>
        <v>0</v>
      </c>
      <c r="Z109" s="78">
        <f t="shared" ca="1" si="165"/>
        <v>0</v>
      </c>
      <c r="AA109" s="4">
        <f ca="1">SUMIFS(INDIRECT("Tab_00.Trial["&amp;AA$4&amp;"]"),Tab_00.Trial[CONTA],$B109)</f>
        <v>0</v>
      </c>
      <c r="AB109" s="78">
        <f t="shared" ca="1" si="166"/>
        <v>0</v>
      </c>
      <c r="AC109" s="78">
        <f t="shared" ca="1" si="167"/>
        <v>0</v>
      </c>
      <c r="AD109" s="4">
        <f ca="1">SUMIFS(INDIRECT("Tab_00.Trial["&amp;AD$4&amp;"]"),Tab_00.Trial[CONTA],$B109)</f>
        <v>0</v>
      </c>
      <c r="AE109" s="78">
        <f t="shared" ca="1" si="168"/>
        <v>0</v>
      </c>
      <c r="AF109" s="78">
        <f t="shared" ca="1" si="169"/>
        <v>0</v>
      </c>
      <c r="AG109" s="4">
        <f ca="1">SUMIFS(INDIRECT("Tab_00.Trial["&amp;AG$4&amp;"]"),Tab_00.Trial[CONTA],$B109)</f>
        <v>0</v>
      </c>
      <c r="AH109" s="78">
        <f t="shared" ca="1" si="170"/>
        <v>0</v>
      </c>
      <c r="AI109" s="78">
        <f t="shared" ca="1" si="171"/>
        <v>0</v>
      </c>
      <c r="AJ109" s="4">
        <f ca="1">SUMIFS(INDIRECT("Tab_00.Trial["&amp;AJ$4&amp;"]"),Tab_00.Trial[CONTA],$B109)</f>
        <v>0</v>
      </c>
      <c r="AK109" s="78">
        <f t="shared" ca="1" si="172"/>
        <v>0</v>
      </c>
      <c r="AL109" s="78">
        <f t="shared" ca="1" si="173"/>
        <v>0</v>
      </c>
      <c r="AM109" s="4">
        <f ca="1">SUMIFS(INDIRECT("Tab_00.Trial["&amp;AM$4&amp;"]"),Tab_00.Trial[CONTA],$B109)</f>
        <v>0</v>
      </c>
      <c r="AN109" s="78">
        <f t="shared" ca="1" si="174"/>
        <v>0</v>
      </c>
      <c r="AO109" s="78">
        <f t="shared" ca="1" si="175"/>
        <v>0</v>
      </c>
    </row>
    <row r="110" spans="2:42" ht="15" hidden="1" customHeight="1" outlineLevel="1" x14ac:dyDescent="0.3">
      <c r="B110" s="14"/>
      <c r="C110" s="15"/>
      <c r="D110" s="4">
        <f>SUMIFS(Tab_99.Trial[DEZEMBRO],Tab_99.Trial[CONTA],$B110)</f>
        <v>0</v>
      </c>
      <c r="E110" s="78">
        <f t="shared" si="151"/>
        <v>0</v>
      </c>
      <c r="F110" s="4">
        <f ca="1">SUMIFS(INDIRECT("Tab_00.Trial["&amp;F$4&amp;"]"),Tab_00.Trial[CONTA],$B110)</f>
        <v>0</v>
      </c>
      <c r="G110" s="78">
        <f t="shared" ca="1" si="152"/>
        <v>0</v>
      </c>
      <c r="H110" s="78">
        <f t="shared" ca="1" si="153"/>
        <v>0</v>
      </c>
      <c r="I110" s="4">
        <f ca="1">SUMIFS(INDIRECT("Tab_00.Trial["&amp;I$4&amp;"]"),Tab_00.Trial[CONTA],$B110)</f>
        <v>0</v>
      </c>
      <c r="J110" s="78">
        <f t="shared" ca="1" si="154"/>
        <v>0</v>
      </c>
      <c r="K110" s="78">
        <f t="shared" ca="1" si="155"/>
        <v>0</v>
      </c>
      <c r="L110" s="4">
        <f ca="1">SUMIFS(INDIRECT("Tab_00.Trial["&amp;L$4&amp;"]"),Tab_00.Trial[CONTA],$B110)</f>
        <v>0</v>
      </c>
      <c r="M110" s="78">
        <f t="shared" ca="1" si="156"/>
        <v>0</v>
      </c>
      <c r="N110" s="78">
        <f t="shared" ca="1" si="157"/>
        <v>0</v>
      </c>
      <c r="O110" s="4">
        <f ca="1">SUMIFS(INDIRECT("Tab_00.Trial["&amp;O$4&amp;"]"),Tab_00.Trial[CONTA],$B110)</f>
        <v>0</v>
      </c>
      <c r="P110" s="78">
        <f t="shared" ca="1" si="158"/>
        <v>0</v>
      </c>
      <c r="Q110" s="78">
        <f t="shared" ca="1" si="159"/>
        <v>0</v>
      </c>
      <c r="R110" s="4">
        <f ca="1">SUMIFS(INDIRECT("Tab_00.Trial["&amp;R$4&amp;"]"),Tab_00.Trial[CONTA],$B110)</f>
        <v>0</v>
      </c>
      <c r="S110" s="78">
        <f t="shared" ca="1" si="160"/>
        <v>0</v>
      </c>
      <c r="T110" s="78">
        <f t="shared" ca="1" si="161"/>
        <v>0</v>
      </c>
      <c r="U110" s="4">
        <f ca="1">SUMIFS(INDIRECT("Tab_00.Trial["&amp;U$4&amp;"]"),Tab_00.Trial[CONTA],$B110)</f>
        <v>0</v>
      </c>
      <c r="V110" s="78">
        <f t="shared" ca="1" si="162"/>
        <v>0</v>
      </c>
      <c r="W110" s="78">
        <f t="shared" ca="1" si="163"/>
        <v>0</v>
      </c>
      <c r="X110" s="4">
        <f ca="1">SUMIFS(INDIRECT("Tab_00.Trial["&amp;X$4&amp;"]"),Tab_00.Trial[CONTA],$B110)</f>
        <v>0</v>
      </c>
      <c r="Y110" s="78">
        <f t="shared" ca="1" si="164"/>
        <v>0</v>
      </c>
      <c r="Z110" s="78">
        <f t="shared" ca="1" si="165"/>
        <v>0</v>
      </c>
      <c r="AA110" s="4">
        <f ca="1">SUMIFS(INDIRECT("Tab_00.Trial["&amp;AA$4&amp;"]"),Tab_00.Trial[CONTA],$B110)</f>
        <v>0</v>
      </c>
      <c r="AB110" s="78">
        <f t="shared" ca="1" si="166"/>
        <v>0</v>
      </c>
      <c r="AC110" s="78">
        <f t="shared" ca="1" si="167"/>
        <v>0</v>
      </c>
      <c r="AD110" s="4">
        <f ca="1">SUMIFS(INDIRECT("Tab_00.Trial["&amp;AD$4&amp;"]"),Tab_00.Trial[CONTA],$B110)</f>
        <v>0</v>
      </c>
      <c r="AE110" s="78">
        <f t="shared" ca="1" si="168"/>
        <v>0</v>
      </c>
      <c r="AF110" s="78">
        <f t="shared" ca="1" si="169"/>
        <v>0</v>
      </c>
      <c r="AG110" s="4">
        <f ca="1">SUMIFS(INDIRECT("Tab_00.Trial["&amp;AG$4&amp;"]"),Tab_00.Trial[CONTA],$B110)</f>
        <v>0</v>
      </c>
      <c r="AH110" s="78">
        <f t="shared" ca="1" si="170"/>
        <v>0</v>
      </c>
      <c r="AI110" s="78">
        <f t="shared" ca="1" si="171"/>
        <v>0</v>
      </c>
      <c r="AJ110" s="4">
        <f ca="1">SUMIFS(INDIRECT("Tab_00.Trial["&amp;AJ$4&amp;"]"),Tab_00.Trial[CONTA],$B110)</f>
        <v>0</v>
      </c>
      <c r="AK110" s="78">
        <f t="shared" ca="1" si="172"/>
        <v>0</v>
      </c>
      <c r="AL110" s="78">
        <f t="shared" ca="1" si="173"/>
        <v>0</v>
      </c>
      <c r="AM110" s="4">
        <f ca="1">SUMIFS(INDIRECT("Tab_00.Trial["&amp;AM$4&amp;"]"),Tab_00.Trial[CONTA],$B110)</f>
        <v>0</v>
      </c>
      <c r="AN110" s="78">
        <f t="shared" ca="1" si="174"/>
        <v>0</v>
      </c>
      <c r="AO110" s="78">
        <f t="shared" ca="1" si="175"/>
        <v>0</v>
      </c>
    </row>
    <row r="111" spans="2:42" ht="15" hidden="1" customHeight="1" outlineLevel="1" x14ac:dyDescent="0.3">
      <c r="B111" s="14"/>
      <c r="C111" s="15"/>
      <c r="D111" s="4">
        <f>SUMIFS(Tab_99.Trial[DEZEMBRO],Tab_99.Trial[CONTA],$B111)</f>
        <v>0</v>
      </c>
      <c r="E111" s="78">
        <f t="shared" si="151"/>
        <v>0</v>
      </c>
      <c r="F111" s="4">
        <f ca="1">SUMIFS(INDIRECT("Tab_00.Trial["&amp;F$4&amp;"]"),Tab_00.Trial[CONTA],$B111)</f>
        <v>0</v>
      </c>
      <c r="G111" s="78">
        <f t="shared" ca="1" si="152"/>
        <v>0</v>
      </c>
      <c r="H111" s="78">
        <f t="shared" ca="1" si="153"/>
        <v>0</v>
      </c>
      <c r="I111" s="4">
        <f ca="1">SUMIFS(INDIRECT("Tab_00.Trial["&amp;I$4&amp;"]"),Tab_00.Trial[CONTA],$B111)</f>
        <v>0</v>
      </c>
      <c r="J111" s="78">
        <f t="shared" ca="1" si="154"/>
        <v>0</v>
      </c>
      <c r="K111" s="78">
        <f t="shared" ca="1" si="155"/>
        <v>0</v>
      </c>
      <c r="L111" s="4">
        <f ca="1">SUMIFS(INDIRECT("Tab_00.Trial["&amp;L$4&amp;"]"),Tab_00.Trial[CONTA],$B111)</f>
        <v>0</v>
      </c>
      <c r="M111" s="78">
        <f t="shared" ca="1" si="156"/>
        <v>0</v>
      </c>
      <c r="N111" s="78">
        <f t="shared" ca="1" si="157"/>
        <v>0</v>
      </c>
      <c r="O111" s="4">
        <f ca="1">SUMIFS(INDIRECT("Tab_00.Trial["&amp;O$4&amp;"]"),Tab_00.Trial[CONTA],$B111)</f>
        <v>0</v>
      </c>
      <c r="P111" s="78">
        <f t="shared" ca="1" si="158"/>
        <v>0</v>
      </c>
      <c r="Q111" s="78">
        <f t="shared" ca="1" si="159"/>
        <v>0</v>
      </c>
      <c r="R111" s="4">
        <f ca="1">SUMIFS(INDIRECT("Tab_00.Trial["&amp;R$4&amp;"]"),Tab_00.Trial[CONTA],$B111)</f>
        <v>0</v>
      </c>
      <c r="S111" s="78">
        <f t="shared" ca="1" si="160"/>
        <v>0</v>
      </c>
      <c r="T111" s="78">
        <f t="shared" ca="1" si="161"/>
        <v>0</v>
      </c>
      <c r="U111" s="4">
        <f ca="1">SUMIFS(INDIRECT("Tab_00.Trial["&amp;U$4&amp;"]"),Tab_00.Trial[CONTA],$B111)</f>
        <v>0</v>
      </c>
      <c r="V111" s="78">
        <f t="shared" ca="1" si="162"/>
        <v>0</v>
      </c>
      <c r="W111" s="78">
        <f t="shared" ca="1" si="163"/>
        <v>0</v>
      </c>
      <c r="X111" s="4">
        <f ca="1">SUMIFS(INDIRECT("Tab_00.Trial["&amp;X$4&amp;"]"),Tab_00.Trial[CONTA],$B111)</f>
        <v>0</v>
      </c>
      <c r="Y111" s="78">
        <f t="shared" ca="1" si="164"/>
        <v>0</v>
      </c>
      <c r="Z111" s="78">
        <f t="shared" ca="1" si="165"/>
        <v>0</v>
      </c>
      <c r="AA111" s="4">
        <f ca="1">SUMIFS(INDIRECT("Tab_00.Trial["&amp;AA$4&amp;"]"),Tab_00.Trial[CONTA],$B111)</f>
        <v>0</v>
      </c>
      <c r="AB111" s="78">
        <f t="shared" ca="1" si="166"/>
        <v>0</v>
      </c>
      <c r="AC111" s="78">
        <f t="shared" ca="1" si="167"/>
        <v>0</v>
      </c>
      <c r="AD111" s="4">
        <f ca="1">SUMIFS(INDIRECT("Tab_00.Trial["&amp;AD$4&amp;"]"),Tab_00.Trial[CONTA],$B111)</f>
        <v>0</v>
      </c>
      <c r="AE111" s="78">
        <f t="shared" ca="1" si="168"/>
        <v>0</v>
      </c>
      <c r="AF111" s="78">
        <f t="shared" ca="1" si="169"/>
        <v>0</v>
      </c>
      <c r="AG111" s="4">
        <f ca="1">SUMIFS(INDIRECT("Tab_00.Trial["&amp;AG$4&amp;"]"),Tab_00.Trial[CONTA],$B111)</f>
        <v>0</v>
      </c>
      <c r="AH111" s="78">
        <f t="shared" ca="1" si="170"/>
        <v>0</v>
      </c>
      <c r="AI111" s="78">
        <f t="shared" ca="1" si="171"/>
        <v>0</v>
      </c>
      <c r="AJ111" s="4">
        <f ca="1">SUMIFS(INDIRECT("Tab_00.Trial["&amp;AJ$4&amp;"]"),Tab_00.Trial[CONTA],$B111)</f>
        <v>0</v>
      </c>
      <c r="AK111" s="78">
        <f t="shared" ca="1" si="172"/>
        <v>0</v>
      </c>
      <c r="AL111" s="78">
        <f t="shared" ca="1" si="173"/>
        <v>0</v>
      </c>
      <c r="AM111" s="4">
        <f ca="1">SUMIFS(INDIRECT("Tab_00.Trial["&amp;AM$4&amp;"]"),Tab_00.Trial[CONTA],$B111)</f>
        <v>0</v>
      </c>
      <c r="AN111" s="78">
        <f t="shared" ca="1" si="174"/>
        <v>0</v>
      </c>
      <c r="AO111" s="78">
        <f t="shared" ca="1" si="175"/>
        <v>0</v>
      </c>
    </row>
    <row r="112" spans="2:42" ht="15" hidden="1" customHeight="1" outlineLevel="1" x14ac:dyDescent="0.3">
      <c r="B112" s="14"/>
      <c r="C112" s="15"/>
      <c r="D112" s="4">
        <f>SUMIFS(Tab_99.Trial[DEZEMBRO],Tab_99.Trial[CONTA],$B112)</f>
        <v>0</v>
      </c>
      <c r="E112" s="78">
        <f t="shared" si="151"/>
        <v>0</v>
      </c>
      <c r="F112" s="4">
        <f ca="1">SUMIFS(INDIRECT("Tab_00.Trial["&amp;F$4&amp;"]"),Tab_00.Trial[CONTA],$B112)</f>
        <v>0</v>
      </c>
      <c r="G112" s="78">
        <f t="shared" ca="1" si="152"/>
        <v>0</v>
      </c>
      <c r="H112" s="78">
        <f t="shared" ca="1" si="153"/>
        <v>0</v>
      </c>
      <c r="I112" s="4">
        <f ca="1">SUMIFS(INDIRECT("Tab_00.Trial["&amp;I$4&amp;"]"),Tab_00.Trial[CONTA],$B112)</f>
        <v>0</v>
      </c>
      <c r="J112" s="78">
        <f t="shared" ca="1" si="154"/>
        <v>0</v>
      </c>
      <c r="K112" s="78">
        <f t="shared" ca="1" si="155"/>
        <v>0</v>
      </c>
      <c r="L112" s="4">
        <f ca="1">SUMIFS(INDIRECT("Tab_00.Trial["&amp;L$4&amp;"]"),Tab_00.Trial[CONTA],$B112)</f>
        <v>0</v>
      </c>
      <c r="M112" s="78">
        <f t="shared" ca="1" si="156"/>
        <v>0</v>
      </c>
      <c r="N112" s="78">
        <f t="shared" ca="1" si="157"/>
        <v>0</v>
      </c>
      <c r="O112" s="4">
        <f ca="1">SUMIFS(INDIRECT("Tab_00.Trial["&amp;O$4&amp;"]"),Tab_00.Trial[CONTA],$B112)</f>
        <v>0</v>
      </c>
      <c r="P112" s="78">
        <f t="shared" ca="1" si="158"/>
        <v>0</v>
      </c>
      <c r="Q112" s="78">
        <f t="shared" ca="1" si="159"/>
        <v>0</v>
      </c>
      <c r="R112" s="4">
        <f ca="1">SUMIFS(INDIRECT("Tab_00.Trial["&amp;R$4&amp;"]"),Tab_00.Trial[CONTA],$B112)</f>
        <v>0</v>
      </c>
      <c r="S112" s="78">
        <f t="shared" ca="1" si="160"/>
        <v>0</v>
      </c>
      <c r="T112" s="78">
        <f t="shared" ca="1" si="161"/>
        <v>0</v>
      </c>
      <c r="U112" s="4">
        <f ca="1">SUMIFS(INDIRECT("Tab_00.Trial["&amp;U$4&amp;"]"),Tab_00.Trial[CONTA],$B112)</f>
        <v>0</v>
      </c>
      <c r="V112" s="78">
        <f t="shared" ca="1" si="162"/>
        <v>0</v>
      </c>
      <c r="W112" s="78">
        <f t="shared" ca="1" si="163"/>
        <v>0</v>
      </c>
      <c r="X112" s="4">
        <f ca="1">SUMIFS(INDIRECT("Tab_00.Trial["&amp;X$4&amp;"]"),Tab_00.Trial[CONTA],$B112)</f>
        <v>0</v>
      </c>
      <c r="Y112" s="78">
        <f t="shared" ca="1" si="164"/>
        <v>0</v>
      </c>
      <c r="Z112" s="78">
        <f t="shared" ca="1" si="165"/>
        <v>0</v>
      </c>
      <c r="AA112" s="4">
        <f ca="1">SUMIFS(INDIRECT("Tab_00.Trial["&amp;AA$4&amp;"]"),Tab_00.Trial[CONTA],$B112)</f>
        <v>0</v>
      </c>
      <c r="AB112" s="78">
        <f t="shared" ca="1" si="166"/>
        <v>0</v>
      </c>
      <c r="AC112" s="78">
        <f t="shared" ca="1" si="167"/>
        <v>0</v>
      </c>
      <c r="AD112" s="4">
        <f ca="1">SUMIFS(INDIRECT("Tab_00.Trial["&amp;AD$4&amp;"]"),Tab_00.Trial[CONTA],$B112)</f>
        <v>0</v>
      </c>
      <c r="AE112" s="78">
        <f t="shared" ca="1" si="168"/>
        <v>0</v>
      </c>
      <c r="AF112" s="78">
        <f t="shared" ca="1" si="169"/>
        <v>0</v>
      </c>
      <c r="AG112" s="4">
        <f ca="1">SUMIFS(INDIRECT("Tab_00.Trial["&amp;AG$4&amp;"]"),Tab_00.Trial[CONTA],$B112)</f>
        <v>0</v>
      </c>
      <c r="AH112" s="78">
        <f t="shared" ca="1" si="170"/>
        <v>0</v>
      </c>
      <c r="AI112" s="78">
        <f t="shared" ca="1" si="171"/>
        <v>0</v>
      </c>
      <c r="AJ112" s="4">
        <f ca="1">SUMIFS(INDIRECT("Tab_00.Trial["&amp;AJ$4&amp;"]"),Tab_00.Trial[CONTA],$B112)</f>
        <v>0</v>
      </c>
      <c r="AK112" s="78">
        <f t="shared" ca="1" si="172"/>
        <v>0</v>
      </c>
      <c r="AL112" s="78">
        <f t="shared" ca="1" si="173"/>
        <v>0</v>
      </c>
      <c r="AM112" s="4">
        <f ca="1">SUMIFS(INDIRECT("Tab_00.Trial["&amp;AM$4&amp;"]"),Tab_00.Trial[CONTA],$B112)</f>
        <v>0</v>
      </c>
      <c r="AN112" s="78">
        <f t="shared" ca="1" si="174"/>
        <v>0</v>
      </c>
      <c r="AO112" s="78">
        <f t="shared" ca="1" si="175"/>
        <v>0</v>
      </c>
    </row>
    <row r="113" spans="2:41" ht="15" hidden="1" customHeight="1" outlineLevel="1" x14ac:dyDescent="0.3">
      <c r="B113" s="14"/>
      <c r="C113" s="15"/>
      <c r="D113" s="4">
        <f>SUMIFS(Tab_99.Trial[DEZEMBRO],Tab_99.Trial[CONTA],$B113)</f>
        <v>0</v>
      </c>
      <c r="E113" s="78">
        <f t="shared" si="151"/>
        <v>0</v>
      </c>
      <c r="F113" s="4">
        <f ca="1">SUMIFS(INDIRECT("Tab_00.Trial["&amp;F$4&amp;"]"),Tab_00.Trial[CONTA],$B113)</f>
        <v>0</v>
      </c>
      <c r="G113" s="78">
        <f t="shared" ca="1" si="152"/>
        <v>0</v>
      </c>
      <c r="H113" s="78">
        <f t="shared" ca="1" si="153"/>
        <v>0</v>
      </c>
      <c r="I113" s="4">
        <f ca="1">SUMIFS(INDIRECT("Tab_00.Trial["&amp;I$4&amp;"]"),Tab_00.Trial[CONTA],$B113)</f>
        <v>0</v>
      </c>
      <c r="J113" s="78">
        <f t="shared" ca="1" si="154"/>
        <v>0</v>
      </c>
      <c r="K113" s="78">
        <f t="shared" ca="1" si="155"/>
        <v>0</v>
      </c>
      <c r="L113" s="4">
        <f ca="1">SUMIFS(INDIRECT("Tab_00.Trial["&amp;L$4&amp;"]"),Tab_00.Trial[CONTA],$B113)</f>
        <v>0</v>
      </c>
      <c r="M113" s="78">
        <f t="shared" ca="1" si="156"/>
        <v>0</v>
      </c>
      <c r="N113" s="78">
        <f t="shared" ca="1" si="157"/>
        <v>0</v>
      </c>
      <c r="O113" s="4">
        <f ca="1">SUMIFS(INDIRECT("Tab_00.Trial["&amp;O$4&amp;"]"),Tab_00.Trial[CONTA],$B113)</f>
        <v>0</v>
      </c>
      <c r="P113" s="78">
        <f t="shared" ca="1" si="158"/>
        <v>0</v>
      </c>
      <c r="Q113" s="78">
        <f t="shared" ca="1" si="159"/>
        <v>0</v>
      </c>
      <c r="R113" s="4">
        <f ca="1">SUMIFS(INDIRECT("Tab_00.Trial["&amp;R$4&amp;"]"),Tab_00.Trial[CONTA],$B113)</f>
        <v>0</v>
      </c>
      <c r="S113" s="78">
        <f t="shared" ca="1" si="160"/>
        <v>0</v>
      </c>
      <c r="T113" s="78">
        <f t="shared" ca="1" si="161"/>
        <v>0</v>
      </c>
      <c r="U113" s="4">
        <f ca="1">SUMIFS(INDIRECT("Tab_00.Trial["&amp;U$4&amp;"]"),Tab_00.Trial[CONTA],$B113)</f>
        <v>0</v>
      </c>
      <c r="V113" s="78">
        <f t="shared" ca="1" si="162"/>
        <v>0</v>
      </c>
      <c r="W113" s="78">
        <f t="shared" ca="1" si="163"/>
        <v>0</v>
      </c>
      <c r="X113" s="4">
        <f ca="1">SUMIFS(INDIRECT("Tab_00.Trial["&amp;X$4&amp;"]"),Tab_00.Trial[CONTA],$B113)</f>
        <v>0</v>
      </c>
      <c r="Y113" s="78">
        <f t="shared" ca="1" si="164"/>
        <v>0</v>
      </c>
      <c r="Z113" s="78">
        <f t="shared" ca="1" si="165"/>
        <v>0</v>
      </c>
      <c r="AA113" s="4">
        <f ca="1">SUMIFS(INDIRECT("Tab_00.Trial["&amp;AA$4&amp;"]"),Tab_00.Trial[CONTA],$B113)</f>
        <v>0</v>
      </c>
      <c r="AB113" s="78">
        <f t="shared" ca="1" si="166"/>
        <v>0</v>
      </c>
      <c r="AC113" s="78">
        <f t="shared" ca="1" si="167"/>
        <v>0</v>
      </c>
      <c r="AD113" s="4">
        <f ca="1">SUMIFS(INDIRECT("Tab_00.Trial["&amp;AD$4&amp;"]"),Tab_00.Trial[CONTA],$B113)</f>
        <v>0</v>
      </c>
      <c r="AE113" s="78">
        <f t="shared" ca="1" si="168"/>
        <v>0</v>
      </c>
      <c r="AF113" s="78">
        <f t="shared" ca="1" si="169"/>
        <v>0</v>
      </c>
      <c r="AG113" s="4">
        <f ca="1">SUMIFS(INDIRECT("Tab_00.Trial["&amp;AG$4&amp;"]"),Tab_00.Trial[CONTA],$B113)</f>
        <v>0</v>
      </c>
      <c r="AH113" s="78">
        <f t="shared" ca="1" si="170"/>
        <v>0</v>
      </c>
      <c r="AI113" s="78">
        <f t="shared" ca="1" si="171"/>
        <v>0</v>
      </c>
      <c r="AJ113" s="4">
        <f ca="1">SUMIFS(INDIRECT("Tab_00.Trial["&amp;AJ$4&amp;"]"),Tab_00.Trial[CONTA],$B113)</f>
        <v>0</v>
      </c>
      <c r="AK113" s="78">
        <f t="shared" ca="1" si="172"/>
        <v>0</v>
      </c>
      <c r="AL113" s="78">
        <f t="shared" ca="1" si="173"/>
        <v>0</v>
      </c>
      <c r="AM113" s="4">
        <f ca="1">SUMIFS(INDIRECT("Tab_00.Trial["&amp;AM$4&amp;"]"),Tab_00.Trial[CONTA],$B113)</f>
        <v>0</v>
      </c>
      <c r="AN113" s="78">
        <f t="shared" ca="1" si="174"/>
        <v>0</v>
      </c>
      <c r="AO113" s="78">
        <f t="shared" ca="1" si="175"/>
        <v>0</v>
      </c>
    </row>
    <row r="114" spans="2:41" ht="15" hidden="1" customHeight="1" outlineLevel="1" x14ac:dyDescent="0.3">
      <c r="B114" s="14"/>
      <c r="C114" s="15"/>
      <c r="D114" s="4">
        <f>SUMIFS(Tab_99.Trial[DEZEMBRO],Tab_99.Trial[CONTA],$B114)</f>
        <v>0</v>
      </c>
      <c r="E114" s="78">
        <f t="shared" si="151"/>
        <v>0</v>
      </c>
      <c r="F114" s="4">
        <f ca="1">SUMIFS(INDIRECT("Tab_00.Trial["&amp;F$4&amp;"]"),Tab_00.Trial[CONTA],$B114)</f>
        <v>0</v>
      </c>
      <c r="G114" s="78">
        <f t="shared" ca="1" si="152"/>
        <v>0</v>
      </c>
      <c r="H114" s="78">
        <f t="shared" ca="1" si="153"/>
        <v>0</v>
      </c>
      <c r="I114" s="4">
        <f ca="1">SUMIFS(INDIRECT("Tab_00.Trial["&amp;I$4&amp;"]"),Tab_00.Trial[CONTA],$B114)</f>
        <v>0</v>
      </c>
      <c r="J114" s="78">
        <f t="shared" ca="1" si="154"/>
        <v>0</v>
      </c>
      <c r="K114" s="78">
        <f t="shared" ca="1" si="155"/>
        <v>0</v>
      </c>
      <c r="L114" s="4">
        <f ca="1">SUMIFS(INDIRECT("Tab_00.Trial["&amp;L$4&amp;"]"),Tab_00.Trial[CONTA],$B114)</f>
        <v>0</v>
      </c>
      <c r="M114" s="78">
        <f t="shared" ca="1" si="156"/>
        <v>0</v>
      </c>
      <c r="N114" s="78">
        <f t="shared" ca="1" si="157"/>
        <v>0</v>
      </c>
      <c r="O114" s="4">
        <f ca="1">SUMIFS(INDIRECT("Tab_00.Trial["&amp;O$4&amp;"]"),Tab_00.Trial[CONTA],$B114)</f>
        <v>0</v>
      </c>
      <c r="P114" s="78">
        <f t="shared" ca="1" si="158"/>
        <v>0</v>
      </c>
      <c r="Q114" s="78">
        <f t="shared" ca="1" si="159"/>
        <v>0</v>
      </c>
      <c r="R114" s="4">
        <f ca="1">SUMIFS(INDIRECT("Tab_00.Trial["&amp;R$4&amp;"]"),Tab_00.Trial[CONTA],$B114)</f>
        <v>0</v>
      </c>
      <c r="S114" s="78">
        <f t="shared" ca="1" si="160"/>
        <v>0</v>
      </c>
      <c r="T114" s="78">
        <f t="shared" ca="1" si="161"/>
        <v>0</v>
      </c>
      <c r="U114" s="4">
        <f ca="1">SUMIFS(INDIRECT("Tab_00.Trial["&amp;U$4&amp;"]"),Tab_00.Trial[CONTA],$B114)</f>
        <v>0</v>
      </c>
      <c r="V114" s="78">
        <f t="shared" ca="1" si="162"/>
        <v>0</v>
      </c>
      <c r="W114" s="78">
        <f t="shared" ca="1" si="163"/>
        <v>0</v>
      </c>
      <c r="X114" s="4">
        <f ca="1">SUMIFS(INDIRECT("Tab_00.Trial["&amp;X$4&amp;"]"),Tab_00.Trial[CONTA],$B114)</f>
        <v>0</v>
      </c>
      <c r="Y114" s="78">
        <f t="shared" ca="1" si="164"/>
        <v>0</v>
      </c>
      <c r="Z114" s="78">
        <f t="shared" ca="1" si="165"/>
        <v>0</v>
      </c>
      <c r="AA114" s="4">
        <f ca="1">SUMIFS(INDIRECT("Tab_00.Trial["&amp;AA$4&amp;"]"),Tab_00.Trial[CONTA],$B114)</f>
        <v>0</v>
      </c>
      <c r="AB114" s="78">
        <f t="shared" ca="1" si="166"/>
        <v>0</v>
      </c>
      <c r="AC114" s="78">
        <f t="shared" ca="1" si="167"/>
        <v>0</v>
      </c>
      <c r="AD114" s="4">
        <f ca="1">SUMIFS(INDIRECT("Tab_00.Trial["&amp;AD$4&amp;"]"),Tab_00.Trial[CONTA],$B114)</f>
        <v>0</v>
      </c>
      <c r="AE114" s="78">
        <f t="shared" ca="1" si="168"/>
        <v>0</v>
      </c>
      <c r="AF114" s="78">
        <f t="shared" ca="1" si="169"/>
        <v>0</v>
      </c>
      <c r="AG114" s="4">
        <f ca="1">SUMIFS(INDIRECT("Tab_00.Trial["&amp;AG$4&amp;"]"),Tab_00.Trial[CONTA],$B114)</f>
        <v>0</v>
      </c>
      <c r="AH114" s="78">
        <f t="shared" ca="1" si="170"/>
        <v>0</v>
      </c>
      <c r="AI114" s="78">
        <f t="shared" ca="1" si="171"/>
        <v>0</v>
      </c>
      <c r="AJ114" s="4">
        <f ca="1">SUMIFS(INDIRECT("Tab_00.Trial["&amp;AJ$4&amp;"]"),Tab_00.Trial[CONTA],$B114)</f>
        <v>0</v>
      </c>
      <c r="AK114" s="78">
        <f t="shared" ca="1" si="172"/>
        <v>0</v>
      </c>
      <c r="AL114" s="78">
        <f t="shared" ca="1" si="173"/>
        <v>0</v>
      </c>
      <c r="AM114" s="4">
        <f ca="1">SUMIFS(INDIRECT("Tab_00.Trial["&amp;AM$4&amp;"]"),Tab_00.Trial[CONTA],$B114)</f>
        <v>0</v>
      </c>
      <c r="AN114" s="78">
        <f t="shared" ca="1" si="174"/>
        <v>0</v>
      </c>
      <c r="AO114" s="78">
        <f t="shared" ca="1" si="175"/>
        <v>0</v>
      </c>
    </row>
    <row r="115" spans="2:41" ht="15" hidden="1" customHeight="1" outlineLevel="1" x14ac:dyDescent="0.3">
      <c r="B115" s="14"/>
      <c r="C115" s="15"/>
      <c r="D115" s="4">
        <f>SUMIFS(Tab_99.Trial[DEZEMBRO],Tab_99.Trial[CONTA],$B115)</f>
        <v>0</v>
      </c>
      <c r="E115" s="78">
        <f t="shared" si="151"/>
        <v>0</v>
      </c>
      <c r="F115" s="4">
        <f ca="1">SUMIFS(INDIRECT("Tab_00.Trial["&amp;F$4&amp;"]"),Tab_00.Trial[CONTA],$B115)</f>
        <v>0</v>
      </c>
      <c r="G115" s="78">
        <f t="shared" ca="1" si="152"/>
        <v>0</v>
      </c>
      <c r="H115" s="78">
        <f t="shared" ca="1" si="153"/>
        <v>0</v>
      </c>
      <c r="I115" s="4">
        <f ca="1">SUMIFS(INDIRECT("Tab_00.Trial["&amp;I$4&amp;"]"),Tab_00.Trial[CONTA],$B115)</f>
        <v>0</v>
      </c>
      <c r="J115" s="78">
        <f t="shared" ca="1" si="154"/>
        <v>0</v>
      </c>
      <c r="K115" s="78">
        <f t="shared" ca="1" si="155"/>
        <v>0</v>
      </c>
      <c r="L115" s="4">
        <f ca="1">SUMIFS(INDIRECT("Tab_00.Trial["&amp;L$4&amp;"]"),Tab_00.Trial[CONTA],$B115)</f>
        <v>0</v>
      </c>
      <c r="M115" s="78">
        <f t="shared" ca="1" si="156"/>
        <v>0</v>
      </c>
      <c r="N115" s="78">
        <f t="shared" ca="1" si="157"/>
        <v>0</v>
      </c>
      <c r="O115" s="4">
        <f ca="1">SUMIFS(INDIRECT("Tab_00.Trial["&amp;O$4&amp;"]"),Tab_00.Trial[CONTA],$B115)</f>
        <v>0</v>
      </c>
      <c r="P115" s="78">
        <f t="shared" ca="1" si="158"/>
        <v>0</v>
      </c>
      <c r="Q115" s="78">
        <f t="shared" ca="1" si="159"/>
        <v>0</v>
      </c>
      <c r="R115" s="4">
        <f ca="1">SUMIFS(INDIRECT("Tab_00.Trial["&amp;R$4&amp;"]"),Tab_00.Trial[CONTA],$B115)</f>
        <v>0</v>
      </c>
      <c r="S115" s="78">
        <f t="shared" ca="1" si="160"/>
        <v>0</v>
      </c>
      <c r="T115" s="78">
        <f t="shared" ca="1" si="161"/>
        <v>0</v>
      </c>
      <c r="U115" s="4">
        <f ca="1">SUMIFS(INDIRECT("Tab_00.Trial["&amp;U$4&amp;"]"),Tab_00.Trial[CONTA],$B115)</f>
        <v>0</v>
      </c>
      <c r="V115" s="78">
        <f t="shared" ca="1" si="162"/>
        <v>0</v>
      </c>
      <c r="W115" s="78">
        <f t="shared" ca="1" si="163"/>
        <v>0</v>
      </c>
      <c r="X115" s="4">
        <f ca="1">SUMIFS(INDIRECT("Tab_00.Trial["&amp;X$4&amp;"]"),Tab_00.Trial[CONTA],$B115)</f>
        <v>0</v>
      </c>
      <c r="Y115" s="78">
        <f t="shared" ca="1" si="164"/>
        <v>0</v>
      </c>
      <c r="Z115" s="78">
        <f t="shared" ca="1" si="165"/>
        <v>0</v>
      </c>
      <c r="AA115" s="4">
        <f ca="1">SUMIFS(INDIRECT("Tab_00.Trial["&amp;AA$4&amp;"]"),Tab_00.Trial[CONTA],$B115)</f>
        <v>0</v>
      </c>
      <c r="AB115" s="78">
        <f t="shared" ca="1" si="166"/>
        <v>0</v>
      </c>
      <c r="AC115" s="78">
        <f t="shared" ca="1" si="167"/>
        <v>0</v>
      </c>
      <c r="AD115" s="4">
        <f ca="1">SUMIFS(INDIRECT("Tab_00.Trial["&amp;AD$4&amp;"]"),Tab_00.Trial[CONTA],$B115)</f>
        <v>0</v>
      </c>
      <c r="AE115" s="78">
        <f t="shared" ca="1" si="168"/>
        <v>0</v>
      </c>
      <c r="AF115" s="78">
        <f t="shared" ca="1" si="169"/>
        <v>0</v>
      </c>
      <c r="AG115" s="4">
        <f ca="1">SUMIFS(INDIRECT("Tab_00.Trial["&amp;AG$4&amp;"]"),Tab_00.Trial[CONTA],$B115)</f>
        <v>0</v>
      </c>
      <c r="AH115" s="78">
        <f t="shared" ca="1" si="170"/>
        <v>0</v>
      </c>
      <c r="AI115" s="78">
        <f t="shared" ca="1" si="171"/>
        <v>0</v>
      </c>
      <c r="AJ115" s="4">
        <f ca="1">SUMIFS(INDIRECT("Tab_00.Trial["&amp;AJ$4&amp;"]"),Tab_00.Trial[CONTA],$B115)</f>
        <v>0</v>
      </c>
      <c r="AK115" s="78">
        <f t="shared" ca="1" si="172"/>
        <v>0</v>
      </c>
      <c r="AL115" s="78">
        <f t="shared" ca="1" si="173"/>
        <v>0</v>
      </c>
      <c r="AM115" s="4">
        <f ca="1">SUMIFS(INDIRECT("Tab_00.Trial["&amp;AM$4&amp;"]"),Tab_00.Trial[CONTA],$B115)</f>
        <v>0</v>
      </c>
      <c r="AN115" s="78">
        <f t="shared" ca="1" si="174"/>
        <v>0</v>
      </c>
      <c r="AO115" s="78">
        <f t="shared" ca="1" si="175"/>
        <v>0</v>
      </c>
    </row>
    <row r="116" spans="2:41" ht="5.0999999999999996" hidden="1" customHeight="1" outlineLevel="1" x14ac:dyDescent="0.3">
      <c r="B116" s="74"/>
      <c r="C116" s="75"/>
      <c r="D116" s="76"/>
      <c r="E116" s="77"/>
      <c r="F116" s="76"/>
      <c r="G116" s="77"/>
      <c r="H116" s="77"/>
      <c r="I116" s="76"/>
      <c r="J116" s="77"/>
      <c r="K116" s="77"/>
      <c r="L116" s="76"/>
      <c r="M116" s="77"/>
      <c r="N116" s="77"/>
      <c r="O116" s="76"/>
      <c r="P116" s="77"/>
      <c r="Q116" s="77"/>
      <c r="R116" s="76"/>
      <c r="S116" s="77"/>
      <c r="T116" s="77"/>
      <c r="U116" s="76"/>
      <c r="V116" s="77"/>
      <c r="W116" s="77"/>
      <c r="X116" s="76"/>
      <c r="Y116" s="77"/>
      <c r="Z116" s="77"/>
      <c r="AA116" s="76"/>
      <c r="AB116" s="77"/>
      <c r="AC116" s="77"/>
      <c r="AD116" s="76"/>
      <c r="AE116" s="77"/>
      <c r="AF116" s="77"/>
      <c r="AG116" s="76"/>
      <c r="AH116" s="77"/>
      <c r="AI116" s="77"/>
      <c r="AJ116" s="76"/>
      <c r="AK116" s="77"/>
      <c r="AL116" s="77"/>
      <c r="AM116" s="76"/>
      <c r="AN116" s="77"/>
      <c r="AO116" s="77"/>
    </row>
    <row r="117" spans="2:41" ht="15" customHeight="1" collapsed="1" x14ac:dyDescent="0.3">
      <c r="B117" s="3" t="s">
        <v>117</v>
      </c>
      <c r="C117" s="14" t="s">
        <v>100</v>
      </c>
      <c r="D117" s="4">
        <f>SUBTOTAL(9,D$118:D$127)</f>
        <v>0</v>
      </c>
      <c r="E117" s="78">
        <v>6.0000000000000001E-3</v>
      </c>
      <c r="F117" s="4">
        <f ca="1">SUBTOTAL(9,F$118:F$127)</f>
        <v>45348993.07</v>
      </c>
      <c r="G117" s="78">
        <v>6.7000000000000002E-3</v>
      </c>
      <c r="H117" s="78">
        <v>-5.0999999999999997E-2</v>
      </c>
      <c r="I117" s="4">
        <f ca="1">SUBTOTAL(9,I$118:I$127)</f>
        <v>45348993.07</v>
      </c>
      <c r="J117" s="78">
        <v>7.0000000000000001E-3</v>
      </c>
      <c r="K117" s="78">
        <v>-2.5000000000000001E-3</v>
      </c>
      <c r="L117" s="4">
        <f ca="1">SUBTOTAL(9,L$118:L$127)</f>
        <v>45348993.07</v>
      </c>
      <c r="M117" s="78">
        <v>7.0000000000000001E-3</v>
      </c>
      <c r="N117" s="78">
        <v>-2.5000000000000001E-3</v>
      </c>
      <c r="O117" s="4">
        <f ca="1">SUBTOTAL(9,O$118:O$127)</f>
        <v>45348993.07</v>
      </c>
      <c r="P117" s="78">
        <v>7.1000000000000004E-3</v>
      </c>
      <c r="Q117" s="78">
        <v>-2.0999999999999999E-3</v>
      </c>
      <c r="R117" s="4">
        <f ca="1">SUBTOTAL(9,R$118:R$127)</f>
        <v>45348993.07</v>
      </c>
      <c r="S117" s="78">
        <v>6.0000000000000001E-3</v>
      </c>
      <c r="T117" s="78">
        <v>-5.9999999999999995E-4</v>
      </c>
      <c r="U117" s="4">
        <f ca="1">SUBTOTAL(9,U$118:U$127)</f>
        <v>45348993.07</v>
      </c>
      <c r="V117" s="78">
        <v>6.1000000000000004E-3</v>
      </c>
      <c r="W117" s="78">
        <v>8.6E-3</v>
      </c>
      <c r="X117" s="4">
        <f ca="1">SUBTOTAL(9,X$118:X$127)</f>
        <v>45348993.07</v>
      </c>
      <c r="Y117" s="78">
        <v>6.0000000000000001E-3</v>
      </c>
      <c r="Z117" s="78">
        <v>-8.9999999999999998E-4</v>
      </c>
      <c r="AA117" s="4">
        <f ca="1">SUBTOTAL(9,AA$118:AA$127)</f>
        <v>45348993.07</v>
      </c>
      <c r="AB117" s="78">
        <v>5.8999999999999999E-3</v>
      </c>
      <c r="AC117" s="78">
        <v>-5.9999999999999995E-4</v>
      </c>
      <c r="AD117" s="4">
        <f ca="1">SUBTOTAL(9,AD$118:AD$127)</f>
        <v>45348993.07</v>
      </c>
      <c r="AE117" s="78">
        <v>6.1000000000000004E-3</v>
      </c>
      <c r="AF117" s="78">
        <v>2.2100000000000002E-2</v>
      </c>
      <c r="AG117" s="4">
        <f ca="1">SUBTOTAL(9,AG$118:AG$127)</f>
        <v>45348993.07</v>
      </c>
      <c r="AH117" s="78">
        <v>5.8999999999999999E-3</v>
      </c>
      <c r="AI117" s="78">
        <v>6.8999999999999999E-3</v>
      </c>
      <c r="AJ117" s="4">
        <f ca="1">SUBTOTAL(9,AJ$118:AJ$127)</f>
        <v>45348993.07</v>
      </c>
      <c r="AK117" s="78">
        <v>5.7999999999999996E-3</v>
      </c>
      <c r="AL117" s="78">
        <v>-5.9999999999999995E-4</v>
      </c>
      <c r="AM117" s="4">
        <f ca="1">SUBTOTAL(9,AM$118:AM$127)</f>
        <v>45348993.07</v>
      </c>
      <c r="AN117" s="78">
        <v>6.0000000000000001E-3</v>
      </c>
      <c r="AO117" s="78">
        <v>2.53E-2</v>
      </c>
    </row>
    <row r="118" spans="2:41" ht="15" hidden="1" customHeight="1" outlineLevel="1" x14ac:dyDescent="0.3">
      <c r="B118" s="14" t="s">
        <v>302</v>
      </c>
      <c r="C118" s="15" t="s">
        <v>303</v>
      </c>
      <c r="D118" s="4">
        <f>SUMIFS(Tab_99.Trial[DEZEMBRO],Tab_99.Trial[CONTA],$B118)</f>
        <v>0</v>
      </c>
      <c r="E118" s="78">
        <f t="shared" ref="E118:E126" si="176">IFERROR($D118/$D$160,0)</f>
        <v>0</v>
      </c>
      <c r="F118" s="4">
        <f ca="1">SUMIFS(INDIRECT("Tab_00.Trial["&amp;F$4&amp;"]"),Tab_00.Trial[CONTA],$B118)</f>
        <v>42477392.43</v>
      </c>
      <c r="G118" s="78">
        <f t="shared" ref="G118:G126" ca="1" si="177">IFERROR($F118/$F$160,0)</f>
        <v>0.5081</v>
      </c>
      <c r="H118" s="78">
        <f t="shared" ref="H118:H126" ca="1" si="178">IFERROR(($F118-$D118)/ABS($D118),0)</f>
        <v>0</v>
      </c>
      <c r="I118" s="4">
        <f ca="1">SUMIFS(INDIRECT("Tab_00.Trial["&amp;I$4&amp;"]"),Tab_00.Trial[CONTA],$B118)</f>
        <v>42477392.43</v>
      </c>
      <c r="J118" s="78">
        <f t="shared" ref="J118:J126" ca="1" si="179">IFERROR($I118/$I$160,0)</f>
        <v>0.51280000000000003</v>
      </c>
      <c r="K118" s="78">
        <f t="shared" ref="K118:K126" ca="1" si="180">IFERROR(($I118-$F118)/ABS($F118),0)</f>
        <v>0</v>
      </c>
      <c r="L118" s="4">
        <f ca="1">SUMIFS(INDIRECT("Tab_00.Trial["&amp;L$4&amp;"]"),Tab_00.Trial[CONTA],$B118)</f>
        <v>42477392.43</v>
      </c>
      <c r="M118" s="78">
        <f t="shared" ref="M118:M126" ca="1" si="181">IFERROR($L118/$L$160,0)</f>
        <v>0.51160000000000005</v>
      </c>
      <c r="N118" s="78">
        <f t="shared" ref="N118:N126" ca="1" si="182">IFERROR(($L118-$I118)/ABS($I118),0)</f>
        <v>0</v>
      </c>
      <c r="O118" s="4">
        <f ca="1">SUMIFS(INDIRECT("Tab_00.Trial["&amp;O$4&amp;"]"),Tab_00.Trial[CONTA],$B118)</f>
        <v>42477392.43</v>
      </c>
      <c r="P118" s="78">
        <f t="shared" ref="P118:P126" ca="1" si="183">IFERROR($O118/$O$160,0)</f>
        <v>0.50949999999999995</v>
      </c>
      <c r="Q118" s="78">
        <f t="shared" ref="Q118:Q126" ca="1" si="184">IFERROR(($O118-$L118)/ABS($L118),0)</f>
        <v>0</v>
      </c>
      <c r="R118" s="4">
        <f ca="1">SUMIFS(INDIRECT("Tab_00.Trial["&amp;R$4&amp;"]"),Tab_00.Trial[CONTA],$B118)</f>
        <v>42477392.43</v>
      </c>
      <c r="S118" s="78">
        <f t="shared" ref="S118:S126" ca="1" si="185">IFERROR($R118/$R$160,0)</f>
        <v>0.50749999999999995</v>
      </c>
      <c r="T118" s="78">
        <f t="shared" ref="T118:T126" ca="1" si="186">IFERROR(($R118-$O118)/ABS($O118),0)</f>
        <v>0</v>
      </c>
      <c r="U118" s="4">
        <f ca="1">SUMIFS(INDIRECT("Tab_00.Trial["&amp;U$4&amp;"]"),Tab_00.Trial[CONTA],$B118)</f>
        <v>42477392.43</v>
      </c>
      <c r="V118" s="78">
        <f t="shared" ref="V118:V126" ca="1" si="187">IFERROR($U118/$U$160,0)</f>
        <v>0.50280000000000002</v>
      </c>
      <c r="W118" s="78">
        <f t="shared" ref="W118:W126" ca="1" si="188">IFERROR(($U118-$R118)/ABS($R118),0)</f>
        <v>0</v>
      </c>
      <c r="X118" s="4">
        <f ca="1">SUMIFS(INDIRECT("Tab_00.Trial["&amp;X$4&amp;"]"),Tab_00.Trial[CONTA],$B118)</f>
        <v>42477392.43</v>
      </c>
      <c r="Y118" s="78">
        <f t="shared" ref="Y118:Y126" ca="1" si="189">IFERROR($X118/$X$160,0)</f>
        <v>0.50280000000000002</v>
      </c>
      <c r="Z118" s="78">
        <f t="shared" ref="Z118:Z126" ca="1" si="190">IFERROR(($X118-$U118)/ABS($U118),0)</f>
        <v>0</v>
      </c>
      <c r="AA118" s="4">
        <f ca="1">SUMIFS(INDIRECT("Tab_00.Trial["&amp;AA$4&amp;"]"),Tab_00.Trial[CONTA],$B118)</f>
        <v>42477392.43</v>
      </c>
      <c r="AB118" s="78">
        <f t="shared" ref="AB118:AB126" ca="1" si="191">IFERROR($AA118/$AA$160,0)</f>
        <v>0.50280000000000002</v>
      </c>
      <c r="AC118" s="78">
        <f t="shared" ref="AC118:AC126" ca="1" si="192">IFERROR(($AA118-$X118)/ABS($X118),0)</f>
        <v>0</v>
      </c>
      <c r="AD118" s="4">
        <f ca="1">SUMIFS(INDIRECT("Tab_00.Trial["&amp;AD$4&amp;"]"),Tab_00.Trial[CONTA],$B118)</f>
        <v>42477392.43</v>
      </c>
      <c r="AE118" s="78">
        <f t="shared" ref="AE118:AE126" ca="1" si="193">IFERROR($AD118/$AD$160,0)</f>
        <v>0.50009999999999999</v>
      </c>
      <c r="AF118" s="78">
        <f t="shared" ref="AF118:AF126" ca="1" si="194">IFERROR(($AD118-$AA118)/ABS($AA118),0)</f>
        <v>0</v>
      </c>
      <c r="AG118" s="4">
        <f ca="1">SUMIFS(INDIRECT("Tab_00.Trial["&amp;AG$4&amp;"]"),Tab_00.Trial[CONTA],$B118)</f>
        <v>42477392.43</v>
      </c>
      <c r="AH118" s="78">
        <f t="shared" ref="AH118:AH126" ca="1" si="195">IFERROR($AG118/$AG$160,0)</f>
        <v>0.49880000000000002</v>
      </c>
      <c r="AI118" s="78">
        <f t="shared" ref="AI118:AI126" ca="1" si="196">IFERROR(($AG118-$AD118)/ABS($AD118),0)</f>
        <v>0</v>
      </c>
      <c r="AJ118" s="4">
        <f ca="1">SUMIFS(INDIRECT("Tab_00.Trial["&amp;AJ$4&amp;"]"),Tab_00.Trial[CONTA],$B118)</f>
        <v>42477392.43</v>
      </c>
      <c r="AK118" s="78">
        <f t="shared" ref="AK118:AK126" ca="1" si="197">IFERROR($AJ118/$AJ$160,0)</f>
        <v>0.49690000000000001</v>
      </c>
      <c r="AL118" s="78">
        <f t="shared" ref="AL118:AL126" ca="1" si="198">IFERROR(($AJ118-$AG118)/ABS($AG118),0)</f>
        <v>0</v>
      </c>
      <c r="AM118" s="4">
        <f ca="1">SUMIFS(INDIRECT("Tab_00.Trial["&amp;AM$4&amp;"]"),Tab_00.Trial[CONTA],$B118)</f>
        <v>42477392.43</v>
      </c>
      <c r="AN118" s="78">
        <f t="shared" ref="AN118:AN120" ca="1" si="199">IFERROR(AM118/AM$160,0)</f>
        <v>0.4975</v>
      </c>
      <c r="AO118" s="78">
        <f t="shared" ref="AO118:AO126" ca="1" si="200">IFERROR(($AM118-$AJ118)/ABS($AJ118),0)</f>
        <v>0</v>
      </c>
    </row>
    <row r="119" spans="2:41" ht="15" hidden="1" customHeight="1" outlineLevel="1" x14ac:dyDescent="0.3">
      <c r="B119" s="14" t="s">
        <v>304</v>
      </c>
      <c r="C119" s="15" t="s">
        <v>305</v>
      </c>
      <c r="D119" s="4">
        <f>SUMIFS(Tab_99.Trial[DEZEMBRO],Tab_99.Trial[CONTA],$B119)</f>
        <v>0</v>
      </c>
      <c r="E119" s="78">
        <f t="shared" si="176"/>
        <v>0</v>
      </c>
      <c r="F119" s="4">
        <f ca="1">SUMIFS(INDIRECT("Tab_00.Trial["&amp;F$4&amp;"]"),Tab_00.Trial[CONTA],$B119)</f>
        <v>2866839.8</v>
      </c>
      <c r="G119" s="78">
        <f t="shared" ca="1" si="177"/>
        <v>3.4299999999999997E-2</v>
      </c>
      <c r="H119" s="78">
        <f t="shared" ca="1" si="178"/>
        <v>0</v>
      </c>
      <c r="I119" s="4">
        <f ca="1">SUMIFS(INDIRECT("Tab_00.Trial["&amp;I$4&amp;"]"),Tab_00.Trial[CONTA],$B119)</f>
        <v>2866839.8</v>
      </c>
      <c r="J119" s="78">
        <f t="shared" ca="1" si="179"/>
        <v>3.4599999999999999E-2</v>
      </c>
      <c r="K119" s="78">
        <f t="shared" ca="1" si="180"/>
        <v>0</v>
      </c>
      <c r="L119" s="4">
        <f ca="1">SUMIFS(INDIRECT("Tab_00.Trial["&amp;L$4&amp;"]"),Tab_00.Trial[CONTA],$B119)</f>
        <v>2866839.8</v>
      </c>
      <c r="M119" s="78">
        <f t="shared" ca="1" si="181"/>
        <v>3.4500000000000003E-2</v>
      </c>
      <c r="N119" s="78">
        <f t="shared" ca="1" si="182"/>
        <v>0</v>
      </c>
      <c r="O119" s="4">
        <f ca="1">SUMIFS(INDIRECT("Tab_00.Trial["&amp;O$4&amp;"]"),Tab_00.Trial[CONTA],$B119)</f>
        <v>2866839.8</v>
      </c>
      <c r="P119" s="78">
        <f t="shared" ca="1" si="183"/>
        <v>3.44E-2</v>
      </c>
      <c r="Q119" s="78">
        <f t="shared" ca="1" si="184"/>
        <v>0</v>
      </c>
      <c r="R119" s="4">
        <f ca="1">SUMIFS(INDIRECT("Tab_00.Trial["&amp;R$4&amp;"]"),Tab_00.Trial[CONTA],$B119)</f>
        <v>2866839.8</v>
      </c>
      <c r="S119" s="78">
        <f t="shared" ca="1" si="185"/>
        <v>3.4200000000000001E-2</v>
      </c>
      <c r="T119" s="78">
        <f t="shared" ca="1" si="186"/>
        <v>0</v>
      </c>
      <c r="U119" s="4">
        <f ca="1">SUMIFS(INDIRECT("Tab_00.Trial["&amp;U$4&amp;"]"),Tab_00.Trial[CONTA],$B119)</f>
        <v>2866839.8</v>
      </c>
      <c r="V119" s="78">
        <f t="shared" ca="1" si="187"/>
        <v>3.39E-2</v>
      </c>
      <c r="W119" s="78">
        <f t="shared" ca="1" si="188"/>
        <v>0</v>
      </c>
      <c r="X119" s="4">
        <f ca="1">SUMIFS(INDIRECT("Tab_00.Trial["&amp;X$4&amp;"]"),Tab_00.Trial[CONTA],$B119)</f>
        <v>2866839.8</v>
      </c>
      <c r="Y119" s="78">
        <f t="shared" ca="1" si="189"/>
        <v>3.39E-2</v>
      </c>
      <c r="Z119" s="78">
        <f t="shared" ca="1" si="190"/>
        <v>0</v>
      </c>
      <c r="AA119" s="4">
        <f ca="1">SUMIFS(INDIRECT("Tab_00.Trial["&amp;AA$4&amp;"]"),Tab_00.Trial[CONTA],$B119)</f>
        <v>2866839.8</v>
      </c>
      <c r="AB119" s="78">
        <f t="shared" ca="1" si="191"/>
        <v>3.39E-2</v>
      </c>
      <c r="AC119" s="78">
        <f t="shared" ca="1" si="192"/>
        <v>0</v>
      </c>
      <c r="AD119" s="4">
        <f ca="1">SUMIFS(INDIRECT("Tab_00.Trial["&amp;AD$4&amp;"]"),Tab_00.Trial[CONTA],$B119)</f>
        <v>2866839.8</v>
      </c>
      <c r="AE119" s="78">
        <f t="shared" ca="1" si="193"/>
        <v>3.3799999999999997E-2</v>
      </c>
      <c r="AF119" s="78">
        <f t="shared" ca="1" si="194"/>
        <v>0</v>
      </c>
      <c r="AG119" s="4">
        <f ca="1">SUMIFS(INDIRECT("Tab_00.Trial["&amp;AG$4&amp;"]"),Tab_00.Trial[CONTA],$B119)</f>
        <v>2866839.8</v>
      </c>
      <c r="AH119" s="78">
        <f t="shared" ca="1" si="195"/>
        <v>3.3700000000000001E-2</v>
      </c>
      <c r="AI119" s="78">
        <f t="shared" ca="1" si="196"/>
        <v>0</v>
      </c>
      <c r="AJ119" s="4">
        <f ca="1">SUMIFS(INDIRECT("Tab_00.Trial["&amp;AJ$4&amp;"]"),Tab_00.Trial[CONTA],$B119)</f>
        <v>2866839.8</v>
      </c>
      <c r="AK119" s="78">
        <f t="shared" ca="1" si="197"/>
        <v>3.3500000000000002E-2</v>
      </c>
      <c r="AL119" s="78">
        <f t="shared" ca="1" si="198"/>
        <v>0</v>
      </c>
      <c r="AM119" s="4">
        <f ca="1">SUMIFS(INDIRECT("Tab_00.Trial["&amp;AM$4&amp;"]"),Tab_00.Trial[CONTA],$B119)</f>
        <v>2866839.8</v>
      </c>
      <c r="AN119" s="78">
        <f t="shared" ca="1" si="199"/>
        <v>3.3599999999999998E-2</v>
      </c>
      <c r="AO119" s="78">
        <f t="shared" ca="1" si="200"/>
        <v>0</v>
      </c>
    </row>
    <row r="120" spans="2:41" ht="15" hidden="1" customHeight="1" outlineLevel="1" x14ac:dyDescent="0.3">
      <c r="B120" s="14" t="s">
        <v>306</v>
      </c>
      <c r="C120" s="15" t="s">
        <v>307</v>
      </c>
      <c r="D120" s="4">
        <f>SUMIFS(Tab_99.Trial[DEZEMBRO],Tab_99.Trial[CONTA],$B120)</f>
        <v>0</v>
      </c>
      <c r="E120" s="78">
        <f t="shared" si="176"/>
        <v>0</v>
      </c>
      <c r="F120" s="4">
        <f ca="1">SUMIFS(INDIRECT("Tab_00.Trial["&amp;F$4&amp;"]"),Tab_00.Trial[CONTA],$B120)</f>
        <v>4760.84</v>
      </c>
      <c r="G120" s="78">
        <f t="shared" ca="1" si="177"/>
        <v>1E-4</v>
      </c>
      <c r="H120" s="78">
        <f t="shared" ca="1" si="178"/>
        <v>0</v>
      </c>
      <c r="I120" s="4">
        <f ca="1">SUMIFS(INDIRECT("Tab_00.Trial["&amp;I$4&amp;"]"),Tab_00.Trial[CONTA],$B120)</f>
        <v>4760.84</v>
      </c>
      <c r="J120" s="78">
        <f t="shared" ca="1" si="179"/>
        <v>1E-4</v>
      </c>
      <c r="K120" s="78">
        <f t="shared" ca="1" si="180"/>
        <v>0</v>
      </c>
      <c r="L120" s="4">
        <f ca="1">SUMIFS(INDIRECT("Tab_00.Trial["&amp;L$4&amp;"]"),Tab_00.Trial[CONTA],$B120)</f>
        <v>4760.84</v>
      </c>
      <c r="M120" s="78">
        <f t="shared" ca="1" si="181"/>
        <v>1E-4</v>
      </c>
      <c r="N120" s="78">
        <f t="shared" ca="1" si="182"/>
        <v>0</v>
      </c>
      <c r="O120" s="4">
        <f ca="1">SUMIFS(INDIRECT("Tab_00.Trial["&amp;O$4&amp;"]"),Tab_00.Trial[CONTA],$B120)</f>
        <v>4760.84</v>
      </c>
      <c r="P120" s="78">
        <f t="shared" ca="1" si="183"/>
        <v>1E-4</v>
      </c>
      <c r="Q120" s="78">
        <f t="shared" ca="1" si="184"/>
        <v>0</v>
      </c>
      <c r="R120" s="4">
        <f ca="1">SUMIFS(INDIRECT("Tab_00.Trial["&amp;R$4&amp;"]"),Tab_00.Trial[CONTA],$B120)</f>
        <v>4760.84</v>
      </c>
      <c r="S120" s="78">
        <f t="shared" ca="1" si="185"/>
        <v>1E-4</v>
      </c>
      <c r="T120" s="78">
        <f t="shared" ca="1" si="186"/>
        <v>0</v>
      </c>
      <c r="U120" s="4">
        <f ca="1">SUMIFS(INDIRECT("Tab_00.Trial["&amp;U$4&amp;"]"),Tab_00.Trial[CONTA],$B120)</f>
        <v>4760.84</v>
      </c>
      <c r="V120" s="78">
        <f t="shared" ca="1" si="187"/>
        <v>1E-4</v>
      </c>
      <c r="W120" s="78">
        <f t="shared" ca="1" si="188"/>
        <v>0</v>
      </c>
      <c r="X120" s="4">
        <f ca="1">SUMIFS(INDIRECT("Tab_00.Trial["&amp;X$4&amp;"]"),Tab_00.Trial[CONTA],$B120)</f>
        <v>4760.84</v>
      </c>
      <c r="Y120" s="78">
        <f t="shared" ca="1" si="189"/>
        <v>1E-4</v>
      </c>
      <c r="Z120" s="78">
        <f t="shared" ca="1" si="190"/>
        <v>0</v>
      </c>
      <c r="AA120" s="4">
        <f ca="1">SUMIFS(INDIRECT("Tab_00.Trial["&amp;AA$4&amp;"]"),Tab_00.Trial[CONTA],$B120)</f>
        <v>4760.84</v>
      </c>
      <c r="AB120" s="78">
        <f t="shared" ca="1" si="191"/>
        <v>1E-4</v>
      </c>
      <c r="AC120" s="78">
        <f t="shared" ca="1" si="192"/>
        <v>0</v>
      </c>
      <c r="AD120" s="4">
        <f ca="1">SUMIFS(INDIRECT("Tab_00.Trial["&amp;AD$4&amp;"]"),Tab_00.Trial[CONTA],$B120)</f>
        <v>4760.84</v>
      </c>
      <c r="AE120" s="78">
        <f t="shared" ca="1" si="193"/>
        <v>1E-4</v>
      </c>
      <c r="AF120" s="78">
        <f t="shared" ca="1" si="194"/>
        <v>0</v>
      </c>
      <c r="AG120" s="4">
        <f ca="1">SUMIFS(INDIRECT("Tab_00.Trial["&amp;AG$4&amp;"]"),Tab_00.Trial[CONTA],$B120)</f>
        <v>4760.84</v>
      </c>
      <c r="AH120" s="78">
        <f t="shared" ca="1" si="195"/>
        <v>1E-4</v>
      </c>
      <c r="AI120" s="78">
        <f t="shared" ca="1" si="196"/>
        <v>0</v>
      </c>
      <c r="AJ120" s="4">
        <f ca="1">SUMIFS(INDIRECT("Tab_00.Trial["&amp;AJ$4&amp;"]"),Tab_00.Trial[CONTA],$B120)</f>
        <v>4760.84</v>
      </c>
      <c r="AK120" s="78">
        <f t="shared" ca="1" si="197"/>
        <v>1E-4</v>
      </c>
      <c r="AL120" s="78">
        <f t="shared" ca="1" si="198"/>
        <v>0</v>
      </c>
      <c r="AM120" s="4">
        <f ca="1">SUMIFS(INDIRECT("Tab_00.Trial["&amp;AM$4&amp;"]"),Tab_00.Trial[CONTA],$B120)</f>
        <v>4760.84</v>
      </c>
      <c r="AN120" s="78">
        <f t="shared" ca="1" si="199"/>
        <v>1E-4</v>
      </c>
      <c r="AO120" s="78">
        <f t="shared" ca="1" si="200"/>
        <v>0</v>
      </c>
    </row>
    <row r="121" spans="2:41" ht="15" hidden="1" customHeight="1" outlineLevel="1" x14ac:dyDescent="0.3">
      <c r="D121" s="4">
        <f>SUMIFS(Tab_99.Trial[DEZEMBRO],Tab_99.Trial[CONTA],$B121)</f>
        <v>0</v>
      </c>
      <c r="E121" s="78">
        <f t="shared" si="176"/>
        <v>0</v>
      </c>
      <c r="F121" s="4">
        <f ca="1">SUMIFS(INDIRECT("Tab_00.Trial["&amp;F$4&amp;"]"),Tab_00.Trial[CONTA],$B121)</f>
        <v>0</v>
      </c>
      <c r="G121" s="78">
        <f t="shared" ca="1" si="177"/>
        <v>0</v>
      </c>
      <c r="H121" s="78">
        <f t="shared" ca="1" si="178"/>
        <v>0</v>
      </c>
      <c r="I121" s="4">
        <f ca="1">SUMIFS(INDIRECT("Tab_00.Trial["&amp;I$4&amp;"]"),Tab_00.Trial[CONTA],$B121)</f>
        <v>0</v>
      </c>
      <c r="J121" s="78">
        <f t="shared" ca="1" si="179"/>
        <v>0</v>
      </c>
      <c r="K121" s="78">
        <f t="shared" ca="1" si="180"/>
        <v>0</v>
      </c>
      <c r="L121" s="4">
        <f ca="1">SUMIFS(INDIRECT("Tab_00.Trial["&amp;L$4&amp;"]"),Tab_00.Trial[CONTA],$B121)</f>
        <v>0</v>
      </c>
      <c r="M121" s="78">
        <f t="shared" ca="1" si="181"/>
        <v>0</v>
      </c>
      <c r="N121" s="78">
        <f t="shared" ca="1" si="182"/>
        <v>0</v>
      </c>
      <c r="O121" s="4">
        <f ca="1">SUMIFS(INDIRECT("Tab_00.Trial["&amp;O$4&amp;"]"),Tab_00.Trial[CONTA],$B121)</f>
        <v>0</v>
      </c>
      <c r="P121" s="78">
        <f t="shared" ca="1" si="183"/>
        <v>0</v>
      </c>
      <c r="Q121" s="78">
        <f t="shared" ca="1" si="184"/>
        <v>0</v>
      </c>
      <c r="R121" s="4">
        <f ca="1">SUMIFS(INDIRECT("Tab_00.Trial["&amp;R$4&amp;"]"),Tab_00.Trial[CONTA],$B121)</f>
        <v>0</v>
      </c>
      <c r="S121" s="78">
        <f t="shared" ca="1" si="185"/>
        <v>0</v>
      </c>
      <c r="T121" s="78">
        <f t="shared" ca="1" si="186"/>
        <v>0</v>
      </c>
      <c r="U121" s="4">
        <f ca="1">SUMIFS(INDIRECT("Tab_00.Trial["&amp;U$4&amp;"]"),Tab_00.Trial[CONTA],$B121)</f>
        <v>0</v>
      </c>
      <c r="V121" s="78">
        <f t="shared" ca="1" si="187"/>
        <v>0</v>
      </c>
      <c r="W121" s="78">
        <f t="shared" ca="1" si="188"/>
        <v>0</v>
      </c>
      <c r="X121" s="4">
        <f ca="1">SUMIFS(INDIRECT("Tab_00.Trial["&amp;X$4&amp;"]"),Tab_00.Trial[CONTA],$B121)</f>
        <v>0</v>
      </c>
      <c r="Y121" s="78">
        <f t="shared" ca="1" si="189"/>
        <v>0</v>
      </c>
      <c r="Z121" s="78">
        <f t="shared" ca="1" si="190"/>
        <v>0</v>
      </c>
      <c r="AA121" s="4">
        <f ca="1">SUMIFS(INDIRECT("Tab_00.Trial["&amp;AA$4&amp;"]"),Tab_00.Trial[CONTA],$B121)</f>
        <v>0</v>
      </c>
      <c r="AB121" s="78">
        <f t="shared" ca="1" si="191"/>
        <v>0</v>
      </c>
      <c r="AC121" s="78">
        <f t="shared" ca="1" si="192"/>
        <v>0</v>
      </c>
      <c r="AD121" s="4">
        <f ca="1">SUMIFS(INDIRECT("Tab_00.Trial["&amp;AD$4&amp;"]"),Tab_00.Trial[CONTA],$B121)</f>
        <v>0</v>
      </c>
      <c r="AE121" s="78">
        <f t="shared" ca="1" si="193"/>
        <v>0</v>
      </c>
      <c r="AF121" s="78">
        <f t="shared" ca="1" si="194"/>
        <v>0</v>
      </c>
      <c r="AG121" s="4">
        <f ca="1">SUMIFS(INDIRECT("Tab_00.Trial["&amp;AG$4&amp;"]"),Tab_00.Trial[CONTA],$B121)</f>
        <v>0</v>
      </c>
      <c r="AH121" s="78">
        <f t="shared" ca="1" si="195"/>
        <v>0</v>
      </c>
      <c r="AI121" s="78">
        <f t="shared" ca="1" si="196"/>
        <v>0</v>
      </c>
      <c r="AJ121" s="4">
        <f ca="1">SUMIFS(INDIRECT("Tab_00.Trial["&amp;AJ$4&amp;"]"),Tab_00.Trial[CONTA],$B121)</f>
        <v>0</v>
      </c>
      <c r="AK121" s="78">
        <f t="shared" ca="1" si="197"/>
        <v>0</v>
      </c>
      <c r="AL121" s="78">
        <f t="shared" ca="1" si="198"/>
        <v>0</v>
      </c>
      <c r="AM121" s="4">
        <f ca="1">SUMIFS(INDIRECT("Tab_00.Trial["&amp;AM$4&amp;"]"),Tab_00.Trial[CONTA],$B121)</f>
        <v>0</v>
      </c>
      <c r="AN121" s="78">
        <f t="shared" ref="AN121:AN126" ca="1" si="201">IFERROR(AM121/AM$160,0)</f>
        <v>0</v>
      </c>
      <c r="AO121" s="78">
        <f t="shared" ca="1" si="200"/>
        <v>0</v>
      </c>
    </row>
    <row r="122" spans="2:41" ht="15" hidden="1" customHeight="1" outlineLevel="1" x14ac:dyDescent="0.3">
      <c r="B122" s="14"/>
      <c r="C122" s="15"/>
      <c r="D122" s="4">
        <f>SUMIFS(Tab_99.Trial[DEZEMBRO],Tab_99.Trial[CONTA],$B122)</f>
        <v>0</v>
      </c>
      <c r="E122" s="78">
        <f t="shared" si="176"/>
        <v>0</v>
      </c>
      <c r="F122" s="4">
        <f ca="1">SUMIFS(INDIRECT("Tab_00.Trial["&amp;F$4&amp;"]"),Tab_00.Trial[CONTA],$B122)</f>
        <v>0</v>
      </c>
      <c r="G122" s="78">
        <f t="shared" ca="1" si="177"/>
        <v>0</v>
      </c>
      <c r="H122" s="78">
        <f t="shared" ca="1" si="178"/>
        <v>0</v>
      </c>
      <c r="I122" s="4">
        <f ca="1">SUMIFS(INDIRECT("Tab_00.Trial["&amp;I$4&amp;"]"),Tab_00.Trial[CONTA],$B122)</f>
        <v>0</v>
      </c>
      <c r="J122" s="78">
        <f t="shared" ca="1" si="179"/>
        <v>0</v>
      </c>
      <c r="K122" s="78">
        <f t="shared" ca="1" si="180"/>
        <v>0</v>
      </c>
      <c r="L122" s="4">
        <f ca="1">SUMIFS(INDIRECT("Tab_00.Trial["&amp;L$4&amp;"]"),Tab_00.Trial[CONTA],$B122)</f>
        <v>0</v>
      </c>
      <c r="M122" s="78">
        <f t="shared" ca="1" si="181"/>
        <v>0</v>
      </c>
      <c r="N122" s="78">
        <f t="shared" ca="1" si="182"/>
        <v>0</v>
      </c>
      <c r="O122" s="4">
        <f ca="1">SUMIFS(INDIRECT("Tab_00.Trial["&amp;O$4&amp;"]"),Tab_00.Trial[CONTA],$B122)</f>
        <v>0</v>
      </c>
      <c r="P122" s="78">
        <f t="shared" ca="1" si="183"/>
        <v>0</v>
      </c>
      <c r="Q122" s="78">
        <f t="shared" ca="1" si="184"/>
        <v>0</v>
      </c>
      <c r="R122" s="4">
        <f ca="1">SUMIFS(INDIRECT("Tab_00.Trial["&amp;R$4&amp;"]"),Tab_00.Trial[CONTA],$B122)</f>
        <v>0</v>
      </c>
      <c r="S122" s="78">
        <f t="shared" ca="1" si="185"/>
        <v>0</v>
      </c>
      <c r="T122" s="78">
        <f t="shared" ca="1" si="186"/>
        <v>0</v>
      </c>
      <c r="U122" s="4">
        <f ca="1">SUMIFS(INDIRECT("Tab_00.Trial["&amp;U$4&amp;"]"),Tab_00.Trial[CONTA],$B122)</f>
        <v>0</v>
      </c>
      <c r="V122" s="78">
        <f t="shared" ca="1" si="187"/>
        <v>0</v>
      </c>
      <c r="W122" s="78">
        <f t="shared" ca="1" si="188"/>
        <v>0</v>
      </c>
      <c r="X122" s="4">
        <f ca="1">SUMIFS(INDIRECT("Tab_00.Trial["&amp;X$4&amp;"]"),Tab_00.Trial[CONTA],$B122)</f>
        <v>0</v>
      </c>
      <c r="Y122" s="78">
        <f t="shared" ca="1" si="189"/>
        <v>0</v>
      </c>
      <c r="Z122" s="78">
        <f t="shared" ca="1" si="190"/>
        <v>0</v>
      </c>
      <c r="AA122" s="4">
        <f ca="1">SUMIFS(INDIRECT("Tab_00.Trial["&amp;AA$4&amp;"]"),Tab_00.Trial[CONTA],$B122)</f>
        <v>0</v>
      </c>
      <c r="AB122" s="78">
        <f t="shared" ca="1" si="191"/>
        <v>0</v>
      </c>
      <c r="AC122" s="78">
        <f t="shared" ca="1" si="192"/>
        <v>0</v>
      </c>
      <c r="AD122" s="4">
        <f ca="1">SUMIFS(INDIRECT("Tab_00.Trial["&amp;AD$4&amp;"]"),Tab_00.Trial[CONTA],$B122)</f>
        <v>0</v>
      </c>
      <c r="AE122" s="78">
        <f t="shared" ca="1" si="193"/>
        <v>0</v>
      </c>
      <c r="AF122" s="78">
        <f t="shared" ca="1" si="194"/>
        <v>0</v>
      </c>
      <c r="AG122" s="4">
        <f ca="1">SUMIFS(INDIRECT("Tab_00.Trial["&amp;AG$4&amp;"]"),Tab_00.Trial[CONTA],$B122)</f>
        <v>0</v>
      </c>
      <c r="AH122" s="78">
        <f t="shared" ca="1" si="195"/>
        <v>0</v>
      </c>
      <c r="AI122" s="78">
        <f t="shared" ca="1" si="196"/>
        <v>0</v>
      </c>
      <c r="AJ122" s="4">
        <f ca="1">SUMIFS(INDIRECT("Tab_00.Trial["&amp;AJ$4&amp;"]"),Tab_00.Trial[CONTA],$B122)</f>
        <v>0</v>
      </c>
      <c r="AK122" s="78">
        <f t="shared" ca="1" si="197"/>
        <v>0</v>
      </c>
      <c r="AL122" s="78">
        <f t="shared" ca="1" si="198"/>
        <v>0</v>
      </c>
      <c r="AM122" s="4">
        <f ca="1">SUMIFS(INDIRECT("Tab_00.Trial["&amp;AM$4&amp;"]"),Tab_00.Trial[CONTA],$B122)</f>
        <v>0</v>
      </c>
      <c r="AN122" s="78">
        <f t="shared" ca="1" si="201"/>
        <v>0</v>
      </c>
      <c r="AO122" s="78">
        <f t="shared" ca="1" si="200"/>
        <v>0</v>
      </c>
    </row>
    <row r="123" spans="2:41" ht="15" hidden="1" customHeight="1" outlineLevel="1" x14ac:dyDescent="0.3">
      <c r="B123" s="14"/>
      <c r="C123" s="15"/>
      <c r="D123" s="4">
        <f>SUMIFS(Tab_99.Trial[DEZEMBRO],Tab_99.Trial[CONTA],$B123)</f>
        <v>0</v>
      </c>
      <c r="E123" s="78">
        <f t="shared" si="176"/>
        <v>0</v>
      </c>
      <c r="F123" s="4">
        <f ca="1">SUMIFS(INDIRECT("Tab_00.Trial["&amp;F$4&amp;"]"),Tab_00.Trial[CONTA],$B123)</f>
        <v>0</v>
      </c>
      <c r="G123" s="78">
        <f t="shared" ca="1" si="177"/>
        <v>0</v>
      </c>
      <c r="H123" s="78">
        <f t="shared" ca="1" si="178"/>
        <v>0</v>
      </c>
      <c r="I123" s="4">
        <f ca="1">SUMIFS(INDIRECT("Tab_00.Trial["&amp;I$4&amp;"]"),Tab_00.Trial[CONTA],$B123)</f>
        <v>0</v>
      </c>
      <c r="J123" s="78">
        <f t="shared" ca="1" si="179"/>
        <v>0</v>
      </c>
      <c r="K123" s="78">
        <f t="shared" ca="1" si="180"/>
        <v>0</v>
      </c>
      <c r="L123" s="4">
        <f ca="1">SUMIFS(INDIRECT("Tab_00.Trial["&amp;L$4&amp;"]"),Tab_00.Trial[CONTA],$B123)</f>
        <v>0</v>
      </c>
      <c r="M123" s="78">
        <f t="shared" ca="1" si="181"/>
        <v>0</v>
      </c>
      <c r="N123" s="78">
        <f t="shared" ca="1" si="182"/>
        <v>0</v>
      </c>
      <c r="O123" s="4">
        <f ca="1">SUMIFS(INDIRECT("Tab_00.Trial["&amp;O$4&amp;"]"),Tab_00.Trial[CONTA],$B123)</f>
        <v>0</v>
      </c>
      <c r="P123" s="78">
        <f t="shared" ca="1" si="183"/>
        <v>0</v>
      </c>
      <c r="Q123" s="78">
        <f t="shared" ca="1" si="184"/>
        <v>0</v>
      </c>
      <c r="R123" s="4">
        <f ca="1">SUMIFS(INDIRECT("Tab_00.Trial["&amp;R$4&amp;"]"),Tab_00.Trial[CONTA],$B123)</f>
        <v>0</v>
      </c>
      <c r="S123" s="78">
        <f t="shared" ca="1" si="185"/>
        <v>0</v>
      </c>
      <c r="T123" s="78">
        <f t="shared" ca="1" si="186"/>
        <v>0</v>
      </c>
      <c r="U123" s="4">
        <f ca="1">SUMIFS(INDIRECT("Tab_00.Trial["&amp;U$4&amp;"]"),Tab_00.Trial[CONTA],$B123)</f>
        <v>0</v>
      </c>
      <c r="V123" s="78">
        <f t="shared" ca="1" si="187"/>
        <v>0</v>
      </c>
      <c r="W123" s="78">
        <f t="shared" ca="1" si="188"/>
        <v>0</v>
      </c>
      <c r="X123" s="4">
        <f ca="1">SUMIFS(INDIRECT("Tab_00.Trial["&amp;X$4&amp;"]"),Tab_00.Trial[CONTA],$B123)</f>
        <v>0</v>
      </c>
      <c r="Y123" s="78">
        <f t="shared" ca="1" si="189"/>
        <v>0</v>
      </c>
      <c r="Z123" s="78">
        <f t="shared" ca="1" si="190"/>
        <v>0</v>
      </c>
      <c r="AA123" s="4">
        <f ca="1">SUMIFS(INDIRECT("Tab_00.Trial["&amp;AA$4&amp;"]"),Tab_00.Trial[CONTA],$B123)</f>
        <v>0</v>
      </c>
      <c r="AB123" s="78">
        <f t="shared" ca="1" si="191"/>
        <v>0</v>
      </c>
      <c r="AC123" s="78">
        <f t="shared" ca="1" si="192"/>
        <v>0</v>
      </c>
      <c r="AD123" s="4">
        <f ca="1">SUMIFS(INDIRECT("Tab_00.Trial["&amp;AD$4&amp;"]"),Tab_00.Trial[CONTA],$B123)</f>
        <v>0</v>
      </c>
      <c r="AE123" s="78">
        <f t="shared" ca="1" si="193"/>
        <v>0</v>
      </c>
      <c r="AF123" s="78">
        <f t="shared" ca="1" si="194"/>
        <v>0</v>
      </c>
      <c r="AG123" s="4">
        <f ca="1">SUMIFS(INDIRECT("Tab_00.Trial["&amp;AG$4&amp;"]"),Tab_00.Trial[CONTA],$B123)</f>
        <v>0</v>
      </c>
      <c r="AH123" s="78">
        <f t="shared" ca="1" si="195"/>
        <v>0</v>
      </c>
      <c r="AI123" s="78">
        <f t="shared" ca="1" si="196"/>
        <v>0</v>
      </c>
      <c r="AJ123" s="4">
        <f ca="1">SUMIFS(INDIRECT("Tab_00.Trial["&amp;AJ$4&amp;"]"),Tab_00.Trial[CONTA],$B123)</f>
        <v>0</v>
      </c>
      <c r="AK123" s="78">
        <f t="shared" ca="1" si="197"/>
        <v>0</v>
      </c>
      <c r="AL123" s="78">
        <f t="shared" ca="1" si="198"/>
        <v>0</v>
      </c>
      <c r="AM123" s="4">
        <f ca="1">SUMIFS(INDIRECT("Tab_00.Trial["&amp;AM$4&amp;"]"),Tab_00.Trial[CONTA],$B123)</f>
        <v>0</v>
      </c>
      <c r="AN123" s="78">
        <f t="shared" ca="1" si="201"/>
        <v>0</v>
      </c>
      <c r="AO123" s="78">
        <f t="shared" ca="1" si="200"/>
        <v>0</v>
      </c>
    </row>
    <row r="124" spans="2:41" ht="15" hidden="1" customHeight="1" outlineLevel="1" x14ac:dyDescent="0.3">
      <c r="B124" s="14"/>
      <c r="C124" s="15"/>
      <c r="D124" s="4">
        <f>SUMIFS(Tab_99.Trial[DEZEMBRO],Tab_99.Trial[CONTA],$B124)</f>
        <v>0</v>
      </c>
      <c r="E124" s="78">
        <f t="shared" si="176"/>
        <v>0</v>
      </c>
      <c r="F124" s="4">
        <f ca="1">SUMIFS(INDIRECT("Tab_00.Trial["&amp;F$4&amp;"]"),Tab_00.Trial[CONTA],$B124)</f>
        <v>0</v>
      </c>
      <c r="G124" s="78">
        <f t="shared" ca="1" si="177"/>
        <v>0</v>
      </c>
      <c r="H124" s="78">
        <f t="shared" ca="1" si="178"/>
        <v>0</v>
      </c>
      <c r="I124" s="4">
        <f ca="1">SUMIFS(INDIRECT("Tab_00.Trial["&amp;I$4&amp;"]"),Tab_00.Trial[CONTA],$B124)</f>
        <v>0</v>
      </c>
      <c r="J124" s="78">
        <f t="shared" ca="1" si="179"/>
        <v>0</v>
      </c>
      <c r="K124" s="78">
        <f t="shared" ca="1" si="180"/>
        <v>0</v>
      </c>
      <c r="L124" s="4">
        <f ca="1">SUMIFS(INDIRECT("Tab_00.Trial["&amp;L$4&amp;"]"),Tab_00.Trial[CONTA],$B124)</f>
        <v>0</v>
      </c>
      <c r="M124" s="78">
        <f t="shared" ca="1" si="181"/>
        <v>0</v>
      </c>
      <c r="N124" s="78">
        <f t="shared" ca="1" si="182"/>
        <v>0</v>
      </c>
      <c r="O124" s="4">
        <f ca="1">SUMIFS(INDIRECT("Tab_00.Trial["&amp;O$4&amp;"]"),Tab_00.Trial[CONTA],$B124)</f>
        <v>0</v>
      </c>
      <c r="P124" s="78">
        <f t="shared" ca="1" si="183"/>
        <v>0</v>
      </c>
      <c r="Q124" s="78">
        <f t="shared" ca="1" si="184"/>
        <v>0</v>
      </c>
      <c r="R124" s="4">
        <f ca="1">SUMIFS(INDIRECT("Tab_00.Trial["&amp;R$4&amp;"]"),Tab_00.Trial[CONTA],$B124)</f>
        <v>0</v>
      </c>
      <c r="S124" s="78">
        <f t="shared" ca="1" si="185"/>
        <v>0</v>
      </c>
      <c r="T124" s="78">
        <f t="shared" ca="1" si="186"/>
        <v>0</v>
      </c>
      <c r="U124" s="4">
        <f ca="1">SUMIFS(INDIRECT("Tab_00.Trial["&amp;U$4&amp;"]"),Tab_00.Trial[CONTA],$B124)</f>
        <v>0</v>
      </c>
      <c r="V124" s="78">
        <f t="shared" ca="1" si="187"/>
        <v>0</v>
      </c>
      <c r="W124" s="78">
        <f t="shared" ca="1" si="188"/>
        <v>0</v>
      </c>
      <c r="X124" s="4">
        <f ca="1">SUMIFS(INDIRECT("Tab_00.Trial["&amp;X$4&amp;"]"),Tab_00.Trial[CONTA],$B124)</f>
        <v>0</v>
      </c>
      <c r="Y124" s="78">
        <f t="shared" ca="1" si="189"/>
        <v>0</v>
      </c>
      <c r="Z124" s="78">
        <f t="shared" ca="1" si="190"/>
        <v>0</v>
      </c>
      <c r="AA124" s="4">
        <f ca="1">SUMIFS(INDIRECT("Tab_00.Trial["&amp;AA$4&amp;"]"),Tab_00.Trial[CONTA],$B124)</f>
        <v>0</v>
      </c>
      <c r="AB124" s="78">
        <f t="shared" ca="1" si="191"/>
        <v>0</v>
      </c>
      <c r="AC124" s="78">
        <f t="shared" ca="1" si="192"/>
        <v>0</v>
      </c>
      <c r="AD124" s="4">
        <f ca="1">SUMIFS(INDIRECT("Tab_00.Trial["&amp;AD$4&amp;"]"),Tab_00.Trial[CONTA],$B124)</f>
        <v>0</v>
      </c>
      <c r="AE124" s="78">
        <f t="shared" ca="1" si="193"/>
        <v>0</v>
      </c>
      <c r="AF124" s="78">
        <f t="shared" ca="1" si="194"/>
        <v>0</v>
      </c>
      <c r="AG124" s="4">
        <f ca="1">SUMIFS(INDIRECT("Tab_00.Trial["&amp;AG$4&amp;"]"),Tab_00.Trial[CONTA],$B124)</f>
        <v>0</v>
      </c>
      <c r="AH124" s="78">
        <f t="shared" ca="1" si="195"/>
        <v>0</v>
      </c>
      <c r="AI124" s="78">
        <f t="shared" ca="1" si="196"/>
        <v>0</v>
      </c>
      <c r="AJ124" s="4">
        <f ca="1">SUMIFS(INDIRECT("Tab_00.Trial["&amp;AJ$4&amp;"]"),Tab_00.Trial[CONTA],$B124)</f>
        <v>0</v>
      </c>
      <c r="AK124" s="78">
        <f t="shared" ca="1" si="197"/>
        <v>0</v>
      </c>
      <c r="AL124" s="78">
        <f t="shared" ca="1" si="198"/>
        <v>0</v>
      </c>
      <c r="AM124" s="4">
        <f ca="1">SUMIFS(INDIRECT("Tab_00.Trial["&amp;AM$4&amp;"]"),Tab_00.Trial[CONTA],$B124)</f>
        <v>0</v>
      </c>
      <c r="AN124" s="78">
        <f t="shared" ca="1" si="201"/>
        <v>0</v>
      </c>
      <c r="AO124" s="78">
        <f t="shared" ca="1" si="200"/>
        <v>0</v>
      </c>
    </row>
    <row r="125" spans="2:41" ht="15" hidden="1" customHeight="1" outlineLevel="1" x14ac:dyDescent="0.3">
      <c r="B125" s="14"/>
      <c r="C125" s="15"/>
      <c r="D125" s="4">
        <f>SUMIFS(Tab_99.Trial[DEZEMBRO],Tab_99.Trial[CONTA],$B125)</f>
        <v>0</v>
      </c>
      <c r="E125" s="78">
        <f t="shared" si="176"/>
        <v>0</v>
      </c>
      <c r="F125" s="4">
        <f ca="1">SUMIFS(INDIRECT("Tab_00.Trial["&amp;F$4&amp;"]"),Tab_00.Trial[CONTA],$B125)</f>
        <v>0</v>
      </c>
      <c r="G125" s="78">
        <f t="shared" ca="1" si="177"/>
        <v>0</v>
      </c>
      <c r="H125" s="78">
        <f t="shared" ca="1" si="178"/>
        <v>0</v>
      </c>
      <c r="I125" s="4">
        <f ca="1">SUMIFS(INDIRECT("Tab_00.Trial["&amp;I$4&amp;"]"),Tab_00.Trial[CONTA],$B125)</f>
        <v>0</v>
      </c>
      <c r="J125" s="78">
        <f t="shared" ca="1" si="179"/>
        <v>0</v>
      </c>
      <c r="K125" s="78">
        <f t="shared" ca="1" si="180"/>
        <v>0</v>
      </c>
      <c r="L125" s="4">
        <f ca="1">SUMIFS(INDIRECT("Tab_00.Trial["&amp;L$4&amp;"]"),Tab_00.Trial[CONTA],$B125)</f>
        <v>0</v>
      </c>
      <c r="M125" s="78">
        <f t="shared" ca="1" si="181"/>
        <v>0</v>
      </c>
      <c r="N125" s="78">
        <f t="shared" ca="1" si="182"/>
        <v>0</v>
      </c>
      <c r="O125" s="4">
        <f ca="1">SUMIFS(INDIRECT("Tab_00.Trial["&amp;O$4&amp;"]"),Tab_00.Trial[CONTA],$B125)</f>
        <v>0</v>
      </c>
      <c r="P125" s="78">
        <f t="shared" ca="1" si="183"/>
        <v>0</v>
      </c>
      <c r="Q125" s="78">
        <f t="shared" ca="1" si="184"/>
        <v>0</v>
      </c>
      <c r="R125" s="4">
        <f ca="1">SUMIFS(INDIRECT("Tab_00.Trial["&amp;R$4&amp;"]"),Tab_00.Trial[CONTA],$B125)</f>
        <v>0</v>
      </c>
      <c r="S125" s="78">
        <f t="shared" ca="1" si="185"/>
        <v>0</v>
      </c>
      <c r="T125" s="78">
        <f t="shared" ca="1" si="186"/>
        <v>0</v>
      </c>
      <c r="U125" s="4">
        <f ca="1">SUMIFS(INDIRECT("Tab_00.Trial["&amp;U$4&amp;"]"),Tab_00.Trial[CONTA],$B125)</f>
        <v>0</v>
      </c>
      <c r="V125" s="78">
        <f t="shared" ca="1" si="187"/>
        <v>0</v>
      </c>
      <c r="W125" s="78">
        <f t="shared" ca="1" si="188"/>
        <v>0</v>
      </c>
      <c r="X125" s="4">
        <f ca="1">SUMIFS(INDIRECT("Tab_00.Trial["&amp;X$4&amp;"]"),Tab_00.Trial[CONTA],$B125)</f>
        <v>0</v>
      </c>
      <c r="Y125" s="78">
        <f t="shared" ca="1" si="189"/>
        <v>0</v>
      </c>
      <c r="Z125" s="78">
        <f t="shared" ca="1" si="190"/>
        <v>0</v>
      </c>
      <c r="AA125" s="4">
        <f ca="1">SUMIFS(INDIRECT("Tab_00.Trial["&amp;AA$4&amp;"]"),Tab_00.Trial[CONTA],$B125)</f>
        <v>0</v>
      </c>
      <c r="AB125" s="78">
        <f t="shared" ca="1" si="191"/>
        <v>0</v>
      </c>
      <c r="AC125" s="78">
        <f t="shared" ca="1" si="192"/>
        <v>0</v>
      </c>
      <c r="AD125" s="4">
        <f ca="1">SUMIFS(INDIRECT("Tab_00.Trial["&amp;AD$4&amp;"]"),Tab_00.Trial[CONTA],$B125)</f>
        <v>0</v>
      </c>
      <c r="AE125" s="78">
        <f t="shared" ca="1" si="193"/>
        <v>0</v>
      </c>
      <c r="AF125" s="78">
        <f t="shared" ca="1" si="194"/>
        <v>0</v>
      </c>
      <c r="AG125" s="4">
        <f ca="1">SUMIFS(INDIRECT("Tab_00.Trial["&amp;AG$4&amp;"]"),Tab_00.Trial[CONTA],$B125)</f>
        <v>0</v>
      </c>
      <c r="AH125" s="78">
        <f t="shared" ca="1" si="195"/>
        <v>0</v>
      </c>
      <c r="AI125" s="78">
        <f t="shared" ca="1" si="196"/>
        <v>0</v>
      </c>
      <c r="AJ125" s="4">
        <f ca="1">SUMIFS(INDIRECT("Tab_00.Trial["&amp;AJ$4&amp;"]"),Tab_00.Trial[CONTA],$B125)</f>
        <v>0</v>
      </c>
      <c r="AK125" s="78">
        <f t="shared" ca="1" si="197"/>
        <v>0</v>
      </c>
      <c r="AL125" s="78">
        <f t="shared" ca="1" si="198"/>
        <v>0</v>
      </c>
      <c r="AM125" s="4">
        <f ca="1">SUMIFS(INDIRECT("Tab_00.Trial["&amp;AM$4&amp;"]"),Tab_00.Trial[CONTA],$B125)</f>
        <v>0</v>
      </c>
      <c r="AN125" s="78">
        <f t="shared" ca="1" si="201"/>
        <v>0</v>
      </c>
      <c r="AO125" s="78">
        <f t="shared" ca="1" si="200"/>
        <v>0</v>
      </c>
    </row>
    <row r="126" spans="2:41" ht="15" hidden="1" customHeight="1" outlineLevel="1" x14ac:dyDescent="0.3">
      <c r="B126" s="14"/>
      <c r="C126" s="15"/>
      <c r="D126" s="4">
        <f>SUMIFS(Tab_99.Trial[DEZEMBRO],Tab_99.Trial[CONTA],$B126)</f>
        <v>0</v>
      </c>
      <c r="E126" s="78">
        <f t="shared" si="176"/>
        <v>0</v>
      </c>
      <c r="F126" s="4">
        <f ca="1">SUMIFS(INDIRECT("Tab_00.Trial["&amp;F$4&amp;"]"),Tab_00.Trial[CONTA],$B126)</f>
        <v>0</v>
      </c>
      <c r="G126" s="78">
        <f t="shared" ca="1" si="177"/>
        <v>0</v>
      </c>
      <c r="H126" s="78">
        <f t="shared" ca="1" si="178"/>
        <v>0</v>
      </c>
      <c r="I126" s="4">
        <f ca="1">SUMIFS(INDIRECT("Tab_00.Trial["&amp;I$4&amp;"]"),Tab_00.Trial[CONTA],$B126)</f>
        <v>0</v>
      </c>
      <c r="J126" s="78">
        <f t="shared" ca="1" si="179"/>
        <v>0</v>
      </c>
      <c r="K126" s="78">
        <f t="shared" ca="1" si="180"/>
        <v>0</v>
      </c>
      <c r="L126" s="4">
        <f ca="1">SUMIFS(INDIRECT("Tab_00.Trial["&amp;L$4&amp;"]"),Tab_00.Trial[CONTA],$B126)</f>
        <v>0</v>
      </c>
      <c r="M126" s="78">
        <f t="shared" ca="1" si="181"/>
        <v>0</v>
      </c>
      <c r="N126" s="78">
        <f t="shared" ca="1" si="182"/>
        <v>0</v>
      </c>
      <c r="O126" s="4">
        <f ca="1">SUMIFS(INDIRECT("Tab_00.Trial["&amp;O$4&amp;"]"),Tab_00.Trial[CONTA],$B126)</f>
        <v>0</v>
      </c>
      <c r="P126" s="78">
        <f t="shared" ca="1" si="183"/>
        <v>0</v>
      </c>
      <c r="Q126" s="78">
        <f t="shared" ca="1" si="184"/>
        <v>0</v>
      </c>
      <c r="R126" s="4">
        <f ca="1">SUMIFS(INDIRECT("Tab_00.Trial["&amp;R$4&amp;"]"),Tab_00.Trial[CONTA],$B126)</f>
        <v>0</v>
      </c>
      <c r="S126" s="78">
        <f t="shared" ca="1" si="185"/>
        <v>0</v>
      </c>
      <c r="T126" s="78">
        <f t="shared" ca="1" si="186"/>
        <v>0</v>
      </c>
      <c r="U126" s="4">
        <f ca="1">SUMIFS(INDIRECT("Tab_00.Trial["&amp;U$4&amp;"]"),Tab_00.Trial[CONTA],$B126)</f>
        <v>0</v>
      </c>
      <c r="V126" s="78">
        <f t="shared" ca="1" si="187"/>
        <v>0</v>
      </c>
      <c r="W126" s="78">
        <f t="shared" ca="1" si="188"/>
        <v>0</v>
      </c>
      <c r="X126" s="4">
        <f ca="1">SUMIFS(INDIRECT("Tab_00.Trial["&amp;X$4&amp;"]"),Tab_00.Trial[CONTA],$B126)</f>
        <v>0</v>
      </c>
      <c r="Y126" s="78">
        <f t="shared" ca="1" si="189"/>
        <v>0</v>
      </c>
      <c r="Z126" s="78">
        <f t="shared" ca="1" si="190"/>
        <v>0</v>
      </c>
      <c r="AA126" s="4">
        <f ca="1">SUMIFS(INDIRECT("Tab_00.Trial["&amp;AA$4&amp;"]"),Tab_00.Trial[CONTA],$B126)</f>
        <v>0</v>
      </c>
      <c r="AB126" s="78">
        <f t="shared" ca="1" si="191"/>
        <v>0</v>
      </c>
      <c r="AC126" s="78">
        <f t="shared" ca="1" si="192"/>
        <v>0</v>
      </c>
      <c r="AD126" s="4">
        <f ca="1">SUMIFS(INDIRECT("Tab_00.Trial["&amp;AD$4&amp;"]"),Tab_00.Trial[CONTA],$B126)</f>
        <v>0</v>
      </c>
      <c r="AE126" s="78">
        <f t="shared" ca="1" si="193"/>
        <v>0</v>
      </c>
      <c r="AF126" s="78">
        <f t="shared" ca="1" si="194"/>
        <v>0</v>
      </c>
      <c r="AG126" s="4">
        <f ca="1">SUMIFS(INDIRECT("Tab_00.Trial["&amp;AG$4&amp;"]"),Tab_00.Trial[CONTA],$B126)</f>
        <v>0</v>
      </c>
      <c r="AH126" s="78">
        <f t="shared" ca="1" si="195"/>
        <v>0</v>
      </c>
      <c r="AI126" s="78">
        <f t="shared" ca="1" si="196"/>
        <v>0</v>
      </c>
      <c r="AJ126" s="4">
        <f ca="1">SUMIFS(INDIRECT("Tab_00.Trial["&amp;AJ$4&amp;"]"),Tab_00.Trial[CONTA],$B126)</f>
        <v>0</v>
      </c>
      <c r="AK126" s="78">
        <f t="shared" ca="1" si="197"/>
        <v>0</v>
      </c>
      <c r="AL126" s="78">
        <f t="shared" ca="1" si="198"/>
        <v>0</v>
      </c>
      <c r="AM126" s="4">
        <f ca="1">SUMIFS(INDIRECT("Tab_00.Trial["&amp;AM$4&amp;"]"),Tab_00.Trial[CONTA],$B126)</f>
        <v>0</v>
      </c>
      <c r="AN126" s="78">
        <f t="shared" ca="1" si="201"/>
        <v>0</v>
      </c>
      <c r="AO126" s="78">
        <f t="shared" ca="1" si="200"/>
        <v>0</v>
      </c>
    </row>
    <row r="127" spans="2:41" ht="5.0999999999999996" hidden="1" customHeight="1" outlineLevel="1" x14ac:dyDescent="0.3">
      <c r="B127" s="74"/>
      <c r="C127" s="75"/>
      <c r="D127" s="76"/>
      <c r="E127" s="77"/>
      <c r="F127" s="76"/>
      <c r="G127" s="77"/>
      <c r="H127" s="77"/>
      <c r="I127" s="76"/>
      <c r="J127" s="77"/>
      <c r="K127" s="77"/>
      <c r="L127" s="76"/>
      <c r="M127" s="77"/>
      <c r="N127" s="77"/>
      <c r="O127" s="76"/>
      <c r="P127" s="77"/>
      <c r="Q127" s="77"/>
      <c r="R127" s="76"/>
      <c r="S127" s="77"/>
      <c r="T127" s="77"/>
      <c r="U127" s="76"/>
      <c r="V127" s="77"/>
      <c r="W127" s="77"/>
      <c r="X127" s="76"/>
      <c r="Y127" s="77"/>
      <c r="Z127" s="77"/>
      <c r="AA127" s="76"/>
      <c r="AB127" s="77"/>
      <c r="AC127" s="77"/>
      <c r="AD127" s="76"/>
      <c r="AE127" s="77"/>
      <c r="AF127" s="77"/>
      <c r="AG127" s="76"/>
      <c r="AH127" s="77"/>
      <c r="AI127" s="77"/>
      <c r="AJ127" s="76"/>
      <c r="AK127" s="77"/>
      <c r="AL127" s="77"/>
      <c r="AM127" s="76"/>
      <c r="AN127" s="77"/>
      <c r="AO127" s="77"/>
    </row>
    <row r="128" spans="2:41" ht="15" customHeight="1" collapsed="1" x14ac:dyDescent="0.3">
      <c r="B128" s="3" t="s">
        <v>118</v>
      </c>
      <c r="C128" s="14" t="s">
        <v>35</v>
      </c>
      <c r="D128" s="4">
        <f>SUBTOTAL(9,D$129:D$151)</f>
        <v>0</v>
      </c>
      <c r="E128" s="78">
        <v>6.0000000000000001E-3</v>
      </c>
      <c r="F128" s="4">
        <f ca="1">SUBTOTAL(9,F$129:F$151)</f>
        <v>2330317.4500000002</v>
      </c>
      <c r="G128" s="78">
        <v>6.7000000000000002E-3</v>
      </c>
      <c r="H128" s="78">
        <v>-5.0999999999999997E-2</v>
      </c>
      <c r="I128" s="4">
        <f ca="1">SUBTOTAL(9,I$129:I$151)</f>
        <v>2330317.4500000002</v>
      </c>
      <c r="J128" s="78">
        <v>7.0000000000000001E-3</v>
      </c>
      <c r="K128" s="78">
        <v>-2.5000000000000001E-3</v>
      </c>
      <c r="L128" s="4">
        <f ca="1">SUBTOTAL(9,L$129:L$151)</f>
        <v>2339989.5499999998</v>
      </c>
      <c r="M128" s="78">
        <v>7.0000000000000001E-3</v>
      </c>
      <c r="N128" s="78">
        <v>-2.5000000000000001E-3</v>
      </c>
      <c r="O128" s="4">
        <f ca="1">SUBTOTAL(9,O$129:O$151)</f>
        <v>2356493.87</v>
      </c>
      <c r="P128" s="78">
        <v>7.1000000000000004E-3</v>
      </c>
      <c r="Q128" s="78">
        <v>-2.0999999999999999E-3</v>
      </c>
      <c r="R128" s="4">
        <f ca="1">SUBTOTAL(9,R$129:R$151)</f>
        <v>2372232.91</v>
      </c>
      <c r="S128" s="78">
        <v>6.0000000000000001E-3</v>
      </c>
      <c r="T128" s="78">
        <v>-5.9999999999999995E-4</v>
      </c>
      <c r="U128" s="4">
        <f ca="1">SUBTOTAL(9,U$129:U$151)</f>
        <v>2365645.81</v>
      </c>
      <c r="V128" s="78">
        <v>6.1000000000000004E-3</v>
      </c>
      <c r="W128" s="78">
        <v>8.6E-3</v>
      </c>
      <c r="X128" s="4">
        <f ca="1">SUBTOTAL(9,X$129:X$151)</f>
        <v>2365645.81</v>
      </c>
      <c r="Y128" s="78">
        <v>6.0000000000000001E-3</v>
      </c>
      <c r="Z128" s="78">
        <v>-8.9999999999999998E-4</v>
      </c>
      <c r="AA128" s="4">
        <f ca="1">SUBTOTAL(9,AA$129:AA$151)</f>
        <v>2365645.81</v>
      </c>
      <c r="AB128" s="78">
        <v>5.8999999999999999E-3</v>
      </c>
      <c r="AC128" s="78">
        <v>-5.9999999999999995E-4</v>
      </c>
      <c r="AD128" s="4">
        <f ca="1">SUBTOTAL(9,AD$129:AD$151)</f>
        <v>2360543.31</v>
      </c>
      <c r="AE128" s="78">
        <v>6.1000000000000004E-3</v>
      </c>
      <c r="AF128" s="78">
        <v>2.2100000000000002E-2</v>
      </c>
      <c r="AG128" s="4">
        <f ca="1">SUBTOTAL(9,AG$129:AG$151)</f>
        <v>2356876.56</v>
      </c>
      <c r="AH128" s="78">
        <v>5.8999999999999999E-3</v>
      </c>
      <c r="AI128" s="78">
        <v>6.8999999999999999E-3</v>
      </c>
      <c r="AJ128" s="4">
        <f ca="1">SUBTOTAL(9,AJ$129:AJ$151)</f>
        <v>2354549.81</v>
      </c>
      <c r="AK128" s="78">
        <v>5.7999999999999996E-3</v>
      </c>
      <c r="AL128" s="78">
        <v>-5.9999999999999995E-4</v>
      </c>
      <c r="AM128" s="4">
        <f ca="1">SUBTOTAL(9,AM$129:AM$151)</f>
        <v>2355889.34</v>
      </c>
      <c r="AN128" s="78">
        <v>6.0000000000000001E-3</v>
      </c>
      <c r="AO128" s="78">
        <v>2.53E-2</v>
      </c>
    </row>
    <row r="129" spans="2:42" ht="15" hidden="1" customHeight="1" outlineLevel="1" x14ac:dyDescent="0.3">
      <c r="B129" s="14" t="s">
        <v>310</v>
      </c>
      <c r="C129" s="15" t="s">
        <v>311</v>
      </c>
      <c r="D129" s="4">
        <f>SUMIFS(Tab_99.Trial[DEZEMBRO],Tab_99.Trial[CONTA],$B129)</f>
        <v>0</v>
      </c>
      <c r="E129" s="78">
        <f t="shared" ref="E129:E147" si="202">IFERROR($D129/$D$160,0)</f>
        <v>0</v>
      </c>
      <c r="F129" s="4">
        <f ca="1">SUMIFS(INDIRECT("Tab_00.Trial["&amp;F$4&amp;"]"),Tab_00.Trial[CONTA],$B129)</f>
        <v>1379260.84</v>
      </c>
      <c r="G129" s="78">
        <f t="shared" ref="G129:G147" ca="1" si="203">IFERROR($F129/$F$160,0)</f>
        <v>1.6500000000000001E-2</v>
      </c>
      <c r="H129" s="78">
        <f t="shared" ref="H129:H147" ca="1" si="204">IFERROR(($F129-$D129)/ABS($D129),0)</f>
        <v>0</v>
      </c>
      <c r="I129" s="4">
        <f ca="1">SUMIFS(INDIRECT("Tab_00.Trial["&amp;I$4&amp;"]"),Tab_00.Trial[CONTA],$B129)</f>
        <v>1379260.84</v>
      </c>
      <c r="J129" s="78">
        <f t="shared" ref="J129:J147" ca="1" si="205">IFERROR($I129/$I$160,0)</f>
        <v>1.66E-2</v>
      </c>
      <c r="K129" s="78">
        <f t="shared" ref="K129:K147" ca="1" si="206">IFERROR(($I129-$F129)/ABS($F129),0)</f>
        <v>0</v>
      </c>
      <c r="L129" s="4">
        <f ca="1">SUMIFS(INDIRECT("Tab_00.Trial["&amp;L$4&amp;"]"),Tab_00.Trial[CONTA],$B129)</f>
        <v>1379260.84</v>
      </c>
      <c r="M129" s="78">
        <f t="shared" ref="M129:M147" ca="1" si="207">IFERROR($L129/$L$160,0)</f>
        <v>1.66E-2</v>
      </c>
      <c r="N129" s="78">
        <f t="shared" ref="N129:N147" ca="1" si="208">IFERROR(($L129-$I129)/ABS($I129),0)</f>
        <v>0</v>
      </c>
      <c r="O129" s="4">
        <f ca="1">SUMIFS(INDIRECT("Tab_00.Trial["&amp;O$4&amp;"]"),Tab_00.Trial[CONTA],$B129)</f>
        <v>1379260.84</v>
      </c>
      <c r="P129" s="78">
        <f t="shared" ref="P129:P147" ca="1" si="209">IFERROR($O129/$O$160,0)</f>
        <v>1.6500000000000001E-2</v>
      </c>
      <c r="Q129" s="78">
        <f t="shared" ref="Q129:Q147" ca="1" si="210">IFERROR(($O129-$L129)/ABS($L129),0)</f>
        <v>0</v>
      </c>
      <c r="R129" s="4">
        <f ca="1">SUMIFS(INDIRECT("Tab_00.Trial["&amp;R$4&amp;"]"),Tab_00.Trial[CONTA],$B129)</f>
        <v>1379260.84</v>
      </c>
      <c r="S129" s="78">
        <f t="shared" ref="S129:S147" ca="1" si="211">IFERROR($R129/$R$160,0)</f>
        <v>1.6500000000000001E-2</v>
      </c>
      <c r="T129" s="78">
        <f t="shared" ref="T129:T147" ca="1" si="212">IFERROR(($R129-$O129)/ABS($O129),0)</f>
        <v>0</v>
      </c>
      <c r="U129" s="4">
        <f ca="1">SUMIFS(INDIRECT("Tab_00.Trial["&amp;U$4&amp;"]"),Tab_00.Trial[CONTA],$B129)</f>
        <v>1379260.84</v>
      </c>
      <c r="V129" s="78">
        <f t="shared" ref="V129:V147" ca="1" si="213">IFERROR($U129/$U$160,0)</f>
        <v>1.6299999999999999E-2</v>
      </c>
      <c r="W129" s="78">
        <f t="shared" ref="W129:W147" ca="1" si="214">IFERROR(($U129-$R129)/ABS($R129),0)</f>
        <v>0</v>
      </c>
      <c r="X129" s="4">
        <f ca="1">SUMIFS(INDIRECT("Tab_00.Trial["&amp;X$4&amp;"]"),Tab_00.Trial[CONTA],$B129)</f>
        <v>1379260.84</v>
      </c>
      <c r="Y129" s="78">
        <f t="shared" ref="Y129:Y147" ca="1" si="215">IFERROR($X129/$X$160,0)</f>
        <v>1.6299999999999999E-2</v>
      </c>
      <c r="Z129" s="78">
        <f t="shared" ref="Z129:Z147" ca="1" si="216">IFERROR(($X129-$U129)/ABS($U129),0)</f>
        <v>0</v>
      </c>
      <c r="AA129" s="4">
        <f ca="1">SUMIFS(INDIRECT("Tab_00.Trial["&amp;AA$4&amp;"]"),Tab_00.Trial[CONTA],$B129)</f>
        <v>1379260.84</v>
      </c>
      <c r="AB129" s="78">
        <f t="shared" ref="AB129:AB147" ca="1" si="217">IFERROR($AA129/$AA$160,0)</f>
        <v>1.6299999999999999E-2</v>
      </c>
      <c r="AC129" s="78">
        <f t="shared" ref="AC129:AC147" ca="1" si="218">IFERROR(($AA129-$X129)/ABS($X129),0)</f>
        <v>0</v>
      </c>
      <c r="AD129" s="4">
        <f ca="1">SUMIFS(INDIRECT("Tab_00.Trial["&amp;AD$4&amp;"]"),Tab_00.Trial[CONTA],$B129)</f>
        <v>1379260.84</v>
      </c>
      <c r="AE129" s="78">
        <f t="shared" ref="AE129:AE147" ca="1" si="219">IFERROR($AD129/$AD$160,0)</f>
        <v>1.6199999999999999E-2</v>
      </c>
      <c r="AF129" s="78">
        <f t="shared" ref="AF129:AF147" ca="1" si="220">IFERROR(($AD129-$AA129)/ABS($AA129),0)</f>
        <v>0</v>
      </c>
      <c r="AG129" s="4">
        <f ca="1">SUMIFS(INDIRECT("Tab_00.Trial["&amp;AG$4&amp;"]"),Tab_00.Trial[CONTA],$B129)</f>
        <v>1379260.84</v>
      </c>
      <c r="AH129" s="78">
        <f t="shared" ref="AH129:AH147" ca="1" si="221">IFERROR($AG129/$AG$160,0)</f>
        <v>1.6199999999999999E-2</v>
      </c>
      <c r="AI129" s="78">
        <f t="shared" ref="AI129:AI147" ca="1" si="222">IFERROR(($AG129-$AD129)/ABS($AD129),0)</f>
        <v>0</v>
      </c>
      <c r="AJ129" s="4">
        <f ca="1">SUMIFS(INDIRECT("Tab_00.Trial["&amp;AJ$4&amp;"]"),Tab_00.Trial[CONTA],$B129)</f>
        <v>1379260.84</v>
      </c>
      <c r="AK129" s="78">
        <f t="shared" ref="AK129:AK147" ca="1" si="223">IFERROR($AJ129/$AJ$160,0)</f>
        <v>1.61E-2</v>
      </c>
      <c r="AL129" s="78">
        <f t="shared" ref="AL129:AL147" ca="1" si="224">IFERROR(($AJ129-$AG129)/ABS($AG129),0)</f>
        <v>0</v>
      </c>
      <c r="AM129" s="4">
        <f ca="1">SUMIFS(INDIRECT("Tab_00.Trial["&amp;AM$4&amp;"]"),Tab_00.Trial[CONTA],$B129)</f>
        <v>1379260.84</v>
      </c>
      <c r="AN129" s="78">
        <f t="shared" ref="AN129:AN147" ca="1" si="225">IFERROR(AM129/AM$160,0)</f>
        <v>1.6199999999999999E-2</v>
      </c>
      <c r="AO129" s="78">
        <f t="shared" ref="AO129:AO147" ca="1" si="226">IFERROR(($AM129-$AJ129)/ABS($AJ129),0)</f>
        <v>0</v>
      </c>
      <c r="AP129" s="1" t="s">
        <v>245</v>
      </c>
    </row>
    <row r="130" spans="2:42" ht="15" hidden="1" customHeight="1" outlineLevel="1" x14ac:dyDescent="0.3">
      <c r="B130" s="14" t="s">
        <v>312</v>
      </c>
      <c r="C130" s="15" t="s">
        <v>313</v>
      </c>
      <c r="D130" s="4">
        <f>SUMIFS(Tab_99.Trial[DEZEMBRO],Tab_99.Trial[CONTA],$B130)</f>
        <v>0</v>
      </c>
      <c r="E130" s="78">
        <f t="shared" si="202"/>
        <v>0</v>
      </c>
      <c r="F130" s="4">
        <f ca="1">SUMIFS(INDIRECT("Tab_00.Trial["&amp;F$4&amp;"]"),Tab_00.Trial[CONTA],$B130)</f>
        <v>1233996.98</v>
      </c>
      <c r="G130" s="78">
        <f t="shared" ca="1" si="203"/>
        <v>1.4800000000000001E-2</v>
      </c>
      <c r="H130" s="78">
        <f t="shared" ca="1" si="204"/>
        <v>0</v>
      </c>
      <c r="I130" s="4">
        <f ca="1">SUMIFS(INDIRECT("Tab_00.Trial["&amp;I$4&amp;"]"),Tab_00.Trial[CONTA],$B130)</f>
        <v>1233996.98</v>
      </c>
      <c r="J130" s="78">
        <f t="shared" ca="1" si="205"/>
        <v>1.49E-2</v>
      </c>
      <c r="K130" s="78">
        <f t="shared" ca="1" si="206"/>
        <v>0</v>
      </c>
      <c r="L130" s="4">
        <f ca="1">SUMIFS(INDIRECT("Tab_00.Trial["&amp;L$4&amp;"]"),Tab_00.Trial[CONTA],$B130)</f>
        <v>1252585.8700000001</v>
      </c>
      <c r="M130" s="78">
        <f t="shared" ca="1" si="207"/>
        <v>1.5100000000000001E-2</v>
      </c>
      <c r="N130" s="78">
        <f t="shared" ca="1" si="208"/>
        <v>1.5100000000000001E-2</v>
      </c>
      <c r="O130" s="4">
        <f ca="1">SUMIFS(INDIRECT("Tab_00.Trial["&amp;O$4&amp;"]"),Tab_00.Trial[CONTA],$B130)</f>
        <v>1271804.96</v>
      </c>
      <c r="P130" s="78">
        <f t="shared" ca="1" si="209"/>
        <v>1.5299999999999999E-2</v>
      </c>
      <c r="Q130" s="78">
        <f t="shared" ca="1" si="210"/>
        <v>1.5299999999999999E-2</v>
      </c>
      <c r="R130" s="4">
        <f ca="1">SUMIFS(INDIRECT("Tab_00.Trial["&amp;R$4&amp;"]"),Tab_00.Trial[CONTA],$B130)</f>
        <v>1290393.8500000001</v>
      </c>
      <c r="S130" s="78">
        <f t="shared" ca="1" si="211"/>
        <v>1.54E-2</v>
      </c>
      <c r="T130" s="78">
        <f t="shared" ca="1" si="212"/>
        <v>1.46E-2</v>
      </c>
      <c r="U130" s="4">
        <f ca="1">SUMIFS(INDIRECT("Tab_00.Trial["&amp;U$4&amp;"]"),Tab_00.Trial[CONTA],$B130)</f>
        <v>1291140.25</v>
      </c>
      <c r="V130" s="78">
        <f t="shared" ca="1" si="213"/>
        <v>1.5299999999999999E-2</v>
      </c>
      <c r="W130" s="78">
        <f t="shared" ca="1" si="214"/>
        <v>5.9999999999999995E-4</v>
      </c>
      <c r="X130" s="4">
        <f ca="1">SUMIFS(INDIRECT("Tab_00.Trial["&amp;X$4&amp;"]"),Tab_00.Trial[CONTA],$B130)</f>
        <v>1291140.25</v>
      </c>
      <c r="Y130" s="78">
        <f t="shared" ca="1" si="215"/>
        <v>1.5299999999999999E-2</v>
      </c>
      <c r="Z130" s="78">
        <f t="shared" ca="1" si="216"/>
        <v>0</v>
      </c>
      <c r="AA130" s="4">
        <f ca="1">SUMIFS(INDIRECT("Tab_00.Trial["&amp;AA$4&amp;"]"),Tab_00.Trial[CONTA],$B130)</f>
        <v>1291140.25</v>
      </c>
      <c r="AB130" s="78">
        <f t="shared" ca="1" si="217"/>
        <v>1.5299999999999999E-2</v>
      </c>
      <c r="AC130" s="78">
        <f t="shared" ca="1" si="218"/>
        <v>0</v>
      </c>
      <c r="AD130" s="4">
        <f ca="1">SUMIFS(INDIRECT("Tab_00.Trial["&amp;AD$4&amp;"]"),Tab_00.Trial[CONTA],$B130)</f>
        <v>1293371.25</v>
      </c>
      <c r="AE130" s="78">
        <f t="shared" ca="1" si="219"/>
        <v>1.52E-2</v>
      </c>
      <c r="AF130" s="78">
        <f t="shared" ca="1" si="220"/>
        <v>1.6999999999999999E-3</v>
      </c>
      <c r="AG130" s="4">
        <f ca="1">SUMIFS(INDIRECT("Tab_00.Trial["&amp;AG$4&amp;"]"),Tab_00.Trial[CONTA],$B130)</f>
        <v>1293371.25</v>
      </c>
      <c r="AH130" s="78">
        <f t="shared" ca="1" si="221"/>
        <v>1.52E-2</v>
      </c>
      <c r="AI130" s="78">
        <f t="shared" ca="1" si="222"/>
        <v>0</v>
      </c>
      <c r="AJ130" s="4">
        <f ca="1">SUMIFS(INDIRECT("Tab_00.Trial["&amp;AJ$4&amp;"]"),Tab_00.Trial[CONTA],$B130)</f>
        <v>1293371.25</v>
      </c>
      <c r="AK130" s="78">
        <f t="shared" ca="1" si="223"/>
        <v>1.5100000000000001E-2</v>
      </c>
      <c r="AL130" s="78">
        <f t="shared" ca="1" si="224"/>
        <v>0</v>
      </c>
      <c r="AM130" s="4">
        <f ca="1">SUMIFS(INDIRECT("Tab_00.Trial["&amp;AM$4&amp;"]"),Tab_00.Trial[CONTA],$B130)</f>
        <v>1296704.5900000001</v>
      </c>
      <c r="AN130" s="78">
        <f t="shared" ca="1" si="225"/>
        <v>1.52E-2</v>
      </c>
      <c r="AO130" s="78">
        <f t="shared" ca="1" si="226"/>
        <v>2.5999999999999999E-3</v>
      </c>
    </row>
    <row r="131" spans="2:42" ht="15" hidden="1" customHeight="1" outlineLevel="1" x14ac:dyDescent="0.3">
      <c r="B131" s="14" t="s">
        <v>181</v>
      </c>
      <c r="C131" s="15" t="s">
        <v>314</v>
      </c>
      <c r="D131" s="4">
        <f>SUMIFS(Tab_99.Trial[DEZEMBRO],Tab_99.Trial[CONTA],$B131)</f>
        <v>0</v>
      </c>
      <c r="E131" s="78">
        <f t="shared" si="202"/>
        <v>0</v>
      </c>
      <c r="F131" s="4">
        <f ca="1">SUMIFS(INDIRECT("Tab_00.Trial["&amp;F$4&amp;"]"),Tab_00.Trial[CONTA],$B131)</f>
        <v>23000</v>
      </c>
      <c r="G131" s="78">
        <f t="shared" ca="1" si="203"/>
        <v>2.9999999999999997E-4</v>
      </c>
      <c r="H131" s="78">
        <f t="shared" ca="1" si="204"/>
        <v>0</v>
      </c>
      <c r="I131" s="4">
        <f ca="1">SUMIFS(INDIRECT("Tab_00.Trial["&amp;I$4&amp;"]"),Tab_00.Trial[CONTA],$B131)</f>
        <v>23000</v>
      </c>
      <c r="J131" s="78">
        <f t="shared" ca="1" si="205"/>
        <v>2.9999999999999997E-4</v>
      </c>
      <c r="K131" s="78">
        <f t="shared" ca="1" si="206"/>
        <v>0</v>
      </c>
      <c r="L131" s="4">
        <f ca="1">SUMIFS(INDIRECT("Tab_00.Trial["&amp;L$4&amp;"]"),Tab_00.Trial[CONTA],$B131)</f>
        <v>23000</v>
      </c>
      <c r="M131" s="78">
        <f t="shared" ca="1" si="207"/>
        <v>2.9999999999999997E-4</v>
      </c>
      <c r="N131" s="78">
        <f t="shared" ca="1" si="208"/>
        <v>0</v>
      </c>
      <c r="O131" s="4">
        <f ca="1">SUMIFS(INDIRECT("Tab_00.Trial["&amp;O$4&amp;"]"),Tab_00.Trial[CONTA],$B131)</f>
        <v>23000</v>
      </c>
      <c r="P131" s="78">
        <f t="shared" ca="1" si="209"/>
        <v>2.9999999999999997E-4</v>
      </c>
      <c r="Q131" s="78">
        <f t="shared" ca="1" si="210"/>
        <v>0</v>
      </c>
      <c r="R131" s="4">
        <f ca="1">SUMIFS(INDIRECT("Tab_00.Trial["&amp;R$4&amp;"]"),Tab_00.Trial[CONTA],$B131)</f>
        <v>23000</v>
      </c>
      <c r="S131" s="78">
        <f t="shared" ca="1" si="211"/>
        <v>2.9999999999999997E-4</v>
      </c>
      <c r="T131" s="78">
        <f t="shared" ca="1" si="212"/>
        <v>0</v>
      </c>
      <c r="U131" s="4">
        <f ca="1">SUMIFS(INDIRECT("Tab_00.Trial["&amp;U$4&amp;"]"),Tab_00.Trial[CONTA],$B131)</f>
        <v>23000</v>
      </c>
      <c r="V131" s="78">
        <f t="shared" ca="1" si="213"/>
        <v>2.9999999999999997E-4</v>
      </c>
      <c r="W131" s="78">
        <f t="shared" ca="1" si="214"/>
        <v>0</v>
      </c>
      <c r="X131" s="4">
        <f ca="1">SUMIFS(INDIRECT("Tab_00.Trial["&amp;X$4&amp;"]"),Tab_00.Trial[CONTA],$B131)</f>
        <v>23000</v>
      </c>
      <c r="Y131" s="78">
        <f t="shared" ca="1" si="215"/>
        <v>2.9999999999999997E-4</v>
      </c>
      <c r="Z131" s="78">
        <f t="shared" ca="1" si="216"/>
        <v>0</v>
      </c>
      <c r="AA131" s="4">
        <f ca="1">SUMIFS(INDIRECT("Tab_00.Trial["&amp;AA$4&amp;"]"),Tab_00.Trial[CONTA],$B131)</f>
        <v>23000</v>
      </c>
      <c r="AB131" s="78">
        <f t="shared" ca="1" si="217"/>
        <v>2.9999999999999997E-4</v>
      </c>
      <c r="AC131" s="78">
        <f t="shared" ca="1" si="218"/>
        <v>0</v>
      </c>
      <c r="AD131" s="4">
        <f ca="1">SUMIFS(INDIRECT("Tab_00.Trial["&amp;AD$4&amp;"]"),Tab_00.Trial[CONTA],$B131)</f>
        <v>23000</v>
      </c>
      <c r="AE131" s="78">
        <f t="shared" ca="1" si="219"/>
        <v>2.9999999999999997E-4</v>
      </c>
      <c r="AF131" s="78">
        <f t="shared" ca="1" si="220"/>
        <v>0</v>
      </c>
      <c r="AG131" s="4">
        <f ca="1">SUMIFS(INDIRECT("Tab_00.Trial["&amp;AG$4&amp;"]"),Tab_00.Trial[CONTA],$B131)</f>
        <v>23000</v>
      </c>
      <c r="AH131" s="78">
        <f t="shared" ca="1" si="221"/>
        <v>2.9999999999999997E-4</v>
      </c>
      <c r="AI131" s="78">
        <f t="shared" ca="1" si="222"/>
        <v>0</v>
      </c>
      <c r="AJ131" s="4">
        <f ca="1">SUMIFS(INDIRECT("Tab_00.Trial["&amp;AJ$4&amp;"]"),Tab_00.Trial[CONTA],$B131)</f>
        <v>23000</v>
      </c>
      <c r="AK131" s="78">
        <f t="shared" ca="1" si="223"/>
        <v>2.9999999999999997E-4</v>
      </c>
      <c r="AL131" s="78">
        <f t="shared" ca="1" si="224"/>
        <v>0</v>
      </c>
      <c r="AM131" s="4">
        <f ca="1">SUMIFS(INDIRECT("Tab_00.Trial["&amp;AM$4&amp;"]"),Tab_00.Trial[CONTA],$B131)</f>
        <v>23000</v>
      </c>
      <c r="AN131" s="78">
        <f t="shared" ca="1" si="225"/>
        <v>2.9999999999999997E-4</v>
      </c>
      <c r="AO131" s="78">
        <f t="shared" ca="1" si="226"/>
        <v>0</v>
      </c>
    </row>
    <row r="132" spans="2:42" ht="15" hidden="1" customHeight="1" outlineLevel="1" x14ac:dyDescent="0.3">
      <c r="B132" s="14" t="s">
        <v>182</v>
      </c>
      <c r="C132" s="15" t="s">
        <v>315</v>
      </c>
      <c r="D132" s="4">
        <f>SUMIFS(Tab_99.Trial[DEZEMBRO],Tab_99.Trial[CONTA],$B132)</f>
        <v>0</v>
      </c>
      <c r="E132" s="78">
        <f t="shared" si="202"/>
        <v>0</v>
      </c>
      <c r="F132" s="4">
        <f ca="1">SUMIFS(INDIRECT("Tab_00.Trial["&amp;F$4&amp;"]"),Tab_00.Trial[CONTA],$B132)</f>
        <v>12594</v>
      </c>
      <c r="G132" s="78">
        <f t="shared" ca="1" si="203"/>
        <v>2.0000000000000001E-4</v>
      </c>
      <c r="H132" s="78">
        <f t="shared" ca="1" si="204"/>
        <v>0</v>
      </c>
      <c r="I132" s="4">
        <f ca="1">SUMIFS(INDIRECT("Tab_00.Trial["&amp;I$4&amp;"]"),Tab_00.Trial[CONTA],$B132)</f>
        <v>12594</v>
      </c>
      <c r="J132" s="78">
        <f t="shared" ca="1" si="205"/>
        <v>2.0000000000000001E-4</v>
      </c>
      <c r="K132" s="78">
        <f t="shared" ca="1" si="206"/>
        <v>0</v>
      </c>
      <c r="L132" s="4">
        <f ca="1">SUMIFS(INDIRECT("Tab_00.Trial["&amp;L$4&amp;"]"),Tab_00.Trial[CONTA],$B132)</f>
        <v>12594</v>
      </c>
      <c r="M132" s="78">
        <f t="shared" ca="1" si="207"/>
        <v>2.0000000000000001E-4</v>
      </c>
      <c r="N132" s="78">
        <f t="shared" ca="1" si="208"/>
        <v>0</v>
      </c>
      <c r="O132" s="4">
        <f ca="1">SUMIFS(INDIRECT("Tab_00.Trial["&amp;O$4&amp;"]"),Tab_00.Trial[CONTA],$B132)</f>
        <v>12594</v>
      </c>
      <c r="P132" s="78">
        <f t="shared" ca="1" si="209"/>
        <v>2.0000000000000001E-4</v>
      </c>
      <c r="Q132" s="78">
        <f t="shared" ca="1" si="210"/>
        <v>0</v>
      </c>
      <c r="R132" s="4">
        <f ca="1">SUMIFS(INDIRECT("Tab_00.Trial["&amp;R$4&amp;"]"),Tab_00.Trial[CONTA],$B132)</f>
        <v>12594</v>
      </c>
      <c r="S132" s="78">
        <f t="shared" ca="1" si="211"/>
        <v>2.0000000000000001E-4</v>
      </c>
      <c r="T132" s="78">
        <f t="shared" ca="1" si="212"/>
        <v>0</v>
      </c>
      <c r="U132" s="4">
        <f ca="1">SUMIFS(INDIRECT("Tab_00.Trial["&amp;U$4&amp;"]"),Tab_00.Trial[CONTA],$B132)</f>
        <v>12594</v>
      </c>
      <c r="V132" s="78">
        <f t="shared" ca="1" si="213"/>
        <v>1E-4</v>
      </c>
      <c r="W132" s="78">
        <f t="shared" ca="1" si="214"/>
        <v>0</v>
      </c>
      <c r="X132" s="4">
        <f ca="1">SUMIFS(INDIRECT("Tab_00.Trial["&amp;X$4&amp;"]"),Tab_00.Trial[CONTA],$B132)</f>
        <v>12594</v>
      </c>
      <c r="Y132" s="78">
        <f t="shared" ca="1" si="215"/>
        <v>1E-4</v>
      </c>
      <c r="Z132" s="78">
        <f t="shared" ca="1" si="216"/>
        <v>0</v>
      </c>
      <c r="AA132" s="4">
        <f ca="1">SUMIFS(INDIRECT("Tab_00.Trial["&amp;AA$4&amp;"]"),Tab_00.Trial[CONTA],$B132)</f>
        <v>12594</v>
      </c>
      <c r="AB132" s="78">
        <f t="shared" ca="1" si="217"/>
        <v>1E-4</v>
      </c>
      <c r="AC132" s="78">
        <f t="shared" ca="1" si="218"/>
        <v>0</v>
      </c>
      <c r="AD132" s="4">
        <f ca="1">SUMIFS(INDIRECT("Tab_00.Trial["&amp;AD$4&amp;"]"),Tab_00.Trial[CONTA],$B132)</f>
        <v>12594</v>
      </c>
      <c r="AE132" s="78">
        <f t="shared" ca="1" si="219"/>
        <v>1E-4</v>
      </c>
      <c r="AF132" s="78">
        <f t="shared" ca="1" si="220"/>
        <v>0</v>
      </c>
      <c r="AG132" s="4">
        <f ca="1">SUMIFS(INDIRECT("Tab_00.Trial["&amp;AG$4&amp;"]"),Tab_00.Trial[CONTA],$B132)</f>
        <v>12594</v>
      </c>
      <c r="AH132" s="78">
        <f t="shared" ca="1" si="221"/>
        <v>1E-4</v>
      </c>
      <c r="AI132" s="78">
        <f t="shared" ca="1" si="222"/>
        <v>0</v>
      </c>
      <c r="AJ132" s="4">
        <f ca="1">SUMIFS(INDIRECT("Tab_00.Trial["&amp;AJ$4&amp;"]"),Tab_00.Trial[CONTA],$B132)</f>
        <v>12594</v>
      </c>
      <c r="AK132" s="78">
        <f t="shared" ca="1" si="223"/>
        <v>1E-4</v>
      </c>
      <c r="AL132" s="78">
        <f t="shared" ca="1" si="224"/>
        <v>0</v>
      </c>
      <c r="AM132" s="4">
        <f ca="1">SUMIFS(INDIRECT("Tab_00.Trial["&amp;AM$4&amp;"]"),Tab_00.Trial[CONTA],$B132)</f>
        <v>12594</v>
      </c>
      <c r="AN132" s="78">
        <f t="shared" ca="1" si="225"/>
        <v>1E-4</v>
      </c>
      <c r="AO132" s="78">
        <f t="shared" ca="1" si="226"/>
        <v>0</v>
      </c>
    </row>
    <row r="133" spans="2:42" ht="15" hidden="1" customHeight="1" outlineLevel="1" x14ac:dyDescent="0.3">
      <c r="B133" s="14" t="s">
        <v>183</v>
      </c>
      <c r="C133" s="15" t="s">
        <v>316</v>
      </c>
      <c r="D133" s="4">
        <f>SUMIFS(Tab_99.Trial[DEZEMBRO],Tab_99.Trial[CONTA],$B133)</f>
        <v>0</v>
      </c>
      <c r="E133" s="78">
        <f t="shared" si="202"/>
        <v>0</v>
      </c>
      <c r="F133" s="4">
        <f ca="1">SUMIFS(INDIRECT("Tab_00.Trial["&amp;F$4&amp;"]"),Tab_00.Trial[CONTA],$B133)</f>
        <v>223690.57</v>
      </c>
      <c r="G133" s="78">
        <f t="shared" ca="1" si="203"/>
        <v>2.7000000000000001E-3</v>
      </c>
      <c r="H133" s="78">
        <f t="shared" ca="1" si="204"/>
        <v>0</v>
      </c>
      <c r="I133" s="4">
        <f ca="1">SUMIFS(INDIRECT("Tab_00.Trial["&amp;I$4&amp;"]"),Tab_00.Trial[CONTA],$B133)</f>
        <v>223690.57</v>
      </c>
      <c r="J133" s="78">
        <f t="shared" ca="1" si="205"/>
        <v>2.7000000000000001E-3</v>
      </c>
      <c r="K133" s="78">
        <f t="shared" ca="1" si="206"/>
        <v>0</v>
      </c>
      <c r="L133" s="4">
        <f ca="1">SUMIFS(INDIRECT("Tab_00.Trial["&amp;L$4&amp;"]"),Tab_00.Trial[CONTA],$B133)</f>
        <v>223690.57</v>
      </c>
      <c r="M133" s="78">
        <f t="shared" ca="1" si="207"/>
        <v>2.7000000000000001E-3</v>
      </c>
      <c r="N133" s="78">
        <f t="shared" ca="1" si="208"/>
        <v>0</v>
      </c>
      <c r="O133" s="4">
        <f ca="1">SUMIFS(INDIRECT("Tab_00.Trial["&amp;O$4&amp;"]"),Tab_00.Trial[CONTA],$B133)</f>
        <v>224642.85</v>
      </c>
      <c r="P133" s="78">
        <f t="shared" ca="1" si="209"/>
        <v>2.7000000000000001E-3</v>
      </c>
      <c r="Q133" s="78">
        <f t="shared" ca="1" si="210"/>
        <v>4.3E-3</v>
      </c>
      <c r="R133" s="4">
        <f ca="1">SUMIFS(INDIRECT("Tab_00.Trial["&amp;R$4&amp;"]"),Tab_00.Trial[CONTA],$B133)</f>
        <v>224642.85</v>
      </c>
      <c r="S133" s="78">
        <f t="shared" ca="1" si="211"/>
        <v>2.7000000000000001E-3</v>
      </c>
      <c r="T133" s="78">
        <f t="shared" ca="1" si="212"/>
        <v>0</v>
      </c>
      <c r="U133" s="4">
        <f ca="1">SUMIFS(INDIRECT("Tab_00.Trial["&amp;U$4&amp;"]"),Tab_00.Trial[CONTA],$B133)</f>
        <v>224642.85</v>
      </c>
      <c r="V133" s="78">
        <f t="shared" ca="1" si="213"/>
        <v>2.7000000000000001E-3</v>
      </c>
      <c r="W133" s="78">
        <f t="shared" ca="1" si="214"/>
        <v>0</v>
      </c>
      <c r="X133" s="4">
        <f ca="1">SUMIFS(INDIRECT("Tab_00.Trial["&amp;X$4&amp;"]"),Tab_00.Trial[CONTA],$B133)</f>
        <v>224642.85</v>
      </c>
      <c r="Y133" s="78">
        <f t="shared" ca="1" si="215"/>
        <v>2.7000000000000001E-3</v>
      </c>
      <c r="Z133" s="78">
        <f t="shared" ca="1" si="216"/>
        <v>0</v>
      </c>
      <c r="AA133" s="4">
        <f ca="1">SUMIFS(INDIRECT("Tab_00.Trial["&amp;AA$4&amp;"]"),Tab_00.Trial[CONTA],$B133)</f>
        <v>224642.85</v>
      </c>
      <c r="AB133" s="78">
        <f t="shared" ca="1" si="217"/>
        <v>2.7000000000000001E-3</v>
      </c>
      <c r="AC133" s="78">
        <f t="shared" ca="1" si="218"/>
        <v>0</v>
      </c>
      <c r="AD133" s="4">
        <f ca="1">SUMIFS(INDIRECT("Tab_00.Trial["&amp;AD$4&amp;"]"),Tab_00.Trial[CONTA],$B133)</f>
        <v>224642.85</v>
      </c>
      <c r="AE133" s="78">
        <f t="shared" ca="1" si="219"/>
        <v>2.5999999999999999E-3</v>
      </c>
      <c r="AF133" s="78">
        <f t="shared" ca="1" si="220"/>
        <v>0</v>
      </c>
      <c r="AG133" s="4">
        <f ca="1">SUMIFS(INDIRECT("Tab_00.Trial["&amp;AG$4&amp;"]"),Tab_00.Trial[CONTA],$B133)</f>
        <v>224642.85</v>
      </c>
      <c r="AH133" s="78">
        <f t="shared" ca="1" si="221"/>
        <v>2.5999999999999999E-3</v>
      </c>
      <c r="AI133" s="78">
        <f t="shared" ca="1" si="222"/>
        <v>0</v>
      </c>
      <c r="AJ133" s="4">
        <f ca="1">SUMIFS(INDIRECT("Tab_00.Trial["&amp;AJ$4&amp;"]"),Tab_00.Trial[CONTA],$B133)</f>
        <v>224642.85</v>
      </c>
      <c r="AK133" s="78">
        <f t="shared" ca="1" si="223"/>
        <v>2.5999999999999999E-3</v>
      </c>
      <c r="AL133" s="78">
        <f t="shared" ca="1" si="224"/>
        <v>0</v>
      </c>
      <c r="AM133" s="4">
        <f ca="1">SUMIFS(INDIRECT("Tab_00.Trial["&amp;AM$4&amp;"]"),Tab_00.Trial[CONTA],$B133)</f>
        <v>226315.79</v>
      </c>
      <c r="AN133" s="78">
        <f t="shared" ca="1" si="225"/>
        <v>2.7000000000000001E-3</v>
      </c>
      <c r="AO133" s="78">
        <f t="shared" ca="1" si="226"/>
        <v>7.4000000000000003E-3</v>
      </c>
    </row>
    <row r="134" spans="2:42" ht="15" hidden="1" customHeight="1" outlineLevel="1" x14ac:dyDescent="0.3">
      <c r="B134" s="14" t="s">
        <v>317</v>
      </c>
      <c r="C134" s="15" t="s">
        <v>318</v>
      </c>
      <c r="D134" s="4">
        <f>SUMIFS(Tab_99.Trial[DEZEMBRO],Tab_99.Trial[CONTA],$B134)</f>
        <v>0</v>
      </c>
      <c r="E134" s="78">
        <f t="shared" si="202"/>
        <v>0</v>
      </c>
      <c r="F134" s="4">
        <f ca="1">SUMIFS(INDIRECT("Tab_00.Trial["&amp;F$4&amp;"]"),Tab_00.Trial[CONTA],$B134)</f>
        <v>7349.9</v>
      </c>
      <c r="G134" s="78">
        <f t="shared" ca="1" si="203"/>
        <v>1E-4</v>
      </c>
      <c r="H134" s="78">
        <f t="shared" ca="1" si="204"/>
        <v>0</v>
      </c>
      <c r="I134" s="4">
        <f ca="1">SUMIFS(INDIRECT("Tab_00.Trial["&amp;I$4&amp;"]"),Tab_00.Trial[CONTA],$B134)</f>
        <v>7349.9</v>
      </c>
      <c r="J134" s="78">
        <f t="shared" ca="1" si="205"/>
        <v>1E-4</v>
      </c>
      <c r="K134" s="78">
        <f t="shared" ca="1" si="206"/>
        <v>0</v>
      </c>
      <c r="L134" s="4">
        <f ca="1">SUMIFS(INDIRECT("Tab_00.Trial["&amp;L$4&amp;"]"),Tab_00.Trial[CONTA],$B134)</f>
        <v>7349.9</v>
      </c>
      <c r="M134" s="78">
        <f t="shared" ca="1" si="207"/>
        <v>1E-4</v>
      </c>
      <c r="N134" s="78">
        <f t="shared" ca="1" si="208"/>
        <v>0</v>
      </c>
      <c r="O134" s="4">
        <f ca="1">SUMIFS(INDIRECT("Tab_00.Trial["&amp;O$4&amp;"]"),Tab_00.Trial[CONTA],$B134)</f>
        <v>7349.9</v>
      </c>
      <c r="P134" s="78">
        <f t="shared" ca="1" si="209"/>
        <v>1E-4</v>
      </c>
      <c r="Q134" s="78">
        <f t="shared" ca="1" si="210"/>
        <v>0</v>
      </c>
      <c r="R134" s="4">
        <f ca="1">SUMIFS(INDIRECT("Tab_00.Trial["&amp;R$4&amp;"]"),Tab_00.Trial[CONTA],$B134)</f>
        <v>7349.9</v>
      </c>
      <c r="S134" s="78">
        <f t="shared" ca="1" si="211"/>
        <v>1E-4</v>
      </c>
      <c r="T134" s="78">
        <f t="shared" ca="1" si="212"/>
        <v>0</v>
      </c>
      <c r="U134" s="4">
        <f ca="1">SUMIFS(INDIRECT("Tab_00.Trial["&amp;U$4&amp;"]"),Tab_00.Trial[CONTA],$B134)</f>
        <v>7349.9</v>
      </c>
      <c r="V134" s="78">
        <f t="shared" ca="1" si="213"/>
        <v>1E-4</v>
      </c>
      <c r="W134" s="78">
        <f t="shared" ca="1" si="214"/>
        <v>0</v>
      </c>
      <c r="X134" s="4">
        <f ca="1">SUMIFS(INDIRECT("Tab_00.Trial["&amp;X$4&amp;"]"),Tab_00.Trial[CONTA],$B134)</f>
        <v>7349.9</v>
      </c>
      <c r="Y134" s="78">
        <f t="shared" ca="1" si="215"/>
        <v>1E-4</v>
      </c>
      <c r="Z134" s="78">
        <f t="shared" ca="1" si="216"/>
        <v>0</v>
      </c>
      <c r="AA134" s="4">
        <f ca="1">SUMIFS(INDIRECT("Tab_00.Trial["&amp;AA$4&amp;"]"),Tab_00.Trial[CONTA],$B134)</f>
        <v>7349.9</v>
      </c>
      <c r="AB134" s="78">
        <f t="shared" ca="1" si="217"/>
        <v>1E-4</v>
      </c>
      <c r="AC134" s="78">
        <f t="shared" ca="1" si="218"/>
        <v>0</v>
      </c>
      <c r="AD134" s="4">
        <f ca="1">SUMIFS(INDIRECT("Tab_00.Trial["&amp;AD$4&amp;"]"),Tab_00.Trial[CONTA],$B134)</f>
        <v>7349.9</v>
      </c>
      <c r="AE134" s="78">
        <f t="shared" ca="1" si="219"/>
        <v>1E-4</v>
      </c>
      <c r="AF134" s="78">
        <f t="shared" ca="1" si="220"/>
        <v>0</v>
      </c>
      <c r="AG134" s="4">
        <f ca="1">SUMIFS(INDIRECT("Tab_00.Trial["&amp;AG$4&amp;"]"),Tab_00.Trial[CONTA],$B134)</f>
        <v>7349.9</v>
      </c>
      <c r="AH134" s="78">
        <f t="shared" ca="1" si="221"/>
        <v>1E-4</v>
      </c>
      <c r="AI134" s="78">
        <f t="shared" ca="1" si="222"/>
        <v>0</v>
      </c>
      <c r="AJ134" s="4">
        <f ca="1">SUMIFS(INDIRECT("Tab_00.Trial["&amp;AJ$4&amp;"]"),Tab_00.Trial[CONTA],$B134)</f>
        <v>8689.9</v>
      </c>
      <c r="AK134" s="78">
        <f t="shared" ca="1" si="223"/>
        <v>1E-4</v>
      </c>
      <c r="AL134" s="78">
        <f t="shared" ca="1" si="224"/>
        <v>0.18229999999999999</v>
      </c>
      <c r="AM134" s="4">
        <f ca="1">SUMIFS(INDIRECT("Tab_00.Trial["&amp;AM$4&amp;"]"),Tab_00.Trial[CONTA],$B134)</f>
        <v>8689.9</v>
      </c>
      <c r="AN134" s="78">
        <f t="shared" ca="1" si="225"/>
        <v>1E-4</v>
      </c>
      <c r="AO134" s="78">
        <f t="shared" ca="1" si="226"/>
        <v>0</v>
      </c>
    </row>
    <row r="135" spans="2:42" ht="15" hidden="1" customHeight="1" outlineLevel="1" x14ac:dyDescent="0.3">
      <c r="B135" s="14" t="s">
        <v>184</v>
      </c>
      <c r="C135" s="15" t="s">
        <v>319</v>
      </c>
      <c r="D135" s="4">
        <f>SUMIFS(Tab_99.Trial[DEZEMBRO],Tab_99.Trial[CONTA],$B135)</f>
        <v>0</v>
      </c>
      <c r="E135" s="78">
        <f t="shared" si="202"/>
        <v>0</v>
      </c>
      <c r="F135" s="4">
        <f ca="1">SUMIFS(INDIRECT("Tab_00.Trial["&amp;F$4&amp;"]"),Tab_00.Trial[CONTA],$B135)</f>
        <v>128697.03</v>
      </c>
      <c r="G135" s="78">
        <f t="shared" ca="1" si="203"/>
        <v>1.5E-3</v>
      </c>
      <c r="H135" s="78">
        <f t="shared" ca="1" si="204"/>
        <v>0</v>
      </c>
      <c r="I135" s="4">
        <f ca="1">SUMIFS(INDIRECT("Tab_00.Trial["&amp;I$4&amp;"]"),Tab_00.Trial[CONTA],$B135)</f>
        <v>128697.03</v>
      </c>
      <c r="J135" s="78">
        <f t="shared" ca="1" si="205"/>
        <v>1.6000000000000001E-3</v>
      </c>
      <c r="K135" s="78">
        <f t="shared" ca="1" si="206"/>
        <v>0</v>
      </c>
      <c r="L135" s="4">
        <f ca="1">SUMIFS(INDIRECT("Tab_00.Trial["&amp;L$4&amp;"]"),Tab_00.Trial[CONTA],$B135)</f>
        <v>128697.03</v>
      </c>
      <c r="M135" s="78">
        <f t="shared" ca="1" si="207"/>
        <v>1.5E-3</v>
      </c>
      <c r="N135" s="78">
        <f t="shared" ca="1" si="208"/>
        <v>0</v>
      </c>
      <c r="O135" s="4">
        <f ca="1">SUMIFS(INDIRECT("Tab_00.Trial["&amp;O$4&amp;"]"),Tab_00.Trial[CONTA],$B135)</f>
        <v>128697.03</v>
      </c>
      <c r="P135" s="78">
        <f t="shared" ca="1" si="209"/>
        <v>1.5E-3</v>
      </c>
      <c r="Q135" s="78">
        <f t="shared" ca="1" si="210"/>
        <v>0</v>
      </c>
      <c r="R135" s="4">
        <f ca="1">SUMIFS(INDIRECT("Tab_00.Trial["&amp;R$4&amp;"]"),Tab_00.Trial[CONTA],$B135)</f>
        <v>128697.03</v>
      </c>
      <c r="S135" s="78">
        <f t="shared" ca="1" si="211"/>
        <v>1.5E-3</v>
      </c>
      <c r="T135" s="78">
        <f t="shared" ca="1" si="212"/>
        <v>0</v>
      </c>
      <c r="U135" s="4">
        <f ca="1">SUMIFS(INDIRECT("Tab_00.Trial["&amp;U$4&amp;"]"),Tab_00.Trial[CONTA],$B135)</f>
        <v>128697.03</v>
      </c>
      <c r="V135" s="78">
        <f t="shared" ca="1" si="213"/>
        <v>1.5E-3</v>
      </c>
      <c r="W135" s="78">
        <f t="shared" ca="1" si="214"/>
        <v>0</v>
      </c>
      <c r="X135" s="4">
        <f ca="1">SUMIFS(INDIRECT("Tab_00.Trial["&amp;X$4&amp;"]"),Tab_00.Trial[CONTA],$B135)</f>
        <v>128697.03</v>
      </c>
      <c r="Y135" s="78">
        <f t="shared" ca="1" si="215"/>
        <v>1.5E-3</v>
      </c>
      <c r="Z135" s="78">
        <f t="shared" ca="1" si="216"/>
        <v>0</v>
      </c>
      <c r="AA135" s="4">
        <f ca="1">SUMIFS(INDIRECT("Tab_00.Trial["&amp;AA$4&amp;"]"),Tab_00.Trial[CONTA],$B135)</f>
        <v>128697.03</v>
      </c>
      <c r="AB135" s="78">
        <f t="shared" ca="1" si="217"/>
        <v>1.5E-3</v>
      </c>
      <c r="AC135" s="78">
        <f t="shared" ca="1" si="218"/>
        <v>0</v>
      </c>
      <c r="AD135" s="4">
        <f ca="1">SUMIFS(INDIRECT("Tab_00.Trial["&amp;AD$4&amp;"]"),Tab_00.Trial[CONTA],$B135)</f>
        <v>128697.03</v>
      </c>
      <c r="AE135" s="78">
        <f t="shared" ca="1" si="219"/>
        <v>1.5E-3</v>
      </c>
      <c r="AF135" s="78">
        <f t="shared" ca="1" si="220"/>
        <v>0</v>
      </c>
      <c r="AG135" s="4">
        <f ca="1">SUMIFS(INDIRECT("Tab_00.Trial["&amp;AG$4&amp;"]"),Tab_00.Trial[CONTA],$B135)</f>
        <v>128697.03</v>
      </c>
      <c r="AH135" s="78">
        <f t="shared" ca="1" si="221"/>
        <v>1.5E-3</v>
      </c>
      <c r="AI135" s="78">
        <f t="shared" ca="1" si="222"/>
        <v>0</v>
      </c>
      <c r="AJ135" s="4">
        <f ca="1">SUMIFS(INDIRECT("Tab_00.Trial["&amp;AJ$4&amp;"]"),Tab_00.Trial[CONTA],$B135)</f>
        <v>128697.03</v>
      </c>
      <c r="AK135" s="78">
        <f t="shared" ca="1" si="223"/>
        <v>1.5E-3</v>
      </c>
      <c r="AL135" s="78">
        <f t="shared" ca="1" si="224"/>
        <v>0</v>
      </c>
      <c r="AM135" s="4">
        <f ca="1">SUMIFS(INDIRECT("Tab_00.Trial["&amp;AM$4&amp;"]"),Tab_00.Trial[CONTA],$B135)</f>
        <v>128697.03</v>
      </c>
      <c r="AN135" s="78">
        <f t="shared" ca="1" si="225"/>
        <v>1.5E-3</v>
      </c>
      <c r="AO135" s="78">
        <f t="shared" ca="1" si="226"/>
        <v>0</v>
      </c>
    </row>
    <row r="136" spans="2:42" ht="15" hidden="1" customHeight="1" outlineLevel="1" x14ac:dyDescent="0.3">
      <c r="B136" s="14" t="s">
        <v>185</v>
      </c>
      <c r="C136" s="15" t="s">
        <v>320</v>
      </c>
      <c r="D136" s="4">
        <f>SUMIFS(Tab_99.Trial[DEZEMBRO],Tab_99.Trial[CONTA],$B136)</f>
        <v>0</v>
      </c>
      <c r="E136" s="78">
        <f t="shared" si="202"/>
        <v>0</v>
      </c>
      <c r="F136" s="4">
        <f ca="1">SUMIFS(INDIRECT("Tab_00.Trial["&amp;F$4&amp;"]"),Tab_00.Trial[CONTA],$B136)</f>
        <v>15029.74</v>
      </c>
      <c r="G136" s="78">
        <f t="shared" ca="1" si="203"/>
        <v>2.0000000000000001E-4</v>
      </c>
      <c r="H136" s="78">
        <f t="shared" ca="1" si="204"/>
        <v>0</v>
      </c>
      <c r="I136" s="4">
        <f ca="1">SUMIFS(INDIRECT("Tab_00.Trial["&amp;I$4&amp;"]"),Tab_00.Trial[CONTA],$B136)</f>
        <v>15029.74</v>
      </c>
      <c r="J136" s="78">
        <f t="shared" ca="1" si="205"/>
        <v>2.0000000000000001E-4</v>
      </c>
      <c r="K136" s="78">
        <f t="shared" ca="1" si="206"/>
        <v>0</v>
      </c>
      <c r="L136" s="4">
        <f ca="1">SUMIFS(INDIRECT("Tab_00.Trial["&amp;L$4&amp;"]"),Tab_00.Trial[CONTA],$B136)</f>
        <v>15029.74</v>
      </c>
      <c r="M136" s="78">
        <f t="shared" ca="1" si="207"/>
        <v>2.0000000000000001E-4</v>
      </c>
      <c r="N136" s="78">
        <f t="shared" ca="1" si="208"/>
        <v>0</v>
      </c>
      <c r="O136" s="4">
        <f ca="1">SUMIFS(INDIRECT("Tab_00.Trial["&amp;O$4&amp;"]"),Tab_00.Trial[CONTA],$B136)</f>
        <v>15029.74</v>
      </c>
      <c r="P136" s="78">
        <f t="shared" ca="1" si="209"/>
        <v>2.0000000000000001E-4</v>
      </c>
      <c r="Q136" s="78">
        <f t="shared" ca="1" si="210"/>
        <v>0</v>
      </c>
      <c r="R136" s="4">
        <f ca="1">SUMIFS(INDIRECT("Tab_00.Trial["&amp;R$4&amp;"]"),Tab_00.Trial[CONTA],$B136)</f>
        <v>15029.74</v>
      </c>
      <c r="S136" s="78">
        <f t="shared" ca="1" si="211"/>
        <v>2.0000000000000001E-4</v>
      </c>
      <c r="T136" s="78">
        <f t="shared" ca="1" si="212"/>
        <v>0</v>
      </c>
      <c r="U136" s="4">
        <f ca="1">SUMIFS(INDIRECT("Tab_00.Trial["&amp;U$4&amp;"]"),Tab_00.Trial[CONTA],$B136)</f>
        <v>15029.74</v>
      </c>
      <c r="V136" s="78">
        <f t="shared" ca="1" si="213"/>
        <v>2.0000000000000001E-4</v>
      </c>
      <c r="W136" s="78">
        <f t="shared" ca="1" si="214"/>
        <v>0</v>
      </c>
      <c r="X136" s="4">
        <f ca="1">SUMIFS(INDIRECT("Tab_00.Trial["&amp;X$4&amp;"]"),Tab_00.Trial[CONTA],$B136)</f>
        <v>15029.74</v>
      </c>
      <c r="Y136" s="78">
        <f t="shared" ca="1" si="215"/>
        <v>2.0000000000000001E-4</v>
      </c>
      <c r="Z136" s="78">
        <f t="shared" ca="1" si="216"/>
        <v>0</v>
      </c>
      <c r="AA136" s="4">
        <f ca="1">SUMIFS(INDIRECT("Tab_00.Trial["&amp;AA$4&amp;"]"),Tab_00.Trial[CONTA],$B136)</f>
        <v>15029.74</v>
      </c>
      <c r="AB136" s="78">
        <f t="shared" ca="1" si="217"/>
        <v>2.0000000000000001E-4</v>
      </c>
      <c r="AC136" s="78">
        <f t="shared" ca="1" si="218"/>
        <v>0</v>
      </c>
      <c r="AD136" s="4">
        <f ca="1">SUMIFS(INDIRECT("Tab_00.Trial["&amp;AD$4&amp;"]"),Tab_00.Trial[CONTA],$B136)</f>
        <v>15029.74</v>
      </c>
      <c r="AE136" s="78">
        <f t="shared" ca="1" si="219"/>
        <v>2.0000000000000001E-4</v>
      </c>
      <c r="AF136" s="78">
        <f t="shared" ca="1" si="220"/>
        <v>0</v>
      </c>
      <c r="AG136" s="4">
        <f ca="1">SUMIFS(INDIRECT("Tab_00.Trial["&amp;AG$4&amp;"]"),Tab_00.Trial[CONTA],$B136)</f>
        <v>15029.74</v>
      </c>
      <c r="AH136" s="78">
        <f t="shared" ca="1" si="221"/>
        <v>2.0000000000000001E-4</v>
      </c>
      <c r="AI136" s="78">
        <f t="shared" ca="1" si="222"/>
        <v>0</v>
      </c>
      <c r="AJ136" s="4">
        <f ca="1">SUMIFS(INDIRECT("Tab_00.Trial["&amp;AJ$4&amp;"]"),Tab_00.Trial[CONTA],$B136)</f>
        <v>15029.74</v>
      </c>
      <c r="AK136" s="78">
        <f t="shared" ca="1" si="223"/>
        <v>2.0000000000000001E-4</v>
      </c>
      <c r="AL136" s="78">
        <f t="shared" ca="1" si="224"/>
        <v>0</v>
      </c>
      <c r="AM136" s="4">
        <f ca="1">SUMIFS(INDIRECT("Tab_00.Trial["&amp;AM$4&amp;"]"),Tab_00.Trial[CONTA],$B136)</f>
        <v>15029.74</v>
      </c>
      <c r="AN136" s="78">
        <f t="shared" ca="1" si="225"/>
        <v>2.0000000000000001E-4</v>
      </c>
      <c r="AO136" s="78">
        <f t="shared" ca="1" si="226"/>
        <v>0</v>
      </c>
    </row>
    <row r="137" spans="2:42" ht="15" hidden="1" customHeight="1" outlineLevel="1" x14ac:dyDescent="0.3">
      <c r="B137" s="14" t="s">
        <v>321</v>
      </c>
      <c r="C137" s="15" t="s">
        <v>322</v>
      </c>
      <c r="D137" s="4">
        <f>SUMIFS(Tab_99.Trial[DEZEMBRO],Tab_99.Trial[CONTA],$B137)</f>
        <v>0</v>
      </c>
      <c r="E137" s="78">
        <f t="shared" si="202"/>
        <v>0</v>
      </c>
      <c r="F137" s="4">
        <f ca="1">SUMIFS(INDIRECT("Tab_00.Trial["&amp;F$4&amp;"]"),Tab_00.Trial[CONTA],$B137)</f>
        <v>463836.5</v>
      </c>
      <c r="G137" s="78">
        <f t="shared" ca="1" si="203"/>
        <v>5.4999999999999997E-3</v>
      </c>
      <c r="H137" s="78">
        <f t="shared" ca="1" si="204"/>
        <v>0</v>
      </c>
      <c r="I137" s="4">
        <f ca="1">SUMIFS(INDIRECT("Tab_00.Trial["&amp;I$4&amp;"]"),Tab_00.Trial[CONTA],$B137)</f>
        <v>463836.5</v>
      </c>
      <c r="J137" s="78">
        <f t="shared" ca="1" si="205"/>
        <v>5.5999999999999999E-3</v>
      </c>
      <c r="K137" s="78">
        <f t="shared" ca="1" si="206"/>
        <v>0</v>
      </c>
      <c r="L137" s="4">
        <f ca="1">SUMIFS(INDIRECT("Tab_00.Trial["&amp;L$4&amp;"]"),Tab_00.Trial[CONTA],$B137)</f>
        <v>463836.5</v>
      </c>
      <c r="M137" s="78">
        <f t="shared" ca="1" si="207"/>
        <v>5.5999999999999999E-3</v>
      </c>
      <c r="N137" s="78">
        <f t="shared" ca="1" si="208"/>
        <v>0</v>
      </c>
      <c r="O137" s="4">
        <f ca="1">SUMIFS(INDIRECT("Tab_00.Trial["&amp;O$4&amp;"]"),Tab_00.Trial[CONTA],$B137)</f>
        <v>463836.5</v>
      </c>
      <c r="P137" s="78">
        <f t="shared" ca="1" si="209"/>
        <v>5.5999999999999999E-3</v>
      </c>
      <c r="Q137" s="78">
        <f t="shared" ca="1" si="210"/>
        <v>0</v>
      </c>
      <c r="R137" s="4">
        <f ca="1">SUMIFS(INDIRECT("Tab_00.Trial["&amp;R$4&amp;"]"),Tab_00.Trial[CONTA],$B137)</f>
        <v>464653.7</v>
      </c>
      <c r="S137" s="78">
        <f t="shared" ca="1" si="211"/>
        <v>5.5999999999999999E-3</v>
      </c>
      <c r="T137" s="78">
        <f t="shared" ca="1" si="212"/>
        <v>1.8E-3</v>
      </c>
      <c r="U137" s="4">
        <f ca="1">SUMIFS(INDIRECT("Tab_00.Trial["&amp;U$4&amp;"]"),Tab_00.Trial[CONTA],$B137)</f>
        <v>464653.7</v>
      </c>
      <c r="V137" s="78">
        <f t="shared" ca="1" si="213"/>
        <v>5.4999999999999997E-3</v>
      </c>
      <c r="W137" s="78">
        <f t="shared" ca="1" si="214"/>
        <v>0</v>
      </c>
      <c r="X137" s="4">
        <f ca="1">SUMIFS(INDIRECT("Tab_00.Trial["&amp;X$4&amp;"]"),Tab_00.Trial[CONTA],$B137)</f>
        <v>464653.7</v>
      </c>
      <c r="Y137" s="78">
        <f t="shared" ca="1" si="215"/>
        <v>5.4999999999999997E-3</v>
      </c>
      <c r="Z137" s="78">
        <f t="shared" ca="1" si="216"/>
        <v>0</v>
      </c>
      <c r="AA137" s="4">
        <f ca="1">SUMIFS(INDIRECT("Tab_00.Trial["&amp;AA$4&amp;"]"),Tab_00.Trial[CONTA],$B137)</f>
        <v>464653.7</v>
      </c>
      <c r="AB137" s="78">
        <f t="shared" ca="1" si="217"/>
        <v>5.4999999999999997E-3</v>
      </c>
      <c r="AC137" s="78">
        <f t="shared" ca="1" si="218"/>
        <v>0</v>
      </c>
      <c r="AD137" s="4">
        <f ca="1">SUMIFS(INDIRECT("Tab_00.Trial["&amp;AD$4&amp;"]"),Tab_00.Trial[CONTA],$B137)</f>
        <v>464653.7</v>
      </c>
      <c r="AE137" s="78">
        <f t="shared" ca="1" si="219"/>
        <v>5.4999999999999997E-3</v>
      </c>
      <c r="AF137" s="78">
        <f t="shared" ca="1" si="220"/>
        <v>0</v>
      </c>
      <c r="AG137" s="4">
        <f ca="1">SUMIFS(INDIRECT("Tab_00.Trial["&amp;AG$4&amp;"]"),Tab_00.Trial[CONTA],$B137)</f>
        <v>464653.7</v>
      </c>
      <c r="AH137" s="78">
        <f t="shared" ca="1" si="221"/>
        <v>5.4999999999999997E-3</v>
      </c>
      <c r="AI137" s="78">
        <f t="shared" ca="1" si="222"/>
        <v>0</v>
      </c>
      <c r="AJ137" s="4">
        <f ca="1">SUMIFS(INDIRECT("Tab_00.Trial["&amp;AJ$4&amp;"]"),Tab_00.Trial[CONTA],$B137)</f>
        <v>464653.7</v>
      </c>
      <c r="AK137" s="78">
        <f t="shared" ca="1" si="223"/>
        <v>5.4000000000000003E-3</v>
      </c>
      <c r="AL137" s="78">
        <f t="shared" ca="1" si="224"/>
        <v>0</v>
      </c>
      <c r="AM137" s="4">
        <f ca="1">SUMIFS(INDIRECT("Tab_00.Trial["&amp;AM$4&amp;"]"),Tab_00.Trial[CONTA],$B137)</f>
        <v>464653.7</v>
      </c>
      <c r="AN137" s="78">
        <f t="shared" ca="1" si="225"/>
        <v>5.4000000000000003E-3</v>
      </c>
      <c r="AO137" s="78">
        <f t="shared" ca="1" si="226"/>
        <v>0</v>
      </c>
    </row>
    <row r="138" spans="2:42" ht="15" hidden="1" customHeight="1" outlineLevel="1" x14ac:dyDescent="0.3">
      <c r="B138" s="14" t="s">
        <v>186</v>
      </c>
      <c r="C138" s="15" t="s">
        <v>313</v>
      </c>
      <c r="D138" s="4">
        <f>SUMIFS(Tab_99.Trial[DEZEMBRO],Tab_99.Trial[CONTA],$B138)</f>
        <v>0</v>
      </c>
      <c r="E138" s="78">
        <f t="shared" si="202"/>
        <v>0</v>
      </c>
      <c r="F138" s="4">
        <f ca="1">SUMIFS(INDIRECT("Tab_00.Trial["&amp;F$4&amp;"]"),Tab_00.Trial[CONTA],$B138)</f>
        <v>-649876.97</v>
      </c>
      <c r="G138" s="78">
        <f t="shared" ca="1" si="203"/>
        <v>-7.7999999999999996E-3</v>
      </c>
      <c r="H138" s="78">
        <f t="shared" ca="1" si="204"/>
        <v>0</v>
      </c>
      <c r="I138" s="4">
        <f ca="1">SUMIFS(INDIRECT("Tab_00.Trial["&amp;I$4&amp;"]"),Tab_00.Trial[CONTA],$B138)</f>
        <v>-649876.97</v>
      </c>
      <c r="J138" s="78">
        <f t="shared" ca="1" si="205"/>
        <v>-7.7999999999999996E-3</v>
      </c>
      <c r="K138" s="78">
        <f t="shared" ca="1" si="206"/>
        <v>0</v>
      </c>
      <c r="L138" s="4">
        <f ca="1">SUMIFS(INDIRECT("Tab_00.Trial["&amp;L$4&amp;"]"),Tab_00.Trial[CONTA],$B138)</f>
        <v>-655872.82999999996</v>
      </c>
      <c r="M138" s="78">
        <f t="shared" ca="1" si="207"/>
        <v>-7.9000000000000008E-3</v>
      </c>
      <c r="N138" s="78">
        <f t="shared" ca="1" si="208"/>
        <v>-9.1999999999999998E-3</v>
      </c>
      <c r="O138" s="4">
        <f ca="1">SUMIFS(INDIRECT("Tab_00.Trial["&amp;O$4&amp;"]"),Tab_00.Trial[CONTA],$B138)</f>
        <v>-658870.76</v>
      </c>
      <c r="P138" s="78">
        <f t="shared" ca="1" si="209"/>
        <v>-7.9000000000000008E-3</v>
      </c>
      <c r="Q138" s="78">
        <f t="shared" ca="1" si="210"/>
        <v>-4.5999999999999999E-3</v>
      </c>
      <c r="R138" s="4">
        <f ca="1">SUMIFS(INDIRECT("Tab_00.Trial["&amp;R$4&amp;"]"),Tab_00.Trial[CONTA],$B138)</f>
        <v>-661868.68999999994</v>
      </c>
      <c r="S138" s="78">
        <f t="shared" ca="1" si="211"/>
        <v>-7.9000000000000008E-3</v>
      </c>
      <c r="T138" s="78">
        <f t="shared" ca="1" si="212"/>
        <v>-4.5999999999999999E-3</v>
      </c>
      <c r="U138" s="4">
        <f ca="1">SUMIFS(INDIRECT("Tab_00.Trial["&amp;U$4&amp;"]"),Tab_00.Trial[CONTA],$B138)</f>
        <v>-667864.55000000005</v>
      </c>
      <c r="V138" s="78">
        <f t="shared" ca="1" si="213"/>
        <v>-7.9000000000000008E-3</v>
      </c>
      <c r="W138" s="78">
        <f t="shared" ca="1" si="214"/>
        <v>-9.1000000000000004E-3</v>
      </c>
      <c r="X138" s="4">
        <f ca="1">SUMIFS(INDIRECT("Tab_00.Trial["&amp;X$4&amp;"]"),Tab_00.Trial[CONTA],$B138)</f>
        <v>-667864.55000000005</v>
      </c>
      <c r="Y138" s="78">
        <f t="shared" ca="1" si="215"/>
        <v>-7.9000000000000008E-3</v>
      </c>
      <c r="Z138" s="78">
        <f t="shared" ca="1" si="216"/>
        <v>0</v>
      </c>
      <c r="AA138" s="4">
        <f ca="1">SUMIFS(INDIRECT("Tab_00.Trial["&amp;AA$4&amp;"]"),Tab_00.Trial[CONTA],$B138)</f>
        <v>-667864.55000000005</v>
      </c>
      <c r="AB138" s="78">
        <f t="shared" ca="1" si="217"/>
        <v>-7.9000000000000008E-3</v>
      </c>
      <c r="AC138" s="78">
        <f t="shared" ca="1" si="218"/>
        <v>0</v>
      </c>
      <c r="AD138" s="4">
        <f ca="1">SUMIFS(INDIRECT("Tab_00.Trial["&amp;AD$4&amp;"]"),Tab_00.Trial[CONTA],$B138)</f>
        <v>-670862.48</v>
      </c>
      <c r="AE138" s="78">
        <f t="shared" ca="1" si="219"/>
        <v>-7.9000000000000008E-3</v>
      </c>
      <c r="AF138" s="78">
        <f t="shared" ca="1" si="220"/>
        <v>-4.4999999999999997E-3</v>
      </c>
      <c r="AG138" s="4">
        <f ca="1">SUMIFS(INDIRECT("Tab_00.Trial["&amp;AG$4&amp;"]"),Tab_00.Trial[CONTA],$B138)</f>
        <v>-673860.41</v>
      </c>
      <c r="AH138" s="78">
        <f t="shared" ca="1" si="221"/>
        <v>-7.9000000000000008E-3</v>
      </c>
      <c r="AI138" s="78">
        <f t="shared" ca="1" si="222"/>
        <v>-4.4999999999999997E-3</v>
      </c>
      <c r="AJ138" s="4">
        <f ca="1">SUMIFS(INDIRECT("Tab_00.Trial["&amp;AJ$4&amp;"]"),Tab_00.Trial[CONTA],$B138)</f>
        <v>-676858.34</v>
      </c>
      <c r="AK138" s="78">
        <f t="shared" ca="1" si="223"/>
        <v>-7.9000000000000008E-3</v>
      </c>
      <c r="AL138" s="78">
        <f t="shared" ca="1" si="224"/>
        <v>-4.4000000000000003E-3</v>
      </c>
      <c r="AM138" s="4">
        <f ca="1">SUMIFS(INDIRECT("Tab_00.Trial["&amp;AM$4&amp;"]"),Tab_00.Trial[CONTA],$B138)</f>
        <v>-679856.27</v>
      </c>
      <c r="AN138" s="78">
        <f t="shared" ca="1" si="225"/>
        <v>-8.0000000000000002E-3</v>
      </c>
      <c r="AO138" s="78">
        <f t="shared" ca="1" si="226"/>
        <v>-4.4000000000000003E-3</v>
      </c>
    </row>
    <row r="139" spans="2:42" ht="15" hidden="1" customHeight="1" outlineLevel="1" x14ac:dyDescent="0.3">
      <c r="B139" s="14" t="s">
        <v>187</v>
      </c>
      <c r="C139" s="15" t="s">
        <v>314</v>
      </c>
      <c r="D139" s="4">
        <f>SUMIFS(Tab_99.Trial[DEZEMBRO],Tab_99.Trial[CONTA],$B139)</f>
        <v>0</v>
      </c>
      <c r="E139" s="78">
        <f t="shared" si="202"/>
        <v>0</v>
      </c>
      <c r="F139" s="4">
        <f ca="1">SUMIFS(INDIRECT("Tab_00.Trial["&amp;F$4&amp;"]"),Tab_00.Trial[CONTA],$B139)</f>
        <v>-17058.599999999999</v>
      </c>
      <c r="G139" s="78">
        <f t="shared" ca="1" si="203"/>
        <v>-2.0000000000000001E-4</v>
      </c>
      <c r="H139" s="78">
        <f t="shared" ca="1" si="204"/>
        <v>0</v>
      </c>
      <c r="I139" s="4">
        <f ca="1">SUMIFS(INDIRECT("Tab_00.Trial["&amp;I$4&amp;"]"),Tab_00.Trial[CONTA],$B139)</f>
        <v>-17058.599999999999</v>
      </c>
      <c r="J139" s="78">
        <f t="shared" ca="1" si="205"/>
        <v>-2.0000000000000001E-4</v>
      </c>
      <c r="K139" s="78">
        <f t="shared" ca="1" si="206"/>
        <v>0</v>
      </c>
      <c r="L139" s="4">
        <f ca="1">SUMIFS(INDIRECT("Tab_00.Trial["&amp;L$4&amp;"]"),Tab_00.Trial[CONTA],$B139)</f>
        <v>-17441.939999999999</v>
      </c>
      <c r="M139" s="78">
        <f t="shared" ca="1" si="207"/>
        <v>-2.0000000000000001E-4</v>
      </c>
      <c r="N139" s="78">
        <f t="shared" ca="1" si="208"/>
        <v>-2.2499999999999999E-2</v>
      </c>
      <c r="O139" s="4">
        <f ca="1">SUMIFS(INDIRECT("Tab_00.Trial["&amp;O$4&amp;"]"),Tab_00.Trial[CONTA],$B139)</f>
        <v>-17633.61</v>
      </c>
      <c r="P139" s="78">
        <f t="shared" ca="1" si="209"/>
        <v>-2.0000000000000001E-4</v>
      </c>
      <c r="Q139" s="78">
        <f t="shared" ca="1" si="210"/>
        <v>-1.0999999999999999E-2</v>
      </c>
      <c r="R139" s="4">
        <f ca="1">SUMIFS(INDIRECT("Tab_00.Trial["&amp;R$4&amp;"]"),Tab_00.Trial[CONTA],$B139)</f>
        <v>-17825.28</v>
      </c>
      <c r="S139" s="78">
        <f t="shared" ca="1" si="211"/>
        <v>-2.0000000000000001E-4</v>
      </c>
      <c r="T139" s="78">
        <f t="shared" ca="1" si="212"/>
        <v>-1.09E-2</v>
      </c>
      <c r="U139" s="4">
        <f ca="1">SUMIFS(INDIRECT("Tab_00.Trial["&amp;U$4&amp;"]"),Tab_00.Trial[CONTA],$B139)</f>
        <v>-18208.62</v>
      </c>
      <c r="V139" s="78">
        <f t="shared" ca="1" si="213"/>
        <v>-2.0000000000000001E-4</v>
      </c>
      <c r="W139" s="78">
        <f t="shared" ca="1" si="214"/>
        <v>-2.1499999999999998E-2</v>
      </c>
      <c r="X139" s="4">
        <f ca="1">SUMIFS(INDIRECT("Tab_00.Trial["&amp;X$4&amp;"]"),Tab_00.Trial[CONTA],$B139)</f>
        <v>-18208.62</v>
      </c>
      <c r="Y139" s="78">
        <f t="shared" ca="1" si="215"/>
        <v>-2.0000000000000001E-4</v>
      </c>
      <c r="Z139" s="78">
        <f t="shared" ca="1" si="216"/>
        <v>0</v>
      </c>
      <c r="AA139" s="4">
        <f ca="1">SUMIFS(INDIRECT("Tab_00.Trial["&amp;AA$4&amp;"]"),Tab_00.Trial[CONTA],$B139)</f>
        <v>-18208.62</v>
      </c>
      <c r="AB139" s="78">
        <f t="shared" ca="1" si="217"/>
        <v>-2.0000000000000001E-4</v>
      </c>
      <c r="AC139" s="78">
        <f t="shared" ca="1" si="218"/>
        <v>0</v>
      </c>
      <c r="AD139" s="4">
        <f ca="1">SUMIFS(INDIRECT("Tab_00.Trial["&amp;AD$4&amp;"]"),Tab_00.Trial[CONTA],$B139)</f>
        <v>-21589.89</v>
      </c>
      <c r="AE139" s="78">
        <f t="shared" ca="1" si="219"/>
        <v>-2.9999999999999997E-4</v>
      </c>
      <c r="AF139" s="78">
        <f t="shared" ca="1" si="220"/>
        <v>-0.1857</v>
      </c>
      <c r="AG139" s="4">
        <f ca="1">SUMIFS(INDIRECT("Tab_00.Trial["&amp;AG$4&amp;"]"),Tab_00.Trial[CONTA],$B139)</f>
        <v>-21781.56</v>
      </c>
      <c r="AH139" s="78">
        <f t="shared" ca="1" si="221"/>
        <v>-2.9999999999999997E-4</v>
      </c>
      <c r="AI139" s="78">
        <f t="shared" ca="1" si="222"/>
        <v>-8.8999999999999999E-3</v>
      </c>
      <c r="AJ139" s="4">
        <f ca="1">SUMIFS(INDIRECT("Tab_00.Trial["&amp;AJ$4&amp;"]"),Tab_00.Trial[CONTA],$B139)</f>
        <v>-21973.23</v>
      </c>
      <c r="AK139" s="78">
        <f t="shared" ca="1" si="223"/>
        <v>-2.9999999999999997E-4</v>
      </c>
      <c r="AL139" s="78">
        <f t="shared" ca="1" si="224"/>
        <v>-8.8000000000000005E-3</v>
      </c>
      <c r="AM139" s="4">
        <f ca="1">SUMIFS(INDIRECT("Tab_00.Trial["&amp;AM$4&amp;"]"),Tab_00.Trial[CONTA],$B139)</f>
        <v>-22164.9</v>
      </c>
      <c r="AN139" s="78">
        <f t="shared" ca="1" si="225"/>
        <v>-2.9999999999999997E-4</v>
      </c>
      <c r="AO139" s="78">
        <f t="shared" ca="1" si="226"/>
        <v>-8.6999999999999994E-3</v>
      </c>
    </row>
    <row r="140" spans="2:42" ht="15" hidden="1" customHeight="1" outlineLevel="1" x14ac:dyDescent="0.3">
      <c r="B140" s="14" t="s">
        <v>188</v>
      </c>
      <c r="C140" s="15" t="s">
        <v>315</v>
      </c>
      <c r="D140" s="4">
        <f>SUMIFS(Tab_99.Trial[DEZEMBRO],Tab_99.Trial[CONTA],$B140)</f>
        <v>0</v>
      </c>
      <c r="E140" s="78">
        <f t="shared" si="202"/>
        <v>0</v>
      </c>
      <c r="F140" s="4">
        <f ca="1">SUMIFS(INDIRECT("Tab_00.Trial["&amp;F$4&amp;"]"),Tab_00.Trial[CONTA],$B140)</f>
        <v>-6159.06</v>
      </c>
      <c r="G140" s="78">
        <f t="shared" ca="1" si="203"/>
        <v>-1E-4</v>
      </c>
      <c r="H140" s="78">
        <f t="shared" ca="1" si="204"/>
        <v>0</v>
      </c>
      <c r="I140" s="4">
        <f ca="1">SUMIFS(INDIRECT("Tab_00.Trial["&amp;I$4&amp;"]"),Tab_00.Trial[CONTA],$B140)</f>
        <v>-6159.06</v>
      </c>
      <c r="J140" s="78">
        <f t="shared" ca="1" si="205"/>
        <v>-1E-4</v>
      </c>
      <c r="K140" s="78">
        <f t="shared" ca="1" si="206"/>
        <v>0</v>
      </c>
      <c r="L140" s="4">
        <f ca="1">SUMIFS(INDIRECT("Tab_00.Trial["&amp;L$4&amp;"]"),Tab_00.Trial[CONTA],$B140)</f>
        <v>-6368.96</v>
      </c>
      <c r="M140" s="78">
        <f t="shared" ca="1" si="207"/>
        <v>-1E-4</v>
      </c>
      <c r="N140" s="78">
        <f t="shared" ca="1" si="208"/>
        <v>-3.4099999999999998E-2</v>
      </c>
      <c r="O140" s="4">
        <f ca="1">SUMIFS(INDIRECT("Tab_00.Trial["&amp;O$4&amp;"]"),Tab_00.Trial[CONTA],$B140)</f>
        <v>-6473.91</v>
      </c>
      <c r="P140" s="78">
        <f t="shared" ca="1" si="209"/>
        <v>-1E-4</v>
      </c>
      <c r="Q140" s="78">
        <f t="shared" ca="1" si="210"/>
        <v>-1.6500000000000001E-2</v>
      </c>
      <c r="R140" s="4">
        <f ca="1">SUMIFS(INDIRECT("Tab_00.Trial["&amp;R$4&amp;"]"),Tab_00.Trial[CONTA],$B140)</f>
        <v>-6578.86</v>
      </c>
      <c r="S140" s="78">
        <f t="shared" ca="1" si="211"/>
        <v>-1E-4</v>
      </c>
      <c r="T140" s="78">
        <f t="shared" ca="1" si="212"/>
        <v>-1.6199999999999999E-2</v>
      </c>
      <c r="U140" s="4">
        <f ca="1">SUMIFS(INDIRECT("Tab_00.Trial["&amp;U$4&amp;"]"),Tab_00.Trial[CONTA],$B140)</f>
        <v>-6788.76</v>
      </c>
      <c r="V140" s="78">
        <f t="shared" ca="1" si="213"/>
        <v>-1E-4</v>
      </c>
      <c r="W140" s="78">
        <f t="shared" ca="1" si="214"/>
        <v>-3.1899999999999998E-2</v>
      </c>
      <c r="X140" s="4">
        <f ca="1">SUMIFS(INDIRECT("Tab_00.Trial["&amp;X$4&amp;"]"),Tab_00.Trial[CONTA],$B140)</f>
        <v>-6788.76</v>
      </c>
      <c r="Y140" s="78">
        <f t="shared" ca="1" si="215"/>
        <v>-1E-4</v>
      </c>
      <c r="Z140" s="78">
        <f t="shared" ca="1" si="216"/>
        <v>0</v>
      </c>
      <c r="AA140" s="4">
        <f ca="1">SUMIFS(INDIRECT("Tab_00.Trial["&amp;AA$4&amp;"]"),Tab_00.Trial[CONTA],$B140)</f>
        <v>-6788.76</v>
      </c>
      <c r="AB140" s="78">
        <f t="shared" ca="1" si="217"/>
        <v>-1E-4</v>
      </c>
      <c r="AC140" s="78">
        <f t="shared" ca="1" si="218"/>
        <v>0</v>
      </c>
      <c r="AD140" s="4">
        <f ca="1">SUMIFS(INDIRECT("Tab_00.Trial["&amp;AD$4&amp;"]"),Tab_00.Trial[CONTA],$B140)</f>
        <v>-6998.66</v>
      </c>
      <c r="AE140" s="78">
        <f t="shared" ca="1" si="219"/>
        <v>-1E-4</v>
      </c>
      <c r="AF140" s="78">
        <f t="shared" ca="1" si="220"/>
        <v>-3.09E-2</v>
      </c>
      <c r="AG140" s="4">
        <f ca="1">SUMIFS(INDIRECT("Tab_00.Trial["&amp;AG$4&amp;"]"),Tab_00.Trial[CONTA],$B140)</f>
        <v>-7103.61</v>
      </c>
      <c r="AH140" s="78">
        <f t="shared" ca="1" si="221"/>
        <v>-1E-4</v>
      </c>
      <c r="AI140" s="78">
        <f t="shared" ca="1" si="222"/>
        <v>-1.4999999999999999E-2</v>
      </c>
      <c r="AJ140" s="4">
        <f ca="1">SUMIFS(INDIRECT("Tab_00.Trial["&amp;AJ$4&amp;"]"),Tab_00.Trial[CONTA],$B140)</f>
        <v>-7208.56</v>
      </c>
      <c r="AK140" s="78">
        <f t="shared" ca="1" si="223"/>
        <v>-1E-4</v>
      </c>
      <c r="AL140" s="78">
        <f t="shared" ca="1" si="224"/>
        <v>-1.4800000000000001E-2</v>
      </c>
      <c r="AM140" s="4">
        <f ca="1">SUMIFS(INDIRECT("Tab_00.Trial["&amp;AM$4&amp;"]"),Tab_00.Trial[CONTA],$B140)</f>
        <v>-7313.51</v>
      </c>
      <c r="AN140" s="78">
        <f t="shared" ca="1" si="225"/>
        <v>-1E-4</v>
      </c>
      <c r="AO140" s="78">
        <f t="shared" ca="1" si="226"/>
        <v>-1.46E-2</v>
      </c>
    </row>
    <row r="141" spans="2:42" ht="15" hidden="1" customHeight="1" outlineLevel="1" x14ac:dyDescent="0.3">
      <c r="B141" s="14" t="s">
        <v>189</v>
      </c>
      <c r="C141" s="15" t="s">
        <v>316</v>
      </c>
      <c r="D141" s="4">
        <f>SUMIFS(Tab_99.Trial[DEZEMBRO],Tab_99.Trial[CONTA],$B141)</f>
        <v>0</v>
      </c>
      <c r="E141" s="78">
        <f t="shared" si="202"/>
        <v>0</v>
      </c>
      <c r="F141" s="4">
        <f ca="1">SUMIFS(INDIRECT("Tab_00.Trial["&amp;F$4&amp;"]"),Tab_00.Trial[CONTA],$B141)</f>
        <v>-223060.16</v>
      </c>
      <c r="G141" s="78">
        <f t="shared" ca="1" si="203"/>
        <v>-2.7000000000000001E-3</v>
      </c>
      <c r="H141" s="78">
        <f t="shared" ca="1" si="204"/>
        <v>0</v>
      </c>
      <c r="I141" s="4">
        <f ca="1">SUMIFS(INDIRECT("Tab_00.Trial["&amp;I$4&amp;"]"),Tab_00.Trial[CONTA],$B141)</f>
        <v>-223060.16</v>
      </c>
      <c r="J141" s="78">
        <f t="shared" ca="1" si="205"/>
        <v>-2.7000000000000001E-3</v>
      </c>
      <c r="K141" s="78">
        <f t="shared" ca="1" si="206"/>
        <v>0</v>
      </c>
      <c r="L141" s="4">
        <f ca="1">SUMIFS(INDIRECT("Tab_00.Trial["&amp;L$4&amp;"]"),Tab_00.Trial[CONTA],$B141)</f>
        <v>-224642.85</v>
      </c>
      <c r="M141" s="78">
        <f t="shared" ca="1" si="207"/>
        <v>-2.7000000000000001E-3</v>
      </c>
      <c r="N141" s="78">
        <f t="shared" ca="1" si="208"/>
        <v>-7.1000000000000004E-3</v>
      </c>
      <c r="O141" s="4">
        <f ca="1">SUMIFS(INDIRECT("Tab_00.Trial["&amp;O$4&amp;"]"),Tab_00.Trial[CONTA],$B141)</f>
        <v>-224642.85</v>
      </c>
      <c r="P141" s="78">
        <f t="shared" ca="1" si="209"/>
        <v>-2.7000000000000001E-3</v>
      </c>
      <c r="Q141" s="78">
        <f t="shared" ca="1" si="210"/>
        <v>0</v>
      </c>
      <c r="R141" s="4">
        <f ca="1">SUMIFS(INDIRECT("Tab_00.Trial["&amp;R$4&amp;"]"),Tab_00.Trial[CONTA],$B141)</f>
        <v>-224642.85</v>
      </c>
      <c r="S141" s="78">
        <f t="shared" ca="1" si="211"/>
        <v>-2.7000000000000001E-3</v>
      </c>
      <c r="T141" s="78">
        <f t="shared" ca="1" si="212"/>
        <v>0</v>
      </c>
      <c r="U141" s="4">
        <f ca="1">SUMIFS(INDIRECT("Tab_00.Trial["&amp;U$4&amp;"]"),Tab_00.Trial[CONTA],$B141)</f>
        <v>-224642.85</v>
      </c>
      <c r="V141" s="78">
        <f t="shared" ca="1" si="213"/>
        <v>-2.7000000000000001E-3</v>
      </c>
      <c r="W141" s="78">
        <f t="shared" ca="1" si="214"/>
        <v>0</v>
      </c>
      <c r="X141" s="4">
        <f ca="1">SUMIFS(INDIRECT("Tab_00.Trial["&amp;X$4&amp;"]"),Tab_00.Trial[CONTA],$B141)</f>
        <v>-224642.85</v>
      </c>
      <c r="Y141" s="78">
        <f t="shared" ca="1" si="215"/>
        <v>-2.7000000000000001E-3</v>
      </c>
      <c r="Z141" s="78">
        <f t="shared" ca="1" si="216"/>
        <v>0</v>
      </c>
      <c r="AA141" s="4">
        <f ca="1">SUMIFS(INDIRECT("Tab_00.Trial["&amp;AA$4&amp;"]"),Tab_00.Trial[CONTA],$B141)</f>
        <v>-224642.85</v>
      </c>
      <c r="AB141" s="78">
        <f t="shared" ca="1" si="217"/>
        <v>-2.7000000000000001E-3</v>
      </c>
      <c r="AC141" s="78">
        <f t="shared" ca="1" si="218"/>
        <v>0</v>
      </c>
      <c r="AD141" s="4">
        <f ca="1">SUMIFS(INDIRECT("Tab_00.Trial["&amp;AD$4&amp;"]"),Tab_00.Trial[CONTA],$B141)</f>
        <v>-224642.85</v>
      </c>
      <c r="AE141" s="78">
        <f t="shared" ca="1" si="219"/>
        <v>-2.5999999999999999E-3</v>
      </c>
      <c r="AF141" s="78">
        <f t="shared" ca="1" si="220"/>
        <v>0</v>
      </c>
      <c r="AG141" s="4">
        <f ca="1">SUMIFS(INDIRECT("Tab_00.Trial["&amp;AG$4&amp;"]"),Tab_00.Trial[CONTA],$B141)</f>
        <v>-224642.85</v>
      </c>
      <c r="AH141" s="78">
        <f t="shared" ca="1" si="221"/>
        <v>-2.5999999999999999E-3</v>
      </c>
      <c r="AI141" s="78">
        <f t="shared" ca="1" si="222"/>
        <v>0</v>
      </c>
      <c r="AJ141" s="4">
        <f ca="1">SUMIFS(INDIRECT("Tab_00.Trial["&amp;AJ$4&amp;"]"),Tab_00.Trial[CONTA],$B141)</f>
        <v>-224642.85</v>
      </c>
      <c r="AK141" s="78">
        <f t="shared" ca="1" si="223"/>
        <v>-2.5999999999999999E-3</v>
      </c>
      <c r="AL141" s="78">
        <f t="shared" ca="1" si="224"/>
        <v>0</v>
      </c>
      <c r="AM141" s="4">
        <f ca="1">SUMIFS(INDIRECT("Tab_00.Trial["&amp;AM$4&amp;"]"),Tab_00.Trial[CONTA],$B141)</f>
        <v>-224642.85</v>
      </c>
      <c r="AN141" s="78">
        <f t="shared" ca="1" si="225"/>
        <v>-2.5999999999999999E-3</v>
      </c>
      <c r="AO141" s="78">
        <f t="shared" ca="1" si="226"/>
        <v>0</v>
      </c>
    </row>
    <row r="142" spans="2:42" ht="15" hidden="1" customHeight="1" outlineLevel="1" x14ac:dyDescent="0.3">
      <c r="B142" s="14" t="s">
        <v>190</v>
      </c>
      <c r="C142" s="15" t="s">
        <v>318</v>
      </c>
      <c r="D142" s="4">
        <f>SUMIFS(Tab_99.Trial[DEZEMBRO],Tab_99.Trial[CONTA],$B142)</f>
        <v>0</v>
      </c>
      <c r="E142" s="78">
        <f t="shared" si="202"/>
        <v>0</v>
      </c>
      <c r="F142" s="4">
        <f ca="1">SUMIFS(INDIRECT("Tab_00.Trial["&amp;F$4&amp;"]"),Tab_00.Trial[CONTA],$B142)</f>
        <v>-3574.84</v>
      </c>
      <c r="G142" s="78">
        <f t="shared" ca="1" si="203"/>
        <v>0</v>
      </c>
      <c r="H142" s="78">
        <f t="shared" ca="1" si="204"/>
        <v>0</v>
      </c>
      <c r="I142" s="4">
        <f ca="1">SUMIFS(INDIRECT("Tab_00.Trial["&amp;I$4&amp;"]"),Tab_00.Trial[CONTA],$B142)</f>
        <v>-3574.84</v>
      </c>
      <c r="J142" s="78">
        <f t="shared" ca="1" si="205"/>
        <v>0</v>
      </c>
      <c r="K142" s="78">
        <f t="shared" ca="1" si="206"/>
        <v>0</v>
      </c>
      <c r="L142" s="4">
        <f ca="1">SUMIFS(INDIRECT("Tab_00.Trial["&amp;L$4&amp;"]"),Tab_00.Trial[CONTA],$B142)</f>
        <v>-3819.84</v>
      </c>
      <c r="M142" s="78">
        <f t="shared" ca="1" si="207"/>
        <v>0</v>
      </c>
      <c r="N142" s="78">
        <f t="shared" ca="1" si="208"/>
        <v>-6.8500000000000005E-2</v>
      </c>
      <c r="O142" s="4">
        <f ca="1">SUMIFS(INDIRECT("Tab_00.Trial["&amp;O$4&amp;"]"),Tab_00.Trial[CONTA],$B142)</f>
        <v>-3942.34</v>
      </c>
      <c r="P142" s="78">
        <f t="shared" ca="1" si="209"/>
        <v>0</v>
      </c>
      <c r="Q142" s="78">
        <f t="shared" ca="1" si="210"/>
        <v>-3.2099999999999997E-2</v>
      </c>
      <c r="R142" s="4">
        <f ca="1">SUMIFS(INDIRECT("Tab_00.Trial["&amp;R$4&amp;"]"),Tab_00.Trial[CONTA],$B142)</f>
        <v>-4064.84</v>
      </c>
      <c r="S142" s="78">
        <f t="shared" ca="1" si="211"/>
        <v>0</v>
      </c>
      <c r="T142" s="78">
        <f t="shared" ca="1" si="212"/>
        <v>-3.1099999999999999E-2</v>
      </c>
      <c r="U142" s="4">
        <f ca="1">SUMIFS(INDIRECT("Tab_00.Trial["&amp;U$4&amp;"]"),Tab_00.Trial[CONTA],$B142)</f>
        <v>-4309.24</v>
      </c>
      <c r="V142" s="78">
        <f t="shared" ca="1" si="213"/>
        <v>-1E-4</v>
      </c>
      <c r="W142" s="78">
        <f t="shared" ca="1" si="214"/>
        <v>-6.0100000000000001E-2</v>
      </c>
      <c r="X142" s="4">
        <f ca="1">SUMIFS(INDIRECT("Tab_00.Trial["&amp;X$4&amp;"]"),Tab_00.Trial[CONTA],$B142)</f>
        <v>-4309.24</v>
      </c>
      <c r="Y142" s="78">
        <f t="shared" ca="1" si="215"/>
        <v>-1E-4</v>
      </c>
      <c r="Z142" s="78">
        <f t="shared" ca="1" si="216"/>
        <v>0</v>
      </c>
      <c r="AA142" s="4">
        <f ca="1">SUMIFS(INDIRECT("Tab_00.Trial["&amp;AA$4&amp;"]"),Tab_00.Trial[CONTA],$B142)</f>
        <v>-4309.24</v>
      </c>
      <c r="AB142" s="78">
        <f t="shared" ca="1" si="217"/>
        <v>-1E-4</v>
      </c>
      <c r="AC142" s="78">
        <f t="shared" ca="1" si="218"/>
        <v>0</v>
      </c>
      <c r="AD142" s="4">
        <f ca="1">SUMIFS(INDIRECT("Tab_00.Trial["&amp;AD$4&amp;"]"),Tab_00.Trial[CONTA],$B142)</f>
        <v>-4553.6400000000003</v>
      </c>
      <c r="AE142" s="78">
        <f t="shared" ca="1" si="219"/>
        <v>-1E-4</v>
      </c>
      <c r="AF142" s="78">
        <f t="shared" ca="1" si="220"/>
        <v>-5.67E-2</v>
      </c>
      <c r="AG142" s="4">
        <f ca="1">SUMIFS(INDIRECT("Tab_00.Trial["&amp;AG$4&amp;"]"),Tab_00.Trial[CONTA],$B142)</f>
        <v>-4675.84</v>
      </c>
      <c r="AH142" s="78">
        <f t="shared" ca="1" si="221"/>
        <v>-1E-4</v>
      </c>
      <c r="AI142" s="78">
        <f t="shared" ca="1" si="222"/>
        <v>-2.6800000000000001E-2</v>
      </c>
      <c r="AJ142" s="4">
        <f ca="1">SUMIFS(INDIRECT("Tab_00.Trial["&amp;AJ$4&amp;"]"),Tab_00.Trial[CONTA],$B142)</f>
        <v>-4675.84</v>
      </c>
      <c r="AK142" s="78">
        <f t="shared" ca="1" si="223"/>
        <v>-1E-4</v>
      </c>
      <c r="AL142" s="78">
        <f t="shared" ca="1" si="224"/>
        <v>0</v>
      </c>
      <c r="AM142" s="4">
        <f ca="1">SUMIFS(INDIRECT("Tab_00.Trial["&amp;AM$4&amp;"]"),Tab_00.Trial[CONTA],$B142)</f>
        <v>-4675.84</v>
      </c>
      <c r="AN142" s="78">
        <f t="shared" ca="1" si="225"/>
        <v>-1E-4</v>
      </c>
      <c r="AO142" s="78">
        <f t="shared" ca="1" si="226"/>
        <v>0</v>
      </c>
    </row>
    <row r="143" spans="2:42" ht="15" hidden="1" customHeight="1" outlineLevel="1" x14ac:dyDescent="0.3">
      <c r="B143" s="14" t="s">
        <v>323</v>
      </c>
      <c r="C143" s="15" t="s">
        <v>319</v>
      </c>
      <c r="D143" s="4">
        <f>SUMIFS(Tab_99.Trial[DEZEMBRO],Tab_99.Trial[CONTA],$B143)</f>
        <v>0</v>
      </c>
      <c r="E143" s="78">
        <f t="shared" si="202"/>
        <v>0</v>
      </c>
      <c r="F143" s="4">
        <f ca="1">SUMIFS(INDIRECT("Tab_00.Trial["&amp;F$4&amp;"]"),Tab_00.Trial[CONTA],$B143)</f>
        <v>-128697.03</v>
      </c>
      <c r="G143" s="78">
        <f t="shared" ca="1" si="203"/>
        <v>-1.5E-3</v>
      </c>
      <c r="H143" s="78">
        <f t="shared" ca="1" si="204"/>
        <v>0</v>
      </c>
      <c r="I143" s="4">
        <f ca="1">SUMIFS(INDIRECT("Tab_00.Trial["&amp;I$4&amp;"]"),Tab_00.Trial[CONTA],$B143)</f>
        <v>-128697.03</v>
      </c>
      <c r="J143" s="78">
        <f t="shared" ca="1" si="205"/>
        <v>-1.6000000000000001E-3</v>
      </c>
      <c r="K143" s="78">
        <f t="shared" ca="1" si="206"/>
        <v>0</v>
      </c>
      <c r="L143" s="4">
        <f ca="1">SUMIFS(INDIRECT("Tab_00.Trial["&amp;L$4&amp;"]"),Tab_00.Trial[CONTA],$B143)</f>
        <v>-128697.03</v>
      </c>
      <c r="M143" s="78">
        <f t="shared" ca="1" si="207"/>
        <v>-1.5E-3</v>
      </c>
      <c r="N143" s="78">
        <f t="shared" ca="1" si="208"/>
        <v>0</v>
      </c>
      <c r="O143" s="4">
        <f ca="1">SUMIFS(INDIRECT("Tab_00.Trial["&amp;O$4&amp;"]"),Tab_00.Trial[CONTA],$B143)</f>
        <v>-128697.03</v>
      </c>
      <c r="P143" s="78">
        <f t="shared" ca="1" si="209"/>
        <v>-1.5E-3</v>
      </c>
      <c r="Q143" s="78">
        <f t="shared" ca="1" si="210"/>
        <v>0</v>
      </c>
      <c r="R143" s="4">
        <f ca="1">SUMIFS(INDIRECT("Tab_00.Trial["&amp;R$4&amp;"]"),Tab_00.Trial[CONTA],$B143)</f>
        <v>-128697.03</v>
      </c>
      <c r="S143" s="78">
        <f t="shared" ca="1" si="211"/>
        <v>-1.5E-3</v>
      </c>
      <c r="T143" s="78">
        <f t="shared" ca="1" si="212"/>
        <v>0</v>
      </c>
      <c r="U143" s="4">
        <f ca="1">SUMIFS(INDIRECT("Tab_00.Trial["&amp;U$4&amp;"]"),Tab_00.Trial[CONTA],$B143)</f>
        <v>-128697.03</v>
      </c>
      <c r="V143" s="78">
        <f t="shared" ca="1" si="213"/>
        <v>-1.5E-3</v>
      </c>
      <c r="W143" s="78">
        <f t="shared" ca="1" si="214"/>
        <v>0</v>
      </c>
      <c r="X143" s="4">
        <f ca="1">SUMIFS(INDIRECT("Tab_00.Trial["&amp;X$4&amp;"]"),Tab_00.Trial[CONTA],$B143)</f>
        <v>-128697.03</v>
      </c>
      <c r="Y143" s="78">
        <f t="shared" ca="1" si="215"/>
        <v>-1.5E-3</v>
      </c>
      <c r="Z143" s="78">
        <f t="shared" ca="1" si="216"/>
        <v>0</v>
      </c>
      <c r="AA143" s="4">
        <f ca="1">SUMIFS(INDIRECT("Tab_00.Trial["&amp;AA$4&amp;"]"),Tab_00.Trial[CONTA],$B143)</f>
        <v>-128697.03</v>
      </c>
      <c r="AB143" s="78">
        <f t="shared" ca="1" si="217"/>
        <v>-1.5E-3</v>
      </c>
      <c r="AC143" s="78">
        <f t="shared" ca="1" si="218"/>
        <v>0</v>
      </c>
      <c r="AD143" s="4">
        <f ca="1">SUMIFS(INDIRECT("Tab_00.Trial["&amp;AD$4&amp;"]"),Tab_00.Trial[CONTA],$B143)</f>
        <v>-128697.03</v>
      </c>
      <c r="AE143" s="78">
        <f t="shared" ca="1" si="219"/>
        <v>-1.5E-3</v>
      </c>
      <c r="AF143" s="78">
        <f t="shared" ca="1" si="220"/>
        <v>0</v>
      </c>
      <c r="AG143" s="4">
        <f ca="1">SUMIFS(INDIRECT("Tab_00.Trial["&amp;AG$4&amp;"]"),Tab_00.Trial[CONTA],$B143)</f>
        <v>-128697.03</v>
      </c>
      <c r="AH143" s="78">
        <f t="shared" ca="1" si="221"/>
        <v>-1.5E-3</v>
      </c>
      <c r="AI143" s="78">
        <f t="shared" ca="1" si="222"/>
        <v>0</v>
      </c>
      <c r="AJ143" s="4">
        <f ca="1">SUMIFS(INDIRECT("Tab_00.Trial["&amp;AJ$4&amp;"]"),Tab_00.Trial[CONTA],$B143)</f>
        <v>-128819.23</v>
      </c>
      <c r="AK143" s="78">
        <f t="shared" ca="1" si="223"/>
        <v>-1.5E-3</v>
      </c>
      <c r="AL143" s="78">
        <f t="shared" ca="1" si="224"/>
        <v>-8.9999999999999998E-4</v>
      </c>
      <c r="AM143" s="4">
        <f ca="1">SUMIFS(INDIRECT("Tab_00.Trial["&amp;AM$4&amp;"]"),Tab_00.Trial[CONTA],$B143)</f>
        <v>-128941.43</v>
      </c>
      <c r="AN143" s="78">
        <f t="shared" ca="1" si="225"/>
        <v>-1.5E-3</v>
      </c>
      <c r="AO143" s="78">
        <f t="shared" ca="1" si="226"/>
        <v>-8.9999999999999998E-4</v>
      </c>
    </row>
    <row r="144" spans="2:42" ht="15" hidden="1" customHeight="1" outlineLevel="1" x14ac:dyDescent="0.3">
      <c r="B144" s="14" t="s">
        <v>324</v>
      </c>
      <c r="C144" s="15" t="s">
        <v>320</v>
      </c>
      <c r="D144" s="4">
        <f>SUMIFS(Tab_99.Trial[DEZEMBRO],Tab_99.Trial[CONTA],$B144)</f>
        <v>0</v>
      </c>
      <c r="E144" s="78">
        <f t="shared" si="202"/>
        <v>0</v>
      </c>
      <c r="F144" s="4">
        <f ca="1">SUMIFS(INDIRECT("Tab_00.Trial["&amp;F$4&amp;"]"),Tab_00.Trial[CONTA],$B144)</f>
        <v>-15029.74</v>
      </c>
      <c r="G144" s="78">
        <f t="shared" ca="1" si="203"/>
        <v>-2.0000000000000001E-4</v>
      </c>
      <c r="H144" s="78">
        <f t="shared" ca="1" si="204"/>
        <v>0</v>
      </c>
      <c r="I144" s="4">
        <f ca="1">SUMIFS(INDIRECT("Tab_00.Trial["&amp;I$4&amp;"]"),Tab_00.Trial[CONTA],$B144)</f>
        <v>-15029.74</v>
      </c>
      <c r="J144" s="78">
        <f t="shared" ca="1" si="205"/>
        <v>-2.0000000000000001E-4</v>
      </c>
      <c r="K144" s="78">
        <f t="shared" ca="1" si="206"/>
        <v>0</v>
      </c>
      <c r="L144" s="4">
        <f ca="1">SUMIFS(INDIRECT("Tab_00.Trial["&amp;L$4&amp;"]"),Tab_00.Trial[CONTA],$B144)</f>
        <v>-15029.74</v>
      </c>
      <c r="M144" s="78">
        <f t="shared" ca="1" si="207"/>
        <v>-2.0000000000000001E-4</v>
      </c>
      <c r="N144" s="78">
        <f t="shared" ca="1" si="208"/>
        <v>0</v>
      </c>
      <c r="O144" s="4">
        <f ca="1">SUMIFS(INDIRECT("Tab_00.Trial["&amp;O$4&amp;"]"),Tab_00.Trial[CONTA],$B144)</f>
        <v>-15029.74</v>
      </c>
      <c r="P144" s="78">
        <f t="shared" ca="1" si="209"/>
        <v>-2.0000000000000001E-4</v>
      </c>
      <c r="Q144" s="78">
        <f t="shared" ca="1" si="210"/>
        <v>0</v>
      </c>
      <c r="R144" s="4">
        <f ca="1">SUMIFS(INDIRECT("Tab_00.Trial["&amp;R$4&amp;"]"),Tab_00.Trial[CONTA],$B144)</f>
        <v>-15029.74</v>
      </c>
      <c r="S144" s="78">
        <f t="shared" ca="1" si="211"/>
        <v>-2.0000000000000001E-4</v>
      </c>
      <c r="T144" s="78">
        <f t="shared" ca="1" si="212"/>
        <v>0</v>
      </c>
      <c r="U144" s="4">
        <f ca="1">SUMIFS(INDIRECT("Tab_00.Trial["&amp;U$4&amp;"]"),Tab_00.Trial[CONTA],$B144)</f>
        <v>-15029.74</v>
      </c>
      <c r="V144" s="78">
        <f t="shared" ca="1" si="213"/>
        <v>-2.0000000000000001E-4</v>
      </c>
      <c r="W144" s="78">
        <f t="shared" ca="1" si="214"/>
        <v>0</v>
      </c>
      <c r="X144" s="4">
        <f ca="1">SUMIFS(INDIRECT("Tab_00.Trial["&amp;X$4&amp;"]"),Tab_00.Trial[CONTA],$B144)</f>
        <v>-15029.74</v>
      </c>
      <c r="Y144" s="78">
        <f t="shared" ca="1" si="215"/>
        <v>-2.0000000000000001E-4</v>
      </c>
      <c r="Z144" s="78">
        <f t="shared" ca="1" si="216"/>
        <v>0</v>
      </c>
      <c r="AA144" s="4">
        <f ca="1">SUMIFS(INDIRECT("Tab_00.Trial["&amp;AA$4&amp;"]"),Tab_00.Trial[CONTA],$B144)</f>
        <v>-15029.74</v>
      </c>
      <c r="AB144" s="78">
        <f t="shared" ca="1" si="217"/>
        <v>-2.0000000000000001E-4</v>
      </c>
      <c r="AC144" s="78">
        <f t="shared" ca="1" si="218"/>
        <v>0</v>
      </c>
      <c r="AD144" s="4">
        <f ca="1">SUMIFS(INDIRECT("Tab_00.Trial["&amp;AD$4&amp;"]"),Tab_00.Trial[CONTA],$B144)</f>
        <v>-15029.74</v>
      </c>
      <c r="AE144" s="78">
        <f t="shared" ca="1" si="219"/>
        <v>-2.0000000000000001E-4</v>
      </c>
      <c r="AF144" s="78">
        <f t="shared" ca="1" si="220"/>
        <v>0</v>
      </c>
      <c r="AG144" s="4">
        <f ca="1">SUMIFS(INDIRECT("Tab_00.Trial["&amp;AG$4&amp;"]"),Tab_00.Trial[CONTA],$B144)</f>
        <v>-15029.74</v>
      </c>
      <c r="AH144" s="78">
        <f t="shared" ca="1" si="221"/>
        <v>-2.0000000000000001E-4</v>
      </c>
      <c r="AI144" s="78">
        <f t="shared" ca="1" si="222"/>
        <v>0</v>
      </c>
      <c r="AJ144" s="4">
        <f ca="1">SUMIFS(INDIRECT("Tab_00.Trial["&amp;AJ$4&amp;"]"),Tab_00.Trial[CONTA],$B144)</f>
        <v>-15029.74</v>
      </c>
      <c r="AK144" s="78">
        <f t="shared" ca="1" si="223"/>
        <v>-2.0000000000000001E-4</v>
      </c>
      <c r="AL144" s="78">
        <f t="shared" ca="1" si="224"/>
        <v>0</v>
      </c>
      <c r="AM144" s="4">
        <f ca="1">SUMIFS(INDIRECT("Tab_00.Trial["&amp;AM$4&amp;"]"),Tab_00.Trial[CONTA],$B144)</f>
        <v>-15029.74</v>
      </c>
      <c r="AN144" s="78">
        <f t="shared" ca="1" si="225"/>
        <v>-2.0000000000000001E-4</v>
      </c>
      <c r="AO144" s="78">
        <f t="shared" ca="1" si="226"/>
        <v>0</v>
      </c>
    </row>
    <row r="145" spans="2:41" ht="15" hidden="1" customHeight="1" outlineLevel="1" x14ac:dyDescent="0.3">
      <c r="B145" s="14" t="s">
        <v>325</v>
      </c>
      <c r="C145" s="15" t="s">
        <v>322</v>
      </c>
      <c r="D145" s="4">
        <f>SUMIFS(Tab_99.Trial[DEZEMBRO],Tab_99.Trial[CONTA],$B145)</f>
        <v>0</v>
      </c>
      <c r="E145" s="78">
        <f t="shared" si="202"/>
        <v>0</v>
      </c>
      <c r="F145" s="4">
        <f ca="1">SUMIFS(INDIRECT("Tab_00.Trial["&amp;F$4&amp;"]"),Tab_00.Trial[CONTA],$B145)</f>
        <v>-113681.71</v>
      </c>
      <c r="G145" s="78">
        <f t="shared" ca="1" si="203"/>
        <v>-1.4E-3</v>
      </c>
      <c r="H145" s="78">
        <f t="shared" ca="1" si="204"/>
        <v>0</v>
      </c>
      <c r="I145" s="4">
        <f ca="1">SUMIFS(INDIRECT("Tab_00.Trial["&amp;I$4&amp;"]"),Tab_00.Trial[CONTA],$B145)</f>
        <v>-113681.71</v>
      </c>
      <c r="J145" s="78">
        <f t="shared" ca="1" si="205"/>
        <v>-1.4E-3</v>
      </c>
      <c r="K145" s="78">
        <f t="shared" ca="1" si="206"/>
        <v>0</v>
      </c>
      <c r="L145" s="4">
        <f ca="1">SUMIFS(INDIRECT("Tab_00.Trial["&amp;L$4&amp;"]"),Tab_00.Trial[CONTA],$B145)</f>
        <v>-114181.71</v>
      </c>
      <c r="M145" s="78">
        <f t="shared" ca="1" si="207"/>
        <v>-1.4E-3</v>
      </c>
      <c r="N145" s="78">
        <f t="shared" ca="1" si="208"/>
        <v>-4.4000000000000003E-3</v>
      </c>
      <c r="O145" s="4">
        <f ca="1">SUMIFS(INDIRECT("Tab_00.Trial["&amp;O$4&amp;"]"),Tab_00.Trial[CONTA],$B145)</f>
        <v>-114431.71</v>
      </c>
      <c r="P145" s="78">
        <f t="shared" ca="1" si="209"/>
        <v>-1.4E-3</v>
      </c>
      <c r="Q145" s="78">
        <f t="shared" ca="1" si="210"/>
        <v>-2.2000000000000001E-3</v>
      </c>
      <c r="R145" s="4">
        <f ca="1">SUMIFS(INDIRECT("Tab_00.Trial["&amp;R$4&amp;"]"),Tab_00.Trial[CONTA],$B145)</f>
        <v>-114681.71</v>
      </c>
      <c r="S145" s="78">
        <f t="shared" ca="1" si="211"/>
        <v>-1.4E-3</v>
      </c>
      <c r="T145" s="78">
        <f t="shared" ca="1" si="212"/>
        <v>-2.2000000000000001E-3</v>
      </c>
      <c r="U145" s="4">
        <f ca="1">SUMIFS(INDIRECT("Tab_00.Trial["&amp;U$4&amp;"]"),Tab_00.Trial[CONTA],$B145)</f>
        <v>-115181.71</v>
      </c>
      <c r="V145" s="78">
        <f t="shared" ca="1" si="213"/>
        <v>-1.4E-3</v>
      </c>
      <c r="W145" s="78">
        <f t="shared" ca="1" si="214"/>
        <v>-4.4000000000000003E-3</v>
      </c>
      <c r="X145" s="4">
        <f ca="1">SUMIFS(INDIRECT("Tab_00.Trial["&amp;X$4&amp;"]"),Tab_00.Trial[CONTA],$B145)</f>
        <v>-115181.71</v>
      </c>
      <c r="Y145" s="78">
        <f t="shared" ca="1" si="215"/>
        <v>-1.4E-3</v>
      </c>
      <c r="Z145" s="78">
        <f t="shared" ca="1" si="216"/>
        <v>0</v>
      </c>
      <c r="AA145" s="4">
        <f ca="1">SUMIFS(INDIRECT("Tab_00.Trial["&amp;AA$4&amp;"]"),Tab_00.Trial[CONTA],$B145)</f>
        <v>-115181.71</v>
      </c>
      <c r="AB145" s="78">
        <f t="shared" ca="1" si="217"/>
        <v>-1.4E-3</v>
      </c>
      <c r="AC145" s="78">
        <f t="shared" ca="1" si="218"/>
        <v>0</v>
      </c>
      <c r="AD145" s="4">
        <f ca="1">SUMIFS(INDIRECT("Tab_00.Trial["&amp;AD$4&amp;"]"),Tab_00.Trial[CONTA],$B145)</f>
        <v>-115681.71</v>
      </c>
      <c r="AE145" s="78">
        <f t="shared" ca="1" si="219"/>
        <v>-1.4E-3</v>
      </c>
      <c r="AF145" s="78">
        <f t="shared" ca="1" si="220"/>
        <v>-4.3E-3</v>
      </c>
      <c r="AG145" s="4">
        <f ca="1">SUMIFS(INDIRECT("Tab_00.Trial["&amp;AG$4&amp;"]"),Tab_00.Trial[CONTA],$B145)</f>
        <v>-115931.71</v>
      </c>
      <c r="AH145" s="78">
        <f t="shared" ca="1" si="221"/>
        <v>-1.4E-3</v>
      </c>
      <c r="AI145" s="78">
        <f t="shared" ca="1" si="222"/>
        <v>-2.2000000000000001E-3</v>
      </c>
      <c r="AJ145" s="4">
        <f ca="1">SUMIFS(INDIRECT("Tab_00.Trial["&amp;AJ$4&amp;"]"),Tab_00.Trial[CONTA],$B145)</f>
        <v>-116181.71</v>
      </c>
      <c r="AK145" s="78">
        <f t="shared" ca="1" si="223"/>
        <v>-1.4E-3</v>
      </c>
      <c r="AL145" s="78">
        <f t="shared" ca="1" si="224"/>
        <v>-2.2000000000000001E-3</v>
      </c>
      <c r="AM145" s="4">
        <f ca="1">SUMIFS(INDIRECT("Tab_00.Trial["&amp;AM$4&amp;"]"),Tab_00.Trial[CONTA],$B145)</f>
        <v>-116431.71</v>
      </c>
      <c r="AN145" s="78">
        <f t="shared" ca="1" si="225"/>
        <v>-1.4E-3</v>
      </c>
      <c r="AO145" s="78">
        <f t="shared" ca="1" si="226"/>
        <v>-2.2000000000000001E-3</v>
      </c>
    </row>
    <row r="146" spans="2:41" ht="15" hidden="1" customHeight="1" outlineLevel="1" x14ac:dyDescent="0.3">
      <c r="B146" s="14" t="s">
        <v>857</v>
      </c>
      <c r="C146" s="15" t="s">
        <v>838</v>
      </c>
      <c r="D146" s="4">
        <f>SUMIFS(Tab_99.Trial[DEZEMBRO],Tab_99.Trial[CONTA],$B146)</f>
        <v>0</v>
      </c>
      <c r="E146" s="78">
        <f t="shared" si="202"/>
        <v>0</v>
      </c>
      <c r="F146" s="4">
        <f ca="1">SUMIFS(INDIRECT("Tab_00.Trial["&amp;F$4&amp;"]"),Tab_00.Trial[CONTA],$B146)</f>
        <v>0</v>
      </c>
      <c r="G146" s="78">
        <f t="shared" ca="1" si="203"/>
        <v>0</v>
      </c>
      <c r="H146" s="78">
        <f t="shared" ca="1" si="204"/>
        <v>0</v>
      </c>
      <c r="I146" s="4">
        <f ca="1">SUMIFS(INDIRECT("Tab_00.Trial["&amp;I$4&amp;"]"),Tab_00.Trial[CONTA],$B146)</f>
        <v>0</v>
      </c>
      <c r="J146" s="78">
        <f t="shared" ca="1" si="205"/>
        <v>0</v>
      </c>
      <c r="K146" s="78">
        <f t="shared" ca="1" si="206"/>
        <v>0</v>
      </c>
      <c r="L146" s="4">
        <f ca="1">SUMIFS(INDIRECT("Tab_00.Trial["&amp;L$4&amp;"]"),Tab_00.Trial[CONTA],$B146)</f>
        <v>0</v>
      </c>
      <c r="M146" s="78">
        <f t="shared" ca="1" si="207"/>
        <v>0</v>
      </c>
      <c r="N146" s="78">
        <f t="shared" ca="1" si="208"/>
        <v>0</v>
      </c>
      <c r="O146" s="4">
        <f ca="1">SUMIFS(INDIRECT("Tab_00.Trial["&amp;O$4&amp;"]"),Tab_00.Trial[CONTA],$B146)</f>
        <v>0</v>
      </c>
      <c r="P146" s="78">
        <f t="shared" ca="1" si="209"/>
        <v>0</v>
      </c>
      <c r="Q146" s="78">
        <f t="shared" ca="1" si="210"/>
        <v>0</v>
      </c>
      <c r="R146" s="4">
        <f ca="1">SUMIFS(INDIRECT("Tab_00.Trial["&amp;R$4&amp;"]"),Tab_00.Trial[CONTA],$B146)</f>
        <v>0</v>
      </c>
      <c r="S146" s="78">
        <f t="shared" ca="1" si="211"/>
        <v>0</v>
      </c>
      <c r="T146" s="78">
        <f t="shared" ca="1" si="212"/>
        <v>0</v>
      </c>
      <c r="U146" s="4">
        <f ca="1">SUMIFS(INDIRECT("Tab_00.Trial["&amp;U$4&amp;"]"),Tab_00.Trial[CONTA],$B146)</f>
        <v>0</v>
      </c>
      <c r="V146" s="78">
        <f t="shared" ca="1" si="213"/>
        <v>0</v>
      </c>
      <c r="W146" s="78">
        <f t="shared" ca="1" si="214"/>
        <v>0</v>
      </c>
      <c r="X146" s="4">
        <f ca="1">SUMIFS(INDIRECT("Tab_00.Trial["&amp;X$4&amp;"]"),Tab_00.Trial[CONTA],$B146)</f>
        <v>0</v>
      </c>
      <c r="Y146" s="78">
        <f t="shared" ca="1" si="215"/>
        <v>0</v>
      </c>
      <c r="Z146" s="78">
        <f t="shared" ca="1" si="216"/>
        <v>0</v>
      </c>
      <c r="AA146" s="4">
        <f ca="1">SUMIFS(INDIRECT("Tab_00.Trial["&amp;AA$4&amp;"]"),Tab_00.Trial[CONTA],$B146)</f>
        <v>0</v>
      </c>
      <c r="AB146" s="78">
        <f t="shared" ca="1" si="217"/>
        <v>0</v>
      </c>
      <c r="AC146" s="78">
        <f t="shared" ca="1" si="218"/>
        <v>0</v>
      </c>
      <c r="AD146" s="4">
        <f ca="1">SUMIFS(INDIRECT("Tab_00.Trial["&amp;AD$4&amp;"]"),Tab_00.Trial[CONTA],$B146)</f>
        <v>0</v>
      </c>
      <c r="AE146" s="78">
        <f t="shared" ca="1" si="219"/>
        <v>0</v>
      </c>
      <c r="AF146" s="78">
        <f t="shared" ca="1" si="220"/>
        <v>0</v>
      </c>
      <c r="AG146" s="4">
        <f ca="1">SUMIFS(INDIRECT("Tab_00.Trial["&amp;AG$4&amp;"]"),Tab_00.Trial[CONTA],$B146)</f>
        <v>0</v>
      </c>
      <c r="AH146" s="78">
        <f t="shared" ca="1" si="221"/>
        <v>0</v>
      </c>
      <c r="AI146" s="78">
        <f t="shared" ca="1" si="222"/>
        <v>0</v>
      </c>
      <c r="AJ146" s="4">
        <f ca="1">SUMIFS(INDIRECT("Tab_00.Trial["&amp;AJ$4&amp;"]"),Tab_00.Trial[CONTA],$B146)</f>
        <v>0</v>
      </c>
      <c r="AK146" s="78">
        <f t="shared" ca="1" si="223"/>
        <v>0</v>
      </c>
      <c r="AL146" s="78">
        <f t="shared" ca="1" si="224"/>
        <v>0</v>
      </c>
      <c r="AM146" s="4">
        <f ca="1">SUMIFS(INDIRECT("Tab_00.Trial["&amp;AM$4&amp;"]"),Tab_00.Trial[CONTA],$B146)</f>
        <v>0</v>
      </c>
      <c r="AN146" s="78">
        <f t="shared" ref="AN146" ca="1" si="227">IFERROR(AM146/AM$160,0)</f>
        <v>0</v>
      </c>
      <c r="AO146" s="78">
        <f t="shared" ca="1" si="226"/>
        <v>0</v>
      </c>
    </row>
    <row r="147" spans="2:41" ht="15" hidden="1" customHeight="1" outlineLevel="1" x14ac:dyDescent="0.3">
      <c r="B147" s="14"/>
      <c r="C147" s="15"/>
      <c r="D147" s="4">
        <f>SUMIFS(Tab_99.Trial[DEZEMBRO],Tab_99.Trial[CONTA],$B147)</f>
        <v>0</v>
      </c>
      <c r="E147" s="78">
        <f t="shared" si="202"/>
        <v>0</v>
      </c>
      <c r="F147" s="4">
        <f ca="1">SUMIFS(INDIRECT("Tab_00.Trial["&amp;F$4&amp;"]"),Tab_00.Trial[CONTA],$B147)</f>
        <v>0</v>
      </c>
      <c r="G147" s="78">
        <f t="shared" ca="1" si="203"/>
        <v>0</v>
      </c>
      <c r="H147" s="78">
        <f t="shared" ca="1" si="204"/>
        <v>0</v>
      </c>
      <c r="I147" s="4">
        <f ca="1">SUMIFS(INDIRECT("Tab_00.Trial["&amp;I$4&amp;"]"),Tab_00.Trial[CONTA],$B147)</f>
        <v>0</v>
      </c>
      <c r="J147" s="78">
        <f t="shared" ca="1" si="205"/>
        <v>0</v>
      </c>
      <c r="K147" s="78">
        <f t="shared" ca="1" si="206"/>
        <v>0</v>
      </c>
      <c r="L147" s="4">
        <f ca="1">SUMIFS(INDIRECT("Tab_00.Trial["&amp;L$4&amp;"]"),Tab_00.Trial[CONTA],$B147)</f>
        <v>0</v>
      </c>
      <c r="M147" s="78">
        <f t="shared" ca="1" si="207"/>
        <v>0</v>
      </c>
      <c r="N147" s="78">
        <f t="shared" ca="1" si="208"/>
        <v>0</v>
      </c>
      <c r="O147" s="4">
        <f ca="1">SUMIFS(INDIRECT("Tab_00.Trial["&amp;O$4&amp;"]"),Tab_00.Trial[CONTA],$B147)</f>
        <v>0</v>
      </c>
      <c r="P147" s="78">
        <f t="shared" ca="1" si="209"/>
        <v>0</v>
      </c>
      <c r="Q147" s="78">
        <f t="shared" ca="1" si="210"/>
        <v>0</v>
      </c>
      <c r="R147" s="4">
        <f ca="1">SUMIFS(INDIRECT("Tab_00.Trial["&amp;R$4&amp;"]"),Tab_00.Trial[CONTA],$B147)</f>
        <v>0</v>
      </c>
      <c r="S147" s="78">
        <f t="shared" ca="1" si="211"/>
        <v>0</v>
      </c>
      <c r="T147" s="78">
        <f t="shared" ca="1" si="212"/>
        <v>0</v>
      </c>
      <c r="U147" s="4">
        <f ca="1">SUMIFS(INDIRECT("Tab_00.Trial["&amp;U$4&amp;"]"),Tab_00.Trial[CONTA],$B147)</f>
        <v>0</v>
      </c>
      <c r="V147" s="78">
        <f t="shared" ca="1" si="213"/>
        <v>0</v>
      </c>
      <c r="W147" s="78">
        <f t="shared" ca="1" si="214"/>
        <v>0</v>
      </c>
      <c r="X147" s="4">
        <f ca="1">SUMIFS(INDIRECT("Tab_00.Trial["&amp;X$4&amp;"]"),Tab_00.Trial[CONTA],$B147)</f>
        <v>0</v>
      </c>
      <c r="Y147" s="78">
        <f t="shared" ca="1" si="215"/>
        <v>0</v>
      </c>
      <c r="Z147" s="78">
        <f t="shared" ca="1" si="216"/>
        <v>0</v>
      </c>
      <c r="AA147" s="4">
        <f ca="1">SUMIFS(INDIRECT("Tab_00.Trial["&amp;AA$4&amp;"]"),Tab_00.Trial[CONTA],$B147)</f>
        <v>0</v>
      </c>
      <c r="AB147" s="78">
        <f t="shared" ca="1" si="217"/>
        <v>0</v>
      </c>
      <c r="AC147" s="78">
        <f t="shared" ca="1" si="218"/>
        <v>0</v>
      </c>
      <c r="AD147" s="4">
        <f ca="1">SUMIFS(INDIRECT("Tab_00.Trial["&amp;AD$4&amp;"]"),Tab_00.Trial[CONTA],$B147)</f>
        <v>0</v>
      </c>
      <c r="AE147" s="78">
        <f t="shared" ca="1" si="219"/>
        <v>0</v>
      </c>
      <c r="AF147" s="78">
        <f t="shared" ca="1" si="220"/>
        <v>0</v>
      </c>
      <c r="AG147" s="4">
        <f ca="1">SUMIFS(INDIRECT("Tab_00.Trial["&amp;AG$4&amp;"]"),Tab_00.Trial[CONTA],$B147)</f>
        <v>0</v>
      </c>
      <c r="AH147" s="78">
        <f t="shared" ca="1" si="221"/>
        <v>0</v>
      </c>
      <c r="AI147" s="78">
        <f t="shared" ca="1" si="222"/>
        <v>0</v>
      </c>
      <c r="AJ147" s="4">
        <f ca="1">SUMIFS(INDIRECT("Tab_00.Trial["&amp;AJ$4&amp;"]"),Tab_00.Trial[CONTA],$B147)</f>
        <v>0</v>
      </c>
      <c r="AK147" s="78">
        <f t="shared" ca="1" si="223"/>
        <v>0</v>
      </c>
      <c r="AL147" s="78">
        <f t="shared" ca="1" si="224"/>
        <v>0</v>
      </c>
      <c r="AM147" s="4">
        <f ca="1">SUMIFS(INDIRECT("Tab_00.Trial["&amp;AM$4&amp;"]"),Tab_00.Trial[CONTA],$B147)</f>
        <v>0</v>
      </c>
      <c r="AN147" s="78">
        <f t="shared" ca="1" si="225"/>
        <v>0</v>
      </c>
      <c r="AO147" s="78">
        <f t="shared" ca="1" si="226"/>
        <v>0</v>
      </c>
    </row>
    <row r="148" spans="2:41" ht="15" hidden="1" customHeight="1" outlineLevel="1" x14ac:dyDescent="0.3">
      <c r="B148" s="14"/>
      <c r="C148" s="15"/>
      <c r="AN148" s="78"/>
      <c r="AO148" s="78"/>
    </row>
    <row r="149" spans="2:41" ht="15" hidden="1" customHeight="1" outlineLevel="1" x14ac:dyDescent="0.3">
      <c r="B149" s="14"/>
      <c r="C149" s="15"/>
      <c r="AN149" s="78"/>
      <c r="AO149" s="78"/>
    </row>
    <row r="150" spans="2:41" ht="15" hidden="1" customHeight="1" outlineLevel="1" x14ac:dyDescent="0.3">
      <c r="B150" s="14"/>
      <c r="C150" s="15"/>
      <c r="AN150" s="78"/>
      <c r="AO150" s="78"/>
    </row>
    <row r="151" spans="2:41" ht="5.0999999999999996" hidden="1" customHeight="1" outlineLevel="1" x14ac:dyDescent="0.3">
      <c r="B151" s="74"/>
      <c r="C151" s="75"/>
      <c r="D151" s="76"/>
      <c r="E151" s="77"/>
      <c r="F151" s="76"/>
      <c r="G151" s="77"/>
      <c r="H151" s="77"/>
      <c r="I151" s="76"/>
      <c r="J151" s="77"/>
      <c r="K151" s="77"/>
      <c r="L151" s="76"/>
      <c r="M151" s="77"/>
      <c r="N151" s="77"/>
      <c r="O151" s="76"/>
      <c r="P151" s="77"/>
      <c r="Q151" s="77"/>
      <c r="R151" s="76"/>
      <c r="S151" s="77"/>
      <c r="T151" s="77"/>
      <c r="U151" s="76"/>
      <c r="V151" s="77"/>
      <c r="W151" s="77"/>
      <c r="X151" s="76"/>
      <c r="Y151" s="77"/>
      <c r="Z151" s="77"/>
      <c r="AA151" s="76"/>
      <c r="AB151" s="77"/>
      <c r="AC151" s="77"/>
      <c r="AD151" s="76"/>
      <c r="AE151" s="77"/>
      <c r="AF151" s="77"/>
      <c r="AG151" s="76"/>
      <c r="AH151" s="77"/>
      <c r="AI151" s="77"/>
      <c r="AJ151" s="76"/>
      <c r="AK151" s="77"/>
      <c r="AL151" s="77"/>
      <c r="AM151" s="76"/>
      <c r="AN151" s="77"/>
      <c r="AO151" s="77"/>
    </row>
    <row r="152" spans="2:41" ht="15" customHeight="1" collapsed="1" x14ac:dyDescent="0.3">
      <c r="B152" s="3" t="s">
        <v>143</v>
      </c>
      <c r="C152" s="14" t="s">
        <v>246</v>
      </c>
      <c r="D152" s="4">
        <f>SUBTOTAL(9,D$153:D$157)</f>
        <v>0</v>
      </c>
      <c r="E152" s="78">
        <v>6.0000000000000001E-3</v>
      </c>
      <c r="F152" s="4">
        <f ca="1">SUBTOTAL(9,F$153:F$157)</f>
        <v>0</v>
      </c>
      <c r="G152" s="78">
        <v>6.7000000000000002E-3</v>
      </c>
      <c r="H152" s="78">
        <v>-5.0999999999999997E-2</v>
      </c>
      <c r="I152" s="4">
        <f ca="1">SUBTOTAL(9,I$153:I$157)</f>
        <v>0</v>
      </c>
      <c r="J152" s="78">
        <v>7.0000000000000001E-3</v>
      </c>
      <c r="K152" s="78">
        <v>-2.5000000000000001E-3</v>
      </c>
      <c r="L152" s="4">
        <f ca="1">SUBTOTAL(9,L$153:L$157)</f>
        <v>0</v>
      </c>
      <c r="M152" s="78">
        <v>7.0000000000000001E-3</v>
      </c>
      <c r="N152" s="78">
        <v>-2.5000000000000001E-3</v>
      </c>
      <c r="O152" s="4">
        <f ca="1">SUBTOTAL(9,O$153:O$157)</f>
        <v>0</v>
      </c>
      <c r="P152" s="78">
        <v>7.1000000000000004E-3</v>
      </c>
      <c r="Q152" s="78">
        <v>-2.0999999999999999E-3</v>
      </c>
      <c r="R152" s="4">
        <f ca="1">SUBTOTAL(9,R$153:R$157)</f>
        <v>0</v>
      </c>
      <c r="S152" s="78">
        <v>6.0000000000000001E-3</v>
      </c>
      <c r="T152" s="78">
        <v>-5.9999999999999995E-4</v>
      </c>
      <c r="U152" s="4">
        <f ca="1">SUBTOTAL(9,U$153:U$157)</f>
        <v>0</v>
      </c>
      <c r="V152" s="78">
        <v>6.1000000000000004E-3</v>
      </c>
      <c r="W152" s="78">
        <v>8.6E-3</v>
      </c>
      <c r="X152" s="4">
        <f ca="1">SUBTOTAL(9,X$153:X$157)</f>
        <v>0</v>
      </c>
      <c r="Y152" s="78">
        <v>6.0000000000000001E-3</v>
      </c>
      <c r="Z152" s="78">
        <v>-8.9999999999999998E-4</v>
      </c>
      <c r="AA152" s="4">
        <f ca="1">SUBTOTAL(9,AA$153:AA$157)</f>
        <v>0</v>
      </c>
      <c r="AB152" s="78">
        <v>5.8999999999999999E-3</v>
      </c>
      <c r="AC152" s="78">
        <v>-5.9999999999999995E-4</v>
      </c>
      <c r="AD152" s="4">
        <f ca="1">SUBTOTAL(9,AD$153:AD$157)</f>
        <v>0</v>
      </c>
      <c r="AE152" s="78">
        <v>6.1000000000000004E-3</v>
      </c>
      <c r="AF152" s="78">
        <v>2.2100000000000002E-2</v>
      </c>
      <c r="AG152" s="4">
        <f ca="1">SUBTOTAL(9,AG$153:AG$157)</f>
        <v>0</v>
      </c>
      <c r="AH152" s="78">
        <v>5.8999999999999999E-3</v>
      </c>
      <c r="AI152" s="78">
        <v>6.8999999999999999E-3</v>
      </c>
      <c r="AJ152" s="4">
        <f ca="1">SUBTOTAL(9,AJ$153:AJ$157)</f>
        <v>0</v>
      </c>
      <c r="AK152" s="78">
        <v>5.7999999999999996E-3</v>
      </c>
      <c r="AL152" s="78">
        <v>-5.9999999999999995E-4</v>
      </c>
      <c r="AM152" s="4">
        <f ca="1">SUBTOTAL(9,AM$153:AM$157)</f>
        <v>0</v>
      </c>
      <c r="AN152" s="78">
        <v>6.0000000000000001E-3</v>
      </c>
      <c r="AO152" s="78">
        <v>2.53E-2</v>
      </c>
    </row>
    <row r="153" spans="2:41" ht="15" hidden="1" customHeight="1" outlineLevel="1" x14ac:dyDescent="0.3">
      <c r="B153" s="14"/>
      <c r="C153" s="15"/>
      <c r="D153" s="4">
        <f>SUMIFS(Tab_99.Trial[DEZEMBRO],Tab_99.Trial[CONTA],$B153)</f>
        <v>0</v>
      </c>
      <c r="E153" s="78">
        <f>IFERROR($D153/$D$160,0)</f>
        <v>0</v>
      </c>
      <c r="F153" s="4">
        <f ca="1">SUMIFS(INDIRECT("Tab_00.Trial["&amp;F$4&amp;"]"),Tab_00.Trial[CONTA],$B153)</f>
        <v>0</v>
      </c>
      <c r="G153" s="78">
        <f ca="1">IFERROR($F153/$F$160,0)</f>
        <v>0</v>
      </c>
      <c r="H153" s="78">
        <f t="shared" ref="H153:H156" ca="1" si="228">IFERROR(($F153-$D153)/ABS($D153),0)</f>
        <v>0</v>
      </c>
      <c r="I153" s="4">
        <f ca="1">SUMIFS(INDIRECT("Tab_00.Trial["&amp;I$4&amp;"]"),Tab_00.Trial[CONTA],$B153)</f>
        <v>0</v>
      </c>
      <c r="J153" s="78">
        <f ca="1">IFERROR($I153/$I$160,0)</f>
        <v>0</v>
      </c>
      <c r="K153" s="78">
        <f t="shared" ref="K153:K156" ca="1" si="229">IFERROR(($I153-$F153)/ABS($F153),0)</f>
        <v>0</v>
      </c>
      <c r="L153" s="4">
        <f ca="1">SUMIFS(INDIRECT("Tab_00.Trial["&amp;L$4&amp;"]"),Tab_00.Trial[CONTA],$B153)</f>
        <v>0</v>
      </c>
      <c r="M153" s="78">
        <f ca="1">IFERROR($L153/$L$160,0)</f>
        <v>0</v>
      </c>
      <c r="N153" s="78">
        <f t="shared" ref="N153:N156" ca="1" si="230">IFERROR(($L153-$I153)/ABS($I153),0)</f>
        <v>0</v>
      </c>
      <c r="O153" s="4">
        <f ca="1">SUMIFS(INDIRECT("Tab_00.Trial["&amp;O$4&amp;"]"),Tab_00.Trial[CONTA],$B153)</f>
        <v>0</v>
      </c>
      <c r="P153" s="78">
        <f ca="1">IFERROR($O153/$O$160,0)</f>
        <v>0</v>
      </c>
      <c r="Q153" s="78">
        <f t="shared" ref="Q153:Q156" ca="1" si="231">IFERROR(($O153-$L153)/ABS($L153),0)</f>
        <v>0</v>
      </c>
      <c r="R153" s="4">
        <f ca="1">SUMIFS(INDIRECT("Tab_00.Trial["&amp;R$4&amp;"]"),Tab_00.Trial[CONTA],$B153)</f>
        <v>0</v>
      </c>
      <c r="S153" s="78">
        <f ca="1">IFERROR($R153/$R$160,0)</f>
        <v>0</v>
      </c>
      <c r="T153" s="78">
        <f t="shared" ref="T153:T156" ca="1" si="232">IFERROR(($R153-$O153)/ABS($O153),0)</f>
        <v>0</v>
      </c>
      <c r="U153" s="4">
        <f ca="1">SUMIFS(INDIRECT("Tab_00.Trial["&amp;U$4&amp;"]"),Tab_00.Trial[CONTA],$B153)</f>
        <v>0</v>
      </c>
      <c r="V153" s="78">
        <f ca="1">IFERROR($U153/$U$160,0)</f>
        <v>0</v>
      </c>
      <c r="W153" s="78">
        <f t="shared" ref="W153:W156" ca="1" si="233">IFERROR(($U153-$R153)/ABS($R153),0)</f>
        <v>0</v>
      </c>
      <c r="X153" s="4">
        <f ca="1">SUMIFS(INDIRECT("Tab_00.Trial["&amp;X$4&amp;"]"),Tab_00.Trial[CONTA],$B153)</f>
        <v>0</v>
      </c>
      <c r="Y153" s="78">
        <f ca="1">IFERROR($X153/$X$160,0)</f>
        <v>0</v>
      </c>
      <c r="Z153" s="78">
        <f t="shared" ref="Z153:Z156" ca="1" si="234">IFERROR(($X153-$U153)/ABS($U153),0)</f>
        <v>0</v>
      </c>
      <c r="AA153" s="4">
        <f ca="1">SUMIFS(INDIRECT("Tab_00.Trial["&amp;AA$4&amp;"]"),Tab_00.Trial[CONTA],$B153)</f>
        <v>0</v>
      </c>
      <c r="AB153" s="78">
        <f ca="1">IFERROR($AA153/$AA$160,0)</f>
        <v>0</v>
      </c>
      <c r="AC153" s="78">
        <f t="shared" ref="AC153:AC156" ca="1" si="235">IFERROR(($AA153-$X153)/ABS($X153),0)</f>
        <v>0</v>
      </c>
      <c r="AD153" s="4">
        <f ca="1">SUMIFS(INDIRECT("Tab_00.Trial["&amp;AD$4&amp;"]"),Tab_00.Trial[CONTA],$B153)</f>
        <v>0</v>
      </c>
      <c r="AE153" s="78">
        <f ca="1">IFERROR($AD153/$AD$160,0)</f>
        <v>0</v>
      </c>
      <c r="AF153" s="78">
        <f t="shared" ref="AF153:AF156" ca="1" si="236">IFERROR(($AD153-$AA153)/ABS($AA153),0)</f>
        <v>0</v>
      </c>
      <c r="AG153" s="4">
        <f ca="1">SUMIFS(INDIRECT("Tab_00.Trial["&amp;AG$4&amp;"]"),Tab_00.Trial[CONTA],$B153)</f>
        <v>0</v>
      </c>
      <c r="AH153" s="78">
        <f ca="1">IFERROR($AG153/$AG$160,0)</f>
        <v>0</v>
      </c>
      <c r="AI153" s="78">
        <f t="shared" ref="AI153:AI156" ca="1" si="237">IFERROR(($AG153-$AD153)/ABS($AD153),0)</f>
        <v>0</v>
      </c>
      <c r="AJ153" s="4">
        <f ca="1">SUMIFS(INDIRECT("Tab_00.Trial["&amp;AJ$4&amp;"]"),Tab_00.Trial[CONTA],$B153)</f>
        <v>0</v>
      </c>
      <c r="AK153" s="78">
        <f ca="1">IFERROR($AJ153/$AJ$160,0)</f>
        <v>0</v>
      </c>
      <c r="AL153" s="78">
        <f t="shared" ref="AL153:AL156" ca="1" si="238">IFERROR(($AJ153-$AG153)/ABS($AG153),0)</f>
        <v>0</v>
      </c>
      <c r="AM153" s="4">
        <f ca="1">SUMIFS(INDIRECT("Tab_00.Trial["&amp;AM$4&amp;"]"),Tab_00.Trial[CONTA],$B153)</f>
        <v>0</v>
      </c>
      <c r="AN153" s="78">
        <f ca="1">IFERROR(AM153/AM$160,0)</f>
        <v>0</v>
      </c>
      <c r="AO153" s="78">
        <f t="shared" ref="AO153:AO156" ca="1" si="239">IFERROR(($AM153-$AJ153)/ABS($AJ153),0)</f>
        <v>0</v>
      </c>
    </row>
    <row r="154" spans="2:41" ht="15" hidden="1" customHeight="1" outlineLevel="1" x14ac:dyDescent="0.3">
      <c r="B154" s="14"/>
      <c r="C154" s="15"/>
      <c r="D154" s="4">
        <f>SUMIFS(Tab_99.Trial[DEZEMBRO],Tab_99.Trial[CONTA],$B154)</f>
        <v>0</v>
      </c>
      <c r="E154" s="78">
        <f>IFERROR($D154/$D$160,0)</f>
        <v>0</v>
      </c>
      <c r="F154" s="4">
        <f ca="1">SUMIFS(INDIRECT("Tab_00.Trial["&amp;F$4&amp;"]"),Tab_00.Trial[CONTA],$B154)</f>
        <v>0</v>
      </c>
      <c r="G154" s="78">
        <f ca="1">IFERROR($F154/$F$160,0)</f>
        <v>0</v>
      </c>
      <c r="H154" s="78">
        <f t="shared" ca="1" si="228"/>
        <v>0</v>
      </c>
      <c r="I154" s="4">
        <f ca="1">SUMIFS(INDIRECT("Tab_00.Trial["&amp;I$4&amp;"]"),Tab_00.Trial[CONTA],$B154)</f>
        <v>0</v>
      </c>
      <c r="J154" s="78">
        <f ca="1">IFERROR($I154/$I$160,0)</f>
        <v>0</v>
      </c>
      <c r="K154" s="78">
        <f t="shared" ca="1" si="229"/>
        <v>0</v>
      </c>
      <c r="L154" s="4">
        <f ca="1">SUMIFS(INDIRECT("Tab_00.Trial["&amp;L$4&amp;"]"),Tab_00.Trial[CONTA],$B154)</f>
        <v>0</v>
      </c>
      <c r="M154" s="78">
        <f ca="1">IFERROR($L154/$L$160,0)</f>
        <v>0</v>
      </c>
      <c r="N154" s="78">
        <f t="shared" ca="1" si="230"/>
        <v>0</v>
      </c>
      <c r="O154" s="4">
        <f ca="1">SUMIFS(INDIRECT("Tab_00.Trial["&amp;O$4&amp;"]"),Tab_00.Trial[CONTA],$B154)</f>
        <v>0</v>
      </c>
      <c r="P154" s="78">
        <f ca="1">IFERROR($O154/$O$160,0)</f>
        <v>0</v>
      </c>
      <c r="Q154" s="78">
        <f t="shared" ca="1" si="231"/>
        <v>0</v>
      </c>
      <c r="R154" s="4">
        <f ca="1">SUMIFS(INDIRECT("Tab_00.Trial["&amp;R$4&amp;"]"),Tab_00.Trial[CONTA],$B154)</f>
        <v>0</v>
      </c>
      <c r="S154" s="78">
        <f ca="1">IFERROR($R154/$R$160,0)</f>
        <v>0</v>
      </c>
      <c r="T154" s="78">
        <f t="shared" ca="1" si="232"/>
        <v>0</v>
      </c>
      <c r="U154" s="4">
        <f ca="1">SUMIFS(INDIRECT("Tab_00.Trial["&amp;U$4&amp;"]"),Tab_00.Trial[CONTA],$B154)</f>
        <v>0</v>
      </c>
      <c r="V154" s="78">
        <f ca="1">IFERROR($U154/$U$160,0)</f>
        <v>0</v>
      </c>
      <c r="W154" s="78">
        <f t="shared" ca="1" si="233"/>
        <v>0</v>
      </c>
      <c r="X154" s="4">
        <f ca="1">SUMIFS(INDIRECT("Tab_00.Trial["&amp;X$4&amp;"]"),Tab_00.Trial[CONTA],$B154)</f>
        <v>0</v>
      </c>
      <c r="Y154" s="78">
        <f ca="1">IFERROR($X154/$X$160,0)</f>
        <v>0</v>
      </c>
      <c r="Z154" s="78">
        <f t="shared" ca="1" si="234"/>
        <v>0</v>
      </c>
      <c r="AA154" s="4">
        <f ca="1">SUMIFS(INDIRECT("Tab_00.Trial["&amp;AA$4&amp;"]"),Tab_00.Trial[CONTA],$B154)</f>
        <v>0</v>
      </c>
      <c r="AB154" s="78">
        <f ca="1">IFERROR($AA154/$AA$160,0)</f>
        <v>0</v>
      </c>
      <c r="AC154" s="78">
        <f t="shared" ca="1" si="235"/>
        <v>0</v>
      </c>
      <c r="AD154" s="4">
        <f ca="1">SUMIFS(INDIRECT("Tab_00.Trial["&amp;AD$4&amp;"]"),Tab_00.Trial[CONTA],$B154)</f>
        <v>0</v>
      </c>
      <c r="AE154" s="78">
        <f ca="1">IFERROR($AD154/$AD$160,0)</f>
        <v>0</v>
      </c>
      <c r="AF154" s="78">
        <f t="shared" ca="1" si="236"/>
        <v>0</v>
      </c>
      <c r="AG154" s="4">
        <f ca="1">SUMIFS(INDIRECT("Tab_00.Trial["&amp;AG$4&amp;"]"),Tab_00.Trial[CONTA],$B154)</f>
        <v>0</v>
      </c>
      <c r="AH154" s="78">
        <f ca="1">IFERROR($AG154/$AG$160,0)</f>
        <v>0</v>
      </c>
      <c r="AI154" s="78">
        <f t="shared" ca="1" si="237"/>
        <v>0</v>
      </c>
      <c r="AJ154" s="4">
        <f ca="1">SUMIFS(INDIRECT("Tab_00.Trial["&amp;AJ$4&amp;"]"),Tab_00.Trial[CONTA],$B154)</f>
        <v>0</v>
      </c>
      <c r="AK154" s="78">
        <f ca="1">IFERROR($AJ154/$AJ$160,0)</f>
        <v>0</v>
      </c>
      <c r="AL154" s="78">
        <f t="shared" ca="1" si="238"/>
        <v>0</v>
      </c>
      <c r="AM154" s="4">
        <f ca="1">SUMIFS(INDIRECT("Tab_00.Trial["&amp;AM$4&amp;"]"),Tab_00.Trial[CONTA],$B154)</f>
        <v>0</v>
      </c>
      <c r="AN154" s="78">
        <f ca="1">IFERROR(AM154/AM$160,0)</f>
        <v>0</v>
      </c>
      <c r="AO154" s="78">
        <f t="shared" ca="1" si="239"/>
        <v>0</v>
      </c>
    </row>
    <row r="155" spans="2:41" ht="15" hidden="1" customHeight="1" outlineLevel="1" x14ac:dyDescent="0.3">
      <c r="B155" s="14"/>
      <c r="C155" s="15"/>
      <c r="D155" s="4">
        <f>SUMIFS(Tab_99.Trial[DEZEMBRO],Tab_99.Trial[CONTA],$B155)</f>
        <v>0</v>
      </c>
      <c r="E155" s="78">
        <f>IFERROR($D155/$D$160,0)</f>
        <v>0</v>
      </c>
      <c r="F155" s="4">
        <f ca="1">SUMIFS(INDIRECT("Tab_00.Trial["&amp;F$4&amp;"]"),Tab_00.Trial[CONTA],$B155)</f>
        <v>0</v>
      </c>
      <c r="G155" s="78">
        <f ca="1">IFERROR($F155/$F$160,0)</f>
        <v>0</v>
      </c>
      <c r="H155" s="78">
        <f t="shared" ca="1" si="228"/>
        <v>0</v>
      </c>
      <c r="I155" s="4">
        <f ca="1">SUMIFS(INDIRECT("Tab_00.Trial["&amp;I$4&amp;"]"),Tab_00.Trial[CONTA],$B155)</f>
        <v>0</v>
      </c>
      <c r="J155" s="78">
        <f ca="1">IFERROR($I155/$I$160,0)</f>
        <v>0</v>
      </c>
      <c r="K155" s="78">
        <f t="shared" ca="1" si="229"/>
        <v>0</v>
      </c>
      <c r="L155" s="4">
        <f ca="1">SUMIFS(INDIRECT("Tab_00.Trial["&amp;L$4&amp;"]"),Tab_00.Trial[CONTA],$B155)</f>
        <v>0</v>
      </c>
      <c r="M155" s="78">
        <f ca="1">IFERROR($L155/$L$160,0)</f>
        <v>0</v>
      </c>
      <c r="N155" s="78">
        <f t="shared" ca="1" si="230"/>
        <v>0</v>
      </c>
      <c r="O155" s="4">
        <f ca="1">SUMIFS(INDIRECT("Tab_00.Trial["&amp;O$4&amp;"]"),Tab_00.Trial[CONTA],$B155)</f>
        <v>0</v>
      </c>
      <c r="P155" s="78">
        <f ca="1">IFERROR($O155/$O$160,0)</f>
        <v>0</v>
      </c>
      <c r="Q155" s="78">
        <f t="shared" ca="1" si="231"/>
        <v>0</v>
      </c>
      <c r="R155" s="4">
        <f ca="1">SUMIFS(INDIRECT("Tab_00.Trial["&amp;R$4&amp;"]"),Tab_00.Trial[CONTA],$B155)</f>
        <v>0</v>
      </c>
      <c r="S155" s="78">
        <f ca="1">IFERROR($R155/$R$160,0)</f>
        <v>0</v>
      </c>
      <c r="T155" s="78">
        <f t="shared" ca="1" si="232"/>
        <v>0</v>
      </c>
      <c r="U155" s="4">
        <f ca="1">SUMIFS(INDIRECT("Tab_00.Trial["&amp;U$4&amp;"]"),Tab_00.Trial[CONTA],$B155)</f>
        <v>0</v>
      </c>
      <c r="V155" s="78">
        <f ca="1">IFERROR($U155/$U$160,0)</f>
        <v>0</v>
      </c>
      <c r="W155" s="78">
        <f t="shared" ca="1" si="233"/>
        <v>0</v>
      </c>
      <c r="X155" s="4">
        <f ca="1">SUMIFS(INDIRECT("Tab_00.Trial["&amp;X$4&amp;"]"),Tab_00.Trial[CONTA],$B155)</f>
        <v>0</v>
      </c>
      <c r="Y155" s="78">
        <f ca="1">IFERROR($X155/$X$160,0)</f>
        <v>0</v>
      </c>
      <c r="Z155" s="78">
        <f t="shared" ca="1" si="234"/>
        <v>0</v>
      </c>
      <c r="AA155" s="4">
        <f ca="1">SUMIFS(INDIRECT("Tab_00.Trial["&amp;AA$4&amp;"]"),Tab_00.Trial[CONTA],$B155)</f>
        <v>0</v>
      </c>
      <c r="AB155" s="78">
        <f ca="1">IFERROR($AA155/$AA$160,0)</f>
        <v>0</v>
      </c>
      <c r="AC155" s="78">
        <f t="shared" ca="1" si="235"/>
        <v>0</v>
      </c>
      <c r="AD155" s="4">
        <f ca="1">SUMIFS(INDIRECT("Tab_00.Trial["&amp;AD$4&amp;"]"),Tab_00.Trial[CONTA],$B155)</f>
        <v>0</v>
      </c>
      <c r="AE155" s="78">
        <f ca="1">IFERROR($AD155/$AD$160,0)</f>
        <v>0</v>
      </c>
      <c r="AF155" s="78">
        <f t="shared" ca="1" si="236"/>
        <v>0</v>
      </c>
      <c r="AG155" s="4">
        <f ca="1">SUMIFS(INDIRECT("Tab_00.Trial["&amp;AG$4&amp;"]"),Tab_00.Trial[CONTA],$B155)</f>
        <v>0</v>
      </c>
      <c r="AH155" s="78">
        <f ca="1">IFERROR($AG155/$AG$160,0)</f>
        <v>0</v>
      </c>
      <c r="AI155" s="78">
        <f t="shared" ca="1" si="237"/>
        <v>0</v>
      </c>
      <c r="AJ155" s="4">
        <f ca="1">SUMIFS(INDIRECT("Tab_00.Trial["&amp;AJ$4&amp;"]"),Tab_00.Trial[CONTA],$B155)</f>
        <v>0</v>
      </c>
      <c r="AK155" s="78">
        <f ca="1">IFERROR($AJ155/$AJ$160,0)</f>
        <v>0</v>
      </c>
      <c r="AL155" s="78">
        <f t="shared" ca="1" si="238"/>
        <v>0</v>
      </c>
      <c r="AM155" s="4">
        <f ca="1">SUMIFS(INDIRECT("Tab_00.Trial["&amp;AM$4&amp;"]"),Tab_00.Trial[CONTA],$B155)</f>
        <v>0</v>
      </c>
      <c r="AN155" s="78">
        <f ca="1">IFERROR(AM155/AM$160,0)</f>
        <v>0</v>
      </c>
      <c r="AO155" s="78">
        <f t="shared" ca="1" si="239"/>
        <v>0</v>
      </c>
    </row>
    <row r="156" spans="2:41" ht="15" hidden="1" customHeight="1" outlineLevel="1" x14ac:dyDescent="0.3">
      <c r="B156" s="14"/>
      <c r="C156" s="15"/>
      <c r="D156" s="4">
        <f>SUMIFS(Tab_99.Trial[DEZEMBRO],Tab_99.Trial[CONTA],$B156)</f>
        <v>0</v>
      </c>
      <c r="E156" s="78">
        <f>IFERROR($D156/$D$160,0)</f>
        <v>0</v>
      </c>
      <c r="F156" s="4">
        <f ca="1">SUMIFS(INDIRECT("Tab_00.Trial["&amp;F$4&amp;"]"),Tab_00.Trial[CONTA],$B156)</f>
        <v>0</v>
      </c>
      <c r="G156" s="78">
        <f ca="1">IFERROR($F156/$F$160,0)</f>
        <v>0</v>
      </c>
      <c r="H156" s="78">
        <f t="shared" ca="1" si="228"/>
        <v>0</v>
      </c>
      <c r="I156" s="4">
        <f ca="1">SUMIFS(INDIRECT("Tab_00.Trial["&amp;I$4&amp;"]"),Tab_00.Trial[CONTA],$B156)</f>
        <v>0</v>
      </c>
      <c r="J156" s="78">
        <f ca="1">IFERROR($I156/$I$160,0)</f>
        <v>0</v>
      </c>
      <c r="K156" s="78">
        <f t="shared" ca="1" si="229"/>
        <v>0</v>
      </c>
      <c r="L156" s="4">
        <f ca="1">SUMIFS(INDIRECT("Tab_00.Trial["&amp;L$4&amp;"]"),Tab_00.Trial[CONTA],$B156)</f>
        <v>0</v>
      </c>
      <c r="M156" s="78">
        <f ca="1">IFERROR($L156/$L$160,0)</f>
        <v>0</v>
      </c>
      <c r="N156" s="78">
        <f t="shared" ca="1" si="230"/>
        <v>0</v>
      </c>
      <c r="O156" s="4">
        <f ca="1">SUMIFS(INDIRECT("Tab_00.Trial["&amp;O$4&amp;"]"),Tab_00.Trial[CONTA],$B156)</f>
        <v>0</v>
      </c>
      <c r="P156" s="78">
        <f ca="1">IFERROR($O156/$O$160,0)</f>
        <v>0</v>
      </c>
      <c r="Q156" s="78">
        <f t="shared" ca="1" si="231"/>
        <v>0</v>
      </c>
      <c r="R156" s="4">
        <f ca="1">SUMIFS(INDIRECT("Tab_00.Trial["&amp;R$4&amp;"]"),Tab_00.Trial[CONTA],$B156)</f>
        <v>0</v>
      </c>
      <c r="S156" s="78">
        <f ca="1">IFERROR($R156/$R$160,0)</f>
        <v>0</v>
      </c>
      <c r="T156" s="78">
        <f t="shared" ca="1" si="232"/>
        <v>0</v>
      </c>
      <c r="U156" s="4">
        <f ca="1">SUMIFS(INDIRECT("Tab_00.Trial["&amp;U$4&amp;"]"),Tab_00.Trial[CONTA],$B156)</f>
        <v>0</v>
      </c>
      <c r="V156" s="78">
        <f ca="1">IFERROR($U156/$U$160,0)</f>
        <v>0</v>
      </c>
      <c r="W156" s="78">
        <f t="shared" ca="1" si="233"/>
        <v>0</v>
      </c>
      <c r="X156" s="4">
        <f ca="1">SUMIFS(INDIRECT("Tab_00.Trial["&amp;X$4&amp;"]"),Tab_00.Trial[CONTA],$B156)</f>
        <v>0</v>
      </c>
      <c r="Y156" s="78">
        <f ca="1">IFERROR($X156/$X$160,0)</f>
        <v>0</v>
      </c>
      <c r="Z156" s="78">
        <f t="shared" ca="1" si="234"/>
        <v>0</v>
      </c>
      <c r="AA156" s="4">
        <f ca="1">SUMIFS(INDIRECT("Tab_00.Trial["&amp;AA$4&amp;"]"),Tab_00.Trial[CONTA],$B156)</f>
        <v>0</v>
      </c>
      <c r="AB156" s="78">
        <f ca="1">IFERROR($AA156/$AA$160,0)</f>
        <v>0</v>
      </c>
      <c r="AC156" s="78">
        <f t="shared" ca="1" si="235"/>
        <v>0</v>
      </c>
      <c r="AD156" s="4">
        <f ca="1">SUMIFS(INDIRECT("Tab_00.Trial["&amp;AD$4&amp;"]"),Tab_00.Trial[CONTA],$B156)</f>
        <v>0</v>
      </c>
      <c r="AE156" s="78">
        <f ca="1">IFERROR($AD156/$AD$160,0)</f>
        <v>0</v>
      </c>
      <c r="AF156" s="78">
        <f t="shared" ca="1" si="236"/>
        <v>0</v>
      </c>
      <c r="AG156" s="4">
        <f ca="1">SUMIFS(INDIRECT("Tab_00.Trial["&amp;AG$4&amp;"]"),Tab_00.Trial[CONTA],$B156)</f>
        <v>0</v>
      </c>
      <c r="AH156" s="78">
        <f ca="1">IFERROR($AG156/$AG$160,0)</f>
        <v>0</v>
      </c>
      <c r="AI156" s="78">
        <f t="shared" ca="1" si="237"/>
        <v>0</v>
      </c>
      <c r="AJ156" s="4">
        <f ca="1">SUMIFS(INDIRECT("Tab_00.Trial["&amp;AJ$4&amp;"]"),Tab_00.Trial[CONTA],$B156)</f>
        <v>0</v>
      </c>
      <c r="AK156" s="78">
        <f ca="1">IFERROR($AJ156/$AJ$160,0)</f>
        <v>0</v>
      </c>
      <c r="AL156" s="78">
        <f t="shared" ca="1" si="238"/>
        <v>0</v>
      </c>
      <c r="AM156" s="4">
        <f ca="1">SUMIFS(INDIRECT("Tab_00.Trial["&amp;AM$4&amp;"]"),Tab_00.Trial[CONTA],$B156)</f>
        <v>0</v>
      </c>
      <c r="AN156" s="78">
        <f ca="1">IFERROR(AM156/AM$160,0)</f>
        <v>0</v>
      </c>
      <c r="AO156" s="78">
        <f t="shared" ca="1" si="239"/>
        <v>0</v>
      </c>
    </row>
    <row r="157" spans="2:41" ht="5.0999999999999996" hidden="1" customHeight="1" outlineLevel="1" x14ac:dyDescent="0.3">
      <c r="B157" s="74"/>
      <c r="C157" s="75"/>
      <c r="D157" s="76"/>
      <c r="E157" s="77"/>
      <c r="F157" s="76"/>
      <c r="G157" s="77"/>
      <c r="H157" s="77"/>
      <c r="I157" s="76"/>
      <c r="J157" s="77"/>
      <c r="K157" s="77"/>
      <c r="L157" s="76"/>
      <c r="M157" s="77"/>
      <c r="N157" s="77"/>
      <c r="O157" s="76"/>
      <c r="P157" s="77"/>
      <c r="Q157" s="77"/>
      <c r="R157" s="76"/>
      <c r="S157" s="77"/>
      <c r="T157" s="77"/>
      <c r="U157" s="76"/>
      <c r="V157" s="77"/>
      <c r="W157" s="77"/>
      <c r="X157" s="76"/>
      <c r="Y157" s="77"/>
      <c r="Z157" s="77"/>
      <c r="AA157" s="76"/>
      <c r="AB157" s="77"/>
      <c r="AC157" s="77"/>
      <c r="AD157" s="76"/>
      <c r="AE157" s="77"/>
      <c r="AF157" s="77"/>
      <c r="AG157" s="76"/>
      <c r="AH157" s="77"/>
      <c r="AI157" s="77"/>
      <c r="AJ157" s="76"/>
      <c r="AK157" s="77"/>
      <c r="AL157" s="77"/>
      <c r="AM157" s="76"/>
      <c r="AN157" s="77"/>
      <c r="AO157" s="77"/>
    </row>
    <row r="158" spans="2:41" ht="15" customHeight="1" x14ac:dyDescent="0.3">
      <c r="D158" s="16">
        <f>SUBTOTAL(9,D$93:D$157)</f>
        <v>0</v>
      </c>
      <c r="E158" s="80">
        <f>IFERROR($D158/$D$160,0)</f>
        <v>0</v>
      </c>
      <c r="F158" s="16">
        <f ca="1">SUBTOTAL(9,F$93:F$157)</f>
        <v>72629698.310000002</v>
      </c>
      <c r="G158" s="80">
        <f ca="1">IFERROR($F158/$F$160,0)</f>
        <v>0.86880000000000002</v>
      </c>
      <c r="H158" s="80">
        <f ca="1">IFERROR(($F158-$D158)/ABS($D158),0)</f>
        <v>0</v>
      </c>
      <c r="I158" s="16">
        <f ca="1">SUBTOTAL(9,I$93:I$157)</f>
        <v>72630184.030000001</v>
      </c>
      <c r="J158" s="80">
        <f ca="1">IFERROR($I158/$I$160,0)</f>
        <v>0.87670000000000003</v>
      </c>
      <c r="K158" s="80">
        <f ca="1">IFERROR(($I158-$F158)/ABS($F158),0)</f>
        <v>0</v>
      </c>
      <c r="L158" s="16">
        <f ca="1">SUBTOTAL(9,L$93:L$157)</f>
        <v>72991121.390000001</v>
      </c>
      <c r="M158" s="80">
        <f ca="1">IFERROR($L158/$L$160,0)</f>
        <v>0.87909999999999999</v>
      </c>
      <c r="N158" s="80">
        <f ca="1">IFERROR(($L158-$I158)/ABS($I158),0)</f>
        <v>5.0000000000000001E-3</v>
      </c>
      <c r="O158" s="16">
        <f ca="1">SUBTOTAL(9,O$93:O$157)</f>
        <v>72893363.560000002</v>
      </c>
      <c r="P158" s="80">
        <f ca="1">IFERROR($O158/$O$160,0)</f>
        <v>0.87429999999999997</v>
      </c>
      <c r="Q158" s="80">
        <f ca="1">IFERROR(($O158-$L158)/ABS($L158),0)</f>
        <v>-1.2999999999999999E-3</v>
      </c>
      <c r="R158" s="16">
        <f ca="1">SUBTOTAL(9,R$93:R$157)</f>
        <v>73149210.859999999</v>
      </c>
      <c r="S158" s="80">
        <f ca="1">IFERROR($R158/$R$160,0)</f>
        <v>0.87390000000000001</v>
      </c>
      <c r="T158" s="80">
        <f ca="1">IFERROR(($R158-$O158)/ABS($O158),0)</f>
        <v>3.5000000000000001E-3</v>
      </c>
      <c r="U158" s="16">
        <f ca="1">SUBTOTAL(9,U$93:U$157)</f>
        <v>73598772.5</v>
      </c>
      <c r="V158" s="80">
        <f ca="1">IFERROR($U158/$U$160,0)</f>
        <v>0.87109999999999999</v>
      </c>
      <c r="W158" s="80">
        <f ca="1">IFERROR(($U158-$R158)/ABS($R158),0)</f>
        <v>6.1000000000000004E-3</v>
      </c>
      <c r="X158" s="16">
        <f ca="1">SUBTOTAL(9,X$93:X$157)</f>
        <v>73598772.5</v>
      </c>
      <c r="Y158" s="80">
        <f ca="1">IFERROR($X158/$X$160,0)</f>
        <v>0.87109999999999999</v>
      </c>
      <c r="Z158" s="80">
        <f ca="1">IFERROR(($X158-$U158)/ABS($U158),0)</f>
        <v>0</v>
      </c>
      <c r="AA158" s="16">
        <f ca="1">SUBTOTAL(9,AA$93:AA$157)</f>
        <v>73598772.5</v>
      </c>
      <c r="AB158" s="80">
        <f ca="1">IFERROR($AA158/$AA$160,0)</f>
        <v>0.87109999999999999</v>
      </c>
      <c r="AC158" s="80">
        <f ca="1">IFERROR(($AA158-$X158)/ABS($X158),0)</f>
        <v>0</v>
      </c>
      <c r="AD158" s="16">
        <f ca="1">SUBTOTAL(9,AD$93:AD$157)</f>
        <v>73933394.519999996</v>
      </c>
      <c r="AE158" s="80">
        <f ca="1">IFERROR($AD158/$AD$160,0)</f>
        <v>0.87039999999999995</v>
      </c>
      <c r="AF158" s="80">
        <f ca="1">IFERROR(($AD158-$AA158)/ABS($AA158),0)</f>
        <v>4.4999999999999997E-3</v>
      </c>
      <c r="AG158" s="16">
        <f ca="1">SUBTOTAL(9,AG$93:AG$157)</f>
        <v>74040444.180000007</v>
      </c>
      <c r="AH158" s="80">
        <f ca="1">IFERROR($AG158/$AG$160,0)</f>
        <v>0.86939999999999995</v>
      </c>
      <c r="AI158" s="80">
        <f ca="1">IFERROR(($AG158-$AD158)/ABS($AD158),0)</f>
        <v>1.4E-3</v>
      </c>
      <c r="AJ158" s="16">
        <f ca="1">SUBTOTAL(9,AJ$93:AJ$157)</f>
        <v>74283168.849999994</v>
      </c>
      <c r="AK158" s="80">
        <f ca="1">IFERROR($AJ158/$AJ$160,0)</f>
        <v>0.86899999999999999</v>
      </c>
      <c r="AL158" s="80">
        <f ca="1">IFERROR(($AJ158-$AG158)/ABS($AG158),0)</f>
        <v>3.3E-3</v>
      </c>
      <c r="AM158" s="16">
        <f ca="1">SUBTOTAL(9,AM$93:AM$157)</f>
        <v>74145059.379999995</v>
      </c>
      <c r="AN158" s="80">
        <f ca="1">IFERROR(AM158/AM$160,0)</f>
        <v>0.86839999999999995</v>
      </c>
      <c r="AO158" s="80">
        <f ca="1">IFERROR(($AM158-$AJ158)/ABS($AJ158),0)</f>
        <v>-1.9E-3</v>
      </c>
    </row>
    <row r="159" spans="2:41" ht="9.9" customHeight="1" x14ac:dyDescent="0.3">
      <c r="AN159" s="78"/>
      <c r="AO159" s="78"/>
    </row>
    <row r="160" spans="2:41" ht="20.100000000000001" customHeight="1" thickBot="1" x14ac:dyDescent="0.35">
      <c r="C160" s="17" t="s">
        <v>37</v>
      </c>
      <c r="D160" s="18">
        <f>SUBTOTAL(9,D$5:D$159)</f>
        <v>0</v>
      </c>
      <c r="E160" s="81">
        <f>IFERROR($D160/$D$160,0)</f>
        <v>0</v>
      </c>
      <c r="F160" s="18">
        <f ca="1">SUBTOTAL(9,F$5:F$159)</f>
        <v>83602012.340000004</v>
      </c>
      <c r="G160" s="81">
        <f ca="1">IFERROR($F160/$F$160,0)</f>
        <v>1</v>
      </c>
      <c r="H160" s="81">
        <f ca="1">IFERROR(($F160-$D160)/ABS($D160),0)</f>
        <v>0</v>
      </c>
      <c r="I160" s="18">
        <f ca="1">SUBTOTAL(9,I$5:I$159)</f>
        <v>82842012.640000001</v>
      </c>
      <c r="J160" s="81">
        <f ca="1">IFERROR($I160/$I$160,0)</f>
        <v>1</v>
      </c>
      <c r="K160" s="81">
        <f ca="1">IFERROR(($I160-$F160)/ABS($F160),0)</f>
        <v>-9.1000000000000004E-3</v>
      </c>
      <c r="L160" s="18">
        <f ca="1">SUBTOTAL(9,L$5:L$159)</f>
        <v>83030970.030000001</v>
      </c>
      <c r="M160" s="81">
        <f ca="1">IFERROR($L160/$L$160,0)</f>
        <v>1</v>
      </c>
      <c r="N160" s="81">
        <f ca="1">IFERROR(($L160-$I160)/ABS($I160),0)</f>
        <v>2.3E-3</v>
      </c>
      <c r="O160" s="18">
        <f ca="1">SUBTOTAL(9,O$5:O$159)</f>
        <v>83369880.359999999</v>
      </c>
      <c r="P160" s="81">
        <f ca="1">IFERROR($O160/$O$160,0)</f>
        <v>1</v>
      </c>
      <c r="Q160" s="81">
        <f ca="1">IFERROR(($O160-$L160)/ABS($L160),0)</f>
        <v>4.1000000000000003E-3</v>
      </c>
      <c r="R160" s="18">
        <f ca="1">SUBTOTAL(9,R$5:R$159)</f>
        <v>83704707.25</v>
      </c>
      <c r="S160" s="81">
        <f ca="1">IFERROR($R160/$R$160,0)</f>
        <v>1</v>
      </c>
      <c r="T160" s="81">
        <f ca="1">IFERROR(($R160-$O160)/ABS($O160),0)</f>
        <v>4.0000000000000001E-3</v>
      </c>
      <c r="U160" s="18">
        <f ca="1">SUBTOTAL(9,U$5:U$159)</f>
        <v>84486119.25</v>
      </c>
      <c r="V160" s="81">
        <f ca="1">IFERROR($U160/$U$160,0)</f>
        <v>1</v>
      </c>
      <c r="W160" s="81">
        <f ca="1">IFERROR(($U160-$R160)/ABS($R160),0)</f>
        <v>9.2999999999999992E-3</v>
      </c>
      <c r="X160" s="18">
        <f ca="1">SUBTOTAL(9,X$5:X$159)</f>
        <v>84486119.25</v>
      </c>
      <c r="Y160" s="81">
        <f ca="1">IFERROR($X160/$X$160,0)</f>
        <v>1</v>
      </c>
      <c r="Z160" s="81">
        <f ca="1">IFERROR(($X160-$U160)/ABS($U160),0)</f>
        <v>0</v>
      </c>
      <c r="AA160" s="18">
        <f ca="1">SUBTOTAL(9,AA$5:AA$159)</f>
        <v>84486119.25</v>
      </c>
      <c r="AB160" s="81">
        <f ca="1">IFERROR($AA160/$AA$160,0)</f>
        <v>1</v>
      </c>
      <c r="AC160" s="81">
        <f ca="1">IFERROR(($AA160-$X160)/ABS($X160),0)</f>
        <v>0</v>
      </c>
      <c r="AD160" s="18">
        <f ca="1">SUBTOTAL(9,AD$5:AD$159)</f>
        <v>84939601.739999995</v>
      </c>
      <c r="AE160" s="81">
        <f ca="1">IFERROR($AD160/$AD$160,0)</f>
        <v>1</v>
      </c>
      <c r="AF160" s="81">
        <f ca="1">IFERROR(($AD160-$AA160)/ABS($AA160),0)</f>
        <v>5.4000000000000003E-3</v>
      </c>
      <c r="AG160" s="18">
        <f ca="1">SUBTOTAL(9,AG$5:AG$159)</f>
        <v>85165387.370000005</v>
      </c>
      <c r="AH160" s="81">
        <f ca="1">IFERROR($AG160/$AG$160,0)</f>
        <v>1</v>
      </c>
      <c r="AI160" s="81">
        <f ca="1">IFERROR(($AG160-$AD160)/ABS($AD160),0)</f>
        <v>2.7000000000000001E-3</v>
      </c>
      <c r="AJ160" s="18">
        <f ca="1">SUBTOTAL(9,AJ$5:AJ$159)</f>
        <v>85483512.069999993</v>
      </c>
      <c r="AK160" s="81">
        <f ca="1">IFERROR($AJ160/$AJ$160,0)</f>
        <v>1</v>
      </c>
      <c r="AL160" s="81">
        <f ca="1">IFERROR(($AJ160-$AG160)/ABS($AG160),0)</f>
        <v>3.7000000000000002E-3</v>
      </c>
      <c r="AM160" s="18">
        <f ca="1">SUBTOTAL(9,AM$5:AM$159)</f>
        <v>85377889.439999998</v>
      </c>
      <c r="AN160" s="81">
        <f ca="1">IFERROR(AM160/AM$160,0)</f>
        <v>1</v>
      </c>
      <c r="AO160" s="81">
        <f ca="1">IFERROR(($AM160-$AJ160)/ABS($AJ160),0)</f>
        <v>-1.1999999999999999E-3</v>
      </c>
    </row>
    <row r="161" spans="3:39" ht="14.4" thickTop="1" x14ac:dyDescent="0.3"/>
    <row r="162" spans="3:39" ht="13.8" x14ac:dyDescent="0.3">
      <c r="C162" s="17" t="s">
        <v>63</v>
      </c>
      <c r="D162" s="11">
        <f ca="1">D$160-PASSIVO!D$146</f>
        <v>0</v>
      </c>
      <c r="F162" s="11">
        <f ca="1">F$160-PASSIVO!F$146</f>
        <v>-4481.74</v>
      </c>
      <c r="I162" s="11">
        <f ca="1">I$160-PASSIVO!I$146</f>
        <v>-4481.74</v>
      </c>
      <c r="L162" s="11">
        <f ca="1">L$160-PASSIVO!L$146</f>
        <v>-4481.74</v>
      </c>
      <c r="O162" s="11">
        <f ca="1">O$160-PASSIVO!O$146</f>
        <v>74299.8</v>
      </c>
      <c r="R162" s="11">
        <f ca="1">R$160-PASSIVO!R$146</f>
        <v>74299.8</v>
      </c>
      <c r="U162" s="11">
        <f ca="1">U$160-PASSIVO!U$146</f>
        <v>74310.8</v>
      </c>
      <c r="X162" s="11">
        <f ca="1">X$160-PASSIVO!X$146</f>
        <v>74310.8</v>
      </c>
      <c r="AA162" s="11">
        <f ca="1">AA$160-PASSIVO!AA$146</f>
        <v>74310.8</v>
      </c>
      <c r="AD162" s="11">
        <f ca="1">AD$160-PASSIVO!AD$146</f>
        <v>81510.7</v>
      </c>
      <c r="AG162" s="11">
        <f ca="1">AG$160-PASSIVO!AG$146</f>
        <v>81522.8</v>
      </c>
      <c r="AJ162" s="11">
        <f ca="1">AJ$160-PASSIVO!AJ$146</f>
        <v>83421.8</v>
      </c>
      <c r="AM162" s="11">
        <f ca="1">AM$160-PASSIVO!AM$146</f>
        <v>83687.42</v>
      </c>
    </row>
  </sheetData>
  <sheetProtection autoFilter="0"/>
  <dataValidations count="1">
    <dataValidation type="custom" allowBlank="1" showInputMessage="1" showErrorMessage="1" error="Inserir linhas acima!!!" sqref="B18:AO18 B29:AO29 B157:AO157 B90:AO90 B73:AO73 B45:AO45 B34:AO34 B97:AO97 B101:AO101 B116:AO116 B59:AO59 B67:AO67 B127:AO127 B151:AO151" xr:uid="{0D224EC8-933A-45DB-94CE-5801954CF00E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F05B0-52F2-4AF3-B13D-EB0504F704F0}">
  <sheetPr codeName="Planilha5">
    <outlinePr summaryBelow="0" summaryRight="0"/>
  </sheetPr>
  <dimension ref="B2:AQ148"/>
  <sheetViews>
    <sheetView showGridLines="0" zoomScaleNormal="100" workbookViewId="0">
      <pane xSplit="3" ySplit="4" topLeftCell="AH123" activePane="bottomRight" state="frozen"/>
      <selection pane="topRight" activeCell="D1" sqref="D1"/>
      <selection pane="bottomLeft" activeCell="A5" sqref="A5"/>
      <selection pane="bottomRight" activeCell="AQ148" sqref="AQ148"/>
    </sheetView>
  </sheetViews>
  <sheetFormatPr defaultColWidth="8.88671875" defaultRowHeight="13.2" customHeight="1" outlineLevelRow="1" x14ac:dyDescent="0.3"/>
  <cols>
    <col min="1" max="1" width="2.6640625" style="1" customWidth="1"/>
    <col min="2" max="2" width="20.6640625" style="3" customWidth="1"/>
    <col min="3" max="3" width="50.6640625" style="1" customWidth="1"/>
    <col min="4" max="4" width="15.6640625" style="4" customWidth="1"/>
    <col min="5" max="5" width="8.6640625" style="78" customWidth="1"/>
    <col min="6" max="6" width="15.6640625" style="4" customWidth="1"/>
    <col min="7" max="8" width="8.6640625" style="78" customWidth="1"/>
    <col min="9" max="9" width="15.6640625" style="4" customWidth="1"/>
    <col min="10" max="11" width="8.6640625" style="78" customWidth="1"/>
    <col min="12" max="12" width="15.6640625" style="4" customWidth="1"/>
    <col min="13" max="14" width="8.6640625" style="78" customWidth="1"/>
    <col min="15" max="15" width="15.6640625" style="4" customWidth="1"/>
    <col min="16" max="17" width="8.6640625" style="78" customWidth="1"/>
    <col min="18" max="18" width="15.6640625" style="4" customWidth="1"/>
    <col min="19" max="20" width="8.6640625" style="78" customWidth="1"/>
    <col min="21" max="21" width="15.6640625" style="4" customWidth="1"/>
    <col min="22" max="23" width="8.6640625" style="78" customWidth="1"/>
    <col min="24" max="24" width="15.6640625" style="4" customWidth="1"/>
    <col min="25" max="26" width="8.6640625" style="78" customWidth="1"/>
    <col min="27" max="27" width="15.6640625" style="4" customWidth="1"/>
    <col min="28" max="29" width="8.6640625" style="78" customWidth="1"/>
    <col min="30" max="30" width="15.6640625" style="4" customWidth="1"/>
    <col min="31" max="32" width="8.6640625" style="78" customWidth="1"/>
    <col min="33" max="33" width="15.6640625" style="4" customWidth="1"/>
    <col min="34" max="35" width="8.6640625" style="78" customWidth="1"/>
    <col min="36" max="36" width="15.6640625" style="4" customWidth="1"/>
    <col min="37" max="38" width="8.6640625" style="78" customWidth="1"/>
    <col min="39" max="39" width="15.6640625" style="4" customWidth="1" collapsed="1"/>
    <col min="40" max="41" width="8.6640625" style="78" customWidth="1"/>
    <col min="42" max="42" width="8.88671875" style="1"/>
    <col min="43" max="43" width="12.44140625" style="1" bestFit="1" customWidth="1"/>
    <col min="44" max="16384" width="8.88671875" style="1"/>
  </cols>
  <sheetData>
    <row r="2" spans="2:41" ht="13.8" x14ac:dyDescent="0.3">
      <c r="C2" s="17" t="s">
        <v>30</v>
      </c>
    </row>
    <row r="4" spans="2:41" ht="24.9" customHeight="1" x14ac:dyDescent="0.3">
      <c r="D4" s="20" t="s">
        <v>36</v>
      </c>
      <c r="E4" s="84" t="s">
        <v>47</v>
      </c>
      <c r="F4" s="20" t="s">
        <v>3</v>
      </c>
      <c r="G4" s="84" t="s">
        <v>47</v>
      </c>
      <c r="H4" s="84" t="s">
        <v>48</v>
      </c>
      <c r="I4" s="20" t="s">
        <v>4</v>
      </c>
      <c r="J4" s="84" t="s">
        <v>47</v>
      </c>
      <c r="K4" s="84" t="s">
        <v>48</v>
      </c>
      <c r="L4" s="20" t="s">
        <v>5</v>
      </c>
      <c r="M4" s="84" t="s">
        <v>47</v>
      </c>
      <c r="N4" s="84" t="s">
        <v>48</v>
      </c>
      <c r="O4" s="20" t="s">
        <v>6</v>
      </c>
      <c r="P4" s="84" t="s">
        <v>47</v>
      </c>
      <c r="Q4" s="84" t="s">
        <v>48</v>
      </c>
      <c r="R4" s="20" t="s">
        <v>7</v>
      </c>
      <c r="S4" s="84" t="s">
        <v>47</v>
      </c>
      <c r="T4" s="84" t="s">
        <v>48</v>
      </c>
      <c r="U4" s="20" t="s">
        <v>8</v>
      </c>
      <c r="V4" s="84" t="s">
        <v>47</v>
      </c>
      <c r="W4" s="84" t="s">
        <v>48</v>
      </c>
      <c r="X4" s="20" t="s">
        <v>9</v>
      </c>
      <c r="Y4" s="84" t="s">
        <v>47</v>
      </c>
      <c r="Z4" s="84" t="s">
        <v>48</v>
      </c>
      <c r="AA4" s="20" t="s">
        <v>10</v>
      </c>
      <c r="AB4" s="84" t="s">
        <v>47</v>
      </c>
      <c r="AC4" s="84" t="s">
        <v>48</v>
      </c>
      <c r="AD4" s="20" t="s">
        <v>11</v>
      </c>
      <c r="AE4" s="84" t="s">
        <v>47</v>
      </c>
      <c r="AF4" s="84" t="s">
        <v>48</v>
      </c>
      <c r="AG4" s="20" t="s">
        <v>12</v>
      </c>
      <c r="AH4" s="84" t="s">
        <v>47</v>
      </c>
      <c r="AI4" s="84" t="s">
        <v>48</v>
      </c>
      <c r="AJ4" s="20" t="s">
        <v>13</v>
      </c>
      <c r="AK4" s="84" t="s">
        <v>47</v>
      </c>
      <c r="AL4" s="84" t="s">
        <v>48</v>
      </c>
      <c r="AM4" s="20" t="s">
        <v>14</v>
      </c>
      <c r="AN4" s="84" t="s">
        <v>47</v>
      </c>
      <c r="AO4" s="84" t="s">
        <v>48</v>
      </c>
    </row>
    <row r="5" spans="2:41" ht="20.100000000000001" customHeight="1" x14ac:dyDescent="0.3">
      <c r="C5" s="21" t="s">
        <v>17</v>
      </c>
    </row>
    <row r="6" spans="2:41" ht="15" customHeight="1" x14ac:dyDescent="0.3">
      <c r="C6" s="9" t="s">
        <v>31</v>
      </c>
      <c r="D6" s="7"/>
      <c r="E6" s="79"/>
      <c r="F6" s="7"/>
      <c r="G6" s="79"/>
      <c r="H6" s="79"/>
      <c r="I6" s="7"/>
      <c r="J6" s="79"/>
      <c r="K6" s="79"/>
      <c r="L6" s="7"/>
      <c r="M6" s="79"/>
      <c r="N6" s="79"/>
      <c r="O6" s="7"/>
      <c r="P6" s="79"/>
      <c r="Q6" s="79"/>
      <c r="R6" s="7"/>
      <c r="S6" s="79"/>
      <c r="T6" s="79"/>
      <c r="U6" s="7"/>
      <c r="V6" s="79"/>
      <c r="W6" s="79"/>
      <c r="X6" s="7"/>
      <c r="Y6" s="79"/>
      <c r="Z6" s="79"/>
      <c r="AA6" s="7"/>
      <c r="AB6" s="79"/>
      <c r="AC6" s="79"/>
      <c r="AD6" s="7"/>
      <c r="AE6" s="79"/>
      <c r="AF6" s="79"/>
      <c r="AG6" s="7"/>
      <c r="AH6" s="79"/>
      <c r="AI6" s="79"/>
      <c r="AJ6" s="7"/>
      <c r="AK6" s="79"/>
      <c r="AL6" s="79"/>
      <c r="AM6" s="7"/>
      <c r="AN6" s="79"/>
      <c r="AO6" s="79"/>
    </row>
    <row r="7" spans="2:41" ht="15" customHeight="1" collapsed="1" x14ac:dyDescent="0.3">
      <c r="B7" s="3" t="s">
        <v>50</v>
      </c>
      <c r="C7" s="14" t="s">
        <v>56</v>
      </c>
      <c r="D7" s="4">
        <f>SUBTOTAL(9,D$8:D$14)</f>
        <v>0</v>
      </c>
      <c r="E7" s="78">
        <f t="shared" ref="E7:E13" ca="1" si="0">IFERROR($D7/$D$146,0)</f>
        <v>0</v>
      </c>
      <c r="F7" s="4">
        <f ca="1">SUBTOTAL(9,F$8:F$14)</f>
        <v>1396034.98</v>
      </c>
      <c r="G7" s="78">
        <f t="shared" ref="G7:G13" ca="1" si="1">IFERROR($F7/$F$146,0)</f>
        <v>1.67E-2</v>
      </c>
      <c r="H7" s="78">
        <f ca="1">IFERROR(($F7-$D7)/ABS($D7),0)</f>
        <v>0</v>
      </c>
      <c r="I7" s="4">
        <f ca="1">SUBTOTAL(9,I$8:I$14)</f>
        <v>851816</v>
      </c>
      <c r="J7" s="78">
        <f t="shared" ref="J7:J13" ca="1" si="2">IFERROR($I7/$I$146,0)</f>
        <v>1.03E-2</v>
      </c>
      <c r="K7" s="78">
        <f ca="1">IFERROR(($I7-$F7)/ABS($F7),0)</f>
        <v>-0.38979999999999998</v>
      </c>
      <c r="L7" s="4">
        <f ca="1">SUBTOTAL(9,L$8:L$14)</f>
        <v>866291.35</v>
      </c>
      <c r="M7" s="78">
        <f t="shared" ref="M7:M13" ca="1" si="3">IFERROR($L7/$L$146,0)</f>
        <v>1.04E-2</v>
      </c>
      <c r="N7" s="78">
        <f ca="1">IFERROR(($L7-$I7)/ABS($I7),0)</f>
        <v>1.7000000000000001E-2</v>
      </c>
      <c r="O7" s="4">
        <f ca="1">SUBTOTAL(9,O$8:O$14)</f>
        <v>1193079.8400000001</v>
      </c>
      <c r="P7" s="78">
        <f t="shared" ref="P7:P13" ca="1" si="4">IFERROR($O7/$O$146,0)</f>
        <v>1.43E-2</v>
      </c>
      <c r="Q7" s="78">
        <f ca="1">IFERROR(($O7-$L7)/ABS($L7),0)</f>
        <v>0.37719999999999998</v>
      </c>
      <c r="R7" s="4">
        <f ca="1">SUBTOTAL(9,R$8:R$14)</f>
        <v>1040827.89</v>
      </c>
      <c r="S7" s="78">
        <f t="shared" ref="S7:S13" ca="1" si="5">IFERROR($R7/$R$146,0)</f>
        <v>1.24E-2</v>
      </c>
      <c r="T7" s="78">
        <f ca="1">IFERROR(($R7-$O7)/ABS($O7),0)</f>
        <v>-0.12759999999999999</v>
      </c>
      <c r="U7" s="4">
        <f ca="1">SUBTOTAL(9,U$8:U$14)</f>
        <v>1054727.3500000001</v>
      </c>
      <c r="V7" s="78">
        <f t="shared" ref="V7:V13" ca="1" si="6">IFERROR($U7/$U$146,0)</f>
        <v>1.2500000000000001E-2</v>
      </c>
      <c r="W7" s="78">
        <f ca="1">IFERROR(($U7-$R7)/ABS($R7),0)</f>
        <v>1.34E-2</v>
      </c>
      <c r="X7" s="4">
        <f ca="1">SUBTOTAL(9,X$8:X$14)</f>
        <v>1054727.3500000001</v>
      </c>
      <c r="Y7" s="78">
        <f t="shared" ref="Y7:Y13" ca="1" si="7">IFERROR($X7/$X$146,0)</f>
        <v>1.2500000000000001E-2</v>
      </c>
      <c r="Z7" s="78">
        <f ca="1">IFERROR(($X7-$U7)/ABS($U7),0)</f>
        <v>0</v>
      </c>
      <c r="AA7" s="4">
        <f ca="1">SUBTOTAL(9,AA$8:AA$14)</f>
        <v>1054727.3500000001</v>
      </c>
      <c r="AB7" s="78">
        <f t="shared" ref="AB7:AB13" ca="1" si="8">IFERROR($AA7/$AA$146,0)</f>
        <v>1.2500000000000001E-2</v>
      </c>
      <c r="AC7" s="78">
        <f ca="1">IFERROR(($AA7-$X7)/ABS($X7),0)</f>
        <v>0</v>
      </c>
      <c r="AD7" s="4">
        <f ca="1">SUBTOTAL(9,AD$8:AD$14)</f>
        <v>1049200.8</v>
      </c>
      <c r="AE7" s="78">
        <f t="shared" ref="AE7:AE13" ca="1" si="9">IFERROR($AD7/$AD$146,0)</f>
        <v>1.24E-2</v>
      </c>
      <c r="AF7" s="78">
        <f ca="1">IFERROR(($AD7-$AA7)/ABS($AA7),0)</f>
        <v>-5.1999999999999998E-3</v>
      </c>
      <c r="AG7" s="4">
        <f ca="1">SUBTOTAL(9,AG$8:AG$14)</f>
        <v>1037217.56</v>
      </c>
      <c r="AH7" s="78">
        <f t="shared" ref="AH7:AH13" ca="1" si="10">IFERROR($AG7/$AG$146,0)</f>
        <v>1.2200000000000001E-2</v>
      </c>
      <c r="AI7" s="78">
        <f ca="1">IFERROR(($AG7-$AD7)/ABS($AD7),0)</f>
        <v>-1.14E-2</v>
      </c>
      <c r="AJ7" s="4">
        <f ca="1">SUBTOTAL(9,AJ$8:AJ$14)</f>
        <v>833406.21</v>
      </c>
      <c r="AK7" s="78">
        <f t="shared" ref="AK7:AK13" ca="1" si="11">IFERROR($AJ7/$AJ$146,0)</f>
        <v>9.7999999999999997E-3</v>
      </c>
      <c r="AL7" s="78">
        <f ca="1">IFERROR(($AJ7-$AG7)/ABS($AG7),0)</f>
        <v>-0.19650000000000001</v>
      </c>
      <c r="AM7" s="4">
        <f ca="1">SUBTOTAL(9,AM$8:AM$14)</f>
        <v>350148.93</v>
      </c>
      <c r="AN7" s="78">
        <f t="shared" ref="AN7:AN13" ca="1" si="12">IFERROR(AM7/AM$146,0)</f>
        <v>4.1000000000000003E-3</v>
      </c>
      <c r="AO7" s="78">
        <f ca="1">IFERROR(($AM7-$AJ7)/ABS($AJ7),0)</f>
        <v>-0.57989999999999997</v>
      </c>
    </row>
    <row r="8" spans="2:41" ht="15" hidden="1" customHeight="1" outlineLevel="1" x14ac:dyDescent="0.3">
      <c r="B8" s="14" t="s">
        <v>344</v>
      </c>
      <c r="C8" s="15" t="s">
        <v>56</v>
      </c>
      <c r="D8" s="4">
        <f>-SUMIFS(Tab_99.Trial[DEZEMBRO],Tab_99.Trial[CONTA],$B8)</f>
        <v>0</v>
      </c>
      <c r="E8" s="78">
        <f t="shared" ca="1" si="0"/>
        <v>0</v>
      </c>
      <c r="F8" s="4">
        <f ca="1">-SUMIFS(INDIRECT("Tab_00.Trial["&amp;F$4&amp;"]"),Tab_00.Trial[CONTA],$B8)</f>
        <v>646686.39</v>
      </c>
      <c r="G8" s="78">
        <f t="shared" ca="1" si="1"/>
        <v>7.7000000000000002E-3</v>
      </c>
      <c r="H8" s="78">
        <f ca="1">IFERROR(($F8-$D8)/ABS($D8),0)</f>
        <v>0</v>
      </c>
      <c r="I8" s="4">
        <f ca="1">-SUMIFS(INDIRECT("Tab_00.Trial["&amp;I$4&amp;"]"),Tab_00.Trial[CONTA],$B8)</f>
        <v>102467.41</v>
      </c>
      <c r="J8" s="78">
        <f t="shared" ca="1" si="2"/>
        <v>1.1999999999999999E-3</v>
      </c>
      <c r="K8" s="78">
        <f ca="1">IFERROR(($I8-$F8)/ABS($F8),0)</f>
        <v>-0.84160000000000001</v>
      </c>
      <c r="L8" s="4">
        <f ca="1">-SUMIFS(INDIRECT("Tab_00.Trial["&amp;L$4&amp;"]"),Tab_00.Trial[CONTA],$B8)</f>
        <v>116942.76</v>
      </c>
      <c r="M8" s="78">
        <f t="shared" ca="1" si="3"/>
        <v>1.4E-3</v>
      </c>
      <c r="N8" s="78">
        <f ca="1">IFERROR(($L8-$I8)/ABS($I8),0)</f>
        <v>0.14130000000000001</v>
      </c>
      <c r="O8" s="4">
        <f ca="1">-SUMIFS(INDIRECT("Tab_00.Trial["&amp;O$4&amp;"]"),Tab_00.Trial[CONTA],$B8)</f>
        <v>443731.25</v>
      </c>
      <c r="P8" s="78">
        <f t="shared" ca="1" si="4"/>
        <v>5.3E-3</v>
      </c>
      <c r="Q8" s="78">
        <f ca="1">IFERROR(($O8-$L8)/ABS($L8),0)</f>
        <v>2.7944</v>
      </c>
      <c r="R8" s="4">
        <f ca="1">-SUMIFS(INDIRECT("Tab_00.Trial["&amp;R$4&amp;"]"),Tab_00.Trial[CONTA],$B8)</f>
        <v>84531.28</v>
      </c>
      <c r="S8" s="78">
        <f t="shared" ca="1" si="5"/>
        <v>1E-3</v>
      </c>
      <c r="T8" s="78">
        <f ca="1">IFERROR(($R8-$O8)/ABS($O8),0)</f>
        <v>-0.8095</v>
      </c>
      <c r="U8" s="4">
        <f ca="1">-SUMIFS(INDIRECT("Tab_00.Trial["&amp;U$4&amp;"]"),Tab_00.Trial[CONTA],$B8)</f>
        <v>60413.4</v>
      </c>
      <c r="V8" s="78">
        <f t="shared" ca="1" si="6"/>
        <v>6.9999999999999999E-4</v>
      </c>
      <c r="W8" s="78">
        <f ca="1">IFERROR(($U8-$R8)/ABS($R8),0)</f>
        <v>-0.2853</v>
      </c>
      <c r="X8" s="4">
        <f ca="1">-SUMIFS(INDIRECT("Tab_00.Trial["&amp;X$4&amp;"]"),Tab_00.Trial[CONTA],$B8)</f>
        <v>60413.4</v>
      </c>
      <c r="Y8" s="78">
        <f t="shared" ca="1" si="7"/>
        <v>6.9999999999999999E-4</v>
      </c>
      <c r="Z8" s="78">
        <f ca="1">IFERROR(($X8-$U8)/ABS($U8),0)</f>
        <v>0</v>
      </c>
      <c r="AA8" s="4">
        <f ca="1">-SUMIFS(INDIRECT("Tab_00.Trial["&amp;AA$4&amp;"]"),Tab_00.Trial[CONTA],$B8)</f>
        <v>60413.4</v>
      </c>
      <c r="AB8" s="78">
        <f t="shared" ca="1" si="8"/>
        <v>6.9999999999999999E-4</v>
      </c>
      <c r="AC8" s="78">
        <f ca="1">IFERROR(($AA8-$X8)/ABS($X8),0)</f>
        <v>0</v>
      </c>
      <c r="AD8" s="4">
        <f ca="1">-SUMIFS(INDIRECT("Tab_00.Trial["&amp;AD$4&amp;"]"),Tab_00.Trial[CONTA],$B8)</f>
        <v>55466.22</v>
      </c>
      <c r="AE8" s="78">
        <f t="shared" ca="1" si="9"/>
        <v>6.9999999999999999E-4</v>
      </c>
      <c r="AF8" s="78">
        <f ca="1">IFERROR(($AD8-$AA8)/ABS($AA8),0)</f>
        <v>-8.1900000000000001E-2</v>
      </c>
      <c r="AG8" s="4">
        <f ca="1">-SUMIFS(INDIRECT("Tab_00.Trial["&amp;AG$4&amp;"]"),Tab_00.Trial[CONTA],$B8)</f>
        <v>287868.96999999997</v>
      </c>
      <c r="AH8" s="78">
        <f t="shared" ca="1" si="10"/>
        <v>3.3999999999999998E-3</v>
      </c>
      <c r="AI8" s="78">
        <f ca="1">IFERROR(($AG8-$AD8)/ABS($AD8),0)</f>
        <v>4.1900000000000004</v>
      </c>
      <c r="AJ8" s="4">
        <f ca="1">-SUMIFS(INDIRECT("Tab_00.Trial["&amp;AJ$4&amp;"]"),Tab_00.Trial[CONTA],$B8)</f>
        <v>84057.62</v>
      </c>
      <c r="AK8" s="78">
        <f t="shared" ca="1" si="11"/>
        <v>1E-3</v>
      </c>
      <c r="AL8" s="78">
        <f ca="1">IFERROR(($AJ8-$AG8)/ABS($AG8),0)</f>
        <v>-0.70799999999999996</v>
      </c>
      <c r="AM8" s="4">
        <f ca="1">-SUMIFS(INDIRECT("Tab_00.Trial["&amp;AM$4&amp;"]"),Tab_00.Trial[CONTA],$B8)</f>
        <v>41942.61</v>
      </c>
      <c r="AN8" s="78">
        <f t="shared" ca="1" si="12"/>
        <v>5.0000000000000001E-4</v>
      </c>
      <c r="AO8" s="78">
        <f ca="1">IFERROR(($AM8-$AJ8)/ABS($AJ8),0)</f>
        <v>-0.501</v>
      </c>
    </row>
    <row r="9" spans="2:41" ht="15" hidden="1" customHeight="1" outlineLevel="1" x14ac:dyDescent="0.3">
      <c r="B9" s="14" t="s">
        <v>345</v>
      </c>
      <c r="C9" s="15" t="s">
        <v>346</v>
      </c>
      <c r="D9" s="4">
        <f>-SUMIFS(Tab_99.Trial[DEZEMBRO],Tab_99.Trial[CONTA],$B9)</f>
        <v>0</v>
      </c>
      <c r="E9" s="78">
        <f t="shared" ca="1" si="0"/>
        <v>0</v>
      </c>
      <c r="F9" s="4">
        <f ca="1">-SUMIFS(INDIRECT("Tab_00.Trial["&amp;F$4&amp;"]"),Tab_00.Trial[CONTA],$B9)</f>
        <v>749348.59</v>
      </c>
      <c r="G9" s="78">
        <f t="shared" ca="1" si="1"/>
        <v>8.9999999999999993E-3</v>
      </c>
      <c r="H9" s="78">
        <f t="shared" ref="H9:H13" ca="1" si="13">IFERROR(($F9-$D9)/ABS($D9),0)</f>
        <v>0</v>
      </c>
      <c r="I9" s="4">
        <f ca="1">-SUMIFS(INDIRECT("Tab_00.Trial["&amp;I$4&amp;"]"),Tab_00.Trial[CONTA],$B9)</f>
        <v>749348.59</v>
      </c>
      <c r="J9" s="78">
        <f t="shared" ca="1" si="2"/>
        <v>8.9999999999999993E-3</v>
      </c>
      <c r="K9" s="78">
        <f t="shared" ref="K9:K13" ca="1" si="14">IFERROR(($I9-$F9)/ABS($F9),0)</f>
        <v>0</v>
      </c>
      <c r="L9" s="4">
        <f ca="1">-SUMIFS(INDIRECT("Tab_00.Trial["&amp;L$4&amp;"]"),Tab_00.Trial[CONTA],$B9)</f>
        <v>749348.59</v>
      </c>
      <c r="M9" s="78">
        <f t="shared" ca="1" si="3"/>
        <v>8.9999999999999993E-3</v>
      </c>
      <c r="N9" s="78">
        <f t="shared" ref="N9:N13" ca="1" si="15">IFERROR(($L9-$I9)/ABS($I9),0)</f>
        <v>0</v>
      </c>
      <c r="O9" s="4">
        <f ca="1">-SUMIFS(INDIRECT("Tab_00.Trial["&amp;O$4&amp;"]"),Tab_00.Trial[CONTA],$B9)</f>
        <v>749348.59</v>
      </c>
      <c r="P9" s="78">
        <f t="shared" ca="1" si="4"/>
        <v>8.9999999999999993E-3</v>
      </c>
      <c r="Q9" s="78">
        <f t="shared" ref="Q9:Q13" ca="1" si="16">IFERROR(($O9-$L9)/ABS($L9),0)</f>
        <v>0</v>
      </c>
      <c r="R9" s="4">
        <f ca="1">-SUMIFS(INDIRECT("Tab_00.Trial["&amp;R$4&amp;"]"),Tab_00.Trial[CONTA],$B9)</f>
        <v>956296.61</v>
      </c>
      <c r="S9" s="78">
        <f t="shared" ca="1" si="5"/>
        <v>1.14E-2</v>
      </c>
      <c r="T9" s="78">
        <f t="shared" ref="T9:T13" ca="1" si="17">IFERROR(($R9-$O9)/ABS($O9),0)</f>
        <v>0.2762</v>
      </c>
      <c r="U9" s="4">
        <f ca="1">-SUMIFS(INDIRECT("Tab_00.Trial["&amp;U$4&amp;"]"),Tab_00.Trial[CONTA],$B9)</f>
        <v>994313.95</v>
      </c>
      <c r="V9" s="78">
        <f t="shared" ca="1" si="6"/>
        <v>1.18E-2</v>
      </c>
      <c r="W9" s="78">
        <f t="shared" ref="W9:W13" ca="1" si="18">IFERROR(($U9-$R9)/ABS($R9),0)</f>
        <v>3.9800000000000002E-2</v>
      </c>
      <c r="X9" s="4">
        <f ca="1">-SUMIFS(INDIRECT("Tab_00.Trial["&amp;X$4&amp;"]"),Tab_00.Trial[CONTA],$B9)</f>
        <v>994313.95</v>
      </c>
      <c r="Y9" s="78">
        <f t="shared" ca="1" si="7"/>
        <v>1.18E-2</v>
      </c>
      <c r="Z9" s="78">
        <f t="shared" ref="Z9:Z13" ca="1" si="19">IFERROR(($X9-$U9)/ABS($U9),0)</f>
        <v>0</v>
      </c>
      <c r="AA9" s="4">
        <f ca="1">-SUMIFS(INDIRECT("Tab_00.Trial["&amp;AA$4&amp;"]"),Tab_00.Trial[CONTA],$B9)</f>
        <v>994313.95</v>
      </c>
      <c r="AB9" s="78">
        <f t="shared" ca="1" si="8"/>
        <v>1.18E-2</v>
      </c>
      <c r="AC9" s="78">
        <f t="shared" ref="AC9:AC13" ca="1" si="20">IFERROR(($AA9-$X9)/ABS($X9),0)</f>
        <v>0</v>
      </c>
      <c r="AD9" s="4">
        <f ca="1">-SUMIFS(INDIRECT("Tab_00.Trial["&amp;AD$4&amp;"]"),Tab_00.Trial[CONTA],$B9)</f>
        <v>993734.58</v>
      </c>
      <c r="AE9" s="78">
        <f t="shared" ca="1" si="9"/>
        <v>1.17E-2</v>
      </c>
      <c r="AF9" s="78">
        <f t="shared" ref="AF9:AF13" ca="1" si="21">IFERROR(($AD9-$AA9)/ABS($AA9),0)</f>
        <v>-5.9999999999999995E-4</v>
      </c>
      <c r="AG9" s="4">
        <f ca="1">-SUMIFS(INDIRECT("Tab_00.Trial["&amp;AG$4&amp;"]"),Tab_00.Trial[CONTA],$B9)</f>
        <v>749348.59</v>
      </c>
      <c r="AH9" s="78">
        <f t="shared" ca="1" si="10"/>
        <v>8.8000000000000005E-3</v>
      </c>
      <c r="AI9" s="78">
        <f t="shared" ref="AI9:AI13" ca="1" si="22">IFERROR(($AG9-$AD9)/ABS($AD9),0)</f>
        <v>-0.24590000000000001</v>
      </c>
      <c r="AJ9" s="4">
        <f ca="1">-SUMIFS(INDIRECT("Tab_00.Trial["&amp;AJ$4&amp;"]"),Tab_00.Trial[CONTA],$B9)</f>
        <v>749348.59</v>
      </c>
      <c r="AK9" s="78">
        <f t="shared" ca="1" si="11"/>
        <v>8.8000000000000005E-3</v>
      </c>
      <c r="AL9" s="78">
        <f t="shared" ref="AL9:AL13" ca="1" si="23">IFERROR(($AJ9-$AG9)/ABS($AG9),0)</f>
        <v>0</v>
      </c>
      <c r="AM9" s="4">
        <f ca="1">-SUMIFS(INDIRECT("Tab_00.Trial["&amp;AM$4&amp;"]"),Tab_00.Trial[CONTA],$B9)</f>
        <v>308206.32</v>
      </c>
      <c r="AN9" s="78">
        <f t="shared" ca="1" si="12"/>
        <v>3.5999999999999999E-3</v>
      </c>
      <c r="AO9" s="78">
        <f t="shared" ref="AO9:AO13" ca="1" si="24">IFERROR(($AM9-$AJ9)/ABS($AJ9),0)</f>
        <v>-0.5887</v>
      </c>
    </row>
    <row r="10" spans="2:41" ht="15" hidden="1" customHeight="1" outlineLevel="1" x14ac:dyDescent="0.3">
      <c r="B10" s="14"/>
      <c r="C10" s="15"/>
      <c r="D10" s="4">
        <f>-SUMIFS(Tab_99.Trial[DEZEMBRO],Tab_99.Trial[CONTA],$B10)</f>
        <v>0</v>
      </c>
      <c r="E10" s="78">
        <f t="shared" ca="1" si="0"/>
        <v>0</v>
      </c>
      <c r="F10" s="4">
        <f ca="1">-SUMIFS(INDIRECT("Tab_00.Trial["&amp;F$4&amp;"]"),Tab_00.Trial[CONTA],$B10)</f>
        <v>0</v>
      </c>
      <c r="G10" s="78">
        <f t="shared" ca="1" si="1"/>
        <v>0</v>
      </c>
      <c r="H10" s="78">
        <f t="shared" ca="1" si="13"/>
        <v>0</v>
      </c>
      <c r="I10" s="4">
        <f ca="1">-SUMIFS(INDIRECT("Tab_00.Trial["&amp;I$4&amp;"]"),Tab_00.Trial[CONTA],$B10)</f>
        <v>0</v>
      </c>
      <c r="J10" s="78">
        <f t="shared" ca="1" si="2"/>
        <v>0</v>
      </c>
      <c r="K10" s="78">
        <f t="shared" ca="1" si="14"/>
        <v>0</v>
      </c>
      <c r="L10" s="4">
        <f ca="1">-SUMIFS(INDIRECT("Tab_00.Trial["&amp;L$4&amp;"]"),Tab_00.Trial[CONTA],$B10)</f>
        <v>0</v>
      </c>
      <c r="M10" s="78">
        <f t="shared" ca="1" si="3"/>
        <v>0</v>
      </c>
      <c r="N10" s="78">
        <f t="shared" ca="1" si="15"/>
        <v>0</v>
      </c>
      <c r="O10" s="4">
        <f ca="1">-SUMIFS(INDIRECT("Tab_00.Trial["&amp;O$4&amp;"]"),Tab_00.Trial[CONTA],$B10)</f>
        <v>0</v>
      </c>
      <c r="P10" s="78">
        <f t="shared" ca="1" si="4"/>
        <v>0</v>
      </c>
      <c r="Q10" s="78">
        <f t="shared" ca="1" si="16"/>
        <v>0</v>
      </c>
      <c r="R10" s="4">
        <f ca="1">-SUMIFS(INDIRECT("Tab_00.Trial["&amp;R$4&amp;"]"),Tab_00.Trial[CONTA],$B10)</f>
        <v>0</v>
      </c>
      <c r="S10" s="78">
        <f t="shared" ca="1" si="5"/>
        <v>0</v>
      </c>
      <c r="T10" s="78">
        <f t="shared" ca="1" si="17"/>
        <v>0</v>
      </c>
      <c r="U10" s="4">
        <f ca="1">-SUMIFS(INDIRECT("Tab_00.Trial["&amp;U$4&amp;"]"),Tab_00.Trial[CONTA],$B10)</f>
        <v>0</v>
      </c>
      <c r="V10" s="78">
        <f t="shared" ca="1" si="6"/>
        <v>0</v>
      </c>
      <c r="W10" s="78">
        <f t="shared" ca="1" si="18"/>
        <v>0</v>
      </c>
      <c r="X10" s="4">
        <f ca="1">-SUMIFS(INDIRECT("Tab_00.Trial["&amp;X$4&amp;"]"),Tab_00.Trial[CONTA],$B10)</f>
        <v>0</v>
      </c>
      <c r="Y10" s="78">
        <f t="shared" ca="1" si="7"/>
        <v>0</v>
      </c>
      <c r="Z10" s="78">
        <f t="shared" ca="1" si="19"/>
        <v>0</v>
      </c>
      <c r="AA10" s="4">
        <f ca="1">-SUMIFS(INDIRECT("Tab_00.Trial["&amp;AA$4&amp;"]"),Tab_00.Trial[CONTA],$B10)</f>
        <v>0</v>
      </c>
      <c r="AB10" s="78">
        <f t="shared" ca="1" si="8"/>
        <v>0</v>
      </c>
      <c r="AC10" s="78">
        <f t="shared" ca="1" si="20"/>
        <v>0</v>
      </c>
      <c r="AD10" s="4">
        <f ca="1">-SUMIFS(INDIRECT("Tab_00.Trial["&amp;AD$4&amp;"]"),Tab_00.Trial[CONTA],$B10)</f>
        <v>0</v>
      </c>
      <c r="AE10" s="78">
        <f t="shared" ca="1" si="9"/>
        <v>0</v>
      </c>
      <c r="AF10" s="78">
        <f t="shared" ca="1" si="21"/>
        <v>0</v>
      </c>
      <c r="AG10" s="4">
        <f ca="1">-SUMIFS(INDIRECT("Tab_00.Trial["&amp;AG$4&amp;"]"),Tab_00.Trial[CONTA],$B10)</f>
        <v>0</v>
      </c>
      <c r="AH10" s="78">
        <f t="shared" ca="1" si="10"/>
        <v>0</v>
      </c>
      <c r="AI10" s="78">
        <f t="shared" ca="1" si="22"/>
        <v>0</v>
      </c>
      <c r="AJ10" s="4">
        <f ca="1">-SUMIFS(INDIRECT("Tab_00.Trial["&amp;AJ$4&amp;"]"),Tab_00.Trial[CONTA],$B10)</f>
        <v>0</v>
      </c>
      <c r="AK10" s="78">
        <f t="shared" ca="1" si="11"/>
        <v>0</v>
      </c>
      <c r="AL10" s="78">
        <f t="shared" ca="1" si="23"/>
        <v>0</v>
      </c>
      <c r="AM10" s="4">
        <f ca="1">-SUMIFS(INDIRECT("Tab_00.Trial["&amp;AM$4&amp;"]"),Tab_00.Trial[CONTA],$B10)</f>
        <v>0</v>
      </c>
      <c r="AN10" s="78">
        <f t="shared" ca="1" si="12"/>
        <v>0</v>
      </c>
      <c r="AO10" s="78">
        <f t="shared" ca="1" si="24"/>
        <v>0</v>
      </c>
    </row>
    <row r="11" spans="2:41" ht="15" hidden="1" customHeight="1" outlineLevel="1" x14ac:dyDescent="0.3">
      <c r="B11" s="14"/>
      <c r="C11" s="15"/>
      <c r="D11" s="4">
        <f>-SUMIFS(Tab_99.Trial[DEZEMBRO],Tab_99.Trial[CONTA],$B11)</f>
        <v>0</v>
      </c>
      <c r="E11" s="78">
        <f t="shared" ca="1" si="0"/>
        <v>0</v>
      </c>
      <c r="F11" s="4">
        <f ca="1">-SUMIFS(INDIRECT("Tab_00.Trial["&amp;F$4&amp;"]"),Tab_00.Trial[CONTA],$B11)</f>
        <v>0</v>
      </c>
      <c r="G11" s="78">
        <f t="shared" ca="1" si="1"/>
        <v>0</v>
      </c>
      <c r="H11" s="78">
        <f t="shared" ca="1" si="13"/>
        <v>0</v>
      </c>
      <c r="I11" s="4">
        <f ca="1">-SUMIFS(INDIRECT("Tab_00.Trial["&amp;I$4&amp;"]"),Tab_00.Trial[CONTA],$B11)</f>
        <v>0</v>
      </c>
      <c r="J11" s="78">
        <f t="shared" ca="1" si="2"/>
        <v>0</v>
      </c>
      <c r="K11" s="78">
        <f t="shared" ca="1" si="14"/>
        <v>0</v>
      </c>
      <c r="L11" s="4">
        <f ca="1">-SUMIFS(INDIRECT("Tab_00.Trial["&amp;L$4&amp;"]"),Tab_00.Trial[CONTA],$B11)</f>
        <v>0</v>
      </c>
      <c r="M11" s="78">
        <f t="shared" ca="1" si="3"/>
        <v>0</v>
      </c>
      <c r="N11" s="78">
        <f t="shared" ca="1" si="15"/>
        <v>0</v>
      </c>
      <c r="O11" s="4">
        <f ca="1">-SUMIFS(INDIRECT("Tab_00.Trial["&amp;O$4&amp;"]"),Tab_00.Trial[CONTA],$B11)</f>
        <v>0</v>
      </c>
      <c r="P11" s="78">
        <f t="shared" ca="1" si="4"/>
        <v>0</v>
      </c>
      <c r="Q11" s="78">
        <f t="shared" ca="1" si="16"/>
        <v>0</v>
      </c>
      <c r="R11" s="4">
        <f ca="1">-SUMIFS(INDIRECT("Tab_00.Trial["&amp;R$4&amp;"]"),Tab_00.Trial[CONTA],$B11)</f>
        <v>0</v>
      </c>
      <c r="S11" s="78">
        <f t="shared" ca="1" si="5"/>
        <v>0</v>
      </c>
      <c r="T11" s="78">
        <f t="shared" ca="1" si="17"/>
        <v>0</v>
      </c>
      <c r="U11" s="4">
        <f ca="1">-SUMIFS(INDIRECT("Tab_00.Trial["&amp;U$4&amp;"]"),Tab_00.Trial[CONTA],$B11)</f>
        <v>0</v>
      </c>
      <c r="V11" s="78">
        <f t="shared" ca="1" si="6"/>
        <v>0</v>
      </c>
      <c r="W11" s="78">
        <f t="shared" ca="1" si="18"/>
        <v>0</v>
      </c>
      <c r="X11" s="4">
        <f ca="1">-SUMIFS(INDIRECT("Tab_00.Trial["&amp;X$4&amp;"]"),Tab_00.Trial[CONTA],$B11)</f>
        <v>0</v>
      </c>
      <c r="Y11" s="78">
        <f t="shared" ca="1" si="7"/>
        <v>0</v>
      </c>
      <c r="Z11" s="78">
        <f t="shared" ca="1" si="19"/>
        <v>0</v>
      </c>
      <c r="AA11" s="4">
        <f ca="1">-SUMIFS(INDIRECT("Tab_00.Trial["&amp;AA$4&amp;"]"),Tab_00.Trial[CONTA],$B11)</f>
        <v>0</v>
      </c>
      <c r="AB11" s="78">
        <f t="shared" ca="1" si="8"/>
        <v>0</v>
      </c>
      <c r="AC11" s="78">
        <f t="shared" ca="1" si="20"/>
        <v>0</v>
      </c>
      <c r="AD11" s="4">
        <f ca="1">-SUMIFS(INDIRECT("Tab_00.Trial["&amp;AD$4&amp;"]"),Tab_00.Trial[CONTA],$B11)</f>
        <v>0</v>
      </c>
      <c r="AE11" s="78">
        <f t="shared" ca="1" si="9"/>
        <v>0</v>
      </c>
      <c r="AF11" s="78">
        <f t="shared" ca="1" si="21"/>
        <v>0</v>
      </c>
      <c r="AG11" s="4">
        <f ca="1">-SUMIFS(INDIRECT("Tab_00.Trial["&amp;AG$4&amp;"]"),Tab_00.Trial[CONTA],$B11)</f>
        <v>0</v>
      </c>
      <c r="AH11" s="78">
        <f t="shared" ca="1" si="10"/>
        <v>0</v>
      </c>
      <c r="AI11" s="78">
        <f t="shared" ca="1" si="22"/>
        <v>0</v>
      </c>
      <c r="AJ11" s="4">
        <f ca="1">-SUMIFS(INDIRECT("Tab_00.Trial["&amp;AJ$4&amp;"]"),Tab_00.Trial[CONTA],$B11)</f>
        <v>0</v>
      </c>
      <c r="AK11" s="78">
        <f t="shared" ca="1" si="11"/>
        <v>0</v>
      </c>
      <c r="AL11" s="78">
        <f t="shared" ca="1" si="23"/>
        <v>0</v>
      </c>
      <c r="AM11" s="4">
        <f ca="1">-SUMIFS(INDIRECT("Tab_00.Trial["&amp;AM$4&amp;"]"),Tab_00.Trial[CONTA],$B11)</f>
        <v>0</v>
      </c>
      <c r="AN11" s="78">
        <f t="shared" ca="1" si="12"/>
        <v>0</v>
      </c>
      <c r="AO11" s="78">
        <f t="shared" ca="1" si="24"/>
        <v>0</v>
      </c>
    </row>
    <row r="12" spans="2:41" ht="15" hidden="1" customHeight="1" outlineLevel="1" x14ac:dyDescent="0.3">
      <c r="B12" s="14"/>
      <c r="C12" s="15"/>
      <c r="D12" s="4">
        <f>-SUMIFS(Tab_99.Trial[DEZEMBRO],Tab_99.Trial[CONTA],$B12)</f>
        <v>0</v>
      </c>
      <c r="E12" s="78">
        <f t="shared" ca="1" si="0"/>
        <v>0</v>
      </c>
      <c r="F12" s="4">
        <f ca="1">-SUMIFS(INDIRECT("Tab_00.Trial["&amp;F$4&amp;"]"),Tab_00.Trial[CONTA],$B12)</f>
        <v>0</v>
      </c>
      <c r="G12" s="78">
        <f t="shared" ca="1" si="1"/>
        <v>0</v>
      </c>
      <c r="H12" s="78">
        <f t="shared" ca="1" si="13"/>
        <v>0</v>
      </c>
      <c r="I12" s="4">
        <f ca="1">-SUMIFS(INDIRECT("Tab_00.Trial["&amp;I$4&amp;"]"),Tab_00.Trial[CONTA],$B12)</f>
        <v>0</v>
      </c>
      <c r="J12" s="78">
        <f t="shared" ca="1" si="2"/>
        <v>0</v>
      </c>
      <c r="K12" s="78">
        <f t="shared" ca="1" si="14"/>
        <v>0</v>
      </c>
      <c r="L12" s="4">
        <f ca="1">-SUMIFS(INDIRECT("Tab_00.Trial["&amp;L$4&amp;"]"),Tab_00.Trial[CONTA],$B12)</f>
        <v>0</v>
      </c>
      <c r="M12" s="78">
        <f t="shared" ca="1" si="3"/>
        <v>0</v>
      </c>
      <c r="N12" s="78">
        <f t="shared" ca="1" si="15"/>
        <v>0</v>
      </c>
      <c r="O12" s="4">
        <f ca="1">-SUMIFS(INDIRECT("Tab_00.Trial["&amp;O$4&amp;"]"),Tab_00.Trial[CONTA],$B12)</f>
        <v>0</v>
      </c>
      <c r="P12" s="78">
        <f t="shared" ca="1" si="4"/>
        <v>0</v>
      </c>
      <c r="Q12" s="78">
        <f t="shared" ca="1" si="16"/>
        <v>0</v>
      </c>
      <c r="R12" s="4">
        <f ca="1">-SUMIFS(INDIRECT("Tab_00.Trial["&amp;R$4&amp;"]"),Tab_00.Trial[CONTA],$B12)</f>
        <v>0</v>
      </c>
      <c r="S12" s="78">
        <f t="shared" ca="1" si="5"/>
        <v>0</v>
      </c>
      <c r="T12" s="78">
        <f t="shared" ca="1" si="17"/>
        <v>0</v>
      </c>
      <c r="U12" s="4">
        <f ca="1">-SUMIFS(INDIRECT("Tab_00.Trial["&amp;U$4&amp;"]"),Tab_00.Trial[CONTA],$B12)</f>
        <v>0</v>
      </c>
      <c r="V12" s="78">
        <f t="shared" ca="1" si="6"/>
        <v>0</v>
      </c>
      <c r="W12" s="78">
        <f t="shared" ca="1" si="18"/>
        <v>0</v>
      </c>
      <c r="X12" s="4">
        <f ca="1">-SUMIFS(INDIRECT("Tab_00.Trial["&amp;X$4&amp;"]"),Tab_00.Trial[CONTA],$B12)</f>
        <v>0</v>
      </c>
      <c r="Y12" s="78">
        <f t="shared" ca="1" si="7"/>
        <v>0</v>
      </c>
      <c r="Z12" s="78">
        <f t="shared" ca="1" si="19"/>
        <v>0</v>
      </c>
      <c r="AA12" s="4">
        <f ca="1">-SUMIFS(INDIRECT("Tab_00.Trial["&amp;AA$4&amp;"]"),Tab_00.Trial[CONTA],$B12)</f>
        <v>0</v>
      </c>
      <c r="AB12" s="78">
        <f t="shared" ca="1" si="8"/>
        <v>0</v>
      </c>
      <c r="AC12" s="78">
        <f t="shared" ca="1" si="20"/>
        <v>0</v>
      </c>
      <c r="AD12" s="4">
        <f ca="1">-SUMIFS(INDIRECT("Tab_00.Trial["&amp;AD$4&amp;"]"),Tab_00.Trial[CONTA],$B12)</f>
        <v>0</v>
      </c>
      <c r="AE12" s="78">
        <f t="shared" ca="1" si="9"/>
        <v>0</v>
      </c>
      <c r="AF12" s="78">
        <f t="shared" ca="1" si="21"/>
        <v>0</v>
      </c>
      <c r="AG12" s="4">
        <f ca="1">-SUMIFS(INDIRECT("Tab_00.Trial["&amp;AG$4&amp;"]"),Tab_00.Trial[CONTA],$B12)</f>
        <v>0</v>
      </c>
      <c r="AH12" s="78">
        <f t="shared" ca="1" si="10"/>
        <v>0</v>
      </c>
      <c r="AI12" s="78">
        <f t="shared" ca="1" si="22"/>
        <v>0</v>
      </c>
      <c r="AJ12" s="4">
        <f ca="1">-SUMIFS(INDIRECT("Tab_00.Trial["&amp;AJ$4&amp;"]"),Tab_00.Trial[CONTA],$B12)</f>
        <v>0</v>
      </c>
      <c r="AK12" s="78">
        <f t="shared" ca="1" si="11"/>
        <v>0</v>
      </c>
      <c r="AL12" s="78">
        <f t="shared" ca="1" si="23"/>
        <v>0</v>
      </c>
      <c r="AM12" s="4">
        <f ca="1">-SUMIFS(INDIRECT("Tab_00.Trial["&amp;AM$4&amp;"]"),Tab_00.Trial[CONTA],$B12)</f>
        <v>0</v>
      </c>
      <c r="AN12" s="78">
        <f t="shared" ca="1" si="12"/>
        <v>0</v>
      </c>
      <c r="AO12" s="78">
        <f t="shared" ca="1" si="24"/>
        <v>0</v>
      </c>
    </row>
    <row r="13" spans="2:41" ht="15" hidden="1" customHeight="1" outlineLevel="1" x14ac:dyDescent="0.3">
      <c r="B13" s="14"/>
      <c r="C13" s="15"/>
      <c r="D13" s="4">
        <f>-SUMIFS(Tab_99.Trial[DEZEMBRO],Tab_99.Trial[CONTA],$B13)</f>
        <v>0</v>
      </c>
      <c r="E13" s="78">
        <f t="shared" ca="1" si="0"/>
        <v>0</v>
      </c>
      <c r="F13" s="4">
        <f ca="1">-SUMIFS(INDIRECT("Tab_00.Trial["&amp;F$4&amp;"]"),Tab_00.Trial[CONTA],$B13)</f>
        <v>0</v>
      </c>
      <c r="G13" s="78">
        <f t="shared" ca="1" si="1"/>
        <v>0</v>
      </c>
      <c r="H13" s="78">
        <f t="shared" ca="1" si="13"/>
        <v>0</v>
      </c>
      <c r="I13" s="4">
        <f ca="1">-SUMIFS(INDIRECT("Tab_00.Trial["&amp;I$4&amp;"]"),Tab_00.Trial[CONTA],$B13)</f>
        <v>0</v>
      </c>
      <c r="J13" s="78">
        <f t="shared" ca="1" si="2"/>
        <v>0</v>
      </c>
      <c r="K13" s="78">
        <f t="shared" ca="1" si="14"/>
        <v>0</v>
      </c>
      <c r="L13" s="4">
        <f ca="1">-SUMIFS(INDIRECT("Tab_00.Trial["&amp;L$4&amp;"]"),Tab_00.Trial[CONTA],$B13)</f>
        <v>0</v>
      </c>
      <c r="M13" s="78">
        <f t="shared" ca="1" si="3"/>
        <v>0</v>
      </c>
      <c r="N13" s="78">
        <f t="shared" ca="1" si="15"/>
        <v>0</v>
      </c>
      <c r="O13" s="4">
        <f ca="1">-SUMIFS(INDIRECT("Tab_00.Trial["&amp;O$4&amp;"]"),Tab_00.Trial[CONTA],$B13)</f>
        <v>0</v>
      </c>
      <c r="P13" s="78">
        <f t="shared" ca="1" si="4"/>
        <v>0</v>
      </c>
      <c r="Q13" s="78">
        <f t="shared" ca="1" si="16"/>
        <v>0</v>
      </c>
      <c r="R13" s="4">
        <f ca="1">-SUMIFS(INDIRECT("Tab_00.Trial["&amp;R$4&amp;"]"),Tab_00.Trial[CONTA],$B13)</f>
        <v>0</v>
      </c>
      <c r="S13" s="78">
        <f t="shared" ca="1" si="5"/>
        <v>0</v>
      </c>
      <c r="T13" s="78">
        <f t="shared" ca="1" si="17"/>
        <v>0</v>
      </c>
      <c r="U13" s="4">
        <f ca="1">-SUMIFS(INDIRECT("Tab_00.Trial["&amp;U$4&amp;"]"),Tab_00.Trial[CONTA],$B13)</f>
        <v>0</v>
      </c>
      <c r="V13" s="78">
        <f t="shared" ca="1" si="6"/>
        <v>0</v>
      </c>
      <c r="W13" s="78">
        <f t="shared" ca="1" si="18"/>
        <v>0</v>
      </c>
      <c r="X13" s="4">
        <f ca="1">-SUMIFS(INDIRECT("Tab_00.Trial["&amp;X$4&amp;"]"),Tab_00.Trial[CONTA],$B13)</f>
        <v>0</v>
      </c>
      <c r="Y13" s="78">
        <f t="shared" ca="1" si="7"/>
        <v>0</v>
      </c>
      <c r="Z13" s="78">
        <f t="shared" ca="1" si="19"/>
        <v>0</v>
      </c>
      <c r="AA13" s="4">
        <f ca="1">-SUMIFS(INDIRECT("Tab_00.Trial["&amp;AA$4&amp;"]"),Tab_00.Trial[CONTA],$B13)</f>
        <v>0</v>
      </c>
      <c r="AB13" s="78">
        <f t="shared" ca="1" si="8"/>
        <v>0</v>
      </c>
      <c r="AC13" s="78">
        <f t="shared" ca="1" si="20"/>
        <v>0</v>
      </c>
      <c r="AD13" s="4">
        <f ca="1">-SUMIFS(INDIRECT("Tab_00.Trial["&amp;AD$4&amp;"]"),Tab_00.Trial[CONTA],$B13)</f>
        <v>0</v>
      </c>
      <c r="AE13" s="78">
        <f t="shared" ca="1" si="9"/>
        <v>0</v>
      </c>
      <c r="AF13" s="78">
        <f t="shared" ca="1" si="21"/>
        <v>0</v>
      </c>
      <c r="AG13" s="4">
        <f ca="1">-SUMIFS(INDIRECT("Tab_00.Trial["&amp;AG$4&amp;"]"),Tab_00.Trial[CONTA],$B13)</f>
        <v>0</v>
      </c>
      <c r="AH13" s="78">
        <f t="shared" ca="1" si="10"/>
        <v>0</v>
      </c>
      <c r="AI13" s="78">
        <f t="shared" ca="1" si="22"/>
        <v>0</v>
      </c>
      <c r="AJ13" s="4">
        <f ca="1">-SUMIFS(INDIRECT("Tab_00.Trial["&amp;AJ$4&amp;"]"),Tab_00.Trial[CONTA],$B13)</f>
        <v>0</v>
      </c>
      <c r="AK13" s="78">
        <f t="shared" ca="1" si="11"/>
        <v>0</v>
      </c>
      <c r="AL13" s="78">
        <f t="shared" ca="1" si="23"/>
        <v>0</v>
      </c>
      <c r="AM13" s="4">
        <f ca="1">-SUMIFS(INDIRECT("Tab_00.Trial["&amp;AM$4&amp;"]"),Tab_00.Trial[CONTA],$B13)</f>
        <v>0</v>
      </c>
      <c r="AN13" s="78">
        <f t="shared" ca="1" si="12"/>
        <v>0</v>
      </c>
      <c r="AO13" s="78">
        <f t="shared" ca="1" si="24"/>
        <v>0</v>
      </c>
    </row>
    <row r="14" spans="2:41" ht="5.0999999999999996" hidden="1" customHeight="1" outlineLevel="1" x14ac:dyDescent="0.3">
      <c r="B14" s="74"/>
      <c r="C14" s="75"/>
      <c r="D14" s="76"/>
      <c r="E14" s="77"/>
      <c r="F14" s="76"/>
      <c r="G14" s="77"/>
      <c r="H14" s="77"/>
      <c r="I14" s="76"/>
      <c r="J14" s="77"/>
      <c r="K14" s="77"/>
      <c r="L14" s="76"/>
      <c r="M14" s="77"/>
      <c r="N14" s="77"/>
      <c r="O14" s="76"/>
      <c r="P14" s="77"/>
      <c r="Q14" s="77"/>
      <c r="R14" s="76"/>
      <c r="S14" s="77"/>
      <c r="T14" s="77"/>
      <c r="U14" s="76"/>
      <c r="V14" s="77"/>
      <c r="W14" s="77"/>
      <c r="X14" s="76"/>
      <c r="Y14" s="77"/>
      <c r="Z14" s="77"/>
      <c r="AA14" s="76"/>
      <c r="AB14" s="77"/>
      <c r="AC14" s="77"/>
      <c r="AD14" s="76"/>
      <c r="AE14" s="77"/>
      <c r="AF14" s="77"/>
      <c r="AG14" s="76"/>
      <c r="AH14" s="77"/>
      <c r="AI14" s="77"/>
      <c r="AJ14" s="76"/>
      <c r="AK14" s="77"/>
      <c r="AL14" s="77"/>
      <c r="AM14" s="76"/>
      <c r="AN14" s="77"/>
      <c r="AO14" s="77"/>
    </row>
    <row r="15" spans="2:41" ht="15" customHeight="1" collapsed="1" x14ac:dyDescent="0.3">
      <c r="B15" s="3" t="s">
        <v>51</v>
      </c>
      <c r="C15" s="14" t="s">
        <v>57</v>
      </c>
      <c r="D15" s="4">
        <f>SUBTOTAL(9,D$16:D$19)</f>
        <v>0</v>
      </c>
      <c r="E15" s="78">
        <f ca="1">IFERROR($D15/$D$146,0)</f>
        <v>0</v>
      </c>
      <c r="F15" s="4">
        <f ca="1">SUBTOTAL(9,F$16:F$19)</f>
        <v>0</v>
      </c>
      <c r="G15" s="78">
        <f ca="1">IFERROR($F15/$F$146,0)</f>
        <v>0</v>
      </c>
      <c r="H15" s="78">
        <f ca="1">IFERROR(($F15-$D15)/ABS($D15),0)</f>
        <v>0</v>
      </c>
      <c r="I15" s="4">
        <f ca="1">SUBTOTAL(9,I$16:I$19)</f>
        <v>0</v>
      </c>
      <c r="J15" s="78">
        <f ca="1">IFERROR($I15/$I$146,0)</f>
        <v>0</v>
      </c>
      <c r="K15" s="78">
        <f ca="1">IFERROR(($I15-$F15)/ABS($F15),0)</f>
        <v>0</v>
      </c>
      <c r="L15" s="4">
        <f ca="1">SUBTOTAL(9,L$16:L$19)</f>
        <v>0</v>
      </c>
      <c r="M15" s="78">
        <f ca="1">IFERROR($L15/$L$146,0)</f>
        <v>0</v>
      </c>
      <c r="N15" s="78">
        <f ca="1">IFERROR(($L15-$I15)/ABS($I15),0)</f>
        <v>0</v>
      </c>
      <c r="O15" s="4">
        <f ca="1">SUBTOTAL(9,O$16:O$19)</f>
        <v>0</v>
      </c>
      <c r="P15" s="78">
        <f ca="1">IFERROR($O15/$O$146,0)</f>
        <v>0</v>
      </c>
      <c r="Q15" s="78">
        <f ca="1">IFERROR(($O15-$L15)/ABS($L15),0)</f>
        <v>0</v>
      </c>
      <c r="R15" s="4">
        <f ca="1">SUBTOTAL(9,R$16:R$19)</f>
        <v>0</v>
      </c>
      <c r="S15" s="78">
        <f ca="1">IFERROR($R15/$R$146,0)</f>
        <v>0</v>
      </c>
      <c r="T15" s="78">
        <f ca="1">IFERROR(($R15-$O15)/ABS($O15),0)</f>
        <v>0</v>
      </c>
      <c r="U15" s="4">
        <f ca="1">SUBTOTAL(9,U$16:U$19)</f>
        <v>0</v>
      </c>
      <c r="V15" s="78">
        <f ca="1">IFERROR($U15/$U$146,0)</f>
        <v>0</v>
      </c>
      <c r="W15" s="78">
        <f ca="1">IFERROR(($U15-$R15)/ABS($R15),0)</f>
        <v>0</v>
      </c>
      <c r="X15" s="4">
        <f ca="1">SUBTOTAL(9,X$16:X$19)</f>
        <v>0</v>
      </c>
      <c r="Y15" s="78">
        <f ca="1">IFERROR($X15/$X$146,0)</f>
        <v>0</v>
      </c>
      <c r="Z15" s="78">
        <f ca="1">IFERROR(($X15-$U15)/ABS($U15),0)</f>
        <v>0</v>
      </c>
      <c r="AA15" s="4">
        <f ca="1">SUBTOTAL(9,AA$16:AA$19)</f>
        <v>0</v>
      </c>
      <c r="AB15" s="78">
        <f ca="1">IFERROR($AA15/$AA$146,0)</f>
        <v>0</v>
      </c>
      <c r="AC15" s="78">
        <f ca="1">IFERROR(($AA15-$X15)/ABS($X15),0)</f>
        <v>0</v>
      </c>
      <c r="AD15" s="4">
        <f ca="1">SUBTOTAL(9,AD$16:AD$19)</f>
        <v>0</v>
      </c>
      <c r="AE15" s="78">
        <f ca="1">IFERROR($AD15/$AD$146,0)</f>
        <v>0</v>
      </c>
      <c r="AF15" s="78">
        <f ca="1">IFERROR(($AD15-$AA15)/ABS($AA15),0)</f>
        <v>0</v>
      </c>
      <c r="AG15" s="4">
        <f ca="1">SUBTOTAL(9,AG$16:AG$19)</f>
        <v>0</v>
      </c>
      <c r="AH15" s="78">
        <f ca="1">IFERROR($AG15/$AG$146,0)</f>
        <v>0</v>
      </c>
      <c r="AI15" s="78">
        <f ca="1">IFERROR(($AG15-$AD15)/ABS($AD15),0)</f>
        <v>0</v>
      </c>
      <c r="AJ15" s="4">
        <f ca="1">SUBTOTAL(9,AJ$16:AJ$19)</f>
        <v>0</v>
      </c>
      <c r="AK15" s="78">
        <f ca="1">IFERROR($AJ15/$AJ$146,0)</f>
        <v>0</v>
      </c>
      <c r="AL15" s="78">
        <f ca="1">IFERROR(($AJ15-$AG15)/ABS($AG15),0)</f>
        <v>0</v>
      </c>
      <c r="AM15" s="4">
        <f ca="1">SUBTOTAL(9,AM$16:AM$19)</f>
        <v>0</v>
      </c>
      <c r="AN15" s="78">
        <f ca="1">IFERROR(AM15/AM$146,0)</f>
        <v>0</v>
      </c>
      <c r="AO15" s="78">
        <f ca="1">IFERROR(($AM15-$AJ15)/ABS($AJ15),0)</f>
        <v>0</v>
      </c>
    </row>
    <row r="16" spans="2:41" ht="15" hidden="1" customHeight="1" outlineLevel="1" x14ac:dyDescent="0.3">
      <c r="B16" s="14"/>
      <c r="C16" s="15"/>
      <c r="D16" s="4">
        <f>-SUMIFS(Tab_99.Trial[DEZEMBRO],Tab_99.Trial[CONTA],$B16)</f>
        <v>0</v>
      </c>
      <c r="E16" s="78">
        <f ca="1">IFERROR($D16/$D$146,0)</f>
        <v>0</v>
      </c>
      <c r="F16" s="4">
        <f ca="1">-SUMIFS(INDIRECT("Tab_00.Trial["&amp;F$4&amp;"]"),Tab_00.Trial[CONTA],$B16)</f>
        <v>0</v>
      </c>
      <c r="G16" s="78">
        <f ca="1">IFERROR($F16/$F$146,0)</f>
        <v>0</v>
      </c>
      <c r="H16" s="78">
        <f t="shared" ref="H16:H18" ca="1" si="25">IFERROR(($F16-$D16)/ABS($D16),0)</f>
        <v>0</v>
      </c>
      <c r="I16" s="4">
        <f ca="1">-SUMIFS(INDIRECT("Tab_00.Trial["&amp;I$4&amp;"]"),Tab_00.Trial[CONTA],$B16)</f>
        <v>0</v>
      </c>
      <c r="J16" s="78">
        <f ca="1">IFERROR($I16/$I$146,0)</f>
        <v>0</v>
      </c>
      <c r="K16" s="78">
        <f t="shared" ref="K16:K18" ca="1" si="26">IFERROR(($I16-$F16)/ABS($F16),0)</f>
        <v>0</v>
      </c>
      <c r="L16" s="4">
        <f ca="1">-SUMIFS(INDIRECT("Tab_00.Trial["&amp;L$4&amp;"]"),Tab_00.Trial[CONTA],$B16)</f>
        <v>0</v>
      </c>
      <c r="M16" s="78">
        <f ca="1">IFERROR($L16/$L$146,0)</f>
        <v>0</v>
      </c>
      <c r="N16" s="78">
        <f t="shared" ref="N16:N18" ca="1" si="27">IFERROR(($L16-$I16)/ABS($I16),0)</f>
        <v>0</v>
      </c>
      <c r="O16" s="4">
        <f ca="1">-SUMIFS(INDIRECT("Tab_00.Trial["&amp;O$4&amp;"]"),Tab_00.Trial[CONTA],$B16)</f>
        <v>0</v>
      </c>
      <c r="P16" s="78">
        <f ca="1">IFERROR($O16/$O$146,0)</f>
        <v>0</v>
      </c>
      <c r="Q16" s="78">
        <f t="shared" ref="Q16:Q18" ca="1" si="28">IFERROR(($O16-$L16)/ABS($L16),0)</f>
        <v>0</v>
      </c>
      <c r="R16" s="4">
        <f ca="1">-SUMIFS(INDIRECT("Tab_00.Trial["&amp;R$4&amp;"]"),Tab_00.Trial[CONTA],$B16)</f>
        <v>0</v>
      </c>
      <c r="S16" s="78">
        <f ca="1">IFERROR($R16/$R$146,0)</f>
        <v>0</v>
      </c>
      <c r="T16" s="78">
        <f t="shared" ref="T16:T18" ca="1" si="29">IFERROR(($R16-$O16)/ABS($O16),0)</f>
        <v>0</v>
      </c>
      <c r="U16" s="4">
        <f ca="1">-SUMIFS(INDIRECT("Tab_00.Trial["&amp;U$4&amp;"]"),Tab_00.Trial[CONTA],$B16)</f>
        <v>0</v>
      </c>
      <c r="V16" s="78">
        <f ca="1">IFERROR($U16/$U$146,0)</f>
        <v>0</v>
      </c>
      <c r="W16" s="78">
        <f t="shared" ref="W16:W18" ca="1" si="30">IFERROR(($U16-$R16)/ABS($R16),0)</f>
        <v>0</v>
      </c>
      <c r="X16" s="4">
        <f ca="1">-SUMIFS(INDIRECT("Tab_00.Trial["&amp;X$4&amp;"]"),Tab_00.Trial[CONTA],$B16)</f>
        <v>0</v>
      </c>
      <c r="Y16" s="78">
        <f ca="1">IFERROR($X16/$X$146,0)</f>
        <v>0</v>
      </c>
      <c r="Z16" s="78">
        <f t="shared" ref="Z16:Z18" ca="1" si="31">IFERROR(($X16-$U16)/ABS($U16),0)</f>
        <v>0</v>
      </c>
      <c r="AA16" s="4">
        <f ca="1">-SUMIFS(INDIRECT("Tab_00.Trial["&amp;AA$4&amp;"]"),Tab_00.Trial[CONTA],$B16)</f>
        <v>0</v>
      </c>
      <c r="AB16" s="78">
        <f ca="1">IFERROR($AA16/$AA$146,0)</f>
        <v>0</v>
      </c>
      <c r="AC16" s="78">
        <f t="shared" ref="AC16:AC18" ca="1" si="32">IFERROR(($AA16-$X16)/ABS($X16),0)</f>
        <v>0</v>
      </c>
      <c r="AD16" s="4">
        <f ca="1">-SUMIFS(INDIRECT("Tab_00.Trial["&amp;AD$4&amp;"]"),Tab_00.Trial[CONTA],$B16)</f>
        <v>0</v>
      </c>
      <c r="AE16" s="78">
        <f ca="1">IFERROR($AD16/$AD$146,0)</f>
        <v>0</v>
      </c>
      <c r="AF16" s="78">
        <f t="shared" ref="AF16:AF18" ca="1" si="33">IFERROR(($AD16-$AA16)/ABS($AA16),0)</f>
        <v>0</v>
      </c>
      <c r="AG16" s="4">
        <f ca="1">-SUMIFS(INDIRECT("Tab_00.Trial["&amp;AG$4&amp;"]"),Tab_00.Trial[CONTA],$B16)</f>
        <v>0</v>
      </c>
      <c r="AH16" s="78">
        <f ca="1">IFERROR($AG16/$AG$146,0)</f>
        <v>0</v>
      </c>
      <c r="AI16" s="78">
        <f t="shared" ref="AI16:AI18" ca="1" si="34">IFERROR(($AG16-$AD16)/ABS($AD16),0)</f>
        <v>0</v>
      </c>
      <c r="AJ16" s="4">
        <f ca="1">-SUMIFS(INDIRECT("Tab_00.Trial["&amp;AJ$4&amp;"]"),Tab_00.Trial[CONTA],$B16)</f>
        <v>0</v>
      </c>
      <c r="AK16" s="78">
        <f ca="1">IFERROR($AJ16/$AJ$146,0)</f>
        <v>0</v>
      </c>
      <c r="AL16" s="78">
        <f t="shared" ref="AL16:AL18" ca="1" si="35">IFERROR(($AJ16-$AG16)/ABS($AG16),0)</f>
        <v>0</v>
      </c>
      <c r="AM16" s="4">
        <f ca="1">-SUMIFS(INDIRECT("Tab_00.Trial["&amp;AM$4&amp;"]"),Tab_00.Trial[CONTA],$B16)</f>
        <v>0</v>
      </c>
      <c r="AN16" s="78">
        <f ca="1">IFERROR(AM16/AM$146,0)</f>
        <v>0</v>
      </c>
      <c r="AO16" s="78">
        <f t="shared" ref="AO16:AO18" ca="1" si="36">IFERROR(($AM16-$AJ16)/ABS($AJ16),0)</f>
        <v>0</v>
      </c>
    </row>
    <row r="17" spans="2:41" ht="15" hidden="1" customHeight="1" outlineLevel="1" x14ac:dyDescent="0.3">
      <c r="B17" s="14"/>
      <c r="C17" s="15"/>
      <c r="D17" s="4">
        <f>-SUMIFS(Tab_99.Trial[DEZEMBRO],Tab_99.Trial[CONTA],$B17)</f>
        <v>0</v>
      </c>
      <c r="E17" s="78">
        <f ca="1">IFERROR($D17/$D$146,0)</f>
        <v>0</v>
      </c>
      <c r="F17" s="4">
        <f ca="1">-SUMIFS(INDIRECT("Tab_00.Trial["&amp;F$4&amp;"]"),Tab_00.Trial[CONTA],$B17)</f>
        <v>0</v>
      </c>
      <c r="G17" s="78">
        <f ca="1">IFERROR($F17/$F$146,0)</f>
        <v>0</v>
      </c>
      <c r="H17" s="78">
        <f t="shared" ca="1" si="25"/>
        <v>0</v>
      </c>
      <c r="I17" s="4">
        <f ca="1">-SUMIFS(INDIRECT("Tab_00.Trial["&amp;I$4&amp;"]"),Tab_00.Trial[CONTA],$B17)</f>
        <v>0</v>
      </c>
      <c r="J17" s="78">
        <f ca="1">IFERROR($I17/$I$146,0)</f>
        <v>0</v>
      </c>
      <c r="K17" s="78">
        <f t="shared" ca="1" si="26"/>
        <v>0</v>
      </c>
      <c r="L17" s="4">
        <f ca="1">-SUMIFS(INDIRECT("Tab_00.Trial["&amp;L$4&amp;"]"),Tab_00.Trial[CONTA],$B17)</f>
        <v>0</v>
      </c>
      <c r="M17" s="78">
        <f ca="1">IFERROR($L17/$L$146,0)</f>
        <v>0</v>
      </c>
      <c r="N17" s="78">
        <f t="shared" ca="1" si="27"/>
        <v>0</v>
      </c>
      <c r="O17" s="4">
        <f ca="1">-SUMIFS(INDIRECT("Tab_00.Trial["&amp;O$4&amp;"]"),Tab_00.Trial[CONTA],$B17)</f>
        <v>0</v>
      </c>
      <c r="P17" s="78">
        <f ca="1">IFERROR($O17/$O$146,0)</f>
        <v>0</v>
      </c>
      <c r="Q17" s="78">
        <f t="shared" ca="1" si="28"/>
        <v>0</v>
      </c>
      <c r="R17" s="4">
        <f ca="1">-SUMIFS(INDIRECT("Tab_00.Trial["&amp;R$4&amp;"]"),Tab_00.Trial[CONTA],$B17)</f>
        <v>0</v>
      </c>
      <c r="S17" s="78">
        <f ca="1">IFERROR($R17/$R$146,0)</f>
        <v>0</v>
      </c>
      <c r="T17" s="78">
        <f t="shared" ca="1" si="29"/>
        <v>0</v>
      </c>
      <c r="U17" s="4">
        <f ca="1">-SUMIFS(INDIRECT("Tab_00.Trial["&amp;U$4&amp;"]"),Tab_00.Trial[CONTA],$B17)</f>
        <v>0</v>
      </c>
      <c r="V17" s="78">
        <f ca="1">IFERROR($U17/$U$146,0)</f>
        <v>0</v>
      </c>
      <c r="W17" s="78">
        <f t="shared" ca="1" si="30"/>
        <v>0</v>
      </c>
      <c r="X17" s="4">
        <f ca="1">-SUMIFS(INDIRECT("Tab_00.Trial["&amp;X$4&amp;"]"),Tab_00.Trial[CONTA],$B17)</f>
        <v>0</v>
      </c>
      <c r="Y17" s="78">
        <f ca="1">IFERROR($X17/$X$146,0)</f>
        <v>0</v>
      </c>
      <c r="Z17" s="78">
        <f t="shared" ca="1" si="31"/>
        <v>0</v>
      </c>
      <c r="AA17" s="4">
        <f ca="1">-SUMIFS(INDIRECT("Tab_00.Trial["&amp;AA$4&amp;"]"),Tab_00.Trial[CONTA],$B17)</f>
        <v>0</v>
      </c>
      <c r="AB17" s="78">
        <f ca="1">IFERROR($AA17/$AA$146,0)</f>
        <v>0</v>
      </c>
      <c r="AC17" s="78">
        <f t="shared" ca="1" si="32"/>
        <v>0</v>
      </c>
      <c r="AD17" s="4">
        <f ca="1">-SUMIFS(INDIRECT("Tab_00.Trial["&amp;AD$4&amp;"]"),Tab_00.Trial[CONTA],$B17)</f>
        <v>0</v>
      </c>
      <c r="AE17" s="78">
        <f ca="1">IFERROR($AD17/$AD$146,0)</f>
        <v>0</v>
      </c>
      <c r="AF17" s="78">
        <f t="shared" ca="1" si="33"/>
        <v>0</v>
      </c>
      <c r="AG17" s="4">
        <f ca="1">-SUMIFS(INDIRECT("Tab_00.Trial["&amp;AG$4&amp;"]"),Tab_00.Trial[CONTA],$B17)</f>
        <v>0</v>
      </c>
      <c r="AH17" s="78">
        <f ca="1">IFERROR($AG17/$AG$146,0)</f>
        <v>0</v>
      </c>
      <c r="AI17" s="78">
        <f t="shared" ca="1" si="34"/>
        <v>0</v>
      </c>
      <c r="AJ17" s="4">
        <f ca="1">-SUMIFS(INDIRECT("Tab_00.Trial["&amp;AJ$4&amp;"]"),Tab_00.Trial[CONTA],$B17)</f>
        <v>0</v>
      </c>
      <c r="AK17" s="78">
        <f ca="1">IFERROR($AJ17/$AJ$146,0)</f>
        <v>0</v>
      </c>
      <c r="AL17" s="78">
        <f t="shared" ca="1" si="35"/>
        <v>0</v>
      </c>
      <c r="AM17" s="4">
        <f ca="1">-SUMIFS(INDIRECT("Tab_00.Trial["&amp;AM$4&amp;"]"),Tab_00.Trial[CONTA],$B17)</f>
        <v>0</v>
      </c>
      <c r="AN17" s="78">
        <f ca="1">IFERROR(AM17/AM$146,0)</f>
        <v>0</v>
      </c>
      <c r="AO17" s="78">
        <f t="shared" ca="1" si="36"/>
        <v>0</v>
      </c>
    </row>
    <row r="18" spans="2:41" ht="15" hidden="1" customHeight="1" outlineLevel="1" x14ac:dyDescent="0.3">
      <c r="B18" s="14"/>
      <c r="C18" s="15"/>
      <c r="D18" s="4">
        <f>-SUMIFS(Tab_99.Trial[DEZEMBRO],Tab_99.Trial[CONTA],$B18)</f>
        <v>0</v>
      </c>
      <c r="E18" s="78">
        <f ca="1">IFERROR($D18/$D$146,0)</f>
        <v>0</v>
      </c>
      <c r="F18" s="4">
        <f ca="1">-SUMIFS(INDIRECT("Tab_00.Trial["&amp;F$4&amp;"]"),Tab_00.Trial[CONTA],$B18)</f>
        <v>0</v>
      </c>
      <c r="G18" s="78">
        <f ca="1">IFERROR($F18/$F$146,0)</f>
        <v>0</v>
      </c>
      <c r="H18" s="78">
        <f t="shared" ca="1" si="25"/>
        <v>0</v>
      </c>
      <c r="I18" s="4">
        <f ca="1">-SUMIFS(INDIRECT("Tab_00.Trial["&amp;I$4&amp;"]"),Tab_00.Trial[CONTA],$B18)</f>
        <v>0</v>
      </c>
      <c r="J18" s="78">
        <f ca="1">IFERROR($I18/$I$146,0)</f>
        <v>0</v>
      </c>
      <c r="K18" s="78">
        <f t="shared" ca="1" si="26"/>
        <v>0</v>
      </c>
      <c r="L18" s="4">
        <f ca="1">-SUMIFS(INDIRECT("Tab_00.Trial["&amp;L$4&amp;"]"),Tab_00.Trial[CONTA],$B18)</f>
        <v>0</v>
      </c>
      <c r="M18" s="78">
        <f ca="1">IFERROR($L18/$L$146,0)</f>
        <v>0</v>
      </c>
      <c r="N18" s="78">
        <f t="shared" ca="1" si="27"/>
        <v>0</v>
      </c>
      <c r="O18" s="4">
        <f ca="1">-SUMIFS(INDIRECT("Tab_00.Trial["&amp;O$4&amp;"]"),Tab_00.Trial[CONTA],$B18)</f>
        <v>0</v>
      </c>
      <c r="P18" s="78">
        <f ca="1">IFERROR($O18/$O$146,0)</f>
        <v>0</v>
      </c>
      <c r="Q18" s="78">
        <f t="shared" ca="1" si="28"/>
        <v>0</v>
      </c>
      <c r="R18" s="4">
        <f ca="1">-SUMIFS(INDIRECT("Tab_00.Trial["&amp;R$4&amp;"]"),Tab_00.Trial[CONTA],$B18)</f>
        <v>0</v>
      </c>
      <c r="S18" s="78">
        <f ca="1">IFERROR($R18/$R$146,0)</f>
        <v>0</v>
      </c>
      <c r="T18" s="78">
        <f t="shared" ca="1" si="29"/>
        <v>0</v>
      </c>
      <c r="U18" s="4">
        <f ca="1">-SUMIFS(INDIRECT("Tab_00.Trial["&amp;U$4&amp;"]"),Tab_00.Trial[CONTA],$B18)</f>
        <v>0</v>
      </c>
      <c r="V18" s="78">
        <f ca="1">IFERROR($U18/$U$146,0)</f>
        <v>0</v>
      </c>
      <c r="W18" s="78">
        <f t="shared" ca="1" si="30"/>
        <v>0</v>
      </c>
      <c r="X18" s="4">
        <f ca="1">-SUMIFS(INDIRECT("Tab_00.Trial["&amp;X$4&amp;"]"),Tab_00.Trial[CONTA],$B18)</f>
        <v>0</v>
      </c>
      <c r="Y18" s="78">
        <f ca="1">IFERROR($X18/$X$146,0)</f>
        <v>0</v>
      </c>
      <c r="Z18" s="78">
        <f t="shared" ca="1" si="31"/>
        <v>0</v>
      </c>
      <c r="AA18" s="4">
        <f ca="1">-SUMIFS(INDIRECT("Tab_00.Trial["&amp;AA$4&amp;"]"),Tab_00.Trial[CONTA],$B18)</f>
        <v>0</v>
      </c>
      <c r="AB18" s="78">
        <f ca="1">IFERROR($AA18/$AA$146,0)</f>
        <v>0</v>
      </c>
      <c r="AC18" s="78">
        <f t="shared" ca="1" si="32"/>
        <v>0</v>
      </c>
      <c r="AD18" s="4">
        <f ca="1">-SUMIFS(INDIRECT("Tab_00.Trial["&amp;AD$4&amp;"]"),Tab_00.Trial[CONTA],$B18)</f>
        <v>0</v>
      </c>
      <c r="AE18" s="78">
        <f ca="1">IFERROR($AD18/$AD$146,0)</f>
        <v>0</v>
      </c>
      <c r="AF18" s="78">
        <f t="shared" ca="1" si="33"/>
        <v>0</v>
      </c>
      <c r="AG18" s="4">
        <f ca="1">-SUMIFS(INDIRECT("Tab_00.Trial["&amp;AG$4&amp;"]"),Tab_00.Trial[CONTA],$B18)</f>
        <v>0</v>
      </c>
      <c r="AH18" s="78">
        <f ca="1">IFERROR($AG18/$AG$146,0)</f>
        <v>0</v>
      </c>
      <c r="AI18" s="78">
        <f t="shared" ca="1" si="34"/>
        <v>0</v>
      </c>
      <c r="AJ18" s="4">
        <f ca="1">-SUMIFS(INDIRECT("Tab_00.Trial["&amp;AJ$4&amp;"]"),Tab_00.Trial[CONTA],$B18)</f>
        <v>0</v>
      </c>
      <c r="AK18" s="78">
        <f ca="1">IFERROR($AJ18/$AJ$146,0)</f>
        <v>0</v>
      </c>
      <c r="AL18" s="78">
        <f t="shared" ca="1" si="35"/>
        <v>0</v>
      </c>
      <c r="AM18" s="4">
        <f ca="1">-SUMIFS(INDIRECT("Tab_00.Trial["&amp;AM$4&amp;"]"),Tab_00.Trial[CONTA],$B18)</f>
        <v>0</v>
      </c>
      <c r="AN18" s="78">
        <f ca="1">IFERROR(AM18/AM$146,0)</f>
        <v>0</v>
      </c>
      <c r="AO18" s="78">
        <f t="shared" ca="1" si="36"/>
        <v>0</v>
      </c>
    </row>
    <row r="19" spans="2:41" ht="5.0999999999999996" hidden="1" customHeight="1" outlineLevel="1" x14ac:dyDescent="0.3">
      <c r="B19" s="74"/>
      <c r="C19" s="75"/>
      <c r="D19" s="76"/>
      <c r="E19" s="77"/>
      <c r="F19" s="76"/>
      <c r="G19" s="77"/>
      <c r="H19" s="77"/>
      <c r="I19" s="76"/>
      <c r="J19" s="77"/>
      <c r="K19" s="77"/>
      <c r="L19" s="76"/>
      <c r="M19" s="77"/>
      <c r="N19" s="77"/>
      <c r="O19" s="76"/>
      <c r="P19" s="77"/>
      <c r="Q19" s="77"/>
      <c r="R19" s="76"/>
      <c r="S19" s="77"/>
      <c r="T19" s="77"/>
      <c r="U19" s="76"/>
      <c r="V19" s="77"/>
      <c r="W19" s="77"/>
      <c r="X19" s="76"/>
      <c r="Y19" s="77"/>
      <c r="Z19" s="77"/>
      <c r="AA19" s="76"/>
      <c r="AB19" s="77"/>
      <c r="AC19" s="77"/>
      <c r="AD19" s="76"/>
      <c r="AE19" s="77"/>
      <c r="AF19" s="77"/>
      <c r="AG19" s="76"/>
      <c r="AH19" s="77"/>
      <c r="AI19" s="77"/>
      <c r="AJ19" s="76"/>
      <c r="AK19" s="77"/>
      <c r="AL19" s="77"/>
      <c r="AM19" s="76"/>
      <c r="AN19" s="77"/>
      <c r="AO19" s="77"/>
    </row>
    <row r="20" spans="2:41" ht="15" customHeight="1" collapsed="1" x14ac:dyDescent="0.3">
      <c r="B20" s="3" t="s">
        <v>52</v>
      </c>
      <c r="C20" s="14" t="s">
        <v>88</v>
      </c>
      <c r="D20" s="4">
        <f>SUBTOTAL(9,D$21:D$38)</f>
        <v>0</v>
      </c>
      <c r="E20" s="78">
        <f t="shared" ref="E20:E37" ca="1" si="37">IFERROR($D20/$D$146,0)</f>
        <v>0</v>
      </c>
      <c r="F20" s="4">
        <f ca="1">SUBTOTAL(9,F$21:F$38)</f>
        <v>390323.74</v>
      </c>
      <c r="G20" s="78">
        <f t="shared" ref="G20:G37" ca="1" si="38">IFERROR($F20/$F$146,0)</f>
        <v>4.7000000000000002E-3</v>
      </c>
      <c r="H20" s="78">
        <f ca="1">IFERROR(($F20-$D20)/ABS($D20),0)</f>
        <v>0</v>
      </c>
      <c r="I20" s="4">
        <f ca="1">SUBTOTAL(9,I$21:I$38)</f>
        <v>125435.73</v>
      </c>
      <c r="J20" s="78">
        <f t="shared" ref="J20:J37" ca="1" si="39">IFERROR($I20/$I$146,0)</f>
        <v>1.5E-3</v>
      </c>
      <c r="K20" s="78">
        <f ca="1">IFERROR(($I20-$F20)/ABS($F20),0)</f>
        <v>-0.67859999999999998</v>
      </c>
      <c r="L20" s="4">
        <f ca="1">SUBTOTAL(9,L$21:L$38)</f>
        <v>310522.7</v>
      </c>
      <c r="M20" s="78">
        <f t="shared" ref="M20:M37" ca="1" si="40">IFERROR($L20/$L$146,0)</f>
        <v>3.7000000000000002E-3</v>
      </c>
      <c r="N20" s="78">
        <f ca="1">IFERROR(($L20-$I20)/ABS($I20),0)</f>
        <v>1.4756</v>
      </c>
      <c r="O20" s="4">
        <f ca="1">SUBTOTAL(9,O$21:O$38)</f>
        <v>330107.68</v>
      </c>
      <c r="P20" s="78">
        <f t="shared" ref="P20:P37" ca="1" si="41">IFERROR($O20/$O$146,0)</f>
        <v>4.0000000000000001E-3</v>
      </c>
      <c r="Q20" s="78">
        <f ca="1">IFERROR(($O20-$L20)/ABS($L20),0)</f>
        <v>6.3100000000000003E-2</v>
      </c>
      <c r="R20" s="4">
        <f ca="1">SUBTOTAL(9,R$21:R$38)</f>
        <v>355944.11</v>
      </c>
      <c r="S20" s="78">
        <f t="shared" ref="S20:S37" ca="1" si="42">IFERROR($R20/$R$146,0)</f>
        <v>4.3E-3</v>
      </c>
      <c r="T20" s="78">
        <f ca="1">IFERROR(($R20-$O20)/ABS($O20),0)</f>
        <v>7.8299999999999995E-2</v>
      </c>
      <c r="U20" s="4">
        <f ca="1">SUBTOTAL(9,U$21:U$38)</f>
        <v>360564.52</v>
      </c>
      <c r="V20" s="78">
        <f t="shared" ref="V20:V37" ca="1" si="43">IFERROR($U20/$U$146,0)</f>
        <v>4.3E-3</v>
      </c>
      <c r="W20" s="78">
        <f ca="1">IFERROR(($U20-$R20)/ABS($R20),0)</f>
        <v>1.2999999999999999E-2</v>
      </c>
      <c r="X20" s="4">
        <f ca="1">SUBTOTAL(9,X$21:X$38)</f>
        <v>360564.52</v>
      </c>
      <c r="Y20" s="78">
        <f t="shared" ref="Y20:Y37" ca="1" si="44">IFERROR($X20/$X$146,0)</f>
        <v>4.3E-3</v>
      </c>
      <c r="Z20" s="78">
        <f ca="1">IFERROR(($X20-$U20)/ABS($U20),0)</f>
        <v>0</v>
      </c>
      <c r="AA20" s="4">
        <f ca="1">SUBTOTAL(9,AA$21:AA$38)</f>
        <v>360564.52</v>
      </c>
      <c r="AB20" s="78">
        <f t="shared" ref="AB20:AB37" ca="1" si="45">IFERROR($AA20/$AA$146,0)</f>
        <v>4.3E-3</v>
      </c>
      <c r="AC20" s="78">
        <f ca="1">IFERROR(($AA20-$X20)/ABS($X20),0)</f>
        <v>0</v>
      </c>
      <c r="AD20" s="4">
        <f ca="1">SUBTOTAL(9,AD$21:AD$38)</f>
        <v>364096.52</v>
      </c>
      <c r="AE20" s="78">
        <f t="shared" ref="AE20:AE37" ca="1" si="46">IFERROR($AD20/$AD$146,0)</f>
        <v>4.3E-3</v>
      </c>
      <c r="AF20" s="78">
        <f ca="1">IFERROR(($AD20-$AA20)/ABS($AA20),0)</f>
        <v>9.7999999999999997E-3</v>
      </c>
      <c r="AG20" s="4">
        <f ca="1">SUBTOTAL(9,AG$21:AG$38)</f>
        <v>369659.04</v>
      </c>
      <c r="AH20" s="78">
        <f t="shared" ref="AH20:AH37" ca="1" si="47">IFERROR($AG20/$AG$146,0)</f>
        <v>4.3E-3</v>
      </c>
      <c r="AI20" s="78">
        <f ca="1">IFERROR(($AG20-$AD20)/ABS($AD20),0)</f>
        <v>1.5299999999999999E-2</v>
      </c>
      <c r="AJ20" s="4">
        <f ca="1">SUBTOTAL(9,AJ$21:AJ$38)</f>
        <v>386701.37</v>
      </c>
      <c r="AK20" s="78">
        <f t="shared" ref="AK20:AK37" ca="1" si="48">IFERROR($AJ20/$AJ$146,0)</f>
        <v>4.4999999999999997E-3</v>
      </c>
      <c r="AL20" s="78">
        <f ca="1">IFERROR(($AJ20-$AG20)/ABS($AG20),0)</f>
        <v>4.6100000000000002E-2</v>
      </c>
      <c r="AM20" s="4">
        <f ca="1">SUBTOTAL(9,AM$21:AM$38)</f>
        <v>284492.44</v>
      </c>
      <c r="AN20" s="78">
        <f t="shared" ref="AN20:AN37" ca="1" si="49">IFERROR(AM20/AM$146,0)</f>
        <v>3.3E-3</v>
      </c>
      <c r="AO20" s="78">
        <f ca="1">IFERROR(($AM20-$AJ20)/ABS($AJ20),0)</f>
        <v>-0.26429999999999998</v>
      </c>
    </row>
    <row r="21" spans="2:41" ht="15" hidden="1" customHeight="1" outlineLevel="1" x14ac:dyDescent="0.3">
      <c r="B21" s="14" t="s">
        <v>326</v>
      </c>
      <c r="C21" s="15" t="s">
        <v>327</v>
      </c>
      <c r="D21" s="4">
        <f>-SUMIFS(Tab_99.Trial[DEZEMBRO],Tab_99.Trial[CONTA],$B21)</f>
        <v>0</v>
      </c>
      <c r="E21" s="78">
        <f t="shared" ca="1" si="37"/>
        <v>0</v>
      </c>
      <c r="F21" s="4">
        <f ca="1">-SUMIFS(INDIRECT("Tab_00.Trial["&amp;F$4&amp;"]"),Tab_00.Trial[CONTA],$B21)</f>
        <v>0</v>
      </c>
      <c r="G21" s="78">
        <f t="shared" ca="1" si="38"/>
        <v>0</v>
      </c>
      <c r="H21" s="78">
        <f ca="1">IFERROR(($F21-$D21)/ABS($D21),0)</f>
        <v>0</v>
      </c>
      <c r="I21" s="4">
        <f ca="1">-SUMIFS(INDIRECT("Tab_00.Trial["&amp;I$4&amp;"]"),Tab_00.Trial[CONTA],$B21)</f>
        <v>0</v>
      </c>
      <c r="J21" s="78">
        <f t="shared" ca="1" si="39"/>
        <v>0</v>
      </c>
      <c r="K21" s="78">
        <f ca="1">IFERROR(($I21-$F21)/ABS($F21),0)</f>
        <v>0</v>
      </c>
      <c r="L21" s="4">
        <f ca="1">-SUMIFS(INDIRECT("Tab_00.Trial["&amp;L$4&amp;"]"),Tab_00.Trial[CONTA],$B21)</f>
        <v>0</v>
      </c>
      <c r="M21" s="78">
        <f t="shared" ca="1" si="40"/>
        <v>0</v>
      </c>
      <c r="N21" s="78">
        <f ca="1">IFERROR(($L21-$I21)/ABS($I21),0)</f>
        <v>0</v>
      </c>
      <c r="O21" s="4">
        <f ca="1">-SUMIFS(INDIRECT("Tab_00.Trial["&amp;O$4&amp;"]"),Tab_00.Trial[CONTA],$B21)</f>
        <v>0</v>
      </c>
      <c r="P21" s="78">
        <f t="shared" ca="1" si="41"/>
        <v>0</v>
      </c>
      <c r="Q21" s="78">
        <f ca="1">IFERROR(($O21-$L21)/ABS($L21),0)</f>
        <v>0</v>
      </c>
      <c r="R21" s="4">
        <f ca="1">-SUMIFS(INDIRECT("Tab_00.Trial["&amp;R$4&amp;"]"),Tab_00.Trial[CONTA],$B21)</f>
        <v>0</v>
      </c>
      <c r="S21" s="78">
        <f t="shared" ca="1" si="42"/>
        <v>0</v>
      </c>
      <c r="T21" s="78">
        <f ca="1">IFERROR(($R21-$O21)/ABS($O21),0)</f>
        <v>0</v>
      </c>
      <c r="U21" s="4">
        <f ca="1">-SUMIFS(INDIRECT("Tab_00.Trial["&amp;U$4&amp;"]"),Tab_00.Trial[CONTA],$B21)</f>
        <v>0</v>
      </c>
      <c r="V21" s="78">
        <f t="shared" ca="1" si="43"/>
        <v>0</v>
      </c>
      <c r="W21" s="78">
        <f ca="1">IFERROR(($U21-$R21)/ABS($R21),0)</f>
        <v>0</v>
      </c>
      <c r="X21" s="4">
        <f ca="1">-SUMIFS(INDIRECT("Tab_00.Trial["&amp;X$4&amp;"]"),Tab_00.Trial[CONTA],$B21)</f>
        <v>0</v>
      </c>
      <c r="Y21" s="78">
        <f t="shared" ca="1" si="44"/>
        <v>0</v>
      </c>
      <c r="Z21" s="78">
        <f ca="1">IFERROR(($X21-$U21)/ABS($U21),0)</f>
        <v>0</v>
      </c>
      <c r="AA21" s="4">
        <f ca="1">-SUMIFS(INDIRECT("Tab_00.Trial["&amp;AA$4&amp;"]"),Tab_00.Trial[CONTA],$B21)</f>
        <v>0</v>
      </c>
      <c r="AB21" s="78">
        <f t="shared" ca="1" si="45"/>
        <v>0</v>
      </c>
      <c r="AC21" s="78">
        <f ca="1">IFERROR(($AA21-$X21)/ABS($X21),0)</f>
        <v>0</v>
      </c>
      <c r="AD21" s="4">
        <f ca="1">-SUMIFS(INDIRECT("Tab_00.Trial["&amp;AD$4&amp;"]"),Tab_00.Trial[CONTA],$B21)</f>
        <v>0</v>
      </c>
      <c r="AE21" s="78">
        <f t="shared" ca="1" si="46"/>
        <v>0</v>
      </c>
      <c r="AF21" s="78">
        <f ca="1">IFERROR(($AD21-$AA21)/ABS($AA21),0)</f>
        <v>0</v>
      </c>
      <c r="AG21" s="4">
        <f ca="1">-SUMIFS(INDIRECT("Tab_00.Trial["&amp;AG$4&amp;"]"),Tab_00.Trial[CONTA],$B21)</f>
        <v>0</v>
      </c>
      <c r="AH21" s="78">
        <f t="shared" ca="1" si="47"/>
        <v>0</v>
      </c>
      <c r="AI21" s="78">
        <f ca="1">IFERROR(($AG21-$AD21)/ABS($AD21),0)</f>
        <v>0</v>
      </c>
      <c r="AJ21" s="4">
        <f ca="1">-SUMIFS(INDIRECT("Tab_00.Trial["&amp;AJ$4&amp;"]"),Tab_00.Trial[CONTA],$B21)</f>
        <v>0</v>
      </c>
      <c r="AK21" s="78">
        <f t="shared" ca="1" si="48"/>
        <v>0</v>
      </c>
      <c r="AL21" s="78">
        <f ca="1">IFERROR(($AJ21-$AG21)/ABS($AG21),0)</f>
        <v>0</v>
      </c>
      <c r="AM21" s="4">
        <f ca="1">-SUMIFS(INDIRECT("Tab_00.Trial["&amp;AM$4&amp;"]"),Tab_00.Trial[CONTA],$B21)</f>
        <v>0</v>
      </c>
      <c r="AN21" s="78">
        <f t="shared" ca="1" si="49"/>
        <v>0</v>
      </c>
      <c r="AO21" s="78">
        <f ca="1">IFERROR(($AM21-$AJ21)/ABS($AJ21),0)</f>
        <v>0</v>
      </c>
    </row>
    <row r="22" spans="2:41" ht="15" hidden="1" customHeight="1" outlineLevel="1" x14ac:dyDescent="0.3">
      <c r="B22" s="14" t="s">
        <v>328</v>
      </c>
      <c r="C22" s="15" t="s">
        <v>329</v>
      </c>
      <c r="D22" s="4">
        <f>-SUMIFS(Tab_99.Trial[DEZEMBRO],Tab_99.Trial[CONTA],$B22)</f>
        <v>0</v>
      </c>
      <c r="E22" s="78">
        <f t="shared" ca="1" si="37"/>
        <v>0</v>
      </c>
      <c r="F22" s="4">
        <f ca="1">-SUMIFS(INDIRECT("Tab_00.Trial["&amp;F$4&amp;"]"),Tab_00.Trial[CONTA],$B22)</f>
        <v>0</v>
      </c>
      <c r="G22" s="78">
        <f t="shared" ca="1" si="38"/>
        <v>0</v>
      </c>
      <c r="H22" s="78">
        <f t="shared" ref="H22:H37" ca="1" si="50">IFERROR(($F22-$D22)/ABS($D22),0)</f>
        <v>0</v>
      </c>
      <c r="I22" s="4">
        <f ca="1">-SUMIFS(INDIRECT("Tab_00.Trial["&amp;I$4&amp;"]"),Tab_00.Trial[CONTA],$B22)</f>
        <v>-183790.11</v>
      </c>
      <c r="J22" s="78">
        <f t="shared" ca="1" si="39"/>
        <v>-2.2000000000000001E-3</v>
      </c>
      <c r="K22" s="78">
        <f t="shared" ref="K22:K37" ca="1" si="51">IFERROR(($I22-$F22)/ABS($F22),0)</f>
        <v>0</v>
      </c>
      <c r="L22" s="4">
        <f ca="1">-SUMIFS(INDIRECT("Tab_00.Trial["&amp;L$4&amp;"]"),Tab_00.Trial[CONTA],$B22)</f>
        <v>0</v>
      </c>
      <c r="M22" s="78">
        <f t="shared" ca="1" si="40"/>
        <v>0</v>
      </c>
      <c r="N22" s="78">
        <f t="shared" ref="N22:N37" ca="1" si="52">IFERROR(($L22-$I22)/ABS($I22),0)</f>
        <v>1</v>
      </c>
      <c r="O22" s="4">
        <f ca="1">-SUMIFS(INDIRECT("Tab_00.Trial["&amp;O$4&amp;"]"),Tab_00.Trial[CONTA],$B22)</f>
        <v>0</v>
      </c>
      <c r="P22" s="78">
        <f t="shared" ca="1" si="41"/>
        <v>0</v>
      </c>
      <c r="Q22" s="78">
        <f t="shared" ref="Q22:Q37" ca="1" si="53">IFERROR(($O22-$L22)/ABS($L22),0)</f>
        <v>0</v>
      </c>
      <c r="R22" s="4">
        <f ca="1">-SUMIFS(INDIRECT("Tab_00.Trial["&amp;R$4&amp;"]"),Tab_00.Trial[CONTA],$B22)</f>
        <v>0</v>
      </c>
      <c r="S22" s="78">
        <f t="shared" ca="1" si="42"/>
        <v>0</v>
      </c>
      <c r="T22" s="78">
        <f t="shared" ref="T22:T37" ca="1" si="54">IFERROR(($R22-$O22)/ABS($O22),0)</f>
        <v>0</v>
      </c>
      <c r="U22" s="4">
        <f ca="1">-SUMIFS(INDIRECT("Tab_00.Trial["&amp;U$4&amp;"]"),Tab_00.Trial[CONTA],$B22)</f>
        <v>0</v>
      </c>
      <c r="V22" s="78">
        <f t="shared" ca="1" si="43"/>
        <v>0</v>
      </c>
      <c r="W22" s="78">
        <f t="shared" ref="W22:W37" ca="1" si="55">IFERROR(($U22-$R22)/ABS($R22),0)</f>
        <v>0</v>
      </c>
      <c r="X22" s="4">
        <f ca="1">-SUMIFS(INDIRECT("Tab_00.Trial["&amp;X$4&amp;"]"),Tab_00.Trial[CONTA],$B22)</f>
        <v>0</v>
      </c>
      <c r="Y22" s="78">
        <f t="shared" ca="1" si="44"/>
        <v>0</v>
      </c>
      <c r="Z22" s="78">
        <f t="shared" ref="Z22:Z37" ca="1" si="56">IFERROR(($X22-$U22)/ABS($U22),0)</f>
        <v>0</v>
      </c>
      <c r="AA22" s="4">
        <f ca="1">-SUMIFS(INDIRECT("Tab_00.Trial["&amp;AA$4&amp;"]"),Tab_00.Trial[CONTA],$B22)</f>
        <v>0</v>
      </c>
      <c r="AB22" s="78">
        <f t="shared" ca="1" si="45"/>
        <v>0</v>
      </c>
      <c r="AC22" s="78">
        <f t="shared" ref="AC22:AC37" ca="1" si="57">IFERROR(($AA22-$X22)/ABS($X22),0)</f>
        <v>0</v>
      </c>
      <c r="AD22" s="4">
        <f ca="1">-SUMIFS(INDIRECT("Tab_00.Trial["&amp;AD$4&amp;"]"),Tab_00.Trial[CONTA],$B22)</f>
        <v>0</v>
      </c>
      <c r="AE22" s="78">
        <f t="shared" ca="1" si="46"/>
        <v>0</v>
      </c>
      <c r="AF22" s="78">
        <f t="shared" ref="AF22:AF37" ca="1" si="58">IFERROR(($AD22-$AA22)/ABS($AA22),0)</f>
        <v>0</v>
      </c>
      <c r="AG22" s="4">
        <f ca="1">-SUMIFS(INDIRECT("Tab_00.Trial["&amp;AG$4&amp;"]"),Tab_00.Trial[CONTA],$B22)</f>
        <v>0</v>
      </c>
      <c r="AH22" s="78">
        <f t="shared" ca="1" si="47"/>
        <v>0</v>
      </c>
      <c r="AI22" s="78">
        <f t="shared" ref="AI22:AI37" ca="1" si="59">IFERROR(($AG22-$AD22)/ABS($AD22),0)</f>
        <v>0</v>
      </c>
      <c r="AJ22" s="4">
        <f ca="1">-SUMIFS(INDIRECT("Tab_00.Trial["&amp;AJ$4&amp;"]"),Tab_00.Trial[CONTA],$B22)</f>
        <v>0</v>
      </c>
      <c r="AK22" s="78">
        <f t="shared" ca="1" si="48"/>
        <v>0</v>
      </c>
      <c r="AL22" s="78">
        <f t="shared" ref="AL22:AL37" ca="1" si="60">IFERROR(($AJ22-$AG22)/ABS($AG22),0)</f>
        <v>0</v>
      </c>
      <c r="AM22" s="4">
        <f ca="1">-SUMIFS(INDIRECT("Tab_00.Trial["&amp;AM$4&amp;"]"),Tab_00.Trial[CONTA],$B22)</f>
        <v>0</v>
      </c>
      <c r="AN22" s="78">
        <f t="shared" ca="1" si="49"/>
        <v>0</v>
      </c>
      <c r="AO22" s="78">
        <f t="shared" ref="AO22:AO37" ca="1" si="61">IFERROR(($AM22-$AJ22)/ABS($AJ22),0)</f>
        <v>0</v>
      </c>
    </row>
    <row r="23" spans="2:41" ht="15" hidden="1" customHeight="1" outlineLevel="1" x14ac:dyDescent="0.3">
      <c r="B23" s="14" t="s">
        <v>330</v>
      </c>
      <c r="C23" s="15" t="s">
        <v>331</v>
      </c>
      <c r="D23" s="4">
        <f>-SUMIFS(Tab_99.Trial[DEZEMBRO],Tab_99.Trial[CONTA],$B23)</f>
        <v>0</v>
      </c>
      <c r="E23" s="78">
        <f t="shared" ca="1" si="37"/>
        <v>0</v>
      </c>
      <c r="F23" s="4">
        <f ca="1">-SUMIFS(INDIRECT("Tab_00.Trial["&amp;F$4&amp;"]"),Tab_00.Trial[CONTA],$B23)</f>
        <v>0</v>
      </c>
      <c r="G23" s="78">
        <f t="shared" ca="1" si="38"/>
        <v>0</v>
      </c>
      <c r="H23" s="78">
        <f t="shared" ca="1" si="50"/>
        <v>0</v>
      </c>
      <c r="I23" s="4">
        <f ca="1">-SUMIFS(INDIRECT("Tab_00.Trial["&amp;I$4&amp;"]"),Tab_00.Trial[CONTA],$B23)</f>
        <v>0</v>
      </c>
      <c r="J23" s="78">
        <f t="shared" ca="1" si="39"/>
        <v>0</v>
      </c>
      <c r="K23" s="78">
        <f t="shared" ca="1" si="51"/>
        <v>0</v>
      </c>
      <c r="L23" s="4">
        <f ca="1">-SUMIFS(INDIRECT("Tab_00.Trial["&amp;L$4&amp;"]"),Tab_00.Trial[CONTA],$B23)</f>
        <v>0</v>
      </c>
      <c r="M23" s="78">
        <f t="shared" ca="1" si="40"/>
        <v>0</v>
      </c>
      <c r="N23" s="78">
        <f t="shared" ca="1" si="52"/>
        <v>0</v>
      </c>
      <c r="O23" s="4">
        <f ca="1">-SUMIFS(INDIRECT("Tab_00.Trial["&amp;O$4&amp;"]"),Tab_00.Trial[CONTA],$B23)</f>
        <v>0</v>
      </c>
      <c r="P23" s="78">
        <f t="shared" ca="1" si="41"/>
        <v>0</v>
      </c>
      <c r="Q23" s="78">
        <f t="shared" ca="1" si="53"/>
        <v>0</v>
      </c>
      <c r="R23" s="4">
        <f ca="1">-SUMIFS(INDIRECT("Tab_00.Trial["&amp;R$4&amp;"]"),Tab_00.Trial[CONTA],$B23)</f>
        <v>0</v>
      </c>
      <c r="S23" s="78">
        <f t="shared" ca="1" si="42"/>
        <v>0</v>
      </c>
      <c r="T23" s="78">
        <f t="shared" ca="1" si="54"/>
        <v>0</v>
      </c>
      <c r="U23" s="4">
        <f ca="1">-SUMIFS(INDIRECT("Tab_00.Trial["&amp;U$4&amp;"]"),Tab_00.Trial[CONTA],$B23)</f>
        <v>0</v>
      </c>
      <c r="V23" s="78">
        <f t="shared" ca="1" si="43"/>
        <v>0</v>
      </c>
      <c r="W23" s="78">
        <f t="shared" ca="1" si="55"/>
        <v>0</v>
      </c>
      <c r="X23" s="4">
        <f ca="1">-SUMIFS(INDIRECT("Tab_00.Trial["&amp;X$4&amp;"]"),Tab_00.Trial[CONTA],$B23)</f>
        <v>0</v>
      </c>
      <c r="Y23" s="78">
        <f t="shared" ca="1" si="44"/>
        <v>0</v>
      </c>
      <c r="Z23" s="78">
        <f t="shared" ca="1" si="56"/>
        <v>0</v>
      </c>
      <c r="AA23" s="4">
        <f ca="1">-SUMIFS(INDIRECT("Tab_00.Trial["&amp;AA$4&amp;"]"),Tab_00.Trial[CONTA],$B23)</f>
        <v>0</v>
      </c>
      <c r="AB23" s="78">
        <f t="shared" ca="1" si="45"/>
        <v>0</v>
      </c>
      <c r="AC23" s="78">
        <f t="shared" ca="1" si="57"/>
        <v>0</v>
      </c>
      <c r="AD23" s="4">
        <f ca="1">-SUMIFS(INDIRECT("Tab_00.Trial["&amp;AD$4&amp;"]"),Tab_00.Trial[CONTA],$B23)</f>
        <v>0</v>
      </c>
      <c r="AE23" s="78">
        <f t="shared" ca="1" si="46"/>
        <v>0</v>
      </c>
      <c r="AF23" s="78">
        <f t="shared" ca="1" si="58"/>
        <v>0</v>
      </c>
      <c r="AG23" s="4">
        <f ca="1">-SUMIFS(INDIRECT("Tab_00.Trial["&amp;AG$4&amp;"]"),Tab_00.Trial[CONTA],$B23)</f>
        <v>0</v>
      </c>
      <c r="AH23" s="78">
        <f t="shared" ca="1" si="47"/>
        <v>0</v>
      </c>
      <c r="AI23" s="78">
        <f t="shared" ca="1" si="59"/>
        <v>0</v>
      </c>
      <c r="AJ23" s="4">
        <f ca="1">-SUMIFS(INDIRECT("Tab_00.Trial["&amp;AJ$4&amp;"]"),Tab_00.Trial[CONTA],$B23)</f>
        <v>0</v>
      </c>
      <c r="AK23" s="78">
        <f t="shared" ca="1" si="48"/>
        <v>0</v>
      </c>
      <c r="AL23" s="78">
        <f t="shared" ca="1" si="60"/>
        <v>0</v>
      </c>
      <c r="AM23" s="4">
        <f ca="1">-SUMIFS(INDIRECT("Tab_00.Trial["&amp;AM$4&amp;"]"),Tab_00.Trial[CONTA],$B23)</f>
        <v>0</v>
      </c>
      <c r="AN23" s="78">
        <f t="shared" ca="1" si="49"/>
        <v>0</v>
      </c>
      <c r="AO23" s="78">
        <f t="shared" ca="1" si="61"/>
        <v>0</v>
      </c>
    </row>
    <row r="24" spans="2:41" ht="15" hidden="1" customHeight="1" outlineLevel="1" x14ac:dyDescent="0.3">
      <c r="B24" s="14" t="s">
        <v>332</v>
      </c>
      <c r="C24" s="15" t="s">
        <v>333</v>
      </c>
      <c r="D24" s="4">
        <f>-SUMIFS(Tab_99.Trial[DEZEMBRO],Tab_99.Trial[CONTA],$B24)</f>
        <v>0</v>
      </c>
      <c r="E24" s="78">
        <f t="shared" ca="1" si="37"/>
        <v>0</v>
      </c>
      <c r="F24" s="4">
        <f ca="1">-SUMIFS(INDIRECT("Tab_00.Trial["&amp;F$4&amp;"]"),Tab_00.Trial[CONTA],$B24)</f>
        <v>11268.08</v>
      </c>
      <c r="G24" s="78">
        <f t="shared" ca="1" si="38"/>
        <v>1E-4</v>
      </c>
      <c r="H24" s="78">
        <f t="shared" ca="1" si="50"/>
        <v>0</v>
      </c>
      <c r="I24" s="4">
        <f ca="1">-SUMIFS(INDIRECT("Tab_00.Trial["&amp;I$4&amp;"]"),Tab_00.Trial[CONTA],$B24)</f>
        <v>11268.08</v>
      </c>
      <c r="J24" s="78">
        <f t="shared" ca="1" si="39"/>
        <v>1E-4</v>
      </c>
      <c r="K24" s="78">
        <f t="shared" ca="1" si="51"/>
        <v>0</v>
      </c>
      <c r="L24" s="4">
        <f ca="1">-SUMIFS(INDIRECT("Tab_00.Trial["&amp;L$4&amp;"]"),Tab_00.Trial[CONTA],$B24)</f>
        <v>24850.13</v>
      </c>
      <c r="M24" s="78">
        <f t="shared" ca="1" si="40"/>
        <v>2.9999999999999997E-4</v>
      </c>
      <c r="N24" s="78">
        <f t="shared" ca="1" si="52"/>
        <v>1.2054</v>
      </c>
      <c r="O24" s="4">
        <f ca="1">-SUMIFS(INDIRECT("Tab_00.Trial["&amp;O$4&amp;"]"),Tab_00.Trial[CONTA],$B24)</f>
        <v>33133.46</v>
      </c>
      <c r="P24" s="78">
        <f t="shared" ca="1" si="41"/>
        <v>4.0000000000000002E-4</v>
      </c>
      <c r="Q24" s="78">
        <f t="shared" ca="1" si="53"/>
        <v>0.33329999999999999</v>
      </c>
      <c r="R24" s="4">
        <f ca="1">-SUMIFS(INDIRECT("Tab_00.Trial["&amp;R$4&amp;"]"),Tab_00.Trial[CONTA],$B24)</f>
        <v>41683.519999999997</v>
      </c>
      <c r="S24" s="78">
        <f t="shared" ca="1" si="42"/>
        <v>5.0000000000000001E-4</v>
      </c>
      <c r="T24" s="78">
        <f t="shared" ca="1" si="54"/>
        <v>0.25800000000000001</v>
      </c>
      <c r="U24" s="4">
        <f ca="1">-SUMIFS(INDIRECT("Tab_00.Trial["&amp;U$4&amp;"]"),Tab_00.Trial[CONTA],$B24)</f>
        <v>58783.59</v>
      </c>
      <c r="V24" s="78">
        <f t="shared" ca="1" si="43"/>
        <v>6.9999999999999999E-4</v>
      </c>
      <c r="W24" s="78">
        <f t="shared" ca="1" si="55"/>
        <v>0.41020000000000001</v>
      </c>
      <c r="X24" s="4">
        <f ca="1">-SUMIFS(INDIRECT("Tab_00.Trial["&amp;X$4&amp;"]"),Tab_00.Trial[CONTA],$B24)</f>
        <v>58783.59</v>
      </c>
      <c r="Y24" s="78">
        <f t="shared" ca="1" si="44"/>
        <v>6.9999999999999999E-4</v>
      </c>
      <c r="Z24" s="78">
        <f t="shared" ca="1" si="56"/>
        <v>0</v>
      </c>
      <c r="AA24" s="4">
        <f ca="1">-SUMIFS(INDIRECT("Tab_00.Trial["&amp;AA$4&amp;"]"),Tab_00.Trial[CONTA],$B24)</f>
        <v>58783.59</v>
      </c>
      <c r="AB24" s="78">
        <f t="shared" ca="1" si="45"/>
        <v>6.9999999999999999E-4</v>
      </c>
      <c r="AC24" s="78">
        <f t="shared" ca="1" si="57"/>
        <v>0</v>
      </c>
      <c r="AD24" s="4">
        <f ca="1">-SUMIFS(INDIRECT("Tab_00.Trial["&amp;AD$4&amp;"]"),Tab_00.Trial[CONTA],$B24)</f>
        <v>76170.19</v>
      </c>
      <c r="AE24" s="78">
        <f t="shared" ca="1" si="46"/>
        <v>8.9999999999999998E-4</v>
      </c>
      <c r="AF24" s="78">
        <f t="shared" ca="1" si="58"/>
        <v>0.29580000000000001</v>
      </c>
      <c r="AG24" s="4">
        <f ca="1">-SUMIFS(INDIRECT("Tab_00.Trial["&amp;AG$4&amp;"]"),Tab_00.Trial[CONTA],$B24)</f>
        <v>84821.79</v>
      </c>
      <c r="AH24" s="78">
        <f t="shared" ca="1" si="47"/>
        <v>1E-3</v>
      </c>
      <c r="AI24" s="78">
        <f t="shared" ca="1" si="59"/>
        <v>0.11360000000000001</v>
      </c>
      <c r="AJ24" s="4">
        <f ca="1">-SUMIFS(INDIRECT("Tab_00.Trial["&amp;AJ$4&amp;"]"),Tab_00.Trial[CONTA],$B24)</f>
        <v>93473.41</v>
      </c>
      <c r="AK24" s="78">
        <f t="shared" ca="1" si="48"/>
        <v>1.1000000000000001E-3</v>
      </c>
      <c r="AL24" s="78">
        <f t="shared" ca="1" si="60"/>
        <v>0.10199999999999999</v>
      </c>
      <c r="AM24" s="4">
        <f ca="1">-SUMIFS(INDIRECT("Tab_00.Trial["&amp;AM$4&amp;"]"),Tab_00.Trial[CONTA],$B24)</f>
        <v>0</v>
      </c>
      <c r="AN24" s="78">
        <f t="shared" ca="1" si="49"/>
        <v>0</v>
      </c>
      <c r="AO24" s="78">
        <f t="shared" ca="1" si="61"/>
        <v>-1</v>
      </c>
    </row>
    <row r="25" spans="2:41" ht="15" hidden="1" customHeight="1" outlineLevel="1" x14ac:dyDescent="0.3">
      <c r="B25" s="14" t="s">
        <v>334</v>
      </c>
      <c r="C25" s="15" t="s">
        <v>335</v>
      </c>
      <c r="D25" s="4">
        <f>-SUMIFS(Tab_99.Trial[DEZEMBRO],Tab_99.Trial[CONTA],$B25)</f>
        <v>0</v>
      </c>
      <c r="E25" s="78">
        <f t="shared" ca="1" si="37"/>
        <v>0</v>
      </c>
      <c r="F25" s="4">
        <f ca="1">-SUMIFS(INDIRECT("Tab_00.Trial["&amp;F$4&amp;"]"),Tab_00.Trial[CONTA],$B25)</f>
        <v>207351.84</v>
      </c>
      <c r="G25" s="78">
        <f t="shared" ca="1" si="38"/>
        <v>2.5000000000000001E-3</v>
      </c>
      <c r="H25" s="78">
        <f t="shared" ca="1" si="50"/>
        <v>0</v>
      </c>
      <c r="I25" s="4">
        <f ca="1">-SUMIFS(INDIRECT("Tab_00.Trial["&amp;I$4&amp;"]"),Tab_00.Trial[CONTA],$B25)+892.32</f>
        <v>208244.16</v>
      </c>
      <c r="J25" s="78">
        <f t="shared" ca="1" si="39"/>
        <v>2.5000000000000001E-3</v>
      </c>
      <c r="K25" s="78">
        <f t="shared" ca="1" si="51"/>
        <v>4.3E-3</v>
      </c>
      <c r="L25" s="4">
        <f ca="1">-SUMIFS(INDIRECT("Tab_00.Trial["&amp;L$4&amp;"]"),Tab_00.Trial[CONTA],$B25)+1120.32</f>
        <v>153540.21</v>
      </c>
      <c r="M25" s="78">
        <f t="shared" ca="1" si="40"/>
        <v>1.8E-3</v>
      </c>
      <c r="N25" s="78">
        <f t="shared" ca="1" si="52"/>
        <v>-0.26269999999999999</v>
      </c>
      <c r="O25" s="4">
        <f ca="1">-SUMIFS(INDIRECT("Tab_00.Trial["&amp;O$4&amp;"]"),Tab_00.Trial[CONTA],$B25)+1298.34</f>
        <v>164676.32999999999</v>
      </c>
      <c r="P25" s="78">
        <f t="shared" ca="1" si="41"/>
        <v>2E-3</v>
      </c>
      <c r="Q25" s="78">
        <f t="shared" ca="1" si="53"/>
        <v>7.2499999999999995E-2</v>
      </c>
      <c r="R25" s="4">
        <f ca="1">-SUMIFS(INDIRECT("Tab_00.Trial["&amp;R$4&amp;"]"),Tab_00.Trial[CONTA],$B25)+1298.34</f>
        <v>175343.04</v>
      </c>
      <c r="S25" s="78">
        <f t="shared" ca="1" si="42"/>
        <v>2.0999999999999999E-3</v>
      </c>
      <c r="T25" s="78">
        <f t="shared" ca="1" si="54"/>
        <v>6.4799999999999996E-2</v>
      </c>
      <c r="U25" s="4">
        <f ca="1">-SUMIFS(INDIRECT("Tab_00.Trial["&amp;U$4&amp;"]"),Tab_00.Trial[CONTA],$B25)</f>
        <v>166422.66</v>
      </c>
      <c r="V25" s="78">
        <f t="shared" ca="1" si="43"/>
        <v>2E-3</v>
      </c>
      <c r="W25" s="78">
        <f t="shared" ca="1" si="55"/>
        <v>-5.0900000000000001E-2</v>
      </c>
      <c r="X25" s="4">
        <f ca="1">-SUMIFS(INDIRECT("Tab_00.Trial["&amp;X$4&amp;"]"),Tab_00.Trial[CONTA],$B25)</f>
        <v>166422.66</v>
      </c>
      <c r="Y25" s="78">
        <f t="shared" ca="1" si="44"/>
        <v>2E-3</v>
      </c>
      <c r="Z25" s="78">
        <f t="shared" ca="1" si="56"/>
        <v>0</v>
      </c>
      <c r="AA25" s="4">
        <f ca="1">-SUMIFS(INDIRECT("Tab_00.Trial["&amp;AA$4&amp;"]"),Tab_00.Trial[CONTA],$B25)</f>
        <v>166422.66</v>
      </c>
      <c r="AB25" s="78">
        <f t="shared" ca="1" si="45"/>
        <v>2E-3</v>
      </c>
      <c r="AC25" s="78">
        <f t="shared" ca="1" si="57"/>
        <v>0</v>
      </c>
      <c r="AD25" s="4">
        <f ca="1">-SUMIFS(INDIRECT("Tab_00.Trial["&amp;AD$4&amp;"]"),Tab_00.Trial[CONTA],$B25)</f>
        <v>148671.13</v>
      </c>
      <c r="AE25" s="78">
        <f t="shared" ca="1" si="46"/>
        <v>1.8E-3</v>
      </c>
      <c r="AF25" s="78">
        <f t="shared" ca="1" si="58"/>
        <v>-0.1067</v>
      </c>
      <c r="AG25" s="4">
        <f ca="1">-SUMIFS(INDIRECT("Tab_00.Trial["&amp;AG$4&amp;"]"),Tab_00.Trial[CONTA],$B25)</f>
        <v>140847.38</v>
      </c>
      <c r="AH25" s="78">
        <f t="shared" ca="1" si="47"/>
        <v>1.6999999999999999E-3</v>
      </c>
      <c r="AI25" s="78">
        <f t="shared" ca="1" si="59"/>
        <v>-5.2600000000000001E-2</v>
      </c>
      <c r="AJ25" s="4">
        <f ca="1">-SUMIFS(INDIRECT("Tab_00.Trial["&amp;AJ$4&amp;"]"),Tab_00.Trial[CONTA],$B25)</f>
        <v>147005.94</v>
      </c>
      <c r="AK25" s="78">
        <f t="shared" ca="1" si="48"/>
        <v>1.6999999999999999E-3</v>
      </c>
      <c r="AL25" s="78">
        <f t="shared" ca="1" si="60"/>
        <v>4.3700000000000003E-2</v>
      </c>
      <c r="AM25" s="4">
        <f ca="1">-SUMIFS(INDIRECT("Tab_00.Trial["&amp;AM$4&amp;"]"),Tab_00.Trial[CONTA],$B25)</f>
        <v>158957.4</v>
      </c>
      <c r="AN25" s="78">
        <f t="shared" ca="1" si="49"/>
        <v>1.9E-3</v>
      </c>
      <c r="AO25" s="78">
        <f t="shared" ca="1" si="61"/>
        <v>8.1299999999999997E-2</v>
      </c>
    </row>
    <row r="26" spans="2:41" ht="15" hidden="1" customHeight="1" outlineLevel="1" x14ac:dyDescent="0.3">
      <c r="B26" s="14" t="s">
        <v>336</v>
      </c>
      <c r="C26" s="15" t="s">
        <v>337</v>
      </c>
      <c r="D26" s="4">
        <f>-SUMIFS(Tab_99.Trial[DEZEMBRO],Tab_99.Trial[CONTA],$B26)</f>
        <v>0</v>
      </c>
      <c r="E26" s="78">
        <f t="shared" ca="1" si="37"/>
        <v>0</v>
      </c>
      <c r="F26" s="4">
        <f ca="1">-SUMIFS(INDIRECT("Tab_00.Trial["&amp;F$4&amp;"]"),Tab_00.Trial[CONTA],$B26)</f>
        <v>47261.64</v>
      </c>
      <c r="G26" s="78">
        <f t="shared" ca="1" si="38"/>
        <v>5.9999999999999995E-4</v>
      </c>
      <c r="H26" s="78">
        <f t="shared" ca="1" si="50"/>
        <v>0</v>
      </c>
      <c r="I26" s="4">
        <f ca="1">-SUMIFS(INDIRECT("Tab_00.Trial["&amp;I$4&amp;"]"),Tab_00.Trial[CONTA],$B26)</f>
        <v>0</v>
      </c>
      <c r="J26" s="78">
        <f t="shared" ca="1" si="39"/>
        <v>0</v>
      </c>
      <c r="K26" s="78">
        <f t="shared" ca="1" si="51"/>
        <v>-1</v>
      </c>
      <c r="L26" s="4">
        <f ca="1">-SUMIFS(INDIRECT("Tab_00.Trial["&amp;L$4&amp;"]"),Tab_00.Trial[CONTA],$B26)</f>
        <v>36132.559999999998</v>
      </c>
      <c r="M26" s="78">
        <f t="shared" ca="1" si="40"/>
        <v>4.0000000000000002E-4</v>
      </c>
      <c r="N26" s="78">
        <f t="shared" ca="1" si="52"/>
        <v>0</v>
      </c>
      <c r="O26" s="4">
        <f ca="1">-SUMIFS(INDIRECT("Tab_00.Trial["&amp;O$4&amp;"]"),Tab_00.Trial[CONTA],$B26)</f>
        <v>30763.82</v>
      </c>
      <c r="P26" s="78">
        <f t="shared" ca="1" si="41"/>
        <v>4.0000000000000002E-4</v>
      </c>
      <c r="Q26" s="78">
        <f t="shared" ca="1" si="53"/>
        <v>-0.14860000000000001</v>
      </c>
      <c r="R26" s="4">
        <f ca="1">-SUMIFS(INDIRECT("Tab_00.Trial["&amp;R$4&amp;"]"),Tab_00.Trial[CONTA],$B26)</f>
        <v>31867.63</v>
      </c>
      <c r="S26" s="78">
        <f t="shared" ca="1" si="42"/>
        <v>4.0000000000000002E-4</v>
      </c>
      <c r="T26" s="78">
        <f t="shared" ca="1" si="54"/>
        <v>3.5900000000000001E-2</v>
      </c>
      <c r="U26" s="4">
        <f ca="1">-SUMIFS(INDIRECT("Tab_00.Trial["&amp;U$4&amp;"]"),Tab_00.Trial[CONTA],$B26)</f>
        <v>32618.43</v>
      </c>
      <c r="V26" s="78">
        <f t="shared" ca="1" si="43"/>
        <v>4.0000000000000002E-4</v>
      </c>
      <c r="W26" s="78">
        <f t="shared" ca="1" si="55"/>
        <v>2.3599999999999999E-2</v>
      </c>
      <c r="X26" s="4">
        <f ca="1">-SUMIFS(INDIRECT("Tab_00.Trial["&amp;X$4&amp;"]"),Tab_00.Trial[CONTA],$B26)</f>
        <v>32618.43</v>
      </c>
      <c r="Y26" s="78">
        <f t="shared" ca="1" si="44"/>
        <v>4.0000000000000002E-4</v>
      </c>
      <c r="Z26" s="78">
        <f t="shared" ca="1" si="56"/>
        <v>0</v>
      </c>
      <c r="AA26" s="4">
        <f ca="1">-SUMIFS(INDIRECT("Tab_00.Trial["&amp;AA$4&amp;"]"),Tab_00.Trial[CONTA],$B26)</f>
        <v>32618.43</v>
      </c>
      <c r="AB26" s="78">
        <f t="shared" ca="1" si="45"/>
        <v>4.0000000000000002E-4</v>
      </c>
      <c r="AC26" s="78">
        <f t="shared" ca="1" si="57"/>
        <v>0</v>
      </c>
      <c r="AD26" s="4">
        <f ca="1">-SUMIFS(INDIRECT("Tab_00.Trial["&amp;AD$4&amp;"]"),Tab_00.Trial[CONTA],$B26)</f>
        <v>35995.78</v>
      </c>
      <c r="AE26" s="78">
        <f t="shared" ca="1" si="46"/>
        <v>4.0000000000000002E-4</v>
      </c>
      <c r="AF26" s="78">
        <f t="shared" ca="1" si="58"/>
        <v>0.10349999999999999</v>
      </c>
      <c r="AG26" s="4">
        <f ca="1">-SUMIFS(INDIRECT("Tab_00.Trial["&amp;AG$4&amp;"]"),Tab_00.Trial[CONTA],$B26)</f>
        <v>36050.230000000003</v>
      </c>
      <c r="AH26" s="78">
        <f t="shared" ca="1" si="47"/>
        <v>4.0000000000000002E-4</v>
      </c>
      <c r="AI26" s="78">
        <f t="shared" ca="1" si="59"/>
        <v>1.5E-3</v>
      </c>
      <c r="AJ26" s="4">
        <f ca="1">-SUMIFS(INDIRECT("Tab_00.Trial["&amp;AJ$4&amp;"]"),Tab_00.Trial[CONTA],$B26)</f>
        <v>35088.22</v>
      </c>
      <c r="AK26" s="78">
        <f t="shared" ca="1" si="48"/>
        <v>4.0000000000000002E-4</v>
      </c>
      <c r="AL26" s="78">
        <f t="shared" ca="1" si="60"/>
        <v>-2.6700000000000002E-2</v>
      </c>
      <c r="AM26" s="4">
        <f ca="1">-SUMIFS(INDIRECT("Tab_00.Trial["&amp;AM$4&amp;"]"),Tab_00.Trial[CONTA],$B26)</f>
        <v>34679.800000000003</v>
      </c>
      <c r="AN26" s="78">
        <f t="shared" ca="1" si="49"/>
        <v>4.0000000000000002E-4</v>
      </c>
      <c r="AO26" s="78">
        <f t="shared" ca="1" si="61"/>
        <v>-1.1599999999999999E-2</v>
      </c>
    </row>
    <row r="27" spans="2:41" ht="15" hidden="1" customHeight="1" outlineLevel="1" x14ac:dyDescent="0.3">
      <c r="B27" s="14" t="s">
        <v>338</v>
      </c>
      <c r="C27" s="15" t="s">
        <v>339</v>
      </c>
      <c r="D27" s="4">
        <f>-SUMIFS(Tab_99.Trial[DEZEMBRO],Tab_99.Trial[CONTA],$B27)</f>
        <v>0</v>
      </c>
      <c r="E27" s="78">
        <f t="shared" ca="1" si="37"/>
        <v>0</v>
      </c>
      <c r="F27" s="4">
        <f ca="1">-SUMIFS(INDIRECT("Tab_00.Trial["&amp;F$4&amp;"]"),Tab_00.Trial[CONTA],$B27)</f>
        <v>1025.94</v>
      </c>
      <c r="G27" s="78">
        <f t="shared" ca="1" si="38"/>
        <v>0</v>
      </c>
      <c r="H27" s="78">
        <f t="shared" ca="1" si="50"/>
        <v>0</v>
      </c>
      <c r="I27" s="4">
        <f ca="1">-SUMIFS(INDIRECT("Tab_00.Trial["&amp;I$4&amp;"]"),Tab_00.Trial[CONTA],$B27)</f>
        <v>1025.94</v>
      </c>
      <c r="J27" s="78">
        <f t="shared" ca="1" si="39"/>
        <v>0</v>
      </c>
      <c r="K27" s="78">
        <f t="shared" ca="1" si="51"/>
        <v>0</v>
      </c>
      <c r="L27" s="4">
        <f ca="1">-SUMIFS(INDIRECT("Tab_00.Trial["&amp;L$4&amp;"]"),Tab_00.Trial[CONTA],$B27)</f>
        <v>512.98</v>
      </c>
      <c r="M27" s="78">
        <f t="shared" ca="1" si="40"/>
        <v>0</v>
      </c>
      <c r="N27" s="78">
        <f t="shared" ca="1" si="52"/>
        <v>-0.5</v>
      </c>
      <c r="O27" s="4">
        <f ca="1">-SUMIFS(INDIRECT("Tab_00.Trial["&amp;O$4&amp;"]"),Tab_00.Trial[CONTA],$B27)</f>
        <v>787.98</v>
      </c>
      <c r="P27" s="78">
        <f t="shared" ca="1" si="41"/>
        <v>0</v>
      </c>
      <c r="Q27" s="78">
        <f t="shared" ca="1" si="53"/>
        <v>0.53610000000000002</v>
      </c>
      <c r="R27" s="4">
        <f ca="1">-SUMIFS(INDIRECT("Tab_00.Trial["&amp;R$4&amp;"]"),Tab_00.Trial[CONTA],$B27)</f>
        <v>512.98</v>
      </c>
      <c r="S27" s="78">
        <f t="shared" ca="1" si="42"/>
        <v>0</v>
      </c>
      <c r="T27" s="78">
        <f t="shared" ca="1" si="54"/>
        <v>-0.34899999999999998</v>
      </c>
      <c r="U27" s="4">
        <f ca="1">-SUMIFS(INDIRECT("Tab_00.Trial["&amp;U$4&amp;"]"),Tab_00.Trial[CONTA],$B27)</f>
        <v>584.08000000000004</v>
      </c>
      <c r="V27" s="78">
        <f t="shared" ca="1" si="43"/>
        <v>0</v>
      </c>
      <c r="W27" s="78">
        <f t="shared" ca="1" si="55"/>
        <v>0.1386</v>
      </c>
      <c r="X27" s="4">
        <f ca="1">-SUMIFS(INDIRECT("Tab_00.Trial["&amp;X$4&amp;"]"),Tab_00.Trial[CONTA],$B27)</f>
        <v>584.08000000000004</v>
      </c>
      <c r="Y27" s="78">
        <f t="shared" ca="1" si="44"/>
        <v>0</v>
      </c>
      <c r="Z27" s="78">
        <f t="shared" ca="1" si="56"/>
        <v>0</v>
      </c>
      <c r="AA27" s="4">
        <f ca="1">-SUMIFS(INDIRECT("Tab_00.Trial["&amp;AA$4&amp;"]"),Tab_00.Trial[CONTA],$B27)</f>
        <v>584.08000000000004</v>
      </c>
      <c r="AB27" s="78">
        <f t="shared" ca="1" si="45"/>
        <v>0</v>
      </c>
      <c r="AC27" s="78">
        <f t="shared" ca="1" si="57"/>
        <v>0</v>
      </c>
      <c r="AD27" s="4">
        <f ca="1">-SUMIFS(INDIRECT("Tab_00.Trial["&amp;AD$4&amp;"]"),Tab_00.Trial[CONTA],$B27)</f>
        <v>0</v>
      </c>
      <c r="AE27" s="78">
        <f t="shared" ca="1" si="46"/>
        <v>0</v>
      </c>
      <c r="AF27" s="78">
        <f t="shared" ca="1" si="58"/>
        <v>-1</v>
      </c>
      <c r="AG27" s="4">
        <f ca="1">-SUMIFS(INDIRECT("Tab_00.Trial["&amp;AG$4&amp;"]"),Tab_00.Trial[CONTA],$B27)</f>
        <v>584.08000000000004</v>
      </c>
      <c r="AH27" s="78">
        <f t="shared" ca="1" si="47"/>
        <v>0</v>
      </c>
      <c r="AI27" s="78">
        <f t="shared" ca="1" si="59"/>
        <v>0</v>
      </c>
      <c r="AJ27" s="4">
        <f ca="1">-SUMIFS(INDIRECT("Tab_00.Trial["&amp;AJ$4&amp;"]"),Tab_00.Trial[CONTA],$B27)</f>
        <v>543.45000000000005</v>
      </c>
      <c r="AK27" s="78">
        <f t="shared" ca="1" si="48"/>
        <v>0</v>
      </c>
      <c r="AL27" s="78">
        <f t="shared" ca="1" si="60"/>
        <v>-6.9599999999999995E-2</v>
      </c>
      <c r="AM27" s="4">
        <f ca="1">-SUMIFS(INDIRECT("Tab_00.Trial["&amp;AM$4&amp;"]"),Tab_00.Trial[CONTA],$B27)</f>
        <v>543.45000000000005</v>
      </c>
      <c r="AN27" s="78">
        <f t="shared" ca="1" si="49"/>
        <v>0</v>
      </c>
      <c r="AO27" s="78">
        <f t="shared" ca="1" si="61"/>
        <v>0</v>
      </c>
    </row>
    <row r="28" spans="2:41" ht="15" hidden="1" customHeight="1" outlineLevel="1" x14ac:dyDescent="0.3">
      <c r="B28" s="14" t="s">
        <v>340</v>
      </c>
      <c r="C28" s="15" t="s">
        <v>341</v>
      </c>
      <c r="D28" s="4">
        <f>-SUMIFS(Tab_99.Trial[DEZEMBRO],Tab_99.Trial[CONTA],$B28)</f>
        <v>0</v>
      </c>
      <c r="E28" s="78">
        <f t="shared" ca="1" si="37"/>
        <v>0</v>
      </c>
      <c r="F28" s="4">
        <f ca="1">-SUMIFS(INDIRECT("Tab_00.Trial["&amp;F$4&amp;"]"),Tab_00.Trial[CONTA],$B28)</f>
        <v>21799.74</v>
      </c>
      <c r="G28" s="78">
        <f t="shared" ca="1" si="38"/>
        <v>2.9999999999999997E-4</v>
      </c>
      <c r="H28" s="78">
        <f t="shared" ca="1" si="50"/>
        <v>0</v>
      </c>
      <c r="I28" s="4">
        <f ca="1">-SUMIFS(INDIRECT("Tab_00.Trial["&amp;I$4&amp;"]"),Tab_00.Trial[CONTA],$B28)</f>
        <v>10206.65</v>
      </c>
      <c r="J28" s="78">
        <f t="shared" ca="1" si="39"/>
        <v>1E-4</v>
      </c>
      <c r="K28" s="78">
        <f t="shared" ca="1" si="51"/>
        <v>-0.53180000000000005</v>
      </c>
      <c r="L28" s="4">
        <f ca="1">-SUMIFS(INDIRECT("Tab_00.Trial["&amp;L$4&amp;"]"),Tab_00.Trial[CONTA],$B28)</f>
        <v>15520.52</v>
      </c>
      <c r="M28" s="78">
        <f t="shared" ca="1" si="40"/>
        <v>2.0000000000000001E-4</v>
      </c>
      <c r="N28" s="78">
        <f t="shared" ca="1" si="52"/>
        <v>0.52059999999999995</v>
      </c>
      <c r="O28" s="4">
        <f ca="1">-SUMIFS(INDIRECT("Tab_00.Trial["&amp;O$4&amp;"]"),Tab_00.Trial[CONTA],$B28)</f>
        <v>13962.75</v>
      </c>
      <c r="P28" s="78">
        <f t="shared" ca="1" si="41"/>
        <v>2.0000000000000001E-4</v>
      </c>
      <c r="Q28" s="78">
        <f t="shared" ca="1" si="53"/>
        <v>-0.1004</v>
      </c>
      <c r="R28" s="4">
        <f ca="1">-SUMIFS(INDIRECT("Tab_00.Trial["&amp;R$4&amp;"]"),Tab_00.Trial[CONTA],$B28)</f>
        <v>12585.64</v>
      </c>
      <c r="S28" s="78">
        <f t="shared" ca="1" si="42"/>
        <v>2.0000000000000001E-4</v>
      </c>
      <c r="T28" s="78">
        <f t="shared" ca="1" si="54"/>
        <v>-9.8599999999999993E-2</v>
      </c>
      <c r="U28" s="4">
        <f ca="1">-SUMIFS(INDIRECT("Tab_00.Trial["&amp;U$4&amp;"]"),Tab_00.Trial[CONTA],$B28)</f>
        <v>9187.0499999999993</v>
      </c>
      <c r="V28" s="78">
        <f t="shared" ca="1" si="43"/>
        <v>1E-4</v>
      </c>
      <c r="W28" s="78">
        <f t="shared" ca="1" si="55"/>
        <v>-0.27</v>
      </c>
      <c r="X28" s="4">
        <f ca="1">-SUMIFS(INDIRECT("Tab_00.Trial["&amp;X$4&amp;"]"),Tab_00.Trial[CONTA],$B28)</f>
        <v>9187.0499999999993</v>
      </c>
      <c r="Y28" s="78">
        <f t="shared" ca="1" si="44"/>
        <v>1E-4</v>
      </c>
      <c r="Z28" s="78">
        <f t="shared" ca="1" si="56"/>
        <v>0</v>
      </c>
      <c r="AA28" s="4">
        <f ca="1">-SUMIFS(INDIRECT("Tab_00.Trial["&amp;AA$4&amp;"]"),Tab_00.Trial[CONTA],$B28)</f>
        <v>9187.0499999999993</v>
      </c>
      <c r="AB28" s="78">
        <f t="shared" ca="1" si="45"/>
        <v>1E-4</v>
      </c>
      <c r="AC28" s="78">
        <f t="shared" ca="1" si="57"/>
        <v>0</v>
      </c>
      <c r="AD28" s="4">
        <f ca="1">-SUMIFS(INDIRECT("Tab_00.Trial["&amp;AD$4&amp;"]"),Tab_00.Trial[CONTA],$B28)</f>
        <v>8680.81</v>
      </c>
      <c r="AE28" s="78">
        <f t="shared" ca="1" si="46"/>
        <v>1E-4</v>
      </c>
      <c r="AF28" s="78">
        <f t="shared" ca="1" si="58"/>
        <v>-5.5100000000000003E-2</v>
      </c>
      <c r="AG28" s="4">
        <f ca="1">-SUMIFS(INDIRECT("Tab_00.Trial["&amp;AG$4&amp;"]"),Tab_00.Trial[CONTA],$B28)</f>
        <v>8724.19</v>
      </c>
      <c r="AH28" s="78">
        <f t="shared" ca="1" si="47"/>
        <v>1E-4</v>
      </c>
      <c r="AI28" s="78">
        <f t="shared" ca="1" si="59"/>
        <v>5.0000000000000001E-3</v>
      </c>
      <c r="AJ28" s="4">
        <f ca="1">-SUMIFS(INDIRECT("Tab_00.Trial["&amp;AJ$4&amp;"]"),Tab_00.Trial[CONTA],$B28)</f>
        <v>8430.9500000000007</v>
      </c>
      <c r="AK28" s="78">
        <f t="shared" ca="1" si="48"/>
        <v>1E-4</v>
      </c>
      <c r="AL28" s="78">
        <f t="shared" ca="1" si="60"/>
        <v>-3.3599999999999998E-2</v>
      </c>
      <c r="AM28" s="4">
        <f ca="1">-SUMIFS(INDIRECT("Tab_00.Trial["&amp;AM$4&amp;"]"),Tab_00.Trial[CONTA],$B28)</f>
        <v>16384.63</v>
      </c>
      <c r="AN28" s="78">
        <f t="shared" ca="1" si="49"/>
        <v>2.0000000000000001E-4</v>
      </c>
      <c r="AO28" s="78">
        <f t="shared" ca="1" si="61"/>
        <v>0.94340000000000002</v>
      </c>
    </row>
    <row r="29" spans="2:41" ht="15" hidden="1" customHeight="1" outlineLevel="1" x14ac:dyDescent="0.3">
      <c r="B29" s="14" t="s">
        <v>342</v>
      </c>
      <c r="C29" s="15" t="s">
        <v>343</v>
      </c>
      <c r="D29" s="4">
        <f>-SUMIFS(Tab_99.Trial[DEZEMBRO],Tab_99.Trial[CONTA],$B29)</f>
        <v>0</v>
      </c>
      <c r="E29" s="78">
        <f t="shared" ca="1" si="37"/>
        <v>0</v>
      </c>
      <c r="F29" s="4">
        <f ca="1">-SUMIFS(INDIRECT("Tab_00.Trial["&amp;F$4&amp;"]"),Tab_00.Trial[CONTA],$B29)</f>
        <v>1449.13</v>
      </c>
      <c r="G29" s="78">
        <f t="shared" ca="1" si="38"/>
        <v>0</v>
      </c>
      <c r="H29" s="78">
        <f t="shared" ca="1" si="50"/>
        <v>0</v>
      </c>
      <c r="I29" s="4">
        <f ca="1">-SUMIFS(INDIRECT("Tab_00.Trial["&amp;I$4&amp;"]"),Tab_00.Trial[CONTA],$B29)</f>
        <v>0</v>
      </c>
      <c r="J29" s="78">
        <f t="shared" ca="1" si="39"/>
        <v>0</v>
      </c>
      <c r="K29" s="78">
        <f t="shared" ca="1" si="51"/>
        <v>-1</v>
      </c>
      <c r="L29" s="4">
        <f ca="1">-SUMIFS(INDIRECT("Tab_00.Trial["&amp;L$4&amp;"]"),Tab_00.Trial[CONTA],$B29)</f>
        <v>985.1</v>
      </c>
      <c r="M29" s="78">
        <f t="shared" ca="1" si="40"/>
        <v>0</v>
      </c>
      <c r="N29" s="78">
        <f t="shared" ca="1" si="52"/>
        <v>0</v>
      </c>
      <c r="O29" s="4">
        <f ca="1">-SUMIFS(INDIRECT("Tab_00.Trial["&amp;O$4&amp;"]"),Tab_00.Trial[CONTA],$B29)</f>
        <v>939.21</v>
      </c>
      <c r="P29" s="78">
        <f t="shared" ca="1" si="41"/>
        <v>0</v>
      </c>
      <c r="Q29" s="78">
        <f t="shared" ca="1" si="53"/>
        <v>-4.6600000000000003E-2</v>
      </c>
      <c r="R29" s="4">
        <f ca="1">-SUMIFS(INDIRECT("Tab_00.Trial["&amp;R$4&amp;"]"),Tab_00.Trial[CONTA],$B29)</f>
        <v>1015.58</v>
      </c>
      <c r="S29" s="78">
        <f t="shared" ca="1" si="42"/>
        <v>0</v>
      </c>
      <c r="T29" s="78">
        <f t="shared" ca="1" si="54"/>
        <v>8.1299999999999997E-2</v>
      </c>
      <c r="U29" s="4">
        <f ca="1">-SUMIFS(INDIRECT("Tab_00.Trial["&amp;U$4&amp;"]"),Tab_00.Trial[CONTA],$B29)</f>
        <v>1105.52</v>
      </c>
      <c r="V29" s="78">
        <f t="shared" ca="1" si="43"/>
        <v>0</v>
      </c>
      <c r="W29" s="78">
        <f t="shared" ca="1" si="55"/>
        <v>8.8599999999999998E-2</v>
      </c>
      <c r="X29" s="4">
        <f ca="1">-SUMIFS(INDIRECT("Tab_00.Trial["&amp;X$4&amp;"]"),Tab_00.Trial[CONTA],$B29)</f>
        <v>1105.52</v>
      </c>
      <c r="Y29" s="78">
        <f t="shared" ca="1" si="44"/>
        <v>0</v>
      </c>
      <c r="Z29" s="78">
        <f t="shared" ca="1" si="56"/>
        <v>0</v>
      </c>
      <c r="AA29" s="4">
        <f ca="1">-SUMIFS(INDIRECT("Tab_00.Trial["&amp;AA$4&amp;"]"),Tab_00.Trial[CONTA],$B29)</f>
        <v>1105.52</v>
      </c>
      <c r="AB29" s="78">
        <f t="shared" ca="1" si="45"/>
        <v>0</v>
      </c>
      <c r="AC29" s="78">
        <f t="shared" ca="1" si="57"/>
        <v>0</v>
      </c>
      <c r="AD29" s="4">
        <f ca="1">-SUMIFS(INDIRECT("Tab_00.Trial["&amp;AD$4&amp;"]"),Tab_00.Trial[CONTA],$B29)</f>
        <v>1158.27</v>
      </c>
      <c r="AE29" s="78">
        <f t="shared" ca="1" si="46"/>
        <v>0</v>
      </c>
      <c r="AF29" s="78">
        <f t="shared" ca="1" si="58"/>
        <v>4.7699999999999999E-2</v>
      </c>
      <c r="AG29" s="4">
        <f ca="1">-SUMIFS(INDIRECT("Tab_00.Trial["&amp;AG$4&amp;"]"),Tab_00.Trial[CONTA],$B29)</f>
        <v>1163.71</v>
      </c>
      <c r="AH29" s="78">
        <f t="shared" ca="1" si="47"/>
        <v>0</v>
      </c>
      <c r="AI29" s="78">
        <f t="shared" ca="1" si="59"/>
        <v>4.7000000000000002E-3</v>
      </c>
      <c r="AJ29" s="4">
        <f ca="1">-SUMIFS(INDIRECT("Tab_00.Trial["&amp;AJ$4&amp;"]"),Tab_00.Trial[CONTA],$B29)</f>
        <v>1127.07</v>
      </c>
      <c r="AK29" s="78">
        <f t="shared" ca="1" si="48"/>
        <v>0</v>
      </c>
      <c r="AL29" s="78">
        <f t="shared" ca="1" si="60"/>
        <v>-3.15E-2</v>
      </c>
      <c r="AM29" s="4">
        <f ca="1">-SUMIFS(INDIRECT("Tab_00.Trial["&amp;AM$4&amp;"]"),Tab_00.Trial[CONTA],$B29)</f>
        <v>1039.3900000000001</v>
      </c>
      <c r="AN29" s="78">
        <f t="shared" ca="1" si="49"/>
        <v>0</v>
      </c>
      <c r="AO29" s="78">
        <f t="shared" ca="1" si="61"/>
        <v>-7.7799999999999994E-2</v>
      </c>
    </row>
    <row r="30" spans="2:41" ht="15" hidden="1" customHeight="1" outlineLevel="1" x14ac:dyDescent="0.3">
      <c r="B30" s="14" t="s">
        <v>192</v>
      </c>
      <c r="C30" s="15" t="s">
        <v>348</v>
      </c>
      <c r="D30" s="4">
        <f>-SUMIFS(Tab_99.Trial[DEZEMBRO],Tab_99.Trial[CONTA],$B30)</f>
        <v>0</v>
      </c>
      <c r="E30" s="78">
        <f t="shared" ca="1" si="37"/>
        <v>0</v>
      </c>
      <c r="F30" s="4">
        <f ca="1">-SUMIFS(INDIRECT("Tab_00.Trial["&amp;F$4&amp;"]"),Tab_00.Trial[CONTA],$B30)</f>
        <v>21686.36</v>
      </c>
      <c r="G30" s="78">
        <f t="shared" ca="1" si="38"/>
        <v>2.9999999999999997E-4</v>
      </c>
      <c r="H30" s="78">
        <f t="shared" ca="1" si="50"/>
        <v>0</v>
      </c>
      <c r="I30" s="4">
        <f ca="1">-SUMIFS(INDIRECT("Tab_00.Trial["&amp;I$4&amp;"]"),Tab_00.Trial[CONTA],$B30)</f>
        <v>0</v>
      </c>
      <c r="J30" s="78">
        <f t="shared" ca="1" si="39"/>
        <v>0</v>
      </c>
      <c r="K30" s="78">
        <f t="shared" ca="1" si="51"/>
        <v>-1</v>
      </c>
      <c r="L30" s="4">
        <f ca="1">-SUMIFS(INDIRECT("Tab_00.Trial["&amp;L$4&amp;"]"),Tab_00.Trial[CONTA],$B30)</f>
        <v>15479.24</v>
      </c>
      <c r="M30" s="78">
        <f t="shared" ca="1" si="40"/>
        <v>2.0000000000000001E-4</v>
      </c>
      <c r="N30" s="78">
        <f t="shared" ca="1" si="52"/>
        <v>0</v>
      </c>
      <c r="O30" s="4">
        <f ca="1">-SUMIFS(INDIRECT("Tab_00.Trial["&amp;O$4&amp;"]"),Tab_00.Trial[CONTA],$B30)</f>
        <v>15492.44</v>
      </c>
      <c r="P30" s="78">
        <f t="shared" ca="1" si="41"/>
        <v>2.0000000000000001E-4</v>
      </c>
      <c r="Q30" s="78">
        <f t="shared" ca="1" si="53"/>
        <v>8.9999999999999998E-4</v>
      </c>
      <c r="R30" s="4">
        <f ca="1">-SUMIFS(INDIRECT("Tab_00.Trial["&amp;R$4&amp;"]"),Tab_00.Trial[CONTA],$B30)</f>
        <v>15450.8</v>
      </c>
      <c r="S30" s="78">
        <f t="shared" ca="1" si="42"/>
        <v>2.0000000000000001E-4</v>
      </c>
      <c r="T30" s="78">
        <f t="shared" ca="1" si="54"/>
        <v>-2.7000000000000001E-3</v>
      </c>
      <c r="U30" s="4">
        <f ca="1">-SUMIFS(INDIRECT("Tab_00.Trial["&amp;U$4&amp;"]"),Tab_00.Trial[CONTA],$B30)</f>
        <v>10986.12</v>
      </c>
      <c r="V30" s="78">
        <f t="shared" ca="1" si="43"/>
        <v>1E-4</v>
      </c>
      <c r="W30" s="78">
        <f t="shared" ca="1" si="55"/>
        <v>-0.28899999999999998</v>
      </c>
      <c r="X30" s="4">
        <f ca="1">-SUMIFS(INDIRECT("Tab_00.Trial["&amp;X$4&amp;"]"),Tab_00.Trial[CONTA],$B30)</f>
        <v>10986.12</v>
      </c>
      <c r="Y30" s="78">
        <f t="shared" ca="1" si="44"/>
        <v>1E-4</v>
      </c>
      <c r="Z30" s="78">
        <f t="shared" ca="1" si="56"/>
        <v>0</v>
      </c>
      <c r="AA30" s="4">
        <f ca="1">-SUMIFS(INDIRECT("Tab_00.Trial["&amp;AA$4&amp;"]"),Tab_00.Trial[CONTA],$B30)</f>
        <v>10986.12</v>
      </c>
      <c r="AB30" s="78">
        <f t="shared" ca="1" si="45"/>
        <v>1E-4</v>
      </c>
      <c r="AC30" s="78">
        <f t="shared" ca="1" si="57"/>
        <v>0</v>
      </c>
      <c r="AD30" s="4">
        <f ca="1">-SUMIFS(INDIRECT("Tab_00.Trial["&amp;AD$4&amp;"]"),Tab_00.Trial[CONTA],$B30)</f>
        <v>12489.94</v>
      </c>
      <c r="AE30" s="78">
        <f t="shared" ca="1" si="46"/>
        <v>1E-4</v>
      </c>
      <c r="AF30" s="78">
        <f t="shared" ca="1" si="58"/>
        <v>0.13689999999999999</v>
      </c>
      <c r="AG30" s="4">
        <f ca="1">-SUMIFS(INDIRECT("Tab_00.Trial["&amp;AG$4&amp;"]"),Tab_00.Trial[CONTA],$B30)</f>
        <v>16402</v>
      </c>
      <c r="AH30" s="78">
        <f t="shared" ca="1" si="47"/>
        <v>2.0000000000000001E-4</v>
      </c>
      <c r="AI30" s="78">
        <f t="shared" ca="1" si="59"/>
        <v>0.31319999999999998</v>
      </c>
      <c r="AJ30" s="4">
        <f ca="1">-SUMIFS(INDIRECT("Tab_00.Trial["&amp;AJ$4&amp;"]"),Tab_00.Trial[CONTA],$B30)</f>
        <v>14692.56</v>
      </c>
      <c r="AK30" s="78">
        <f t="shared" ca="1" si="48"/>
        <v>2.0000000000000001E-4</v>
      </c>
      <c r="AL30" s="78">
        <f t="shared" ca="1" si="60"/>
        <v>-0.1042</v>
      </c>
      <c r="AM30" s="4">
        <f ca="1">-SUMIFS(INDIRECT("Tab_00.Trial["&amp;AM$4&amp;"]"),Tab_00.Trial[CONTA],$B30)</f>
        <v>15708.71</v>
      </c>
      <c r="AN30" s="78">
        <f t="shared" ca="1" si="49"/>
        <v>2.0000000000000001E-4</v>
      </c>
      <c r="AO30" s="78">
        <f t="shared" ca="1" si="61"/>
        <v>6.9199999999999998E-2</v>
      </c>
    </row>
    <row r="31" spans="2:41" ht="15" hidden="1" customHeight="1" outlineLevel="1" x14ac:dyDescent="0.3">
      <c r="B31" s="14" t="s">
        <v>784</v>
      </c>
      <c r="C31" s="15" t="s">
        <v>785</v>
      </c>
      <c r="D31" s="4">
        <f>-SUMIFS(Tab_99.Trial[DEZEMBRO],Tab_99.Trial[CONTA],$B31)</f>
        <v>0</v>
      </c>
      <c r="E31" s="78">
        <f t="shared" ca="1" si="37"/>
        <v>0</v>
      </c>
      <c r="F31" s="4">
        <f ca="1">-SUMIFS(INDIRECT("Tab_00.Trial["&amp;F$4&amp;"]"),Tab_00.Trial[CONTA],$B31)</f>
        <v>901.38</v>
      </c>
      <c r="G31" s="78">
        <f t="shared" ca="1" si="38"/>
        <v>0</v>
      </c>
      <c r="H31" s="78">
        <f t="shared" ca="1" si="50"/>
        <v>0</v>
      </c>
      <c r="I31" s="4">
        <f ca="1">-SUMIFS(INDIRECT("Tab_00.Trial["&amp;I$4&amp;"]"),Tab_00.Trial[CONTA],$B31)</f>
        <v>901.38</v>
      </c>
      <c r="J31" s="78">
        <f t="shared" ca="1" si="39"/>
        <v>0</v>
      </c>
      <c r="K31" s="78">
        <f t="shared" ca="1" si="51"/>
        <v>0</v>
      </c>
      <c r="L31" s="4">
        <f ca="1">-SUMIFS(INDIRECT("Tab_00.Trial["&amp;L$4&amp;"]"),Tab_00.Trial[CONTA],$B31)</f>
        <v>1987.97</v>
      </c>
      <c r="M31" s="78">
        <f t="shared" ca="1" si="40"/>
        <v>0</v>
      </c>
      <c r="N31" s="78">
        <f t="shared" ca="1" si="52"/>
        <v>1.2055</v>
      </c>
      <c r="O31" s="4">
        <f ca="1">-SUMIFS(INDIRECT("Tab_00.Trial["&amp;O$4&amp;"]"),Tab_00.Trial[CONTA],$B31)</f>
        <v>2650.62</v>
      </c>
      <c r="P31" s="78">
        <f t="shared" ca="1" si="41"/>
        <v>0</v>
      </c>
      <c r="Q31" s="78">
        <f t="shared" ca="1" si="53"/>
        <v>0.33329999999999999</v>
      </c>
      <c r="R31" s="4">
        <f ca="1">-SUMIFS(INDIRECT("Tab_00.Trial["&amp;R$4&amp;"]"),Tab_00.Trial[CONTA],$B31)</f>
        <v>3334.64</v>
      </c>
      <c r="S31" s="78">
        <f t="shared" ca="1" si="42"/>
        <v>0</v>
      </c>
      <c r="T31" s="78">
        <f t="shared" ca="1" si="54"/>
        <v>0.2581</v>
      </c>
      <c r="U31" s="4">
        <f ca="1">-SUMIFS(INDIRECT("Tab_00.Trial["&amp;U$4&amp;"]"),Tab_00.Trial[CONTA],$B31)</f>
        <v>4702.63</v>
      </c>
      <c r="V31" s="78">
        <f t="shared" ca="1" si="43"/>
        <v>1E-4</v>
      </c>
      <c r="W31" s="78">
        <f t="shared" ca="1" si="55"/>
        <v>0.41020000000000001</v>
      </c>
      <c r="X31" s="4">
        <f ca="1">-SUMIFS(INDIRECT("Tab_00.Trial["&amp;X$4&amp;"]"),Tab_00.Trial[CONTA],$B31)</f>
        <v>4702.63</v>
      </c>
      <c r="Y31" s="78">
        <f t="shared" ca="1" si="44"/>
        <v>1E-4</v>
      </c>
      <c r="Z31" s="78">
        <f t="shared" ca="1" si="56"/>
        <v>0</v>
      </c>
      <c r="AA31" s="4">
        <f ca="1">-SUMIFS(INDIRECT("Tab_00.Trial["&amp;AA$4&amp;"]"),Tab_00.Trial[CONTA],$B31)</f>
        <v>4702.63</v>
      </c>
      <c r="AB31" s="78">
        <f t="shared" ca="1" si="45"/>
        <v>1E-4</v>
      </c>
      <c r="AC31" s="78">
        <f t="shared" ca="1" si="57"/>
        <v>0</v>
      </c>
      <c r="AD31" s="4">
        <f ca="1">-SUMIFS(INDIRECT("Tab_00.Trial["&amp;AD$4&amp;"]"),Tab_00.Trial[CONTA],$B31)</f>
        <v>6093.55</v>
      </c>
      <c r="AE31" s="78">
        <f t="shared" ca="1" si="46"/>
        <v>1E-4</v>
      </c>
      <c r="AF31" s="78">
        <f t="shared" ca="1" si="58"/>
        <v>0.29580000000000001</v>
      </c>
      <c r="AG31" s="4">
        <f ca="1">-SUMIFS(INDIRECT("Tab_00.Trial["&amp;AG$4&amp;"]"),Tab_00.Trial[CONTA],$B31)</f>
        <v>6785.69</v>
      </c>
      <c r="AH31" s="78">
        <f t="shared" ca="1" si="47"/>
        <v>1E-4</v>
      </c>
      <c r="AI31" s="78">
        <f t="shared" ca="1" si="59"/>
        <v>0.11360000000000001</v>
      </c>
      <c r="AJ31" s="4">
        <f ca="1">-SUMIFS(INDIRECT("Tab_00.Trial["&amp;AJ$4&amp;"]"),Tab_00.Trial[CONTA],$B31)</f>
        <v>7477.8</v>
      </c>
      <c r="AK31" s="78">
        <f t="shared" ca="1" si="48"/>
        <v>1E-4</v>
      </c>
      <c r="AL31" s="78">
        <f t="shared" ca="1" si="60"/>
        <v>0.10199999999999999</v>
      </c>
      <c r="AM31" s="4">
        <f ca="1">-SUMIFS(INDIRECT("Tab_00.Trial["&amp;AM$4&amp;"]"),Tab_00.Trial[CONTA],$B31)</f>
        <v>0</v>
      </c>
      <c r="AN31" s="78">
        <f t="shared" ca="1" si="49"/>
        <v>0</v>
      </c>
      <c r="AO31" s="78">
        <f t="shared" ca="1" si="61"/>
        <v>-1</v>
      </c>
    </row>
    <row r="32" spans="2:41" ht="15" hidden="1" customHeight="1" outlineLevel="1" x14ac:dyDescent="0.3">
      <c r="B32" s="14" t="s">
        <v>786</v>
      </c>
      <c r="C32" s="15" t="s">
        <v>787</v>
      </c>
      <c r="D32" s="4">
        <f>-SUMIFS(Tab_99.Trial[DEZEMBRO],Tab_99.Trial[CONTA],$B32)</f>
        <v>0</v>
      </c>
      <c r="E32" s="78">
        <f t="shared" ca="1" si="37"/>
        <v>0</v>
      </c>
      <c r="F32" s="4">
        <f ca="1">-SUMIFS(INDIRECT("Tab_00.Trial["&amp;F$4&amp;"]"),Tab_00.Trial[CONTA],$B32)</f>
        <v>112.67</v>
      </c>
      <c r="G32" s="78">
        <f t="shared" ca="1" si="38"/>
        <v>0</v>
      </c>
      <c r="H32" s="78">
        <f t="shared" ca="1" si="50"/>
        <v>0</v>
      </c>
      <c r="I32" s="4">
        <f ca="1">-SUMIFS(INDIRECT("Tab_00.Trial["&amp;I$4&amp;"]"),Tab_00.Trial[CONTA],$B32)</f>
        <v>112.67</v>
      </c>
      <c r="J32" s="78">
        <f t="shared" ca="1" si="39"/>
        <v>0</v>
      </c>
      <c r="K32" s="78">
        <f t="shared" ca="1" si="51"/>
        <v>0</v>
      </c>
      <c r="L32" s="4">
        <f ca="1">-SUMIFS(INDIRECT("Tab_00.Trial["&amp;L$4&amp;"]"),Tab_00.Trial[CONTA],$B32)</f>
        <v>248.5</v>
      </c>
      <c r="M32" s="78">
        <f t="shared" ca="1" si="40"/>
        <v>0</v>
      </c>
      <c r="N32" s="78">
        <f t="shared" ca="1" si="52"/>
        <v>1.2056</v>
      </c>
      <c r="O32" s="4">
        <f ca="1">-SUMIFS(INDIRECT("Tab_00.Trial["&amp;O$4&amp;"]"),Tab_00.Trial[CONTA],$B32)</f>
        <v>331.34</v>
      </c>
      <c r="P32" s="78">
        <f t="shared" ca="1" si="41"/>
        <v>0</v>
      </c>
      <c r="Q32" s="78">
        <f t="shared" ca="1" si="53"/>
        <v>0.33339999999999997</v>
      </c>
      <c r="R32" s="4">
        <f ca="1">-SUMIFS(INDIRECT("Tab_00.Trial["&amp;R$4&amp;"]"),Tab_00.Trial[CONTA],$B32)</f>
        <v>416.83</v>
      </c>
      <c r="S32" s="78">
        <f t="shared" ca="1" si="42"/>
        <v>0</v>
      </c>
      <c r="T32" s="78">
        <f t="shared" ca="1" si="54"/>
        <v>0.25800000000000001</v>
      </c>
      <c r="U32" s="4">
        <f ca="1">-SUMIFS(INDIRECT("Tab_00.Trial["&amp;U$4&amp;"]"),Tab_00.Trial[CONTA],$B32)</f>
        <v>587.80999999999995</v>
      </c>
      <c r="V32" s="78">
        <f t="shared" ca="1" si="43"/>
        <v>0</v>
      </c>
      <c r="W32" s="78">
        <f t="shared" ca="1" si="55"/>
        <v>0.41020000000000001</v>
      </c>
      <c r="X32" s="4">
        <f ca="1">-SUMIFS(INDIRECT("Tab_00.Trial["&amp;X$4&amp;"]"),Tab_00.Trial[CONTA],$B32)</f>
        <v>587.80999999999995</v>
      </c>
      <c r="Y32" s="78">
        <f t="shared" ca="1" si="44"/>
        <v>0</v>
      </c>
      <c r="Z32" s="78">
        <f t="shared" ca="1" si="56"/>
        <v>0</v>
      </c>
      <c r="AA32" s="4">
        <f ca="1">-SUMIFS(INDIRECT("Tab_00.Trial["&amp;AA$4&amp;"]"),Tab_00.Trial[CONTA],$B32)</f>
        <v>587.80999999999995</v>
      </c>
      <c r="AB32" s="78">
        <f t="shared" ca="1" si="45"/>
        <v>0</v>
      </c>
      <c r="AC32" s="78">
        <f t="shared" ca="1" si="57"/>
        <v>0</v>
      </c>
      <c r="AD32" s="4">
        <f ca="1">-SUMIFS(INDIRECT("Tab_00.Trial["&amp;AD$4&amp;"]"),Tab_00.Trial[CONTA],$B32)</f>
        <v>768.18</v>
      </c>
      <c r="AE32" s="78">
        <f t="shared" ca="1" si="46"/>
        <v>0</v>
      </c>
      <c r="AF32" s="78">
        <f t="shared" ca="1" si="58"/>
        <v>0.30690000000000001</v>
      </c>
      <c r="AG32" s="4">
        <f ca="1">-SUMIFS(INDIRECT("Tab_00.Trial["&amp;AG$4&amp;"]"),Tab_00.Trial[CONTA],$B32)</f>
        <v>854.63</v>
      </c>
      <c r="AH32" s="78">
        <f t="shared" ca="1" si="47"/>
        <v>0</v>
      </c>
      <c r="AI32" s="78">
        <f t="shared" ca="1" si="59"/>
        <v>0.1125</v>
      </c>
      <c r="AJ32" s="4">
        <f ca="1">-SUMIFS(INDIRECT("Tab_00.Trial["&amp;AJ$4&amp;"]"),Tab_00.Trial[CONTA],$B32)</f>
        <v>941.08</v>
      </c>
      <c r="AK32" s="78">
        <f t="shared" ca="1" si="48"/>
        <v>0</v>
      </c>
      <c r="AL32" s="78">
        <f t="shared" ca="1" si="60"/>
        <v>0.1012</v>
      </c>
      <c r="AM32" s="4">
        <f ca="1">-SUMIFS(INDIRECT("Tab_00.Trial["&amp;AM$4&amp;"]"),Tab_00.Trial[CONTA],$B32)</f>
        <v>0</v>
      </c>
      <c r="AN32" s="78">
        <f t="shared" ca="1" si="49"/>
        <v>0</v>
      </c>
      <c r="AO32" s="78">
        <f t="shared" ca="1" si="61"/>
        <v>-1</v>
      </c>
    </row>
    <row r="33" spans="2:41" ht="15" hidden="1" customHeight="1" outlineLevel="1" x14ac:dyDescent="0.3">
      <c r="B33" s="14" t="s">
        <v>788</v>
      </c>
      <c r="C33" s="15" t="s">
        <v>789</v>
      </c>
      <c r="D33" s="4">
        <f>-SUMIFS(Tab_99.Trial[DEZEMBRO],Tab_99.Trial[CONTA],$B33)</f>
        <v>0</v>
      </c>
      <c r="E33" s="78">
        <f t="shared" ca="1" si="37"/>
        <v>0</v>
      </c>
      <c r="F33" s="4">
        <f ca="1">-SUMIFS(INDIRECT("Tab_00.Trial["&amp;F$4&amp;"]"),Tab_00.Trial[CONTA],$B33)</f>
        <v>3019.84</v>
      </c>
      <c r="G33" s="78">
        <f t="shared" ca="1" si="38"/>
        <v>0</v>
      </c>
      <c r="H33" s="78">
        <f t="shared" ca="1" si="50"/>
        <v>0</v>
      </c>
      <c r="I33" s="4">
        <f ca="1">-SUMIFS(INDIRECT("Tab_00.Trial["&amp;I$4&amp;"]"),Tab_00.Trial[CONTA],$B33)</f>
        <v>3019.84</v>
      </c>
      <c r="J33" s="78">
        <f t="shared" ca="1" si="39"/>
        <v>0</v>
      </c>
      <c r="K33" s="78">
        <f t="shared" ca="1" si="51"/>
        <v>0</v>
      </c>
      <c r="L33" s="4">
        <f ca="1">-SUMIFS(INDIRECT("Tab_00.Trial["&amp;L$4&amp;"]"),Tab_00.Trial[CONTA],$B33)</f>
        <v>6659.85</v>
      </c>
      <c r="M33" s="78">
        <f t="shared" ca="1" si="40"/>
        <v>1E-4</v>
      </c>
      <c r="N33" s="78">
        <f t="shared" ca="1" si="52"/>
        <v>1.2054</v>
      </c>
      <c r="O33" s="4">
        <f ca="1">-SUMIFS(INDIRECT("Tab_00.Trial["&amp;O$4&amp;"]"),Tab_00.Trial[CONTA],$B33)</f>
        <v>8879.77</v>
      </c>
      <c r="P33" s="78">
        <f t="shared" ca="1" si="41"/>
        <v>1E-4</v>
      </c>
      <c r="Q33" s="78">
        <f t="shared" ca="1" si="53"/>
        <v>0.33329999999999999</v>
      </c>
      <c r="R33" s="4">
        <f ca="1">-SUMIFS(INDIRECT("Tab_00.Trial["&amp;R$4&amp;"]"),Tab_00.Trial[CONTA],$B33)</f>
        <v>11171.18</v>
      </c>
      <c r="S33" s="78">
        <f t="shared" ca="1" si="42"/>
        <v>1E-4</v>
      </c>
      <c r="T33" s="78">
        <f t="shared" ca="1" si="54"/>
        <v>0.25800000000000001</v>
      </c>
      <c r="U33" s="4">
        <f ca="1">-SUMIFS(INDIRECT("Tab_00.Trial["&amp;U$4&amp;"]"),Tab_00.Trial[CONTA],$B33)</f>
        <v>15753</v>
      </c>
      <c r="V33" s="78">
        <f t="shared" ca="1" si="43"/>
        <v>2.0000000000000001E-4</v>
      </c>
      <c r="W33" s="78">
        <f t="shared" ca="1" si="55"/>
        <v>0.41010000000000002</v>
      </c>
      <c r="X33" s="4">
        <f ca="1">-SUMIFS(INDIRECT("Tab_00.Trial["&amp;X$4&amp;"]"),Tab_00.Trial[CONTA],$B33)</f>
        <v>15753</v>
      </c>
      <c r="Y33" s="78">
        <f t="shared" ca="1" si="44"/>
        <v>2.0000000000000001E-4</v>
      </c>
      <c r="Z33" s="78">
        <f t="shared" ca="1" si="56"/>
        <v>0</v>
      </c>
      <c r="AA33" s="4">
        <f ca="1">-SUMIFS(INDIRECT("Tab_00.Trial["&amp;AA$4&amp;"]"),Tab_00.Trial[CONTA],$B33)</f>
        <v>15753</v>
      </c>
      <c r="AB33" s="78">
        <f t="shared" ca="1" si="45"/>
        <v>2.0000000000000001E-4</v>
      </c>
      <c r="AC33" s="78">
        <f t="shared" ca="1" si="57"/>
        <v>0</v>
      </c>
      <c r="AD33" s="4">
        <f ca="1">-SUMIFS(INDIRECT("Tab_00.Trial["&amp;AD$4&amp;"]"),Tab_00.Trial[CONTA],$B33)</f>
        <v>20587.400000000001</v>
      </c>
      <c r="AE33" s="78">
        <f t="shared" ca="1" si="46"/>
        <v>2.0000000000000001E-4</v>
      </c>
      <c r="AF33" s="78">
        <f t="shared" ca="1" si="58"/>
        <v>0.30690000000000001</v>
      </c>
      <c r="AG33" s="4">
        <f ca="1">-SUMIFS(INDIRECT("Tab_00.Trial["&amp;AG$4&amp;"]"),Tab_00.Trial[CONTA],$B33)</f>
        <v>22903.94</v>
      </c>
      <c r="AH33" s="78">
        <f t="shared" ca="1" si="47"/>
        <v>2.9999999999999997E-4</v>
      </c>
      <c r="AI33" s="78">
        <f t="shared" ca="1" si="59"/>
        <v>0.1125</v>
      </c>
      <c r="AJ33" s="4">
        <f ca="1">-SUMIFS(INDIRECT("Tab_00.Trial["&amp;AJ$4&amp;"]"),Tab_00.Trial[CONTA],$B33)</f>
        <v>25220.720000000001</v>
      </c>
      <c r="AK33" s="78">
        <f t="shared" ca="1" si="48"/>
        <v>2.9999999999999997E-4</v>
      </c>
      <c r="AL33" s="78">
        <f t="shared" ca="1" si="60"/>
        <v>0.1012</v>
      </c>
      <c r="AM33" s="4">
        <f ca="1">-SUMIFS(INDIRECT("Tab_00.Trial["&amp;AM$4&amp;"]"),Tab_00.Trial[CONTA],$B33)</f>
        <v>0</v>
      </c>
      <c r="AN33" s="78">
        <f t="shared" ca="1" si="49"/>
        <v>0</v>
      </c>
      <c r="AO33" s="78">
        <f t="shared" ca="1" si="61"/>
        <v>-1</v>
      </c>
    </row>
    <row r="34" spans="2:41" ht="15" hidden="1" customHeight="1" outlineLevel="1" x14ac:dyDescent="0.3">
      <c r="B34" s="14" t="s">
        <v>790</v>
      </c>
      <c r="C34" s="15" t="s">
        <v>791</v>
      </c>
      <c r="D34" s="4">
        <f>-SUMIFS(Tab_99.Trial[DEZEMBRO],Tab_99.Trial[CONTA],$B34)</f>
        <v>0</v>
      </c>
      <c r="E34" s="78">
        <f t="shared" ca="1" si="37"/>
        <v>0</v>
      </c>
      <c r="F34" s="4">
        <f ca="1">-SUMIFS(INDIRECT("Tab_00.Trial["&amp;F$4&amp;"]"),Tab_00.Trial[CONTA],$B34)</f>
        <v>16551.36</v>
      </c>
      <c r="G34" s="78">
        <f t="shared" ca="1" si="38"/>
        <v>2.0000000000000001E-4</v>
      </c>
      <c r="H34" s="78">
        <f t="shared" ca="1" si="50"/>
        <v>0</v>
      </c>
      <c r="I34" s="4">
        <f ca="1">-SUMIFS(INDIRECT("Tab_00.Trial["&amp;I$4&amp;"]"),Tab_00.Trial[CONTA],$B34)</f>
        <v>16551.36</v>
      </c>
      <c r="J34" s="78">
        <f t="shared" ca="1" si="39"/>
        <v>2.0000000000000001E-4</v>
      </c>
      <c r="K34" s="78">
        <f t="shared" ca="1" si="51"/>
        <v>0</v>
      </c>
      <c r="L34" s="4">
        <f ca="1">-SUMIFS(INDIRECT("Tab_00.Trial["&amp;L$4&amp;"]"),Tab_00.Trial[CONTA],$B34)</f>
        <v>12142.12</v>
      </c>
      <c r="M34" s="78">
        <f t="shared" ca="1" si="40"/>
        <v>1E-4</v>
      </c>
      <c r="N34" s="78">
        <f t="shared" ca="1" si="52"/>
        <v>-0.26640000000000003</v>
      </c>
      <c r="O34" s="4">
        <f ca="1">-SUMIFS(INDIRECT("Tab_00.Trial["&amp;O$4&amp;"]"),Tab_00.Trial[CONTA],$B34)</f>
        <v>13011.43</v>
      </c>
      <c r="P34" s="78">
        <f t="shared" ca="1" si="41"/>
        <v>2.0000000000000001E-4</v>
      </c>
      <c r="Q34" s="78">
        <f t="shared" ca="1" si="53"/>
        <v>7.1599999999999997E-2</v>
      </c>
      <c r="R34" s="4">
        <f ca="1">-SUMIFS(INDIRECT("Tab_00.Trial["&amp;R$4&amp;"]"),Tab_00.Trial[CONTA],$B34)</f>
        <v>13923.42</v>
      </c>
      <c r="S34" s="78">
        <f t="shared" ca="1" si="42"/>
        <v>2.0000000000000001E-4</v>
      </c>
      <c r="T34" s="78">
        <f t="shared" ca="1" si="54"/>
        <v>7.0099999999999996E-2</v>
      </c>
      <c r="U34" s="4">
        <f ca="1">-SUMIFS(INDIRECT("Tab_00.Trial["&amp;U$4&amp;"]"),Tab_00.Trial[CONTA],$B34)</f>
        <v>13313.66</v>
      </c>
      <c r="V34" s="78">
        <f t="shared" ca="1" si="43"/>
        <v>2.0000000000000001E-4</v>
      </c>
      <c r="W34" s="78">
        <f t="shared" ca="1" si="55"/>
        <v>-4.3799999999999999E-2</v>
      </c>
      <c r="X34" s="4">
        <f ca="1">-SUMIFS(INDIRECT("Tab_00.Trial["&amp;X$4&amp;"]"),Tab_00.Trial[CONTA],$B34)</f>
        <v>13313.66</v>
      </c>
      <c r="Y34" s="78">
        <f t="shared" ca="1" si="44"/>
        <v>2.0000000000000001E-4</v>
      </c>
      <c r="Z34" s="78">
        <f t="shared" ca="1" si="56"/>
        <v>0</v>
      </c>
      <c r="AA34" s="4">
        <f ca="1">-SUMIFS(INDIRECT("Tab_00.Trial["&amp;AA$4&amp;"]"),Tab_00.Trial[CONTA],$B34)</f>
        <v>13313.66</v>
      </c>
      <c r="AB34" s="78">
        <f t="shared" ca="1" si="45"/>
        <v>2.0000000000000001E-4</v>
      </c>
      <c r="AC34" s="78">
        <f t="shared" ca="1" si="57"/>
        <v>0</v>
      </c>
      <c r="AD34" s="4">
        <f ca="1">-SUMIFS(INDIRECT("Tab_00.Trial["&amp;AD$4&amp;"]"),Tab_00.Trial[CONTA],$B34)</f>
        <v>11878.87</v>
      </c>
      <c r="AE34" s="78">
        <f t="shared" ca="1" si="46"/>
        <v>1E-4</v>
      </c>
      <c r="AF34" s="78">
        <f t="shared" ca="1" si="58"/>
        <v>-0.10780000000000001</v>
      </c>
      <c r="AG34" s="4">
        <f ca="1">-SUMIFS(INDIRECT("Tab_00.Trial["&amp;AG$4&amp;"]"),Tab_00.Trial[CONTA],$B34)</f>
        <v>11245.64</v>
      </c>
      <c r="AH34" s="78">
        <f t="shared" ca="1" si="47"/>
        <v>1E-4</v>
      </c>
      <c r="AI34" s="78">
        <f t="shared" ca="1" si="59"/>
        <v>-5.33E-2</v>
      </c>
      <c r="AJ34" s="4">
        <f ca="1">-SUMIFS(INDIRECT("Tab_00.Trial["&amp;AJ$4&amp;"]"),Tab_00.Trial[CONTA],$B34)</f>
        <v>11730.99</v>
      </c>
      <c r="AK34" s="78">
        <f t="shared" ca="1" si="48"/>
        <v>1E-4</v>
      </c>
      <c r="AL34" s="78">
        <f t="shared" ca="1" si="60"/>
        <v>4.3200000000000002E-2</v>
      </c>
      <c r="AM34" s="4">
        <f ca="1">-SUMIFS(INDIRECT("Tab_00.Trial["&amp;AM$4&amp;"]"),Tab_00.Trial[CONTA],$B34)</f>
        <v>12734.09</v>
      </c>
      <c r="AN34" s="78">
        <f t="shared" ca="1" si="49"/>
        <v>1E-4</v>
      </c>
      <c r="AO34" s="78">
        <f t="shared" ca="1" si="61"/>
        <v>8.5500000000000007E-2</v>
      </c>
    </row>
    <row r="35" spans="2:41" ht="15" hidden="1" customHeight="1" outlineLevel="1" x14ac:dyDescent="0.3">
      <c r="B35" s="14" t="s">
        <v>792</v>
      </c>
      <c r="C35" s="15" t="s">
        <v>793</v>
      </c>
      <c r="D35" s="4">
        <f>-SUMIFS(Tab_99.Trial[DEZEMBRO],Tab_99.Trial[CONTA],$B35)</f>
        <v>0</v>
      </c>
      <c r="E35" s="78">
        <f t="shared" ca="1" si="37"/>
        <v>0</v>
      </c>
      <c r="F35" s="4">
        <f ca="1">-SUMIFS(INDIRECT("Tab_00.Trial["&amp;F$4&amp;"]"),Tab_00.Trial[CONTA],$B35)</f>
        <v>2448.34</v>
      </c>
      <c r="G35" s="78">
        <f t="shared" ca="1" si="38"/>
        <v>0</v>
      </c>
      <c r="H35" s="78">
        <f t="shared" ca="1" si="50"/>
        <v>0</v>
      </c>
      <c r="I35" s="4">
        <f ca="1">-SUMIFS(INDIRECT("Tab_00.Trial["&amp;I$4&amp;"]"),Tab_00.Trial[CONTA],$B35)</f>
        <v>2448.34</v>
      </c>
      <c r="J35" s="78">
        <f t="shared" ca="1" si="39"/>
        <v>0</v>
      </c>
      <c r="K35" s="78">
        <f t="shared" ca="1" si="51"/>
        <v>0</v>
      </c>
      <c r="L35" s="4">
        <f ca="1">-SUMIFS(INDIRECT("Tab_00.Trial["&amp;L$4&amp;"]"),Tab_00.Trial[CONTA],$B35)</f>
        <v>1786.86</v>
      </c>
      <c r="M35" s="78">
        <f t="shared" ca="1" si="40"/>
        <v>0</v>
      </c>
      <c r="N35" s="78">
        <f t="shared" ca="1" si="52"/>
        <v>-0.2702</v>
      </c>
      <c r="O35" s="4">
        <f ca="1">-SUMIFS(INDIRECT("Tab_00.Trial["&amp;O$4&amp;"]"),Tab_00.Trial[CONTA],$B35)</f>
        <v>1889.75</v>
      </c>
      <c r="P35" s="78">
        <f t="shared" ca="1" si="41"/>
        <v>0</v>
      </c>
      <c r="Q35" s="78">
        <f t="shared" ca="1" si="53"/>
        <v>5.7599999999999998E-2</v>
      </c>
      <c r="R35" s="4">
        <f ca="1">-SUMIFS(INDIRECT("Tab_00.Trial["&amp;R$4&amp;"]"),Tab_00.Trial[CONTA],$B35)</f>
        <v>1994.85</v>
      </c>
      <c r="S35" s="78">
        <f t="shared" ca="1" si="42"/>
        <v>0</v>
      </c>
      <c r="T35" s="78">
        <f t="shared" ca="1" si="54"/>
        <v>5.5599999999999997E-2</v>
      </c>
      <c r="U35" s="4">
        <f ca="1">-SUMIFS(INDIRECT("Tab_00.Trial["&amp;U$4&amp;"]"),Tab_00.Trial[CONTA],$B35)</f>
        <v>1918.65</v>
      </c>
      <c r="V35" s="78">
        <f t="shared" ca="1" si="43"/>
        <v>0</v>
      </c>
      <c r="W35" s="78">
        <f t="shared" ca="1" si="55"/>
        <v>-3.8199999999999998E-2</v>
      </c>
      <c r="X35" s="4">
        <f ca="1">-SUMIFS(INDIRECT("Tab_00.Trial["&amp;X$4&amp;"]"),Tab_00.Trial[CONTA],$B35)</f>
        <v>1918.65</v>
      </c>
      <c r="Y35" s="78">
        <f t="shared" ca="1" si="44"/>
        <v>0</v>
      </c>
      <c r="Z35" s="78">
        <f t="shared" ca="1" si="56"/>
        <v>0</v>
      </c>
      <c r="AA35" s="4">
        <f ca="1">-SUMIFS(INDIRECT("Tab_00.Trial["&amp;AA$4&amp;"]"),Tab_00.Trial[CONTA],$B35)</f>
        <v>1918.65</v>
      </c>
      <c r="AB35" s="78">
        <f t="shared" ca="1" si="45"/>
        <v>0</v>
      </c>
      <c r="AC35" s="78">
        <f t="shared" ca="1" si="57"/>
        <v>0</v>
      </c>
      <c r="AD35" s="4">
        <f ca="1">-SUMIFS(INDIRECT("Tab_00.Trial["&amp;AD$4&amp;"]"),Tab_00.Trial[CONTA],$B35)</f>
        <v>1807.67</v>
      </c>
      <c r="AE35" s="78">
        <f t="shared" ca="1" si="46"/>
        <v>0</v>
      </c>
      <c r="AF35" s="78">
        <f t="shared" ca="1" si="58"/>
        <v>-5.7799999999999997E-2</v>
      </c>
      <c r="AG35" s="4">
        <f ca="1">-SUMIFS(INDIRECT("Tab_00.Trial["&amp;AG$4&amp;"]"),Tab_00.Trial[CONTA],$B35)</f>
        <v>1602.33</v>
      </c>
      <c r="AH35" s="78">
        <f t="shared" ca="1" si="47"/>
        <v>0</v>
      </c>
      <c r="AI35" s="78">
        <f t="shared" ca="1" si="59"/>
        <v>-0.11360000000000001</v>
      </c>
      <c r="AJ35" s="4">
        <f ca="1">-SUMIFS(INDIRECT("Tab_00.Trial["&amp;AJ$4&amp;"]"),Tab_00.Trial[CONTA],$B35)</f>
        <v>1669.81</v>
      </c>
      <c r="AK35" s="78">
        <f t="shared" ca="1" si="48"/>
        <v>0</v>
      </c>
      <c r="AL35" s="78">
        <f t="shared" ca="1" si="60"/>
        <v>4.2099999999999999E-2</v>
      </c>
      <c r="AM35" s="4">
        <f ca="1">-SUMIFS(INDIRECT("Tab_00.Trial["&amp;AM$4&amp;"]"),Tab_00.Trial[CONTA],$B35)</f>
        <v>1785.18</v>
      </c>
      <c r="AN35" s="78">
        <f t="shared" ca="1" si="49"/>
        <v>0</v>
      </c>
      <c r="AO35" s="78">
        <f t="shared" ca="1" si="61"/>
        <v>6.9099999999999995E-2</v>
      </c>
    </row>
    <row r="36" spans="2:41" ht="15" hidden="1" customHeight="1" outlineLevel="1" x14ac:dyDescent="0.3">
      <c r="B36" s="14" t="s">
        <v>794</v>
      </c>
      <c r="C36" s="15" t="s">
        <v>795</v>
      </c>
      <c r="D36" s="4">
        <f>-SUMIFS(Tab_99.Trial[DEZEMBRO],Tab_99.Trial[CONTA],$B36)</f>
        <v>0</v>
      </c>
      <c r="E36" s="78">
        <f t="shared" ca="1" si="37"/>
        <v>0</v>
      </c>
      <c r="F36" s="4">
        <f ca="1">-SUMIFS(INDIRECT("Tab_00.Trial["&amp;F$4&amp;"]"),Tab_00.Trial[CONTA],$B36)</f>
        <v>55447.42</v>
      </c>
      <c r="G36" s="78">
        <f t="shared" ca="1" si="38"/>
        <v>6.9999999999999999E-4</v>
      </c>
      <c r="H36" s="78">
        <f t="shared" ca="1" si="50"/>
        <v>0</v>
      </c>
      <c r="I36" s="4">
        <f ca="1">-SUMIFS(INDIRECT("Tab_00.Trial["&amp;I$4&amp;"]"),Tab_00.Trial[CONTA],$B36)</f>
        <v>55447.42</v>
      </c>
      <c r="J36" s="78">
        <f t="shared" ca="1" si="39"/>
        <v>6.9999999999999999E-4</v>
      </c>
      <c r="K36" s="78">
        <f t="shared" ca="1" si="51"/>
        <v>0</v>
      </c>
      <c r="L36" s="4">
        <f ca="1">-SUMIFS(INDIRECT("Tab_00.Trial["&amp;L$4&amp;"]"),Tab_00.Trial[CONTA],$B36)</f>
        <v>40676.660000000003</v>
      </c>
      <c r="M36" s="78">
        <f t="shared" ca="1" si="40"/>
        <v>5.0000000000000001E-4</v>
      </c>
      <c r="N36" s="78">
        <f t="shared" ca="1" si="52"/>
        <v>-0.26640000000000003</v>
      </c>
      <c r="O36" s="4">
        <f ca="1">-SUMIFS(INDIRECT("Tab_00.Trial["&amp;O$4&amp;"]"),Tab_00.Trial[CONTA],$B36)</f>
        <v>43588.78</v>
      </c>
      <c r="P36" s="78">
        <f t="shared" ca="1" si="41"/>
        <v>5.0000000000000001E-4</v>
      </c>
      <c r="Q36" s="78">
        <f t="shared" ca="1" si="53"/>
        <v>7.1599999999999997E-2</v>
      </c>
      <c r="R36" s="4">
        <f ca="1">-SUMIFS(INDIRECT("Tab_00.Trial["&amp;R$4&amp;"]"),Tab_00.Trial[CONTA],$B36)</f>
        <v>46644</v>
      </c>
      <c r="S36" s="78">
        <f t="shared" ca="1" si="42"/>
        <v>5.9999999999999995E-4</v>
      </c>
      <c r="T36" s="78">
        <f t="shared" ca="1" si="54"/>
        <v>7.0099999999999996E-2</v>
      </c>
      <c r="U36" s="4">
        <f ca="1">-SUMIFS(INDIRECT("Tab_00.Trial["&amp;U$4&amp;"]"),Tab_00.Trial[CONTA],$B36)</f>
        <v>44601.32</v>
      </c>
      <c r="V36" s="78">
        <f t="shared" ca="1" si="43"/>
        <v>5.0000000000000001E-4</v>
      </c>
      <c r="W36" s="78">
        <f t="shared" ca="1" si="55"/>
        <v>-4.3799999999999999E-2</v>
      </c>
      <c r="X36" s="4">
        <f ca="1">-SUMIFS(INDIRECT("Tab_00.Trial["&amp;X$4&amp;"]"),Tab_00.Trial[CONTA],$B36)</f>
        <v>44601.32</v>
      </c>
      <c r="Y36" s="78">
        <f t="shared" ca="1" si="44"/>
        <v>5.0000000000000001E-4</v>
      </c>
      <c r="Z36" s="78">
        <f t="shared" ca="1" si="56"/>
        <v>0</v>
      </c>
      <c r="AA36" s="4">
        <f ca="1">-SUMIFS(INDIRECT("Tab_00.Trial["&amp;AA$4&amp;"]"),Tab_00.Trial[CONTA],$B36)</f>
        <v>44601.32</v>
      </c>
      <c r="AB36" s="78">
        <f t="shared" ca="1" si="45"/>
        <v>5.0000000000000001E-4</v>
      </c>
      <c r="AC36" s="78">
        <f t="shared" ca="1" si="57"/>
        <v>0</v>
      </c>
      <c r="AD36" s="4">
        <f ca="1">-SUMIFS(INDIRECT("Tab_00.Trial["&amp;AD$4&amp;"]"),Tab_00.Trial[CONTA],$B36)</f>
        <v>39794.730000000003</v>
      </c>
      <c r="AE36" s="78">
        <f t="shared" ca="1" si="46"/>
        <v>5.0000000000000001E-4</v>
      </c>
      <c r="AF36" s="78">
        <f t="shared" ca="1" si="58"/>
        <v>-0.10780000000000001</v>
      </c>
      <c r="AG36" s="4">
        <f ca="1">-SUMIFS(INDIRECT("Tab_00.Trial["&amp;AG$4&amp;"]"),Tab_00.Trial[CONTA],$B36)</f>
        <v>37673.43</v>
      </c>
      <c r="AH36" s="78">
        <f t="shared" ca="1" si="47"/>
        <v>4.0000000000000002E-4</v>
      </c>
      <c r="AI36" s="78">
        <f t="shared" ca="1" si="59"/>
        <v>-5.33E-2</v>
      </c>
      <c r="AJ36" s="4">
        <f ca="1">-SUMIFS(INDIRECT("Tab_00.Trial["&amp;AJ$4&amp;"]"),Tab_00.Trial[CONTA],$B36)</f>
        <v>39299.370000000003</v>
      </c>
      <c r="AK36" s="78">
        <f t="shared" ca="1" si="48"/>
        <v>5.0000000000000001E-4</v>
      </c>
      <c r="AL36" s="78">
        <f t="shared" ca="1" si="60"/>
        <v>4.3200000000000002E-2</v>
      </c>
      <c r="AM36" s="4">
        <f ca="1">-SUMIFS(INDIRECT("Tab_00.Trial["&amp;AM$4&amp;"]"),Tab_00.Trial[CONTA],$B36)</f>
        <v>42659.79</v>
      </c>
      <c r="AN36" s="78">
        <f t="shared" ca="1" si="49"/>
        <v>5.0000000000000001E-4</v>
      </c>
      <c r="AO36" s="78">
        <f t="shared" ca="1" si="61"/>
        <v>8.5500000000000007E-2</v>
      </c>
    </row>
    <row r="37" spans="2:41" ht="15" hidden="1" customHeight="1" outlineLevel="1" x14ac:dyDescent="0.3">
      <c r="B37" s="14"/>
      <c r="C37" s="15"/>
      <c r="D37" s="4">
        <f>-SUMIFS(Tab_99.Trial[DEZEMBRO],Tab_99.Trial[CONTA],$B37)</f>
        <v>0</v>
      </c>
      <c r="E37" s="78">
        <f t="shared" ca="1" si="37"/>
        <v>0</v>
      </c>
      <c r="F37" s="4">
        <f ca="1">-SUMIFS(INDIRECT("Tab_00.Trial["&amp;F$4&amp;"]"),Tab_00.Trial[CONTA],$B37)</f>
        <v>0</v>
      </c>
      <c r="G37" s="78">
        <f t="shared" ca="1" si="38"/>
        <v>0</v>
      </c>
      <c r="H37" s="78">
        <f t="shared" ca="1" si="50"/>
        <v>0</v>
      </c>
      <c r="I37" s="4">
        <f ca="1">-SUMIFS(INDIRECT("Tab_00.Trial["&amp;I$4&amp;"]"),Tab_00.Trial[CONTA],$B37)</f>
        <v>0</v>
      </c>
      <c r="J37" s="78">
        <f t="shared" ca="1" si="39"/>
        <v>0</v>
      </c>
      <c r="K37" s="78">
        <f t="shared" ca="1" si="51"/>
        <v>0</v>
      </c>
      <c r="L37" s="4">
        <f ca="1">-SUMIFS(INDIRECT("Tab_00.Trial["&amp;L$4&amp;"]"),Tab_00.Trial[CONTA],$B37)</f>
        <v>0</v>
      </c>
      <c r="M37" s="78">
        <f t="shared" ca="1" si="40"/>
        <v>0</v>
      </c>
      <c r="N37" s="78">
        <f t="shared" ca="1" si="52"/>
        <v>0</v>
      </c>
      <c r="O37" s="4">
        <f ca="1">-SUMIFS(INDIRECT("Tab_00.Trial["&amp;O$4&amp;"]"),Tab_00.Trial[CONTA],$B37)</f>
        <v>0</v>
      </c>
      <c r="P37" s="78">
        <f t="shared" ca="1" si="41"/>
        <v>0</v>
      </c>
      <c r="Q37" s="78">
        <f t="shared" ca="1" si="53"/>
        <v>0</v>
      </c>
      <c r="R37" s="4">
        <f ca="1">-SUMIFS(INDIRECT("Tab_00.Trial["&amp;R$4&amp;"]"),Tab_00.Trial[CONTA],$B37)</f>
        <v>0</v>
      </c>
      <c r="S37" s="78">
        <f t="shared" ca="1" si="42"/>
        <v>0</v>
      </c>
      <c r="T37" s="78">
        <f t="shared" ca="1" si="54"/>
        <v>0</v>
      </c>
      <c r="U37" s="4">
        <f ca="1">-SUMIFS(INDIRECT("Tab_00.Trial["&amp;U$4&amp;"]"),Tab_00.Trial[CONTA],$B37)</f>
        <v>0</v>
      </c>
      <c r="V37" s="78">
        <f t="shared" ca="1" si="43"/>
        <v>0</v>
      </c>
      <c r="W37" s="78">
        <f t="shared" ca="1" si="55"/>
        <v>0</v>
      </c>
      <c r="X37" s="4">
        <f ca="1">-SUMIFS(INDIRECT("Tab_00.Trial["&amp;X$4&amp;"]"),Tab_00.Trial[CONTA],$B37)</f>
        <v>0</v>
      </c>
      <c r="Y37" s="78">
        <f t="shared" ca="1" si="44"/>
        <v>0</v>
      </c>
      <c r="Z37" s="78">
        <f t="shared" ca="1" si="56"/>
        <v>0</v>
      </c>
      <c r="AA37" s="4">
        <f ca="1">-SUMIFS(INDIRECT("Tab_00.Trial["&amp;AA$4&amp;"]"),Tab_00.Trial[CONTA],$B37)</f>
        <v>0</v>
      </c>
      <c r="AB37" s="78">
        <f t="shared" ca="1" si="45"/>
        <v>0</v>
      </c>
      <c r="AC37" s="78">
        <f t="shared" ca="1" si="57"/>
        <v>0</v>
      </c>
      <c r="AD37" s="4">
        <f ca="1">-SUMIFS(INDIRECT("Tab_00.Trial["&amp;AD$4&amp;"]"),Tab_00.Trial[CONTA],$B37)</f>
        <v>0</v>
      </c>
      <c r="AE37" s="78">
        <f t="shared" ca="1" si="46"/>
        <v>0</v>
      </c>
      <c r="AF37" s="78">
        <f t="shared" ca="1" si="58"/>
        <v>0</v>
      </c>
      <c r="AG37" s="4">
        <f ca="1">-SUMIFS(INDIRECT("Tab_00.Trial["&amp;AG$4&amp;"]"),Tab_00.Trial[CONTA],$B37)</f>
        <v>0</v>
      </c>
      <c r="AH37" s="78">
        <f t="shared" ca="1" si="47"/>
        <v>0</v>
      </c>
      <c r="AI37" s="78">
        <f t="shared" ca="1" si="59"/>
        <v>0</v>
      </c>
      <c r="AJ37" s="4">
        <f ca="1">-SUMIFS(INDIRECT("Tab_00.Trial["&amp;AJ$4&amp;"]"),Tab_00.Trial[CONTA],$B37)</f>
        <v>0</v>
      </c>
      <c r="AK37" s="78">
        <f t="shared" ca="1" si="48"/>
        <v>0</v>
      </c>
      <c r="AL37" s="78">
        <f t="shared" ca="1" si="60"/>
        <v>0</v>
      </c>
      <c r="AM37" s="4">
        <f ca="1">-SUMIFS(INDIRECT("Tab_00.Trial["&amp;AM$4&amp;"]"),Tab_00.Trial[CONTA],$B37)</f>
        <v>0</v>
      </c>
      <c r="AN37" s="78">
        <f t="shared" ca="1" si="49"/>
        <v>0</v>
      </c>
      <c r="AO37" s="78">
        <f t="shared" ca="1" si="61"/>
        <v>0</v>
      </c>
    </row>
    <row r="38" spans="2:41" ht="5.0999999999999996" hidden="1" customHeight="1" outlineLevel="1" x14ac:dyDescent="0.3">
      <c r="B38" s="74"/>
      <c r="C38" s="75"/>
      <c r="D38" s="76"/>
      <c r="E38" s="77"/>
      <c r="F38" s="76"/>
      <c r="G38" s="77"/>
      <c r="H38" s="77"/>
      <c r="I38" s="76"/>
      <c r="J38" s="77"/>
      <c r="K38" s="77"/>
      <c r="L38" s="76"/>
      <c r="M38" s="77"/>
      <c r="N38" s="77"/>
      <c r="O38" s="76"/>
      <c r="P38" s="77"/>
      <c r="Q38" s="77"/>
      <c r="R38" s="76"/>
      <c r="S38" s="77"/>
      <c r="T38" s="77"/>
      <c r="U38" s="76"/>
      <c r="V38" s="77"/>
      <c r="W38" s="77"/>
      <c r="X38" s="76"/>
      <c r="Y38" s="77"/>
      <c r="Z38" s="77"/>
      <c r="AA38" s="76"/>
      <c r="AB38" s="77"/>
      <c r="AC38" s="77"/>
      <c r="AD38" s="76"/>
      <c r="AE38" s="77"/>
      <c r="AF38" s="77"/>
      <c r="AG38" s="76"/>
      <c r="AH38" s="77"/>
      <c r="AI38" s="77"/>
      <c r="AJ38" s="76"/>
      <c r="AK38" s="77"/>
      <c r="AL38" s="77"/>
      <c r="AM38" s="76"/>
      <c r="AN38" s="77"/>
      <c r="AO38" s="77"/>
    </row>
    <row r="39" spans="2:41" ht="15" customHeight="1" collapsed="1" x14ac:dyDescent="0.3">
      <c r="B39" s="3" t="s">
        <v>53</v>
      </c>
      <c r="C39" s="14" t="s">
        <v>58</v>
      </c>
      <c r="D39" s="4">
        <f>SUBTOTAL(9,D$40:D$53)</f>
        <v>0</v>
      </c>
      <c r="E39" s="78">
        <f t="shared" ref="E39:E52" ca="1" si="62">IFERROR($D39/$D$146,0)</f>
        <v>0</v>
      </c>
      <c r="F39" s="4">
        <f ca="1">SUBTOTAL(9,F$40:F$53)</f>
        <v>2617.48</v>
      </c>
      <c r="G39" s="78">
        <f t="shared" ref="G39:G52" ca="1" si="63">IFERROR($F39/$F$146,0)</f>
        <v>0</v>
      </c>
      <c r="H39" s="78">
        <f ca="1">IFERROR(($F39-$D39)/ABS($D39),0)</f>
        <v>0</v>
      </c>
      <c r="I39" s="4">
        <f ca="1">SUBTOTAL(9,I$40:I$53)</f>
        <v>1970.84</v>
      </c>
      <c r="J39" s="78">
        <f t="shared" ref="J39:J52" ca="1" si="64">IFERROR($I39/$I$146,0)</f>
        <v>0</v>
      </c>
      <c r="K39" s="78">
        <f ca="1">IFERROR(($I39-$F39)/ABS($F39),0)</f>
        <v>-0.247</v>
      </c>
      <c r="L39" s="4">
        <f ca="1">SUBTOTAL(9,L$40:L$53)</f>
        <v>2184.66</v>
      </c>
      <c r="M39" s="78">
        <f t="shared" ref="M39:M52" ca="1" si="65">IFERROR($L39/$L$146,0)</f>
        <v>0</v>
      </c>
      <c r="N39" s="78">
        <f ca="1">IFERROR(($L39-$I39)/ABS($I39),0)</f>
        <v>0.1085</v>
      </c>
      <c r="O39" s="4">
        <f ca="1">SUBTOTAL(9,O$40:O$53)</f>
        <v>2946.97</v>
      </c>
      <c r="P39" s="78">
        <f t="shared" ref="P39:P52" ca="1" si="66">IFERROR($O39/$O$146,0)</f>
        <v>0</v>
      </c>
      <c r="Q39" s="78">
        <f ca="1">IFERROR(($O39-$L39)/ABS($L39),0)</f>
        <v>0.34889999999999999</v>
      </c>
      <c r="R39" s="4">
        <f ca="1">SUBTOTAL(9,R$40:R$53)</f>
        <v>1937.47</v>
      </c>
      <c r="S39" s="78">
        <f t="shared" ref="S39:S52" ca="1" si="67">IFERROR($R39/$R$146,0)</f>
        <v>0</v>
      </c>
      <c r="T39" s="78">
        <f ca="1">IFERROR(($R39-$O39)/ABS($O39),0)</f>
        <v>-0.34260000000000002</v>
      </c>
      <c r="U39" s="4">
        <f ca="1">SUBTOTAL(9,U$40:U$53)</f>
        <v>4276.43</v>
      </c>
      <c r="V39" s="78">
        <f t="shared" ref="V39:V52" ca="1" si="68">IFERROR($U39/$U$146,0)</f>
        <v>1E-4</v>
      </c>
      <c r="W39" s="78">
        <f ca="1">IFERROR(($U39-$R39)/ABS($R39),0)</f>
        <v>1.2072000000000001</v>
      </c>
      <c r="X39" s="4">
        <f ca="1">SUBTOTAL(9,X$40:X$53)</f>
        <v>4276.43</v>
      </c>
      <c r="Y39" s="78">
        <f t="shared" ref="Y39:Y52" ca="1" si="69">IFERROR($X39/$X$146,0)</f>
        <v>1E-4</v>
      </c>
      <c r="Z39" s="78">
        <f ca="1">IFERROR(($X39-$U39)/ABS($U39),0)</f>
        <v>0</v>
      </c>
      <c r="AA39" s="4">
        <f ca="1">SUBTOTAL(9,AA$40:AA$53)</f>
        <v>4276.43</v>
      </c>
      <c r="AB39" s="78">
        <f t="shared" ref="AB39:AB52" ca="1" si="70">IFERROR($AA39/$AA$146,0)</f>
        <v>1E-4</v>
      </c>
      <c r="AC39" s="78">
        <f ca="1">IFERROR(($AA39-$X39)/ABS($X39),0)</f>
        <v>0</v>
      </c>
      <c r="AD39" s="4">
        <f ca="1">SUBTOTAL(9,AD$40:AD$53)</f>
        <v>2829.9</v>
      </c>
      <c r="AE39" s="78">
        <f t="shared" ref="AE39:AE52" ca="1" si="71">IFERROR($AD39/$AD$146,0)</f>
        <v>0</v>
      </c>
      <c r="AF39" s="78">
        <f ca="1">IFERROR(($AD39-$AA39)/ABS($AA39),0)</f>
        <v>-0.33829999999999999</v>
      </c>
      <c r="AG39" s="4">
        <f ca="1">SUBTOTAL(9,AG$40:AG$53)</f>
        <v>7466.31</v>
      </c>
      <c r="AH39" s="78">
        <f t="shared" ref="AH39:AH52" ca="1" si="72">IFERROR($AG39/$AG$146,0)</f>
        <v>1E-4</v>
      </c>
      <c r="AI39" s="78">
        <f ca="1">IFERROR(($AG39-$AD39)/ABS($AD39),0)</f>
        <v>1.6384000000000001</v>
      </c>
      <c r="AJ39" s="4">
        <f ca="1">SUBTOTAL(9,AJ$40:AJ$53)</f>
        <v>8656.51</v>
      </c>
      <c r="AK39" s="78">
        <f t="shared" ref="AK39:AK52" ca="1" si="73">IFERROR($AJ39/$AJ$146,0)</f>
        <v>1E-4</v>
      </c>
      <c r="AL39" s="78">
        <f ca="1">IFERROR(($AJ39-$AG39)/ABS($AG39),0)</f>
        <v>0.15939999999999999</v>
      </c>
      <c r="AM39" s="4">
        <f ca="1">SUBTOTAL(9,AM$40:AM$53)</f>
        <v>8253.76</v>
      </c>
      <c r="AN39" s="78">
        <f t="shared" ref="AN39:AN52" ca="1" si="74">IFERROR(AM39/AM$146,0)</f>
        <v>1E-4</v>
      </c>
      <c r="AO39" s="78">
        <f ca="1">IFERROR(($AM39-$AJ39)/ABS($AJ39),0)</f>
        <v>-4.65E-2</v>
      </c>
    </row>
    <row r="40" spans="2:41" ht="15" hidden="1" customHeight="1" outlineLevel="1" x14ac:dyDescent="0.3">
      <c r="B40" s="14" t="s">
        <v>191</v>
      </c>
      <c r="C40" s="15" t="s">
        <v>347</v>
      </c>
      <c r="D40" s="4">
        <f>-SUMIFS(Tab_99.Trial[DEZEMBRO],Tab_99.Trial[CONTA],$B40)</f>
        <v>0</v>
      </c>
      <c r="E40" s="78">
        <f t="shared" ca="1" si="62"/>
        <v>0</v>
      </c>
      <c r="F40" s="4">
        <f ca="1">-SUMIFS(INDIRECT("Tab_00.Trial["&amp;F$4&amp;"]"),Tab_00.Trial[CONTA],$B40)</f>
        <v>409</v>
      </c>
      <c r="G40" s="78">
        <f t="shared" ca="1" si="63"/>
        <v>0</v>
      </c>
      <c r="H40" s="78">
        <f ca="1">IFERROR(($F40-$D40)/ABS($D40),0)</f>
        <v>0</v>
      </c>
      <c r="I40" s="4">
        <f ca="1">-SUMIFS(INDIRECT("Tab_00.Trial["&amp;I$4&amp;"]"),Tab_00.Trial[CONTA],$B40)</f>
        <v>418.31</v>
      </c>
      <c r="J40" s="78">
        <f t="shared" ca="1" si="64"/>
        <v>0</v>
      </c>
      <c r="K40" s="78">
        <f ca="1">IFERROR(($I40-$F40)/ABS($F40),0)</f>
        <v>2.2800000000000001E-2</v>
      </c>
      <c r="L40" s="4">
        <f ca="1">-SUMIFS(INDIRECT("Tab_00.Trial["&amp;L$4&amp;"]"),Tab_00.Trial[CONTA],$B40)</f>
        <v>404.18</v>
      </c>
      <c r="M40" s="78">
        <f t="shared" ca="1" si="65"/>
        <v>0</v>
      </c>
      <c r="N40" s="78">
        <f ca="1">IFERROR(($L40-$I40)/ABS($I40),0)</f>
        <v>-3.3799999999999997E-2</v>
      </c>
      <c r="O40" s="4">
        <f ca="1">-SUMIFS(INDIRECT("Tab_00.Trial["&amp;O$4&amp;"]"),Tab_00.Trial[CONTA],$B40)</f>
        <v>555.79999999999995</v>
      </c>
      <c r="P40" s="78">
        <f t="shared" ca="1" si="66"/>
        <v>0</v>
      </c>
      <c r="Q40" s="78">
        <f ca="1">IFERROR(($O40-$L40)/ABS($L40),0)</f>
        <v>0.37509999999999999</v>
      </c>
      <c r="R40" s="4">
        <f ca="1">-SUMIFS(INDIRECT("Tab_00.Trial["&amp;R$4&amp;"]"),Tab_00.Trial[CONTA],$B40)</f>
        <v>417.28</v>
      </c>
      <c r="S40" s="78">
        <f t="shared" ca="1" si="67"/>
        <v>0</v>
      </c>
      <c r="T40" s="78">
        <f ca="1">IFERROR(($R40-$O40)/ABS($O40),0)</f>
        <v>-0.2492</v>
      </c>
      <c r="U40" s="4">
        <f ca="1">-SUMIFS(INDIRECT("Tab_00.Trial["&amp;U$4&amp;"]"),Tab_00.Trial[CONTA],$B40)</f>
        <v>884.23</v>
      </c>
      <c r="V40" s="78">
        <f t="shared" ca="1" si="68"/>
        <v>0</v>
      </c>
      <c r="W40" s="78">
        <f ca="1">IFERROR(($U40-$R40)/ABS($R40),0)</f>
        <v>1.119</v>
      </c>
      <c r="X40" s="4">
        <f ca="1">-SUMIFS(INDIRECT("Tab_00.Trial["&amp;X$4&amp;"]"),Tab_00.Trial[CONTA],$B40)</f>
        <v>884.23</v>
      </c>
      <c r="Y40" s="78">
        <f t="shared" ca="1" si="69"/>
        <v>0</v>
      </c>
      <c r="Z40" s="78">
        <f ca="1">IFERROR(($X40-$U40)/ABS($U40),0)</f>
        <v>0</v>
      </c>
      <c r="AA40" s="4">
        <f ca="1">-SUMIFS(INDIRECT("Tab_00.Trial["&amp;AA$4&amp;"]"),Tab_00.Trial[CONTA],$B40)</f>
        <v>884.23</v>
      </c>
      <c r="AB40" s="78">
        <f t="shared" ca="1" si="70"/>
        <v>0</v>
      </c>
      <c r="AC40" s="78">
        <f ca="1">IFERROR(($AA40-$X40)/ABS($X40),0)</f>
        <v>0</v>
      </c>
      <c r="AD40" s="4">
        <f ca="1">-SUMIFS(INDIRECT("Tab_00.Trial["&amp;AD$4&amp;"]"),Tab_00.Trial[CONTA],$B40)</f>
        <v>834.01</v>
      </c>
      <c r="AE40" s="78">
        <f t="shared" ca="1" si="71"/>
        <v>0</v>
      </c>
      <c r="AF40" s="78">
        <f ca="1">IFERROR(($AD40-$AA40)/ABS($AA40),0)</f>
        <v>-5.6800000000000003E-2</v>
      </c>
      <c r="AG40" s="4">
        <f ca="1">-SUMIFS(INDIRECT("Tab_00.Trial["&amp;AG$4&amp;"]"),Tab_00.Trial[CONTA],$B40)</f>
        <v>1890.47</v>
      </c>
      <c r="AH40" s="78">
        <f t="shared" ca="1" si="72"/>
        <v>0</v>
      </c>
      <c r="AI40" s="78">
        <f ca="1">IFERROR(($AG40-$AD40)/ABS($AD40),0)</f>
        <v>1.2666999999999999</v>
      </c>
      <c r="AJ40" s="4">
        <f ca="1">-SUMIFS(INDIRECT("Tab_00.Trial["&amp;AJ$4&amp;"]"),Tab_00.Trial[CONTA],$B40)</f>
        <v>2182.15</v>
      </c>
      <c r="AK40" s="78">
        <f t="shared" ca="1" si="73"/>
        <v>0</v>
      </c>
      <c r="AL40" s="78">
        <f ca="1">IFERROR(($AJ40-$AG40)/ABS($AG40),0)</f>
        <v>0.15429999999999999</v>
      </c>
      <c r="AM40" s="4">
        <f ca="1">-SUMIFS(INDIRECT("Tab_00.Trial["&amp;AM$4&amp;"]"),Tab_00.Trial[CONTA],$B40)</f>
        <v>1846.28</v>
      </c>
      <c r="AN40" s="78">
        <f t="shared" ca="1" si="74"/>
        <v>0</v>
      </c>
      <c r="AO40" s="78">
        <f ca="1">IFERROR(($AM40-$AJ40)/ABS($AJ40),0)</f>
        <v>-0.15390000000000001</v>
      </c>
    </row>
    <row r="41" spans="2:41" ht="15" hidden="1" customHeight="1" outlineLevel="1" x14ac:dyDescent="0.3">
      <c r="B41" s="14" t="s">
        <v>264</v>
      </c>
      <c r="C41" s="15" t="s">
        <v>349</v>
      </c>
      <c r="D41" s="4">
        <f>-SUMIFS(Tab_99.Trial[DEZEMBRO],Tab_99.Trial[CONTA],$B41)</f>
        <v>0</v>
      </c>
      <c r="E41" s="78">
        <f t="shared" ca="1" si="62"/>
        <v>0</v>
      </c>
      <c r="F41" s="4">
        <f ca="1">-SUMIFS(INDIRECT("Tab_00.Trial["&amp;F$4&amp;"]"),Tab_00.Trial[CONTA],$B41)</f>
        <v>120.94</v>
      </c>
      <c r="G41" s="78">
        <f t="shared" ca="1" si="63"/>
        <v>0</v>
      </c>
      <c r="H41" s="78">
        <f t="shared" ref="H41:H48" ca="1" si="75">IFERROR(($F41-$D41)/ABS($D41),0)</f>
        <v>0</v>
      </c>
      <c r="I41" s="4">
        <f ca="1">-SUMIFS(INDIRECT("Tab_00.Trial["&amp;I$4&amp;"]"),Tab_00.Trial[CONTA],$B41)</f>
        <v>120.94</v>
      </c>
      <c r="J41" s="78">
        <f t="shared" ca="1" si="64"/>
        <v>0</v>
      </c>
      <c r="K41" s="78">
        <f t="shared" ref="K41:K48" ca="1" si="76">IFERROR(($I41-$F41)/ABS($F41),0)</f>
        <v>0</v>
      </c>
      <c r="L41" s="4">
        <f ca="1">-SUMIFS(INDIRECT("Tab_00.Trial["&amp;L$4&amp;"]"),Tab_00.Trial[CONTA],$B41)</f>
        <v>134.13999999999999</v>
      </c>
      <c r="M41" s="78">
        <f t="shared" ca="1" si="65"/>
        <v>0</v>
      </c>
      <c r="N41" s="78">
        <f t="shared" ref="N41:N48" ca="1" si="77">IFERROR(($L41-$I41)/ABS($I41),0)</f>
        <v>0.1091</v>
      </c>
      <c r="O41" s="4">
        <f ca="1">-SUMIFS(INDIRECT("Tab_00.Trial["&amp;O$4&amp;"]"),Tab_00.Trial[CONTA],$B41)</f>
        <v>120.94</v>
      </c>
      <c r="P41" s="78">
        <f t="shared" ca="1" si="66"/>
        <v>0</v>
      </c>
      <c r="Q41" s="78">
        <f t="shared" ref="Q41:Q48" ca="1" si="78">IFERROR(($O41-$L41)/ABS($L41),0)</f>
        <v>-9.8400000000000001E-2</v>
      </c>
      <c r="R41" s="4">
        <f ca="1">-SUMIFS(INDIRECT("Tab_00.Trial["&amp;R$4&amp;"]"),Tab_00.Trial[CONTA],$B41)</f>
        <v>559.29999999999995</v>
      </c>
      <c r="S41" s="78">
        <f t="shared" ca="1" si="67"/>
        <v>0</v>
      </c>
      <c r="T41" s="78">
        <f t="shared" ref="T41:T48" ca="1" si="79">IFERROR(($R41-$O41)/ABS($O41),0)</f>
        <v>3.6246</v>
      </c>
      <c r="U41" s="4">
        <f ca="1">-SUMIFS(INDIRECT("Tab_00.Trial["&amp;U$4&amp;"]"),Tab_00.Trial[CONTA],$B41)</f>
        <v>0</v>
      </c>
      <c r="V41" s="78">
        <f t="shared" ca="1" si="68"/>
        <v>0</v>
      </c>
      <c r="W41" s="78">
        <f t="shared" ref="W41:W48" ca="1" si="80">IFERROR(($U41-$R41)/ABS($R41),0)</f>
        <v>-1</v>
      </c>
      <c r="X41" s="4">
        <f ca="1">-SUMIFS(INDIRECT("Tab_00.Trial["&amp;X$4&amp;"]"),Tab_00.Trial[CONTA],$B41)</f>
        <v>0</v>
      </c>
      <c r="Y41" s="78">
        <f t="shared" ca="1" si="69"/>
        <v>0</v>
      </c>
      <c r="Z41" s="78">
        <f t="shared" ref="Z41:Z48" ca="1" si="81">IFERROR(($X41-$U41)/ABS($U41),0)</f>
        <v>0</v>
      </c>
      <c r="AA41" s="4">
        <f ca="1">-SUMIFS(INDIRECT("Tab_00.Trial["&amp;AA$4&amp;"]"),Tab_00.Trial[CONTA],$B41)</f>
        <v>0</v>
      </c>
      <c r="AB41" s="78">
        <f t="shared" ca="1" si="70"/>
        <v>0</v>
      </c>
      <c r="AC41" s="78">
        <f t="shared" ref="AC41:AC48" ca="1" si="82">IFERROR(($AA41-$X41)/ABS($X41),0)</f>
        <v>0</v>
      </c>
      <c r="AD41" s="4">
        <f ca="1">-SUMIFS(INDIRECT("Tab_00.Trial["&amp;AD$4&amp;"]"),Tab_00.Trial[CONTA],$B41)</f>
        <v>0</v>
      </c>
      <c r="AE41" s="78">
        <f t="shared" ca="1" si="71"/>
        <v>0</v>
      </c>
      <c r="AF41" s="78">
        <f t="shared" ref="AF41:AF48" ca="1" si="83">IFERROR(($AD41-$AA41)/ABS($AA41),0)</f>
        <v>0</v>
      </c>
      <c r="AG41" s="4">
        <f ca="1">-SUMIFS(INDIRECT("Tab_00.Trial["&amp;AG$4&amp;"]"),Tab_00.Trial[CONTA],$B41)</f>
        <v>0</v>
      </c>
      <c r="AH41" s="78">
        <f t="shared" ca="1" si="72"/>
        <v>0</v>
      </c>
      <c r="AI41" s="78">
        <f t="shared" ref="AI41:AI48" ca="1" si="84">IFERROR(($AG41-$AD41)/ABS($AD41),0)</f>
        <v>0</v>
      </c>
      <c r="AJ41" s="4">
        <f ca="1">-SUMIFS(INDIRECT("Tab_00.Trial["&amp;AJ$4&amp;"]"),Tab_00.Trial[CONTA],$B41)</f>
        <v>0</v>
      </c>
      <c r="AK41" s="78">
        <f t="shared" ca="1" si="73"/>
        <v>0</v>
      </c>
      <c r="AL41" s="78">
        <f t="shared" ref="AL41:AL48" ca="1" si="85">IFERROR(($AJ41-$AG41)/ABS($AG41),0)</f>
        <v>0</v>
      </c>
      <c r="AM41" s="4">
        <f ca="1">-SUMIFS(INDIRECT("Tab_00.Trial["&amp;AM$4&amp;"]"),Tab_00.Trial[CONTA],$B41)</f>
        <v>0</v>
      </c>
      <c r="AN41" s="78">
        <f t="shared" ca="1" si="74"/>
        <v>0</v>
      </c>
      <c r="AO41" s="78">
        <f t="shared" ref="AO41:AO48" ca="1" si="86">IFERROR(($AM41-$AJ41)/ABS($AJ41),0)</f>
        <v>0</v>
      </c>
    </row>
    <row r="42" spans="2:41" ht="15" hidden="1" customHeight="1" outlineLevel="1" x14ac:dyDescent="0.3">
      <c r="B42" s="14" t="s">
        <v>350</v>
      </c>
      <c r="C42" s="15" t="s">
        <v>351</v>
      </c>
      <c r="D42" s="4">
        <f>-SUMIFS(Tab_99.Trial[DEZEMBRO],Tab_99.Trial[CONTA],$B42)</f>
        <v>0</v>
      </c>
      <c r="E42" s="78">
        <f t="shared" ca="1" si="62"/>
        <v>0</v>
      </c>
      <c r="F42" s="4">
        <f ca="1">-SUMIFS(INDIRECT("Tab_00.Trial["&amp;F$4&amp;"]"),Tab_00.Trial[CONTA],$B42)</f>
        <v>1580.91</v>
      </c>
      <c r="G42" s="78">
        <f t="shared" ca="1" si="63"/>
        <v>0</v>
      </c>
      <c r="H42" s="78">
        <f t="shared" ca="1" si="75"/>
        <v>0</v>
      </c>
      <c r="I42" s="4">
        <f ca="1">-SUMIFS(INDIRECT("Tab_00.Trial["&amp;I$4&amp;"]"),Tab_00.Trial[CONTA],$B42)</f>
        <v>924.96</v>
      </c>
      <c r="J42" s="78">
        <f t="shared" ca="1" si="64"/>
        <v>0</v>
      </c>
      <c r="K42" s="78">
        <f t="shared" ca="1" si="76"/>
        <v>-0.41489999999999999</v>
      </c>
      <c r="L42" s="4">
        <f ca="1">-SUMIFS(INDIRECT("Tab_00.Trial["&amp;L$4&amp;"]"),Tab_00.Trial[CONTA],$B42)</f>
        <v>1139.71</v>
      </c>
      <c r="M42" s="78">
        <f t="shared" ca="1" si="65"/>
        <v>0</v>
      </c>
      <c r="N42" s="78">
        <f t="shared" ca="1" si="77"/>
        <v>0.23219999999999999</v>
      </c>
      <c r="O42" s="4">
        <f ca="1">-SUMIFS(INDIRECT("Tab_00.Trial["&amp;O$4&amp;"]"),Tab_00.Trial[CONTA],$B42)</f>
        <v>2247.7800000000002</v>
      </c>
      <c r="P42" s="78">
        <f t="shared" ca="1" si="66"/>
        <v>0</v>
      </c>
      <c r="Q42" s="78">
        <f t="shared" ca="1" si="78"/>
        <v>0.97219999999999995</v>
      </c>
      <c r="R42" s="4">
        <f ca="1">-SUMIFS(INDIRECT("Tab_00.Trial["&amp;R$4&amp;"]"),Tab_00.Trial[CONTA],$B42)</f>
        <v>938.44</v>
      </c>
      <c r="S42" s="78">
        <f t="shared" ca="1" si="67"/>
        <v>0</v>
      </c>
      <c r="T42" s="78">
        <f t="shared" ca="1" si="79"/>
        <v>-0.58250000000000002</v>
      </c>
      <c r="U42" s="4">
        <f ca="1">-SUMIFS(INDIRECT("Tab_00.Trial["&amp;U$4&amp;"]"),Tab_00.Trial[CONTA],$B42)</f>
        <v>3369.75</v>
      </c>
      <c r="V42" s="78">
        <f t="shared" ca="1" si="68"/>
        <v>0</v>
      </c>
      <c r="W42" s="78">
        <f t="shared" ca="1" si="80"/>
        <v>2.5908000000000002</v>
      </c>
      <c r="X42" s="4">
        <f ca="1">-SUMIFS(INDIRECT("Tab_00.Trial["&amp;X$4&amp;"]"),Tab_00.Trial[CONTA],$B42)</f>
        <v>3369.75</v>
      </c>
      <c r="Y42" s="78">
        <f t="shared" ca="1" si="69"/>
        <v>0</v>
      </c>
      <c r="Z42" s="78">
        <f t="shared" ca="1" si="81"/>
        <v>0</v>
      </c>
      <c r="AA42" s="4">
        <f ca="1">-SUMIFS(INDIRECT("Tab_00.Trial["&amp;AA$4&amp;"]"),Tab_00.Trial[CONTA],$B42)</f>
        <v>3369.75</v>
      </c>
      <c r="AB42" s="78">
        <f t="shared" ca="1" si="70"/>
        <v>0</v>
      </c>
      <c r="AC42" s="78">
        <f t="shared" ca="1" si="82"/>
        <v>0</v>
      </c>
      <c r="AD42" s="4">
        <f ca="1">-SUMIFS(INDIRECT("Tab_00.Trial["&amp;AD$4&amp;"]"),Tab_00.Trial[CONTA],$B42)</f>
        <v>1984.61</v>
      </c>
      <c r="AE42" s="78">
        <f t="shared" ca="1" si="71"/>
        <v>0</v>
      </c>
      <c r="AF42" s="78">
        <f t="shared" ca="1" si="83"/>
        <v>-0.41110000000000002</v>
      </c>
      <c r="AG42" s="4">
        <f ca="1">-SUMIFS(INDIRECT("Tab_00.Trial["&amp;AG$4&amp;"]"),Tab_00.Trial[CONTA],$B42)</f>
        <v>5564.56</v>
      </c>
      <c r="AH42" s="78">
        <f t="shared" ca="1" si="72"/>
        <v>1E-4</v>
      </c>
      <c r="AI42" s="78">
        <f t="shared" ca="1" si="84"/>
        <v>1.8039000000000001</v>
      </c>
      <c r="AJ42" s="4">
        <f ca="1">-SUMIFS(INDIRECT("Tab_00.Trial["&amp;AJ$4&amp;"]"),Tab_00.Trial[CONTA],$B42)</f>
        <v>6463.08</v>
      </c>
      <c r="AK42" s="78">
        <f t="shared" ca="1" si="73"/>
        <v>1E-4</v>
      </c>
      <c r="AL42" s="78">
        <f t="shared" ca="1" si="85"/>
        <v>0.1615</v>
      </c>
      <c r="AM42" s="4">
        <f ca="1">-SUMIFS(INDIRECT("Tab_00.Trial["&amp;AM$4&amp;"]"),Tab_00.Trial[CONTA],$B42)</f>
        <v>6395.77</v>
      </c>
      <c r="AN42" s="78">
        <f t="shared" ca="1" si="74"/>
        <v>1E-4</v>
      </c>
      <c r="AO42" s="78">
        <f t="shared" ca="1" si="86"/>
        <v>-1.04E-2</v>
      </c>
    </row>
    <row r="43" spans="2:41" ht="15" hidden="1" customHeight="1" outlineLevel="1" x14ac:dyDescent="0.3">
      <c r="B43" s="14" t="s">
        <v>352</v>
      </c>
      <c r="C43" s="15" t="s">
        <v>353</v>
      </c>
      <c r="D43" s="4">
        <f>-SUMIFS(Tab_99.Trial[DEZEMBRO],Tab_99.Trial[CONTA],$B43)</f>
        <v>0</v>
      </c>
      <c r="E43" s="78">
        <f t="shared" ca="1" si="62"/>
        <v>0</v>
      </c>
      <c r="F43" s="4">
        <f ca="1">-SUMIFS(INDIRECT("Tab_00.Trial["&amp;F$4&amp;"]"),Tab_00.Trial[CONTA],$B43)</f>
        <v>22.45</v>
      </c>
      <c r="G43" s="78">
        <f t="shared" ca="1" si="63"/>
        <v>0</v>
      </c>
      <c r="H43" s="78">
        <f t="shared" ca="1" si="75"/>
        <v>0</v>
      </c>
      <c r="I43" s="4">
        <f ca="1">-SUMIFS(INDIRECT("Tab_00.Trial["&amp;I$4&amp;"]"),Tab_00.Trial[CONTA],$B43)</f>
        <v>22.45</v>
      </c>
      <c r="J43" s="78">
        <f t="shared" ca="1" si="64"/>
        <v>0</v>
      </c>
      <c r="K43" s="78">
        <f t="shared" ca="1" si="76"/>
        <v>0</v>
      </c>
      <c r="L43" s="4">
        <f ca="1">-SUMIFS(INDIRECT("Tab_00.Trial["&amp;L$4&amp;"]"),Tab_00.Trial[CONTA],$B43)</f>
        <v>22.45</v>
      </c>
      <c r="M43" s="78">
        <f t="shared" ca="1" si="65"/>
        <v>0</v>
      </c>
      <c r="N43" s="78">
        <f t="shared" ca="1" si="77"/>
        <v>0</v>
      </c>
      <c r="O43" s="4">
        <f ca="1">-SUMIFS(INDIRECT("Tab_00.Trial["&amp;O$4&amp;"]"),Tab_00.Trial[CONTA],$B43)</f>
        <v>22.45</v>
      </c>
      <c r="P43" s="78">
        <f t="shared" ca="1" si="66"/>
        <v>0</v>
      </c>
      <c r="Q43" s="78">
        <f t="shared" ca="1" si="78"/>
        <v>0</v>
      </c>
      <c r="R43" s="4">
        <f ca="1">-SUMIFS(INDIRECT("Tab_00.Trial["&amp;R$4&amp;"]"),Tab_00.Trial[CONTA],$B43)</f>
        <v>22.45</v>
      </c>
      <c r="S43" s="78">
        <f t="shared" ca="1" si="67"/>
        <v>0</v>
      </c>
      <c r="T43" s="78">
        <f t="shared" ca="1" si="79"/>
        <v>0</v>
      </c>
      <c r="U43" s="4">
        <f ca="1">-SUMIFS(INDIRECT("Tab_00.Trial["&amp;U$4&amp;"]"),Tab_00.Trial[CONTA],$B43)</f>
        <v>22.45</v>
      </c>
      <c r="V43" s="78">
        <f t="shared" ca="1" si="68"/>
        <v>0</v>
      </c>
      <c r="W43" s="78">
        <f t="shared" ca="1" si="80"/>
        <v>0</v>
      </c>
      <c r="X43" s="4">
        <f ca="1">-SUMIFS(INDIRECT("Tab_00.Trial["&amp;X$4&amp;"]"),Tab_00.Trial[CONTA],$B43)</f>
        <v>22.45</v>
      </c>
      <c r="Y43" s="78">
        <f t="shared" ca="1" si="69"/>
        <v>0</v>
      </c>
      <c r="Z43" s="78">
        <f t="shared" ca="1" si="81"/>
        <v>0</v>
      </c>
      <c r="AA43" s="4">
        <f ca="1">-SUMIFS(INDIRECT("Tab_00.Trial["&amp;AA$4&amp;"]"),Tab_00.Trial[CONTA],$B43)</f>
        <v>22.45</v>
      </c>
      <c r="AB43" s="78">
        <f t="shared" ca="1" si="70"/>
        <v>0</v>
      </c>
      <c r="AC43" s="78">
        <f t="shared" ca="1" si="82"/>
        <v>0</v>
      </c>
      <c r="AD43" s="4">
        <f ca="1">-SUMIFS(INDIRECT("Tab_00.Trial["&amp;AD$4&amp;"]"),Tab_00.Trial[CONTA],$B43)</f>
        <v>11.28</v>
      </c>
      <c r="AE43" s="78">
        <f t="shared" ca="1" si="71"/>
        <v>0</v>
      </c>
      <c r="AF43" s="78">
        <f t="shared" ca="1" si="83"/>
        <v>-0.49759999999999999</v>
      </c>
      <c r="AG43" s="4">
        <f ca="1">-SUMIFS(INDIRECT("Tab_00.Trial["&amp;AG$4&amp;"]"),Tab_00.Trial[CONTA],$B43)</f>
        <v>11.28</v>
      </c>
      <c r="AH43" s="78">
        <f t="shared" ca="1" si="72"/>
        <v>0</v>
      </c>
      <c r="AI43" s="78">
        <f t="shared" ca="1" si="84"/>
        <v>0</v>
      </c>
      <c r="AJ43" s="4">
        <f ca="1">-SUMIFS(INDIRECT("Tab_00.Trial["&amp;AJ$4&amp;"]"),Tab_00.Trial[CONTA],$B43)</f>
        <v>11.28</v>
      </c>
      <c r="AK43" s="78">
        <f t="shared" ca="1" si="73"/>
        <v>0</v>
      </c>
      <c r="AL43" s="78">
        <f t="shared" ca="1" si="85"/>
        <v>0</v>
      </c>
      <c r="AM43" s="4">
        <f ca="1">-SUMIFS(INDIRECT("Tab_00.Trial["&amp;AM$4&amp;"]"),Tab_00.Trial[CONTA],$B43)</f>
        <v>11.71</v>
      </c>
      <c r="AN43" s="78">
        <f t="shared" ca="1" si="74"/>
        <v>0</v>
      </c>
      <c r="AO43" s="78">
        <f t="shared" ca="1" si="86"/>
        <v>3.8100000000000002E-2</v>
      </c>
    </row>
    <row r="44" spans="2:41" ht="15" hidden="1" customHeight="1" outlineLevel="1" x14ac:dyDescent="0.3">
      <c r="B44" s="14" t="s">
        <v>354</v>
      </c>
      <c r="C44" s="15" t="s">
        <v>355</v>
      </c>
      <c r="D44" s="4">
        <f>-SUMIFS(Tab_99.Trial[DEZEMBRO],Tab_99.Trial[CONTA],$B44)</f>
        <v>0</v>
      </c>
      <c r="E44" s="78">
        <f t="shared" ca="1" si="62"/>
        <v>0</v>
      </c>
      <c r="F44" s="4">
        <f ca="1">-SUMIFS(INDIRECT("Tab_00.Trial["&amp;F$4&amp;"]"),Tab_00.Trial[CONTA],$B44)</f>
        <v>484.18</v>
      </c>
      <c r="G44" s="78">
        <f t="shared" ca="1" si="63"/>
        <v>0</v>
      </c>
      <c r="H44" s="78">
        <f t="shared" ca="1" si="75"/>
        <v>0</v>
      </c>
      <c r="I44" s="4">
        <f ca="1">-SUMIFS(INDIRECT("Tab_00.Trial["&amp;I$4&amp;"]"),Tab_00.Trial[CONTA],$B44)</f>
        <v>484.18</v>
      </c>
      <c r="J44" s="78">
        <f t="shared" ca="1" si="64"/>
        <v>0</v>
      </c>
      <c r="K44" s="78">
        <f t="shared" ca="1" si="76"/>
        <v>0</v>
      </c>
      <c r="L44" s="4">
        <f ca="1">-SUMIFS(INDIRECT("Tab_00.Trial["&amp;L$4&amp;"]"),Tab_00.Trial[CONTA],$B44)</f>
        <v>484.18</v>
      </c>
      <c r="M44" s="78">
        <f t="shared" ca="1" si="65"/>
        <v>0</v>
      </c>
      <c r="N44" s="78">
        <f t="shared" ca="1" si="77"/>
        <v>0</v>
      </c>
      <c r="O44" s="4">
        <f ca="1">-SUMIFS(INDIRECT("Tab_00.Trial["&amp;O$4&amp;"]"),Tab_00.Trial[CONTA],$B44)</f>
        <v>0</v>
      </c>
      <c r="P44" s="78">
        <f t="shared" ca="1" si="66"/>
        <v>0</v>
      </c>
      <c r="Q44" s="78">
        <f t="shared" ca="1" si="78"/>
        <v>-1</v>
      </c>
      <c r="R44" s="4">
        <f ca="1">-SUMIFS(INDIRECT("Tab_00.Trial["&amp;R$4&amp;"]"),Tab_00.Trial[CONTA],$B44)</f>
        <v>0</v>
      </c>
      <c r="S44" s="78">
        <f t="shared" ca="1" si="67"/>
        <v>0</v>
      </c>
      <c r="T44" s="78">
        <f t="shared" ca="1" si="79"/>
        <v>0</v>
      </c>
      <c r="U44" s="4">
        <f ca="1">-SUMIFS(INDIRECT("Tab_00.Trial["&amp;U$4&amp;"]"),Tab_00.Trial[CONTA],$B44)</f>
        <v>0</v>
      </c>
      <c r="V44" s="78">
        <f t="shared" ca="1" si="68"/>
        <v>0</v>
      </c>
      <c r="W44" s="78">
        <f t="shared" ca="1" si="80"/>
        <v>0</v>
      </c>
      <c r="X44" s="4">
        <f ca="1">-SUMIFS(INDIRECT("Tab_00.Trial["&amp;X$4&amp;"]"),Tab_00.Trial[CONTA],$B44)</f>
        <v>0</v>
      </c>
      <c r="Y44" s="78">
        <f t="shared" ca="1" si="69"/>
        <v>0</v>
      </c>
      <c r="Z44" s="78">
        <f t="shared" ca="1" si="81"/>
        <v>0</v>
      </c>
      <c r="AA44" s="4">
        <f ca="1">-SUMIFS(INDIRECT("Tab_00.Trial["&amp;AA$4&amp;"]"),Tab_00.Trial[CONTA],$B44)</f>
        <v>0</v>
      </c>
      <c r="AB44" s="78">
        <f t="shared" ca="1" si="70"/>
        <v>0</v>
      </c>
      <c r="AC44" s="78">
        <f t="shared" ca="1" si="82"/>
        <v>0</v>
      </c>
      <c r="AD44" s="4">
        <f ca="1">-SUMIFS(INDIRECT("Tab_00.Trial["&amp;AD$4&amp;"]"),Tab_00.Trial[CONTA],$B44)</f>
        <v>0</v>
      </c>
      <c r="AE44" s="78">
        <f t="shared" ca="1" si="71"/>
        <v>0</v>
      </c>
      <c r="AF44" s="78">
        <f t="shared" ca="1" si="83"/>
        <v>0</v>
      </c>
      <c r="AG44" s="4">
        <f ca="1">-SUMIFS(INDIRECT("Tab_00.Trial["&amp;AG$4&amp;"]"),Tab_00.Trial[CONTA],$B44)</f>
        <v>0</v>
      </c>
      <c r="AH44" s="78">
        <f t="shared" ca="1" si="72"/>
        <v>0</v>
      </c>
      <c r="AI44" s="78">
        <f t="shared" ca="1" si="84"/>
        <v>0</v>
      </c>
      <c r="AJ44" s="4">
        <f ca="1">-SUMIFS(INDIRECT("Tab_00.Trial["&amp;AJ$4&amp;"]"),Tab_00.Trial[CONTA],$B44)</f>
        <v>0</v>
      </c>
      <c r="AK44" s="78">
        <f t="shared" ca="1" si="73"/>
        <v>0</v>
      </c>
      <c r="AL44" s="78">
        <f t="shared" ca="1" si="85"/>
        <v>0</v>
      </c>
      <c r="AM44" s="4">
        <f ca="1">-SUMIFS(INDIRECT("Tab_00.Trial["&amp;AM$4&amp;"]"),Tab_00.Trial[CONTA],$B44)</f>
        <v>0</v>
      </c>
      <c r="AN44" s="78">
        <f t="shared" ca="1" si="74"/>
        <v>0</v>
      </c>
      <c r="AO44" s="78">
        <f t="shared" ca="1" si="86"/>
        <v>0</v>
      </c>
    </row>
    <row r="45" spans="2:41" ht="15" hidden="1" customHeight="1" outlineLevel="1" x14ac:dyDescent="0.3">
      <c r="B45" s="14"/>
      <c r="C45" s="15"/>
      <c r="D45" s="4">
        <f>-SUMIFS(Tab_99.Trial[DEZEMBRO],Tab_99.Trial[CONTA],$B45)</f>
        <v>0</v>
      </c>
      <c r="E45" s="78">
        <f t="shared" ca="1" si="62"/>
        <v>0</v>
      </c>
      <c r="F45" s="4">
        <f ca="1">-SUMIFS(INDIRECT("Tab_00.Trial["&amp;F$4&amp;"]"),Tab_00.Trial[CONTA],$B45)</f>
        <v>0</v>
      </c>
      <c r="G45" s="78">
        <f t="shared" ca="1" si="63"/>
        <v>0</v>
      </c>
      <c r="H45" s="78">
        <f t="shared" ca="1" si="75"/>
        <v>0</v>
      </c>
      <c r="I45" s="4">
        <f ca="1">-SUMIFS(INDIRECT("Tab_00.Trial["&amp;I$4&amp;"]"),Tab_00.Trial[CONTA],$B45)</f>
        <v>0</v>
      </c>
      <c r="J45" s="78">
        <f t="shared" ca="1" si="64"/>
        <v>0</v>
      </c>
      <c r="K45" s="78">
        <f t="shared" ca="1" si="76"/>
        <v>0</v>
      </c>
      <c r="L45" s="4">
        <f ca="1">-SUMIFS(INDIRECT("Tab_00.Trial["&amp;L$4&amp;"]"),Tab_00.Trial[CONTA],$B45)</f>
        <v>0</v>
      </c>
      <c r="M45" s="78">
        <f t="shared" ca="1" si="65"/>
        <v>0</v>
      </c>
      <c r="N45" s="78">
        <f t="shared" ca="1" si="77"/>
        <v>0</v>
      </c>
      <c r="O45" s="4">
        <f ca="1">-SUMIFS(INDIRECT("Tab_00.Trial["&amp;O$4&amp;"]"),Tab_00.Trial[CONTA],$B45)</f>
        <v>0</v>
      </c>
      <c r="P45" s="78">
        <f t="shared" ca="1" si="66"/>
        <v>0</v>
      </c>
      <c r="Q45" s="78">
        <f t="shared" ca="1" si="78"/>
        <v>0</v>
      </c>
      <c r="R45" s="4">
        <f ca="1">-SUMIFS(INDIRECT("Tab_00.Trial["&amp;R$4&amp;"]"),Tab_00.Trial[CONTA],$B45)</f>
        <v>0</v>
      </c>
      <c r="S45" s="78">
        <f t="shared" ca="1" si="67"/>
        <v>0</v>
      </c>
      <c r="T45" s="78">
        <f t="shared" ca="1" si="79"/>
        <v>0</v>
      </c>
      <c r="U45" s="4">
        <f ca="1">-SUMIFS(INDIRECT("Tab_00.Trial["&amp;U$4&amp;"]"),Tab_00.Trial[CONTA],$B45)</f>
        <v>0</v>
      </c>
      <c r="V45" s="78">
        <f t="shared" ca="1" si="68"/>
        <v>0</v>
      </c>
      <c r="W45" s="78">
        <f t="shared" ca="1" si="80"/>
        <v>0</v>
      </c>
      <c r="X45" s="4">
        <f ca="1">-SUMIFS(INDIRECT("Tab_00.Trial["&amp;X$4&amp;"]"),Tab_00.Trial[CONTA],$B45)</f>
        <v>0</v>
      </c>
      <c r="Y45" s="78">
        <f t="shared" ca="1" si="69"/>
        <v>0</v>
      </c>
      <c r="Z45" s="78">
        <f t="shared" ca="1" si="81"/>
        <v>0</v>
      </c>
      <c r="AA45" s="4">
        <f ca="1">-SUMIFS(INDIRECT("Tab_00.Trial["&amp;AA$4&amp;"]"),Tab_00.Trial[CONTA],$B45)</f>
        <v>0</v>
      </c>
      <c r="AB45" s="78">
        <f t="shared" ca="1" si="70"/>
        <v>0</v>
      </c>
      <c r="AC45" s="78">
        <f t="shared" ca="1" si="82"/>
        <v>0</v>
      </c>
      <c r="AD45" s="4">
        <f ca="1">-SUMIFS(INDIRECT("Tab_00.Trial["&amp;AD$4&amp;"]"),Tab_00.Trial[CONTA],$B45)</f>
        <v>0</v>
      </c>
      <c r="AE45" s="78">
        <f t="shared" ca="1" si="71"/>
        <v>0</v>
      </c>
      <c r="AF45" s="78">
        <f t="shared" ca="1" si="83"/>
        <v>0</v>
      </c>
      <c r="AG45" s="4">
        <f ca="1">-SUMIFS(INDIRECT("Tab_00.Trial["&amp;AG$4&amp;"]"),Tab_00.Trial[CONTA],$B45)</f>
        <v>0</v>
      </c>
      <c r="AH45" s="78">
        <f t="shared" ca="1" si="72"/>
        <v>0</v>
      </c>
      <c r="AI45" s="78">
        <f t="shared" ca="1" si="84"/>
        <v>0</v>
      </c>
      <c r="AJ45" s="4">
        <f ca="1">-SUMIFS(INDIRECT("Tab_00.Trial["&amp;AJ$4&amp;"]"),Tab_00.Trial[CONTA],$B45)</f>
        <v>0</v>
      </c>
      <c r="AK45" s="78">
        <f t="shared" ca="1" si="73"/>
        <v>0</v>
      </c>
      <c r="AL45" s="78">
        <f t="shared" ca="1" si="85"/>
        <v>0</v>
      </c>
      <c r="AM45" s="4">
        <f ca="1">-SUMIFS(INDIRECT("Tab_00.Trial["&amp;AM$4&amp;"]"),Tab_00.Trial[CONTA],$B45)</f>
        <v>0</v>
      </c>
      <c r="AN45" s="78">
        <f t="shared" ca="1" si="74"/>
        <v>0</v>
      </c>
      <c r="AO45" s="78">
        <f t="shared" ca="1" si="86"/>
        <v>0</v>
      </c>
    </row>
    <row r="46" spans="2:41" ht="15" hidden="1" customHeight="1" outlineLevel="1" x14ac:dyDescent="0.3">
      <c r="B46" s="14"/>
      <c r="C46" s="15"/>
      <c r="D46" s="4">
        <f>-SUMIFS(Tab_99.Trial[DEZEMBRO],Tab_99.Trial[CONTA],$B46)</f>
        <v>0</v>
      </c>
      <c r="E46" s="78">
        <f t="shared" ca="1" si="62"/>
        <v>0</v>
      </c>
      <c r="F46" s="4">
        <f ca="1">-SUMIFS(INDIRECT("Tab_00.Trial["&amp;F$4&amp;"]"),Tab_00.Trial[CONTA],$B46)</f>
        <v>0</v>
      </c>
      <c r="G46" s="78">
        <f t="shared" ca="1" si="63"/>
        <v>0</v>
      </c>
      <c r="H46" s="78">
        <f t="shared" ca="1" si="75"/>
        <v>0</v>
      </c>
      <c r="I46" s="4">
        <f ca="1">-SUMIFS(INDIRECT("Tab_00.Trial["&amp;I$4&amp;"]"),Tab_00.Trial[CONTA],$B46)</f>
        <v>0</v>
      </c>
      <c r="J46" s="78">
        <f t="shared" ca="1" si="64"/>
        <v>0</v>
      </c>
      <c r="K46" s="78">
        <f t="shared" ca="1" si="76"/>
        <v>0</v>
      </c>
      <c r="L46" s="4">
        <f ca="1">-SUMIFS(INDIRECT("Tab_00.Trial["&amp;L$4&amp;"]"),Tab_00.Trial[CONTA],$B46)</f>
        <v>0</v>
      </c>
      <c r="M46" s="78">
        <f t="shared" ca="1" si="65"/>
        <v>0</v>
      </c>
      <c r="N46" s="78">
        <f t="shared" ca="1" si="77"/>
        <v>0</v>
      </c>
      <c r="O46" s="4">
        <f ca="1">-SUMIFS(INDIRECT("Tab_00.Trial["&amp;O$4&amp;"]"),Tab_00.Trial[CONTA],$B46)</f>
        <v>0</v>
      </c>
      <c r="P46" s="78">
        <f t="shared" ca="1" si="66"/>
        <v>0</v>
      </c>
      <c r="Q46" s="78">
        <f t="shared" ca="1" si="78"/>
        <v>0</v>
      </c>
      <c r="R46" s="4">
        <f ca="1">-SUMIFS(INDIRECT("Tab_00.Trial["&amp;R$4&amp;"]"),Tab_00.Trial[CONTA],$B46)</f>
        <v>0</v>
      </c>
      <c r="S46" s="78">
        <f t="shared" ca="1" si="67"/>
        <v>0</v>
      </c>
      <c r="T46" s="78">
        <f t="shared" ca="1" si="79"/>
        <v>0</v>
      </c>
      <c r="U46" s="4">
        <f ca="1">-SUMIFS(INDIRECT("Tab_00.Trial["&amp;U$4&amp;"]"),Tab_00.Trial[CONTA],$B46)</f>
        <v>0</v>
      </c>
      <c r="V46" s="78">
        <f t="shared" ca="1" si="68"/>
        <v>0</v>
      </c>
      <c r="W46" s="78">
        <f t="shared" ca="1" si="80"/>
        <v>0</v>
      </c>
      <c r="X46" s="4">
        <f ca="1">-SUMIFS(INDIRECT("Tab_00.Trial["&amp;X$4&amp;"]"),Tab_00.Trial[CONTA],$B46)</f>
        <v>0</v>
      </c>
      <c r="Y46" s="78">
        <f t="shared" ca="1" si="69"/>
        <v>0</v>
      </c>
      <c r="Z46" s="78">
        <f t="shared" ca="1" si="81"/>
        <v>0</v>
      </c>
      <c r="AA46" s="4">
        <f ca="1">-SUMIFS(INDIRECT("Tab_00.Trial["&amp;AA$4&amp;"]"),Tab_00.Trial[CONTA],$B46)</f>
        <v>0</v>
      </c>
      <c r="AB46" s="78">
        <f t="shared" ca="1" si="70"/>
        <v>0</v>
      </c>
      <c r="AC46" s="78">
        <f t="shared" ca="1" si="82"/>
        <v>0</v>
      </c>
      <c r="AD46" s="4">
        <f ca="1">-SUMIFS(INDIRECT("Tab_00.Trial["&amp;AD$4&amp;"]"),Tab_00.Trial[CONTA],$B46)</f>
        <v>0</v>
      </c>
      <c r="AE46" s="78">
        <f t="shared" ca="1" si="71"/>
        <v>0</v>
      </c>
      <c r="AF46" s="78">
        <f t="shared" ca="1" si="83"/>
        <v>0</v>
      </c>
      <c r="AG46" s="4">
        <f ca="1">-SUMIFS(INDIRECT("Tab_00.Trial["&amp;AG$4&amp;"]"),Tab_00.Trial[CONTA],$B46)</f>
        <v>0</v>
      </c>
      <c r="AH46" s="78">
        <f t="shared" ca="1" si="72"/>
        <v>0</v>
      </c>
      <c r="AI46" s="78">
        <f t="shared" ca="1" si="84"/>
        <v>0</v>
      </c>
      <c r="AJ46" s="4">
        <f ca="1">-SUMIFS(INDIRECT("Tab_00.Trial["&amp;AJ$4&amp;"]"),Tab_00.Trial[CONTA],$B46)</f>
        <v>0</v>
      </c>
      <c r="AK46" s="78">
        <f t="shared" ca="1" si="73"/>
        <v>0</v>
      </c>
      <c r="AL46" s="78">
        <f t="shared" ca="1" si="85"/>
        <v>0</v>
      </c>
      <c r="AM46" s="4">
        <f ca="1">-SUMIFS(INDIRECT("Tab_00.Trial["&amp;AM$4&amp;"]"),Tab_00.Trial[CONTA],$B46)</f>
        <v>0</v>
      </c>
      <c r="AN46" s="78">
        <f t="shared" ca="1" si="74"/>
        <v>0</v>
      </c>
      <c r="AO46" s="78">
        <f t="shared" ca="1" si="86"/>
        <v>0</v>
      </c>
    </row>
    <row r="47" spans="2:41" ht="15" hidden="1" customHeight="1" outlineLevel="1" x14ac:dyDescent="0.3">
      <c r="B47" s="14"/>
      <c r="C47" s="15"/>
      <c r="D47" s="4">
        <f>-SUMIFS(Tab_99.Trial[DEZEMBRO],Tab_99.Trial[CONTA],$B47)</f>
        <v>0</v>
      </c>
      <c r="E47" s="78">
        <f t="shared" ca="1" si="62"/>
        <v>0</v>
      </c>
      <c r="F47" s="4">
        <f ca="1">-SUMIFS(INDIRECT("Tab_00.Trial["&amp;F$4&amp;"]"),Tab_00.Trial[CONTA],$B47)</f>
        <v>0</v>
      </c>
      <c r="G47" s="78">
        <f t="shared" ca="1" si="63"/>
        <v>0</v>
      </c>
      <c r="H47" s="78">
        <f t="shared" ca="1" si="75"/>
        <v>0</v>
      </c>
      <c r="I47" s="4">
        <f ca="1">-SUMIFS(INDIRECT("Tab_00.Trial["&amp;I$4&amp;"]"),Tab_00.Trial[CONTA],$B47)</f>
        <v>0</v>
      </c>
      <c r="J47" s="78">
        <f t="shared" ca="1" si="64"/>
        <v>0</v>
      </c>
      <c r="K47" s="78">
        <f t="shared" ca="1" si="76"/>
        <v>0</v>
      </c>
      <c r="L47" s="4">
        <f ca="1">-SUMIFS(INDIRECT("Tab_00.Trial["&amp;L$4&amp;"]"),Tab_00.Trial[CONTA],$B47)</f>
        <v>0</v>
      </c>
      <c r="M47" s="78">
        <f t="shared" ca="1" si="65"/>
        <v>0</v>
      </c>
      <c r="N47" s="78">
        <f t="shared" ca="1" si="77"/>
        <v>0</v>
      </c>
      <c r="O47" s="4">
        <f ca="1">-SUMIFS(INDIRECT("Tab_00.Trial["&amp;O$4&amp;"]"),Tab_00.Trial[CONTA],$B47)</f>
        <v>0</v>
      </c>
      <c r="P47" s="78">
        <f t="shared" ca="1" si="66"/>
        <v>0</v>
      </c>
      <c r="Q47" s="78">
        <f t="shared" ca="1" si="78"/>
        <v>0</v>
      </c>
      <c r="R47" s="4">
        <f ca="1">-SUMIFS(INDIRECT("Tab_00.Trial["&amp;R$4&amp;"]"),Tab_00.Trial[CONTA],$B47)</f>
        <v>0</v>
      </c>
      <c r="S47" s="78">
        <f t="shared" ca="1" si="67"/>
        <v>0</v>
      </c>
      <c r="T47" s="78">
        <f t="shared" ca="1" si="79"/>
        <v>0</v>
      </c>
      <c r="U47" s="4">
        <f ca="1">-SUMIFS(INDIRECT("Tab_00.Trial["&amp;U$4&amp;"]"),Tab_00.Trial[CONTA],$B47)</f>
        <v>0</v>
      </c>
      <c r="V47" s="78">
        <f t="shared" ca="1" si="68"/>
        <v>0</v>
      </c>
      <c r="W47" s="78">
        <f t="shared" ca="1" si="80"/>
        <v>0</v>
      </c>
      <c r="X47" s="4">
        <f ca="1">-SUMIFS(INDIRECT("Tab_00.Trial["&amp;X$4&amp;"]"),Tab_00.Trial[CONTA],$B47)</f>
        <v>0</v>
      </c>
      <c r="Y47" s="78">
        <f t="shared" ca="1" si="69"/>
        <v>0</v>
      </c>
      <c r="Z47" s="78">
        <f t="shared" ca="1" si="81"/>
        <v>0</v>
      </c>
      <c r="AA47" s="4">
        <f ca="1">-SUMIFS(INDIRECT("Tab_00.Trial["&amp;AA$4&amp;"]"),Tab_00.Trial[CONTA],$B47)</f>
        <v>0</v>
      </c>
      <c r="AB47" s="78">
        <f t="shared" ca="1" si="70"/>
        <v>0</v>
      </c>
      <c r="AC47" s="78">
        <f t="shared" ca="1" si="82"/>
        <v>0</v>
      </c>
      <c r="AD47" s="4">
        <f ca="1">-SUMIFS(INDIRECT("Tab_00.Trial["&amp;AD$4&amp;"]"),Tab_00.Trial[CONTA],$B47)</f>
        <v>0</v>
      </c>
      <c r="AE47" s="78">
        <f t="shared" ca="1" si="71"/>
        <v>0</v>
      </c>
      <c r="AF47" s="78">
        <f t="shared" ca="1" si="83"/>
        <v>0</v>
      </c>
      <c r="AG47" s="4">
        <f ca="1">-SUMIFS(INDIRECT("Tab_00.Trial["&amp;AG$4&amp;"]"),Tab_00.Trial[CONTA],$B47)</f>
        <v>0</v>
      </c>
      <c r="AH47" s="78">
        <f t="shared" ca="1" si="72"/>
        <v>0</v>
      </c>
      <c r="AI47" s="78">
        <f t="shared" ca="1" si="84"/>
        <v>0</v>
      </c>
      <c r="AJ47" s="4">
        <f ca="1">-SUMIFS(INDIRECT("Tab_00.Trial["&amp;AJ$4&amp;"]"),Tab_00.Trial[CONTA],$B47)</f>
        <v>0</v>
      </c>
      <c r="AK47" s="78">
        <f t="shared" ca="1" si="73"/>
        <v>0</v>
      </c>
      <c r="AL47" s="78">
        <f t="shared" ca="1" si="85"/>
        <v>0</v>
      </c>
      <c r="AM47" s="4">
        <f ca="1">-SUMIFS(INDIRECT("Tab_00.Trial["&amp;AM$4&amp;"]"),Tab_00.Trial[CONTA],$B47)</f>
        <v>0</v>
      </c>
      <c r="AN47" s="78">
        <f t="shared" ca="1" si="74"/>
        <v>0</v>
      </c>
      <c r="AO47" s="78">
        <f t="shared" ca="1" si="86"/>
        <v>0</v>
      </c>
    </row>
    <row r="48" spans="2:41" ht="15" hidden="1" customHeight="1" outlineLevel="1" x14ac:dyDescent="0.3">
      <c r="B48" s="14"/>
      <c r="C48" s="15"/>
      <c r="D48" s="4">
        <f>-SUMIFS(Tab_99.Trial[DEZEMBRO],Tab_99.Trial[CONTA],$B48)</f>
        <v>0</v>
      </c>
      <c r="E48" s="78">
        <f t="shared" ca="1" si="62"/>
        <v>0</v>
      </c>
      <c r="F48" s="4">
        <f ca="1">-SUMIFS(INDIRECT("Tab_00.Trial["&amp;F$4&amp;"]"),Tab_00.Trial[CONTA],$B48)</f>
        <v>0</v>
      </c>
      <c r="G48" s="78">
        <f t="shared" ca="1" si="63"/>
        <v>0</v>
      </c>
      <c r="H48" s="78">
        <f t="shared" ca="1" si="75"/>
        <v>0</v>
      </c>
      <c r="I48" s="4">
        <f ca="1">-SUMIFS(INDIRECT("Tab_00.Trial["&amp;I$4&amp;"]"),Tab_00.Trial[CONTA],$B48)</f>
        <v>0</v>
      </c>
      <c r="J48" s="78">
        <f t="shared" ca="1" si="64"/>
        <v>0</v>
      </c>
      <c r="K48" s="78">
        <f t="shared" ca="1" si="76"/>
        <v>0</v>
      </c>
      <c r="L48" s="4">
        <f ca="1">-SUMIFS(INDIRECT("Tab_00.Trial["&amp;L$4&amp;"]"),Tab_00.Trial[CONTA],$B48)</f>
        <v>0</v>
      </c>
      <c r="M48" s="78">
        <f t="shared" ca="1" si="65"/>
        <v>0</v>
      </c>
      <c r="N48" s="78">
        <f t="shared" ca="1" si="77"/>
        <v>0</v>
      </c>
      <c r="O48" s="4">
        <f ca="1">-SUMIFS(INDIRECT("Tab_00.Trial["&amp;O$4&amp;"]"),Tab_00.Trial[CONTA],$B48)</f>
        <v>0</v>
      </c>
      <c r="P48" s="78">
        <f t="shared" ca="1" si="66"/>
        <v>0</v>
      </c>
      <c r="Q48" s="78">
        <f t="shared" ca="1" si="78"/>
        <v>0</v>
      </c>
      <c r="R48" s="4">
        <f ca="1">-SUMIFS(INDIRECT("Tab_00.Trial["&amp;R$4&amp;"]"),Tab_00.Trial[CONTA],$B48)</f>
        <v>0</v>
      </c>
      <c r="S48" s="78">
        <f t="shared" ca="1" si="67"/>
        <v>0</v>
      </c>
      <c r="T48" s="78">
        <f t="shared" ca="1" si="79"/>
        <v>0</v>
      </c>
      <c r="U48" s="4">
        <f ca="1">-SUMIFS(INDIRECT("Tab_00.Trial["&amp;U$4&amp;"]"),Tab_00.Trial[CONTA],$B48)</f>
        <v>0</v>
      </c>
      <c r="V48" s="78">
        <f t="shared" ca="1" si="68"/>
        <v>0</v>
      </c>
      <c r="W48" s="78">
        <f t="shared" ca="1" si="80"/>
        <v>0</v>
      </c>
      <c r="X48" s="4">
        <f ca="1">-SUMIFS(INDIRECT("Tab_00.Trial["&amp;X$4&amp;"]"),Tab_00.Trial[CONTA],$B48)</f>
        <v>0</v>
      </c>
      <c r="Y48" s="78">
        <f t="shared" ca="1" si="69"/>
        <v>0</v>
      </c>
      <c r="Z48" s="78">
        <f t="shared" ca="1" si="81"/>
        <v>0</v>
      </c>
      <c r="AA48" s="4">
        <f ca="1">-SUMIFS(INDIRECT("Tab_00.Trial["&amp;AA$4&amp;"]"),Tab_00.Trial[CONTA],$B48)</f>
        <v>0</v>
      </c>
      <c r="AB48" s="78">
        <f t="shared" ca="1" si="70"/>
        <v>0</v>
      </c>
      <c r="AC48" s="78">
        <f t="shared" ca="1" si="82"/>
        <v>0</v>
      </c>
      <c r="AD48" s="4">
        <f ca="1">-SUMIFS(INDIRECT("Tab_00.Trial["&amp;AD$4&amp;"]"),Tab_00.Trial[CONTA],$B48)</f>
        <v>0</v>
      </c>
      <c r="AE48" s="78">
        <f t="shared" ca="1" si="71"/>
        <v>0</v>
      </c>
      <c r="AF48" s="78">
        <f t="shared" ca="1" si="83"/>
        <v>0</v>
      </c>
      <c r="AG48" s="4">
        <f ca="1">-SUMIFS(INDIRECT("Tab_00.Trial["&amp;AG$4&amp;"]"),Tab_00.Trial[CONTA],$B48)</f>
        <v>0</v>
      </c>
      <c r="AH48" s="78">
        <f t="shared" ca="1" si="72"/>
        <v>0</v>
      </c>
      <c r="AI48" s="78">
        <f t="shared" ca="1" si="84"/>
        <v>0</v>
      </c>
      <c r="AJ48" s="4">
        <f ca="1">-SUMIFS(INDIRECT("Tab_00.Trial["&amp;AJ$4&amp;"]"),Tab_00.Trial[CONTA],$B48)</f>
        <v>0</v>
      </c>
      <c r="AK48" s="78">
        <f t="shared" ca="1" si="73"/>
        <v>0</v>
      </c>
      <c r="AL48" s="78">
        <f t="shared" ca="1" si="85"/>
        <v>0</v>
      </c>
      <c r="AM48" s="4">
        <f ca="1">-SUMIFS(INDIRECT("Tab_00.Trial["&amp;AM$4&amp;"]"),Tab_00.Trial[CONTA],$B48)</f>
        <v>0</v>
      </c>
      <c r="AN48" s="78">
        <f t="shared" ca="1" si="74"/>
        <v>0</v>
      </c>
      <c r="AO48" s="78">
        <f t="shared" ca="1" si="86"/>
        <v>0</v>
      </c>
    </row>
    <row r="49" spans="2:41" ht="15" hidden="1" customHeight="1" outlineLevel="1" x14ac:dyDescent="0.3">
      <c r="B49" s="14"/>
      <c r="C49" s="15"/>
      <c r="D49" s="4">
        <f>-SUMIFS(Tab_99.Trial[DEZEMBRO],Tab_99.Trial[CONTA],$B49)</f>
        <v>0</v>
      </c>
      <c r="E49" s="78">
        <f t="shared" ca="1" si="62"/>
        <v>0</v>
      </c>
      <c r="F49" s="4">
        <f ca="1">-SUMIFS(INDIRECT("Tab_00.Trial["&amp;F$4&amp;"]"),Tab_00.Trial[CONTA],$B49)</f>
        <v>0</v>
      </c>
      <c r="G49" s="78">
        <f t="shared" ca="1" si="63"/>
        <v>0</v>
      </c>
      <c r="H49" s="78">
        <f t="shared" ref="H49:H52" ca="1" si="87">IFERROR(($F49-$D49)/ABS($D49),0)</f>
        <v>0</v>
      </c>
      <c r="I49" s="4">
        <f ca="1">-SUMIFS(INDIRECT("Tab_00.Trial["&amp;I$4&amp;"]"),Tab_00.Trial[CONTA],$B49)</f>
        <v>0</v>
      </c>
      <c r="J49" s="78">
        <f t="shared" ca="1" si="64"/>
        <v>0</v>
      </c>
      <c r="K49" s="78">
        <f t="shared" ref="K49:K52" ca="1" si="88">IFERROR(($I49-$F49)/ABS($F49),0)</f>
        <v>0</v>
      </c>
      <c r="L49" s="4">
        <f ca="1">-SUMIFS(INDIRECT("Tab_00.Trial["&amp;L$4&amp;"]"),Tab_00.Trial[CONTA],$B49)</f>
        <v>0</v>
      </c>
      <c r="M49" s="78">
        <f t="shared" ca="1" si="65"/>
        <v>0</v>
      </c>
      <c r="N49" s="78">
        <f t="shared" ref="N49:N52" ca="1" si="89">IFERROR(($L49-$I49)/ABS($I49),0)</f>
        <v>0</v>
      </c>
      <c r="O49" s="4">
        <f ca="1">-SUMIFS(INDIRECT("Tab_00.Trial["&amp;O$4&amp;"]"),Tab_00.Trial[CONTA],$B49)</f>
        <v>0</v>
      </c>
      <c r="P49" s="78">
        <f t="shared" ca="1" si="66"/>
        <v>0</v>
      </c>
      <c r="Q49" s="78">
        <f t="shared" ref="Q49:Q52" ca="1" si="90">IFERROR(($O49-$L49)/ABS($L49),0)</f>
        <v>0</v>
      </c>
      <c r="R49" s="4">
        <f ca="1">-SUMIFS(INDIRECT("Tab_00.Trial["&amp;R$4&amp;"]"),Tab_00.Trial[CONTA],$B49)</f>
        <v>0</v>
      </c>
      <c r="S49" s="78">
        <f t="shared" ca="1" si="67"/>
        <v>0</v>
      </c>
      <c r="T49" s="78">
        <f t="shared" ref="T49:T52" ca="1" si="91">IFERROR(($R49-$O49)/ABS($O49),0)</f>
        <v>0</v>
      </c>
      <c r="U49" s="4">
        <f ca="1">-SUMIFS(INDIRECT("Tab_00.Trial["&amp;U$4&amp;"]"),Tab_00.Trial[CONTA],$B49)</f>
        <v>0</v>
      </c>
      <c r="V49" s="78">
        <f t="shared" ca="1" si="68"/>
        <v>0</v>
      </c>
      <c r="W49" s="78">
        <f t="shared" ref="W49:W52" ca="1" si="92">IFERROR(($U49-$R49)/ABS($R49),0)</f>
        <v>0</v>
      </c>
      <c r="X49" s="4">
        <f ca="1">-SUMIFS(INDIRECT("Tab_00.Trial["&amp;X$4&amp;"]"),Tab_00.Trial[CONTA],$B49)</f>
        <v>0</v>
      </c>
      <c r="Y49" s="78">
        <f t="shared" ca="1" si="69"/>
        <v>0</v>
      </c>
      <c r="Z49" s="78">
        <f t="shared" ref="Z49:Z52" ca="1" si="93">IFERROR(($X49-$U49)/ABS($U49),0)</f>
        <v>0</v>
      </c>
      <c r="AA49" s="4">
        <f ca="1">-SUMIFS(INDIRECT("Tab_00.Trial["&amp;AA$4&amp;"]"),Tab_00.Trial[CONTA],$B49)</f>
        <v>0</v>
      </c>
      <c r="AB49" s="78">
        <f t="shared" ca="1" si="70"/>
        <v>0</v>
      </c>
      <c r="AC49" s="78">
        <f t="shared" ref="AC49:AC52" ca="1" si="94">IFERROR(($AA49-$X49)/ABS($X49),0)</f>
        <v>0</v>
      </c>
      <c r="AD49" s="4">
        <f ca="1">-SUMIFS(INDIRECT("Tab_00.Trial["&amp;AD$4&amp;"]"),Tab_00.Trial[CONTA],$B49)</f>
        <v>0</v>
      </c>
      <c r="AE49" s="78">
        <f t="shared" ca="1" si="71"/>
        <v>0</v>
      </c>
      <c r="AF49" s="78">
        <f t="shared" ref="AF49:AF52" ca="1" si="95">IFERROR(($AD49-$AA49)/ABS($AA49),0)</f>
        <v>0</v>
      </c>
      <c r="AG49" s="4">
        <f ca="1">-SUMIFS(INDIRECT("Tab_00.Trial["&amp;AG$4&amp;"]"),Tab_00.Trial[CONTA],$B49)</f>
        <v>0</v>
      </c>
      <c r="AH49" s="78">
        <f t="shared" ca="1" si="72"/>
        <v>0</v>
      </c>
      <c r="AI49" s="78">
        <f t="shared" ref="AI49:AI52" ca="1" si="96">IFERROR(($AG49-$AD49)/ABS($AD49),0)</f>
        <v>0</v>
      </c>
      <c r="AJ49" s="4">
        <f ca="1">-SUMIFS(INDIRECT("Tab_00.Trial["&amp;AJ$4&amp;"]"),Tab_00.Trial[CONTA],$B49)</f>
        <v>0</v>
      </c>
      <c r="AK49" s="78">
        <f t="shared" ca="1" si="73"/>
        <v>0</v>
      </c>
      <c r="AL49" s="78">
        <f t="shared" ref="AL49:AL52" ca="1" si="97">IFERROR(($AJ49-$AG49)/ABS($AG49),0)</f>
        <v>0</v>
      </c>
      <c r="AM49" s="4">
        <f ca="1">-SUMIFS(INDIRECT("Tab_00.Trial["&amp;AM$4&amp;"]"),Tab_00.Trial[CONTA],$B49)</f>
        <v>0</v>
      </c>
      <c r="AN49" s="78">
        <f t="shared" ca="1" si="74"/>
        <v>0</v>
      </c>
      <c r="AO49" s="78">
        <f t="shared" ref="AO49:AO52" ca="1" si="98">IFERROR(($AM49-$AJ49)/ABS($AJ49),0)</f>
        <v>0</v>
      </c>
    </row>
    <row r="50" spans="2:41" ht="15" hidden="1" customHeight="1" outlineLevel="1" x14ac:dyDescent="0.3">
      <c r="B50" s="14"/>
      <c r="C50" s="15"/>
      <c r="D50" s="4">
        <f>-SUMIFS(Tab_99.Trial[DEZEMBRO],Tab_99.Trial[CONTA],$B50)</f>
        <v>0</v>
      </c>
      <c r="E50" s="78">
        <f t="shared" ca="1" si="62"/>
        <v>0</v>
      </c>
      <c r="F50" s="4">
        <f ca="1">-SUMIFS(INDIRECT("Tab_00.Trial["&amp;F$4&amp;"]"),Tab_00.Trial[CONTA],$B50)</f>
        <v>0</v>
      </c>
      <c r="G50" s="78">
        <f t="shared" ca="1" si="63"/>
        <v>0</v>
      </c>
      <c r="H50" s="78">
        <f t="shared" ca="1" si="87"/>
        <v>0</v>
      </c>
      <c r="I50" s="4">
        <f ca="1">-SUMIFS(INDIRECT("Tab_00.Trial["&amp;I$4&amp;"]"),Tab_00.Trial[CONTA],$B50)</f>
        <v>0</v>
      </c>
      <c r="J50" s="78">
        <f t="shared" ca="1" si="64"/>
        <v>0</v>
      </c>
      <c r="K50" s="78">
        <f t="shared" ca="1" si="88"/>
        <v>0</v>
      </c>
      <c r="L50" s="4">
        <f ca="1">-SUMIFS(INDIRECT("Tab_00.Trial["&amp;L$4&amp;"]"),Tab_00.Trial[CONTA],$B50)</f>
        <v>0</v>
      </c>
      <c r="M50" s="78">
        <f t="shared" ca="1" si="65"/>
        <v>0</v>
      </c>
      <c r="N50" s="78">
        <f t="shared" ca="1" si="89"/>
        <v>0</v>
      </c>
      <c r="O50" s="4">
        <f ca="1">-SUMIFS(INDIRECT("Tab_00.Trial["&amp;O$4&amp;"]"),Tab_00.Trial[CONTA],$B50)</f>
        <v>0</v>
      </c>
      <c r="P50" s="78">
        <f t="shared" ca="1" si="66"/>
        <v>0</v>
      </c>
      <c r="Q50" s="78">
        <f t="shared" ca="1" si="90"/>
        <v>0</v>
      </c>
      <c r="R50" s="4">
        <f ca="1">-SUMIFS(INDIRECT("Tab_00.Trial["&amp;R$4&amp;"]"),Tab_00.Trial[CONTA],$B50)</f>
        <v>0</v>
      </c>
      <c r="S50" s="78">
        <f t="shared" ca="1" si="67"/>
        <v>0</v>
      </c>
      <c r="T50" s="78">
        <f t="shared" ca="1" si="91"/>
        <v>0</v>
      </c>
      <c r="U50" s="4">
        <f ca="1">-SUMIFS(INDIRECT("Tab_00.Trial["&amp;U$4&amp;"]"),Tab_00.Trial[CONTA],$B50)</f>
        <v>0</v>
      </c>
      <c r="V50" s="78">
        <f t="shared" ca="1" si="68"/>
        <v>0</v>
      </c>
      <c r="W50" s="78">
        <f t="shared" ca="1" si="92"/>
        <v>0</v>
      </c>
      <c r="X50" s="4">
        <f ca="1">-SUMIFS(INDIRECT("Tab_00.Trial["&amp;X$4&amp;"]"),Tab_00.Trial[CONTA],$B50)</f>
        <v>0</v>
      </c>
      <c r="Y50" s="78">
        <f t="shared" ca="1" si="69"/>
        <v>0</v>
      </c>
      <c r="Z50" s="78">
        <f t="shared" ca="1" si="93"/>
        <v>0</v>
      </c>
      <c r="AA50" s="4">
        <f ca="1">-SUMIFS(INDIRECT("Tab_00.Trial["&amp;AA$4&amp;"]"),Tab_00.Trial[CONTA],$B50)</f>
        <v>0</v>
      </c>
      <c r="AB50" s="78">
        <f t="shared" ca="1" si="70"/>
        <v>0</v>
      </c>
      <c r="AC50" s="78">
        <f t="shared" ca="1" si="94"/>
        <v>0</v>
      </c>
      <c r="AD50" s="4">
        <f ca="1">-SUMIFS(INDIRECT("Tab_00.Trial["&amp;AD$4&amp;"]"),Tab_00.Trial[CONTA],$B50)</f>
        <v>0</v>
      </c>
      <c r="AE50" s="78">
        <f t="shared" ca="1" si="71"/>
        <v>0</v>
      </c>
      <c r="AF50" s="78">
        <f t="shared" ca="1" si="95"/>
        <v>0</v>
      </c>
      <c r="AG50" s="4">
        <f ca="1">-SUMIFS(INDIRECT("Tab_00.Trial["&amp;AG$4&amp;"]"),Tab_00.Trial[CONTA],$B50)</f>
        <v>0</v>
      </c>
      <c r="AH50" s="78">
        <f t="shared" ca="1" si="72"/>
        <v>0</v>
      </c>
      <c r="AI50" s="78">
        <f t="shared" ca="1" si="96"/>
        <v>0</v>
      </c>
      <c r="AJ50" s="4">
        <f ca="1">-SUMIFS(INDIRECT("Tab_00.Trial["&amp;AJ$4&amp;"]"),Tab_00.Trial[CONTA],$B50)</f>
        <v>0</v>
      </c>
      <c r="AK50" s="78">
        <f t="shared" ca="1" si="73"/>
        <v>0</v>
      </c>
      <c r="AL50" s="78">
        <f t="shared" ca="1" si="97"/>
        <v>0</v>
      </c>
      <c r="AM50" s="4">
        <f ca="1">-SUMIFS(INDIRECT("Tab_00.Trial["&amp;AM$4&amp;"]"),Tab_00.Trial[CONTA],$B50)</f>
        <v>0</v>
      </c>
      <c r="AN50" s="78">
        <f t="shared" ca="1" si="74"/>
        <v>0</v>
      </c>
      <c r="AO50" s="78">
        <f t="shared" ca="1" si="98"/>
        <v>0</v>
      </c>
    </row>
    <row r="51" spans="2:41" ht="15" hidden="1" customHeight="1" outlineLevel="1" x14ac:dyDescent="0.3">
      <c r="B51" s="14"/>
      <c r="C51" s="15"/>
      <c r="D51" s="4">
        <f>-SUMIFS(Tab_99.Trial[DEZEMBRO],Tab_99.Trial[CONTA],$B51)</f>
        <v>0</v>
      </c>
      <c r="E51" s="78">
        <f t="shared" ca="1" si="62"/>
        <v>0</v>
      </c>
      <c r="F51" s="4">
        <f ca="1">-SUMIFS(INDIRECT("Tab_00.Trial["&amp;F$4&amp;"]"),Tab_00.Trial[CONTA],$B51)</f>
        <v>0</v>
      </c>
      <c r="G51" s="78">
        <f t="shared" ca="1" si="63"/>
        <v>0</v>
      </c>
      <c r="H51" s="78">
        <f t="shared" ca="1" si="87"/>
        <v>0</v>
      </c>
      <c r="I51" s="4">
        <f ca="1">-SUMIFS(INDIRECT("Tab_00.Trial["&amp;I$4&amp;"]"),Tab_00.Trial[CONTA],$B51)</f>
        <v>0</v>
      </c>
      <c r="J51" s="78">
        <f t="shared" ca="1" si="64"/>
        <v>0</v>
      </c>
      <c r="K51" s="78">
        <f t="shared" ca="1" si="88"/>
        <v>0</v>
      </c>
      <c r="L51" s="4">
        <f ca="1">-SUMIFS(INDIRECT("Tab_00.Trial["&amp;L$4&amp;"]"),Tab_00.Trial[CONTA],$B51)</f>
        <v>0</v>
      </c>
      <c r="M51" s="78">
        <f t="shared" ca="1" si="65"/>
        <v>0</v>
      </c>
      <c r="N51" s="78">
        <f t="shared" ca="1" si="89"/>
        <v>0</v>
      </c>
      <c r="O51" s="4">
        <f ca="1">-SUMIFS(INDIRECT("Tab_00.Trial["&amp;O$4&amp;"]"),Tab_00.Trial[CONTA],$B51)</f>
        <v>0</v>
      </c>
      <c r="P51" s="78">
        <f t="shared" ca="1" si="66"/>
        <v>0</v>
      </c>
      <c r="Q51" s="78">
        <f t="shared" ca="1" si="90"/>
        <v>0</v>
      </c>
      <c r="R51" s="4">
        <f ca="1">-SUMIFS(INDIRECT("Tab_00.Trial["&amp;R$4&amp;"]"),Tab_00.Trial[CONTA],$B51)</f>
        <v>0</v>
      </c>
      <c r="S51" s="78">
        <f t="shared" ca="1" si="67"/>
        <v>0</v>
      </c>
      <c r="T51" s="78">
        <f t="shared" ca="1" si="91"/>
        <v>0</v>
      </c>
      <c r="U51" s="4">
        <f ca="1">-SUMIFS(INDIRECT("Tab_00.Trial["&amp;U$4&amp;"]"),Tab_00.Trial[CONTA],$B51)</f>
        <v>0</v>
      </c>
      <c r="V51" s="78">
        <f t="shared" ca="1" si="68"/>
        <v>0</v>
      </c>
      <c r="W51" s="78">
        <f t="shared" ca="1" si="92"/>
        <v>0</v>
      </c>
      <c r="X51" s="4">
        <f ca="1">-SUMIFS(INDIRECT("Tab_00.Trial["&amp;X$4&amp;"]"),Tab_00.Trial[CONTA],$B51)</f>
        <v>0</v>
      </c>
      <c r="Y51" s="78">
        <f t="shared" ca="1" si="69"/>
        <v>0</v>
      </c>
      <c r="Z51" s="78">
        <f t="shared" ca="1" si="93"/>
        <v>0</v>
      </c>
      <c r="AA51" s="4">
        <f ca="1">-SUMIFS(INDIRECT("Tab_00.Trial["&amp;AA$4&amp;"]"),Tab_00.Trial[CONTA],$B51)</f>
        <v>0</v>
      </c>
      <c r="AB51" s="78">
        <f t="shared" ca="1" si="70"/>
        <v>0</v>
      </c>
      <c r="AC51" s="78">
        <f t="shared" ca="1" si="94"/>
        <v>0</v>
      </c>
      <c r="AD51" s="4">
        <f ca="1">-SUMIFS(INDIRECT("Tab_00.Trial["&amp;AD$4&amp;"]"),Tab_00.Trial[CONTA],$B51)</f>
        <v>0</v>
      </c>
      <c r="AE51" s="78">
        <f t="shared" ca="1" si="71"/>
        <v>0</v>
      </c>
      <c r="AF51" s="78">
        <f t="shared" ca="1" si="95"/>
        <v>0</v>
      </c>
      <c r="AG51" s="4">
        <f ca="1">-SUMIFS(INDIRECT("Tab_00.Trial["&amp;AG$4&amp;"]"),Tab_00.Trial[CONTA],$B51)</f>
        <v>0</v>
      </c>
      <c r="AH51" s="78">
        <f t="shared" ca="1" si="72"/>
        <v>0</v>
      </c>
      <c r="AI51" s="78">
        <f t="shared" ca="1" si="96"/>
        <v>0</v>
      </c>
      <c r="AJ51" s="4">
        <f ca="1">-SUMIFS(INDIRECT("Tab_00.Trial["&amp;AJ$4&amp;"]"),Tab_00.Trial[CONTA],$B51)</f>
        <v>0</v>
      </c>
      <c r="AK51" s="78">
        <f t="shared" ca="1" si="73"/>
        <v>0</v>
      </c>
      <c r="AL51" s="78">
        <f t="shared" ca="1" si="97"/>
        <v>0</v>
      </c>
      <c r="AM51" s="4">
        <f ca="1">-SUMIFS(INDIRECT("Tab_00.Trial["&amp;AM$4&amp;"]"),Tab_00.Trial[CONTA],$B51)</f>
        <v>0</v>
      </c>
      <c r="AN51" s="78">
        <f t="shared" ca="1" si="74"/>
        <v>0</v>
      </c>
      <c r="AO51" s="78">
        <f t="shared" ca="1" si="98"/>
        <v>0</v>
      </c>
    </row>
    <row r="52" spans="2:41" ht="15" hidden="1" customHeight="1" outlineLevel="1" x14ac:dyDescent="0.3">
      <c r="B52" s="14"/>
      <c r="C52" s="15"/>
      <c r="D52" s="4">
        <f>-SUMIFS(Tab_99.Trial[DEZEMBRO],Tab_99.Trial[CONTA],$B52)</f>
        <v>0</v>
      </c>
      <c r="E52" s="78">
        <f t="shared" ca="1" si="62"/>
        <v>0</v>
      </c>
      <c r="F52" s="4">
        <f ca="1">-SUMIFS(INDIRECT("Tab_00.Trial["&amp;F$4&amp;"]"),Tab_00.Trial[CONTA],$B52)</f>
        <v>0</v>
      </c>
      <c r="G52" s="78">
        <f t="shared" ca="1" si="63"/>
        <v>0</v>
      </c>
      <c r="H52" s="78">
        <f t="shared" ca="1" si="87"/>
        <v>0</v>
      </c>
      <c r="I52" s="4">
        <f ca="1">-SUMIFS(INDIRECT("Tab_00.Trial["&amp;I$4&amp;"]"),Tab_00.Trial[CONTA],$B52)</f>
        <v>0</v>
      </c>
      <c r="J52" s="78">
        <f t="shared" ca="1" si="64"/>
        <v>0</v>
      </c>
      <c r="K52" s="78">
        <f t="shared" ca="1" si="88"/>
        <v>0</v>
      </c>
      <c r="L52" s="4">
        <f ca="1">-SUMIFS(INDIRECT("Tab_00.Trial["&amp;L$4&amp;"]"),Tab_00.Trial[CONTA],$B52)</f>
        <v>0</v>
      </c>
      <c r="M52" s="78">
        <f t="shared" ca="1" si="65"/>
        <v>0</v>
      </c>
      <c r="N52" s="78">
        <f t="shared" ca="1" si="89"/>
        <v>0</v>
      </c>
      <c r="O52" s="4">
        <f ca="1">-SUMIFS(INDIRECT("Tab_00.Trial["&amp;O$4&amp;"]"),Tab_00.Trial[CONTA],$B52)</f>
        <v>0</v>
      </c>
      <c r="P52" s="78">
        <f t="shared" ca="1" si="66"/>
        <v>0</v>
      </c>
      <c r="Q52" s="78">
        <f t="shared" ca="1" si="90"/>
        <v>0</v>
      </c>
      <c r="R52" s="4">
        <f ca="1">-SUMIFS(INDIRECT("Tab_00.Trial["&amp;R$4&amp;"]"),Tab_00.Trial[CONTA],$B52)</f>
        <v>0</v>
      </c>
      <c r="S52" s="78">
        <f t="shared" ca="1" si="67"/>
        <v>0</v>
      </c>
      <c r="T52" s="78">
        <f t="shared" ca="1" si="91"/>
        <v>0</v>
      </c>
      <c r="U52" s="4">
        <f ca="1">-SUMIFS(INDIRECT("Tab_00.Trial["&amp;U$4&amp;"]"),Tab_00.Trial[CONTA],$B52)</f>
        <v>0</v>
      </c>
      <c r="V52" s="78">
        <f t="shared" ca="1" si="68"/>
        <v>0</v>
      </c>
      <c r="W52" s="78">
        <f t="shared" ca="1" si="92"/>
        <v>0</v>
      </c>
      <c r="X52" s="4">
        <f ca="1">-SUMIFS(INDIRECT("Tab_00.Trial["&amp;X$4&amp;"]"),Tab_00.Trial[CONTA],$B52)</f>
        <v>0</v>
      </c>
      <c r="Y52" s="78">
        <f t="shared" ca="1" si="69"/>
        <v>0</v>
      </c>
      <c r="Z52" s="78">
        <f t="shared" ca="1" si="93"/>
        <v>0</v>
      </c>
      <c r="AA52" s="4">
        <f ca="1">-SUMIFS(INDIRECT("Tab_00.Trial["&amp;AA$4&amp;"]"),Tab_00.Trial[CONTA],$B52)</f>
        <v>0</v>
      </c>
      <c r="AB52" s="78">
        <f t="shared" ca="1" si="70"/>
        <v>0</v>
      </c>
      <c r="AC52" s="78">
        <f t="shared" ca="1" si="94"/>
        <v>0</v>
      </c>
      <c r="AD52" s="4">
        <f ca="1">-SUMIFS(INDIRECT("Tab_00.Trial["&amp;AD$4&amp;"]"),Tab_00.Trial[CONTA],$B52)</f>
        <v>0</v>
      </c>
      <c r="AE52" s="78">
        <f t="shared" ca="1" si="71"/>
        <v>0</v>
      </c>
      <c r="AF52" s="78">
        <f t="shared" ca="1" si="95"/>
        <v>0</v>
      </c>
      <c r="AG52" s="4">
        <f ca="1">-SUMIFS(INDIRECT("Tab_00.Trial["&amp;AG$4&amp;"]"),Tab_00.Trial[CONTA],$B52)</f>
        <v>0</v>
      </c>
      <c r="AH52" s="78">
        <f t="shared" ca="1" si="72"/>
        <v>0</v>
      </c>
      <c r="AI52" s="78">
        <f t="shared" ca="1" si="96"/>
        <v>0</v>
      </c>
      <c r="AJ52" s="4">
        <f ca="1">-SUMIFS(INDIRECT("Tab_00.Trial["&amp;AJ$4&amp;"]"),Tab_00.Trial[CONTA],$B52)</f>
        <v>0</v>
      </c>
      <c r="AK52" s="78">
        <f t="shared" ca="1" si="73"/>
        <v>0</v>
      </c>
      <c r="AL52" s="78">
        <f t="shared" ca="1" si="97"/>
        <v>0</v>
      </c>
      <c r="AM52" s="4">
        <f ca="1">-SUMIFS(INDIRECT("Tab_00.Trial["&amp;AM$4&amp;"]"),Tab_00.Trial[CONTA],$B52)</f>
        <v>0</v>
      </c>
      <c r="AN52" s="78">
        <f t="shared" ca="1" si="74"/>
        <v>0</v>
      </c>
      <c r="AO52" s="78">
        <f t="shared" ca="1" si="98"/>
        <v>0</v>
      </c>
    </row>
    <row r="53" spans="2:41" ht="5.0999999999999996" hidden="1" customHeight="1" outlineLevel="1" x14ac:dyDescent="0.3">
      <c r="B53" s="74"/>
      <c r="C53" s="75"/>
      <c r="D53" s="76"/>
      <c r="E53" s="77"/>
      <c r="F53" s="76"/>
      <c r="G53" s="77"/>
      <c r="H53" s="77"/>
      <c r="I53" s="76"/>
      <c r="J53" s="77"/>
      <c r="K53" s="77"/>
      <c r="L53" s="76"/>
      <c r="M53" s="77"/>
      <c r="N53" s="77"/>
      <c r="O53" s="76"/>
      <c r="P53" s="77"/>
      <c r="Q53" s="77"/>
      <c r="R53" s="76"/>
      <c r="S53" s="77"/>
      <c r="T53" s="77"/>
      <c r="U53" s="76"/>
      <c r="V53" s="77"/>
      <c r="W53" s="77"/>
      <c r="X53" s="76"/>
      <c r="Y53" s="77"/>
      <c r="Z53" s="77"/>
      <c r="AA53" s="76"/>
      <c r="AB53" s="77"/>
      <c r="AC53" s="77"/>
      <c r="AD53" s="76"/>
      <c r="AE53" s="77"/>
      <c r="AF53" s="77"/>
      <c r="AG53" s="76"/>
      <c r="AH53" s="77"/>
      <c r="AI53" s="77"/>
      <c r="AJ53" s="76"/>
      <c r="AK53" s="77"/>
      <c r="AL53" s="77"/>
      <c r="AM53" s="76"/>
      <c r="AN53" s="77"/>
      <c r="AO53" s="77"/>
    </row>
    <row r="54" spans="2:41" ht="15" customHeight="1" collapsed="1" x14ac:dyDescent="0.3">
      <c r="B54" s="3" t="s">
        <v>54</v>
      </c>
      <c r="C54" s="14" t="s">
        <v>144</v>
      </c>
      <c r="D54" s="4">
        <f>SUBTOTAL(9,D$55:D$57)</f>
        <v>0</v>
      </c>
      <c r="E54" s="78">
        <f ca="1">IFERROR($D54/$D$146,0)</f>
        <v>0</v>
      </c>
      <c r="F54" s="4">
        <f ca="1">SUBTOTAL(9,F$55:F$57)</f>
        <v>3849.2</v>
      </c>
      <c r="G54" s="78">
        <f ca="1">IFERROR($F54/$F$146,0)</f>
        <v>0</v>
      </c>
      <c r="H54" s="78">
        <f ca="1">IFERROR(($F54-$D54)/ABS($D54),0)</f>
        <v>0</v>
      </c>
      <c r="I54" s="4">
        <f ca="1">SUBTOTAL(9,I$55:I$57)</f>
        <v>3849.2</v>
      </c>
      <c r="J54" s="78">
        <f ca="1">IFERROR($I54/$I$146,0)</f>
        <v>0</v>
      </c>
      <c r="K54" s="78">
        <f ca="1">IFERROR(($I54-$F54)/ABS($F54),0)</f>
        <v>0</v>
      </c>
      <c r="L54" s="4">
        <f ca="1">SUBTOTAL(9,L$55:L$57)</f>
        <v>3849.2</v>
      </c>
      <c r="M54" s="78">
        <f ca="1">IFERROR($L54/$L$146,0)</f>
        <v>0</v>
      </c>
      <c r="N54" s="78">
        <f ca="1">IFERROR(($L54-$I54)/ABS($I54),0)</f>
        <v>0</v>
      </c>
      <c r="O54" s="4">
        <f ca="1">SUBTOTAL(9,O$55:O$57)</f>
        <v>3849.2</v>
      </c>
      <c r="P54" s="78">
        <f ca="1">IFERROR($O54/$O$146,0)</f>
        <v>0</v>
      </c>
      <c r="Q54" s="78">
        <f ca="1">IFERROR(($O54-$L54)/ABS($L54),0)</f>
        <v>0</v>
      </c>
      <c r="R54" s="4">
        <f ca="1">SUBTOTAL(9,R$55:R$57)</f>
        <v>3849.2</v>
      </c>
      <c r="S54" s="78">
        <f ca="1">IFERROR($R54/$R$146,0)</f>
        <v>0</v>
      </c>
      <c r="T54" s="78">
        <f ca="1">IFERROR(($R54-$O54)/ABS($O54),0)</f>
        <v>0</v>
      </c>
      <c r="U54" s="4">
        <f ca="1">SUBTOTAL(9,U$55:U$57)</f>
        <v>3849.2</v>
      </c>
      <c r="V54" s="78">
        <f ca="1">IFERROR($U54/$U$146,0)</f>
        <v>0</v>
      </c>
      <c r="W54" s="78">
        <f ca="1">IFERROR(($U54-$R54)/ABS($R54),0)</f>
        <v>0</v>
      </c>
      <c r="X54" s="4">
        <f ca="1">SUBTOTAL(9,X$55:X$57)</f>
        <v>3849.2</v>
      </c>
      <c r="Y54" s="78">
        <f ca="1">IFERROR($X54/$X$146,0)</f>
        <v>0</v>
      </c>
      <c r="Z54" s="78">
        <f ca="1">IFERROR(($X54-$U54)/ABS($U54),0)</f>
        <v>0</v>
      </c>
      <c r="AA54" s="4">
        <f ca="1">SUBTOTAL(9,AA$55:AA$57)</f>
        <v>3849.2</v>
      </c>
      <c r="AB54" s="78">
        <f ca="1">IFERROR($AA54/$AA$146,0)</f>
        <v>0</v>
      </c>
      <c r="AC54" s="78">
        <f ca="1">IFERROR(($AA54-$X54)/ABS($X54),0)</f>
        <v>0</v>
      </c>
      <c r="AD54" s="4">
        <f ca="1">SUBTOTAL(9,AD$55:AD$57)</f>
        <v>3849.2</v>
      </c>
      <c r="AE54" s="78">
        <f ca="1">IFERROR($AD54/$AD$146,0)</f>
        <v>0</v>
      </c>
      <c r="AF54" s="78">
        <f ca="1">IFERROR(($AD54-$AA54)/ABS($AA54),0)</f>
        <v>0</v>
      </c>
      <c r="AG54" s="4">
        <f ca="1">SUBTOTAL(9,AG$55:AG$57)</f>
        <v>3849.2</v>
      </c>
      <c r="AH54" s="78">
        <f ca="1">IFERROR($AG54/$AG$146,0)</f>
        <v>0</v>
      </c>
      <c r="AI54" s="78">
        <f ca="1">IFERROR(($AG54-$AD54)/ABS($AD54),0)</f>
        <v>0</v>
      </c>
      <c r="AJ54" s="4">
        <f ca="1">SUBTOTAL(9,AJ$55:AJ$57)</f>
        <v>3849.2</v>
      </c>
      <c r="AK54" s="78">
        <f ca="1">IFERROR($AJ54/$AJ$146,0)</f>
        <v>0</v>
      </c>
      <c r="AL54" s="78">
        <f ca="1">IFERROR(($AJ54-$AG54)/ABS($AG54),0)</f>
        <v>0</v>
      </c>
      <c r="AM54" s="4">
        <f ca="1">SUBTOTAL(9,AM$55:AM$57)</f>
        <v>3849.2</v>
      </c>
      <c r="AN54" s="78">
        <f ca="1">IFERROR(AM54/AM$146,0)</f>
        <v>0</v>
      </c>
      <c r="AO54" s="78">
        <f ca="1">IFERROR(($AM54-$AJ54)/ABS($AJ54),0)</f>
        <v>0</v>
      </c>
    </row>
    <row r="55" spans="2:41" ht="15" hidden="1" customHeight="1" outlineLevel="1" x14ac:dyDescent="0.3">
      <c r="B55" s="14" t="s">
        <v>358</v>
      </c>
      <c r="C55" s="15" t="s">
        <v>359</v>
      </c>
      <c r="D55" s="4">
        <f>-SUMIFS(Tab_99.Trial[DEZEMBRO],Tab_99.Trial[CONTA],$B55)</f>
        <v>0</v>
      </c>
      <c r="E55" s="78">
        <f ca="1">IFERROR($D55/$D$146,0)</f>
        <v>0</v>
      </c>
      <c r="F55" s="4">
        <f ca="1">-SUMIFS(INDIRECT("Tab_00.Trial["&amp;F$4&amp;"]"),Tab_00.Trial[CONTA],$B55)</f>
        <v>3849.2</v>
      </c>
      <c r="G55" s="78">
        <f ca="1">IFERROR($F55/$F$146,0)</f>
        <v>0</v>
      </c>
      <c r="H55" s="78">
        <f ca="1">IFERROR(($F55-$D55)/ABS($D55),0)</f>
        <v>0</v>
      </c>
      <c r="I55" s="4">
        <f ca="1">-SUMIFS(INDIRECT("Tab_00.Trial["&amp;I$4&amp;"]"),Tab_00.Trial[CONTA],$B55)</f>
        <v>3849.2</v>
      </c>
      <c r="J55" s="78">
        <f ca="1">IFERROR($I55/$I$146,0)</f>
        <v>0</v>
      </c>
      <c r="K55" s="78">
        <f ca="1">IFERROR(($I55-$F55)/ABS($F55),0)</f>
        <v>0</v>
      </c>
      <c r="L55" s="4">
        <f ca="1">-SUMIFS(INDIRECT("Tab_00.Trial["&amp;L$4&amp;"]"),Tab_00.Trial[CONTA],$B55)</f>
        <v>3849.2</v>
      </c>
      <c r="M55" s="78">
        <f ca="1">IFERROR($L55/$L$146,0)</f>
        <v>0</v>
      </c>
      <c r="N55" s="78">
        <f ca="1">IFERROR(($L55-$I55)/ABS($I55),0)</f>
        <v>0</v>
      </c>
      <c r="O55" s="4">
        <f ca="1">-SUMIFS(INDIRECT("Tab_00.Trial["&amp;O$4&amp;"]"),Tab_00.Trial[CONTA],$B55)</f>
        <v>3849.2</v>
      </c>
      <c r="P55" s="78">
        <f ca="1">IFERROR($O55/$O$146,0)</f>
        <v>0</v>
      </c>
      <c r="Q55" s="78">
        <f ca="1">IFERROR(($O55-$L55)/ABS($L55),0)</f>
        <v>0</v>
      </c>
      <c r="R55" s="4">
        <f ca="1">-SUMIFS(INDIRECT("Tab_00.Trial["&amp;R$4&amp;"]"),Tab_00.Trial[CONTA],$B55)</f>
        <v>3849.2</v>
      </c>
      <c r="S55" s="78">
        <f ca="1">IFERROR($R55/$R$146,0)</f>
        <v>0</v>
      </c>
      <c r="T55" s="78">
        <f ca="1">IFERROR(($R55-$O55)/ABS($O55),0)</f>
        <v>0</v>
      </c>
      <c r="U55" s="4">
        <f ca="1">-SUMIFS(INDIRECT("Tab_00.Trial["&amp;U$4&amp;"]"),Tab_00.Trial[CONTA],$B55)</f>
        <v>3849.2</v>
      </c>
      <c r="V55" s="78">
        <f ca="1">IFERROR($U55/$U$146,0)</f>
        <v>0</v>
      </c>
      <c r="W55" s="78">
        <f ca="1">IFERROR(($U55-$R55)/ABS($R55),0)</f>
        <v>0</v>
      </c>
      <c r="X55" s="4">
        <f ca="1">-SUMIFS(INDIRECT("Tab_00.Trial["&amp;X$4&amp;"]"),Tab_00.Trial[CONTA],$B55)</f>
        <v>3849.2</v>
      </c>
      <c r="Y55" s="78">
        <f ca="1">IFERROR($X55/$X$146,0)</f>
        <v>0</v>
      </c>
      <c r="Z55" s="78">
        <f ca="1">IFERROR(($X55-$U55)/ABS($U55),0)</f>
        <v>0</v>
      </c>
      <c r="AA55" s="4">
        <f ca="1">-SUMIFS(INDIRECT("Tab_00.Trial["&amp;AA$4&amp;"]"),Tab_00.Trial[CONTA],$B55)</f>
        <v>3849.2</v>
      </c>
      <c r="AB55" s="78">
        <f ca="1">IFERROR($AA55/$AA$146,0)</f>
        <v>0</v>
      </c>
      <c r="AC55" s="78">
        <f ca="1">IFERROR(($AA55-$X55)/ABS($X55),0)</f>
        <v>0</v>
      </c>
      <c r="AD55" s="4">
        <f ca="1">-SUMIFS(INDIRECT("Tab_00.Trial["&amp;AD$4&amp;"]"),Tab_00.Trial[CONTA],$B55)</f>
        <v>3849.2</v>
      </c>
      <c r="AE55" s="78">
        <f ca="1">IFERROR($AD55/$AD$146,0)</f>
        <v>0</v>
      </c>
      <c r="AF55" s="78">
        <f ca="1">IFERROR(($AD55-$AA55)/ABS($AA55),0)</f>
        <v>0</v>
      </c>
      <c r="AG55" s="4">
        <f ca="1">-SUMIFS(INDIRECT("Tab_00.Trial["&amp;AG$4&amp;"]"),Tab_00.Trial[CONTA],$B55)</f>
        <v>3849.2</v>
      </c>
      <c r="AH55" s="78">
        <f ca="1">IFERROR($AG55/$AG$146,0)</f>
        <v>0</v>
      </c>
      <c r="AI55" s="78">
        <f ca="1">IFERROR(($AG55-$AD55)/ABS($AD55),0)</f>
        <v>0</v>
      </c>
      <c r="AJ55" s="4">
        <f ca="1">-SUMIFS(INDIRECT("Tab_00.Trial["&amp;AJ$4&amp;"]"),Tab_00.Trial[CONTA],$B55)</f>
        <v>3849.2</v>
      </c>
      <c r="AK55" s="78">
        <f ca="1">IFERROR($AJ55/$AJ$146,0)</f>
        <v>0</v>
      </c>
      <c r="AL55" s="78">
        <f ca="1">IFERROR(($AJ55-$AG55)/ABS($AG55),0)</f>
        <v>0</v>
      </c>
      <c r="AM55" s="4">
        <f ca="1">-SUMIFS(INDIRECT("Tab_00.Trial["&amp;AM$4&amp;"]"),Tab_00.Trial[CONTA],$B55)</f>
        <v>3849.2</v>
      </c>
      <c r="AN55" s="78">
        <f ca="1">IFERROR(AM55/AM$146,0)</f>
        <v>0</v>
      </c>
      <c r="AO55" s="78">
        <f ca="1">IFERROR(($AM55-$AJ55)/ABS($AJ55),0)</f>
        <v>0</v>
      </c>
    </row>
    <row r="56" spans="2:41" ht="15" hidden="1" customHeight="1" outlineLevel="1" x14ac:dyDescent="0.3">
      <c r="B56" s="14"/>
      <c r="C56" s="15"/>
      <c r="D56" s="4">
        <f>-SUMIFS(Tab_99.Trial[DEZEMBRO],Tab_99.Trial[CONTA],$B56)</f>
        <v>0</v>
      </c>
      <c r="E56" s="78">
        <f ca="1">IFERROR($D56/$D$146,0)</f>
        <v>0</v>
      </c>
      <c r="F56" s="4">
        <f ca="1">-SUMIFS(INDIRECT("Tab_00.Trial["&amp;F$4&amp;"]"),Tab_00.Trial[CONTA],$B56)</f>
        <v>0</v>
      </c>
      <c r="G56" s="78">
        <f ca="1">IFERROR($F56/$F$146,0)</f>
        <v>0</v>
      </c>
      <c r="H56" s="78">
        <f t="shared" ref="H56" ca="1" si="99">IFERROR(($F56-$D56)/ABS($D56),0)</f>
        <v>0</v>
      </c>
      <c r="I56" s="4">
        <f ca="1">-SUMIFS(INDIRECT("Tab_00.Trial["&amp;I$4&amp;"]"),Tab_00.Trial[CONTA],$B56)</f>
        <v>0</v>
      </c>
      <c r="J56" s="78">
        <f ca="1">IFERROR($I56/$I$146,0)</f>
        <v>0</v>
      </c>
      <c r="K56" s="78">
        <f t="shared" ref="K56" ca="1" si="100">IFERROR(($I56-$F56)/ABS($F56),0)</f>
        <v>0</v>
      </c>
      <c r="L56" s="4">
        <f ca="1">-SUMIFS(INDIRECT("Tab_00.Trial["&amp;L$4&amp;"]"),Tab_00.Trial[CONTA],$B56)</f>
        <v>0</v>
      </c>
      <c r="M56" s="78">
        <f ca="1">IFERROR($L56/$L$146,0)</f>
        <v>0</v>
      </c>
      <c r="N56" s="78">
        <f t="shared" ref="N56" ca="1" si="101">IFERROR(($L56-$I56)/ABS($I56),0)</f>
        <v>0</v>
      </c>
      <c r="O56" s="4">
        <f ca="1">-SUMIFS(INDIRECT("Tab_00.Trial["&amp;O$4&amp;"]"),Tab_00.Trial[CONTA],$B56)</f>
        <v>0</v>
      </c>
      <c r="P56" s="78">
        <f ca="1">IFERROR($O56/$O$146,0)</f>
        <v>0</v>
      </c>
      <c r="Q56" s="78">
        <f t="shared" ref="Q56" ca="1" si="102">IFERROR(($O56-$L56)/ABS($L56),0)</f>
        <v>0</v>
      </c>
      <c r="R56" s="4">
        <f ca="1">-SUMIFS(INDIRECT("Tab_00.Trial["&amp;R$4&amp;"]"),Tab_00.Trial[CONTA],$B56)</f>
        <v>0</v>
      </c>
      <c r="S56" s="78">
        <f ca="1">IFERROR($R56/$R$146,0)</f>
        <v>0</v>
      </c>
      <c r="T56" s="78">
        <f t="shared" ref="T56" ca="1" si="103">IFERROR(($R56-$O56)/ABS($O56),0)</f>
        <v>0</v>
      </c>
      <c r="U56" s="4">
        <f ca="1">-SUMIFS(INDIRECT("Tab_00.Trial["&amp;U$4&amp;"]"),Tab_00.Trial[CONTA],$B56)</f>
        <v>0</v>
      </c>
      <c r="V56" s="78">
        <f ca="1">IFERROR($U56/$U$146,0)</f>
        <v>0</v>
      </c>
      <c r="W56" s="78">
        <f t="shared" ref="W56" ca="1" si="104">IFERROR(($U56-$R56)/ABS($R56),0)</f>
        <v>0</v>
      </c>
      <c r="X56" s="4">
        <f ca="1">-SUMIFS(INDIRECT("Tab_00.Trial["&amp;X$4&amp;"]"),Tab_00.Trial[CONTA],$B56)</f>
        <v>0</v>
      </c>
      <c r="Y56" s="78">
        <f ca="1">IFERROR($X56/$X$146,0)</f>
        <v>0</v>
      </c>
      <c r="Z56" s="78">
        <f t="shared" ref="Z56" ca="1" si="105">IFERROR(($X56-$U56)/ABS($U56),0)</f>
        <v>0</v>
      </c>
      <c r="AA56" s="4">
        <f ca="1">-SUMIFS(INDIRECT("Tab_00.Trial["&amp;AA$4&amp;"]"),Tab_00.Trial[CONTA],$B56)</f>
        <v>0</v>
      </c>
      <c r="AB56" s="78">
        <f ca="1">IFERROR($AA56/$AA$146,0)</f>
        <v>0</v>
      </c>
      <c r="AC56" s="78">
        <f t="shared" ref="AC56" ca="1" si="106">IFERROR(($AA56-$X56)/ABS($X56),0)</f>
        <v>0</v>
      </c>
      <c r="AD56" s="4">
        <f ca="1">-SUMIFS(INDIRECT("Tab_00.Trial["&amp;AD$4&amp;"]"),Tab_00.Trial[CONTA],$B56)</f>
        <v>0</v>
      </c>
      <c r="AE56" s="78">
        <f ca="1">IFERROR($AD56/$AD$146,0)</f>
        <v>0</v>
      </c>
      <c r="AF56" s="78">
        <f t="shared" ref="AF56" ca="1" si="107">IFERROR(($AD56-$AA56)/ABS($AA56),0)</f>
        <v>0</v>
      </c>
      <c r="AG56" s="4">
        <f ca="1">-SUMIFS(INDIRECT("Tab_00.Trial["&amp;AG$4&amp;"]"),Tab_00.Trial[CONTA],$B56)</f>
        <v>0</v>
      </c>
      <c r="AH56" s="78">
        <f ca="1">IFERROR($AG56/$AG$146,0)</f>
        <v>0</v>
      </c>
      <c r="AI56" s="78">
        <f t="shared" ref="AI56" ca="1" si="108">IFERROR(($AG56-$AD56)/ABS($AD56),0)</f>
        <v>0</v>
      </c>
      <c r="AJ56" s="4">
        <f ca="1">-SUMIFS(INDIRECT("Tab_00.Trial["&amp;AJ$4&amp;"]"),Tab_00.Trial[CONTA],$B56)</f>
        <v>0</v>
      </c>
      <c r="AK56" s="78">
        <f ca="1">IFERROR($AJ56/$AJ$146,0)</f>
        <v>0</v>
      </c>
      <c r="AL56" s="78">
        <f t="shared" ref="AL56" ca="1" si="109">IFERROR(($AJ56-$AG56)/ABS($AG56),0)</f>
        <v>0</v>
      </c>
      <c r="AM56" s="4">
        <f ca="1">-SUMIFS(INDIRECT("Tab_00.Trial["&amp;AM$4&amp;"]"),Tab_00.Trial[CONTA],$B56)</f>
        <v>0</v>
      </c>
      <c r="AN56" s="78">
        <f ca="1">IFERROR(AM56/AM$146,0)</f>
        <v>0</v>
      </c>
      <c r="AO56" s="78">
        <f t="shared" ref="AO56" ca="1" si="110">IFERROR(($AM56-$AJ56)/ABS($AJ56),0)</f>
        <v>0</v>
      </c>
    </row>
    <row r="57" spans="2:41" ht="5.0999999999999996" hidden="1" customHeight="1" outlineLevel="1" x14ac:dyDescent="0.3">
      <c r="B57" s="74"/>
      <c r="C57" s="75"/>
      <c r="D57" s="76"/>
      <c r="E57" s="77"/>
      <c r="F57" s="76"/>
      <c r="G57" s="77"/>
      <c r="H57" s="77"/>
      <c r="I57" s="76"/>
      <c r="J57" s="77"/>
      <c r="K57" s="77"/>
      <c r="L57" s="76"/>
      <c r="M57" s="77"/>
      <c r="N57" s="77"/>
      <c r="O57" s="76"/>
      <c r="P57" s="77"/>
      <c r="Q57" s="77"/>
      <c r="R57" s="76"/>
      <c r="S57" s="77"/>
      <c r="T57" s="77"/>
      <c r="U57" s="76"/>
      <c r="V57" s="77"/>
      <c r="W57" s="77"/>
      <c r="X57" s="76"/>
      <c r="Y57" s="77"/>
      <c r="Z57" s="77"/>
      <c r="AA57" s="76"/>
      <c r="AB57" s="77"/>
      <c r="AC57" s="77"/>
      <c r="AD57" s="76"/>
      <c r="AE57" s="77"/>
      <c r="AF57" s="77"/>
      <c r="AG57" s="76"/>
      <c r="AH57" s="77"/>
      <c r="AI57" s="77"/>
      <c r="AJ57" s="76"/>
      <c r="AK57" s="77"/>
      <c r="AL57" s="77"/>
      <c r="AM57" s="76"/>
      <c r="AN57" s="77"/>
      <c r="AO57" s="77"/>
    </row>
    <row r="58" spans="2:41" ht="15" customHeight="1" collapsed="1" x14ac:dyDescent="0.3">
      <c r="B58" s="3" t="s">
        <v>55</v>
      </c>
      <c r="C58" s="14" t="s">
        <v>89</v>
      </c>
      <c r="D58" s="4">
        <f>SUBTOTAL(9,D$59:D$62)</f>
        <v>0</v>
      </c>
      <c r="E58" s="78">
        <f ca="1">IFERROR($D58/$D$146,0)</f>
        <v>0</v>
      </c>
      <c r="F58" s="4">
        <f ca="1">SUBTOTAL(9,F$59:F$62)</f>
        <v>22468.91</v>
      </c>
      <c r="G58" s="78">
        <f ca="1">IFERROR($F58/$F$146,0)</f>
        <v>2.9999999999999997E-4</v>
      </c>
      <c r="H58" s="78">
        <f ca="1">IFERROR(($F58-$D58)/ABS($D58),0)</f>
        <v>0</v>
      </c>
      <c r="I58" s="4">
        <f ca="1">SUBTOTAL(9,I$59:I$62)</f>
        <v>22506.69</v>
      </c>
      <c r="J58" s="78">
        <f ca="1">IFERROR($I58/$I$146,0)</f>
        <v>2.9999999999999997E-4</v>
      </c>
      <c r="K58" s="78">
        <f ca="1">IFERROR(($I58-$F58)/ABS($F58),0)</f>
        <v>1.6999999999999999E-3</v>
      </c>
      <c r="L58" s="4">
        <f ca="1">SUBTOTAL(9,L$59:L$62)</f>
        <v>22488.11</v>
      </c>
      <c r="M58" s="78">
        <f ca="1">IFERROR($L58/$L$146,0)</f>
        <v>2.9999999999999997E-4</v>
      </c>
      <c r="N58" s="78">
        <f ca="1">IFERROR(($L58-$I58)/ABS($I58),0)</f>
        <v>-8.0000000000000004E-4</v>
      </c>
      <c r="O58" s="4">
        <f ca="1">SUBTOTAL(9,O$59:O$62)</f>
        <v>22727.49</v>
      </c>
      <c r="P58" s="78">
        <f ca="1">IFERROR($O58/$O$146,0)</f>
        <v>2.9999999999999997E-4</v>
      </c>
      <c r="Q58" s="78">
        <f ca="1">IFERROR(($O58-$L58)/ABS($L58),0)</f>
        <v>1.06E-2</v>
      </c>
      <c r="R58" s="4">
        <f ca="1">SUBTOTAL(9,R$59:R$62)</f>
        <v>22473.51</v>
      </c>
      <c r="S58" s="78">
        <f ca="1">IFERROR($R58/$R$146,0)</f>
        <v>2.9999999999999997E-4</v>
      </c>
      <c r="T58" s="78">
        <f ca="1">IFERROR(($R58-$O58)/ABS($O58),0)</f>
        <v>-1.12E-2</v>
      </c>
      <c r="U58" s="4">
        <f ca="1">SUBTOTAL(9,U$59:U$62)</f>
        <v>22355.56</v>
      </c>
      <c r="V58" s="78">
        <f ca="1">IFERROR($U58/$U$146,0)</f>
        <v>2.9999999999999997E-4</v>
      </c>
      <c r="W58" s="78">
        <f ca="1">IFERROR(($U58-$R58)/ABS($R58),0)</f>
        <v>-5.1999999999999998E-3</v>
      </c>
      <c r="X58" s="4">
        <f ca="1">SUBTOTAL(9,X$59:X$62)</f>
        <v>22355.56</v>
      </c>
      <c r="Y58" s="78">
        <f ca="1">IFERROR($X58/$X$146,0)</f>
        <v>2.9999999999999997E-4</v>
      </c>
      <c r="Z58" s="78">
        <f ca="1">IFERROR(($X58-$U58)/ABS($U58),0)</f>
        <v>0</v>
      </c>
      <c r="AA58" s="4">
        <f ca="1">SUBTOTAL(9,AA$59:AA$62)</f>
        <v>22355.56</v>
      </c>
      <c r="AB58" s="78">
        <f ca="1">IFERROR($AA58/$AA$146,0)</f>
        <v>2.9999999999999997E-4</v>
      </c>
      <c r="AC58" s="78">
        <f ca="1">IFERROR(($AA58-$X58)/ABS($X58),0)</f>
        <v>0</v>
      </c>
      <c r="AD58" s="4">
        <f ca="1">SUBTOTAL(9,AD$59:AD$62)</f>
        <v>22447.71</v>
      </c>
      <c r="AE58" s="78">
        <f ca="1">IFERROR($AD58/$AD$146,0)</f>
        <v>2.9999999999999997E-4</v>
      </c>
      <c r="AF58" s="78">
        <f ca="1">IFERROR(($AD58-$AA58)/ABS($AA58),0)</f>
        <v>4.1000000000000003E-3</v>
      </c>
      <c r="AG58" s="4">
        <f ca="1">SUBTOTAL(9,AG$59:AG$62)</f>
        <v>23058.2</v>
      </c>
      <c r="AH58" s="78">
        <f ca="1">IFERROR($AG58/$AG$146,0)</f>
        <v>2.9999999999999997E-4</v>
      </c>
      <c r="AI58" s="78">
        <f ca="1">IFERROR(($AG58-$AD58)/ABS($AD58),0)</f>
        <v>2.7199999999999998E-2</v>
      </c>
      <c r="AJ58" s="4">
        <f ca="1">SUBTOTAL(9,AJ$59:AJ$62)</f>
        <v>23073.63</v>
      </c>
      <c r="AK58" s="78">
        <f ca="1">IFERROR($AJ58/$AJ$146,0)</f>
        <v>2.9999999999999997E-4</v>
      </c>
      <c r="AL58" s="78">
        <f ca="1">IFERROR(($AJ58-$AG58)/ABS($AG58),0)</f>
        <v>6.9999999999999999E-4</v>
      </c>
      <c r="AM58" s="4">
        <f ca="1">SUBTOTAL(9,AM$59:AM$62)</f>
        <v>3198.94</v>
      </c>
      <c r="AN58" s="78">
        <f ca="1">IFERROR(AM58/AM$146,0)</f>
        <v>0</v>
      </c>
      <c r="AO58" s="78">
        <f ca="1">IFERROR(($AM58-$AJ58)/ABS($AJ58),0)</f>
        <v>-0.86140000000000005</v>
      </c>
    </row>
    <row r="59" spans="2:41" ht="15" hidden="1" customHeight="1" outlineLevel="1" x14ac:dyDescent="0.3">
      <c r="B59" s="14" t="s">
        <v>356</v>
      </c>
      <c r="C59" s="15" t="s">
        <v>357</v>
      </c>
      <c r="D59" s="4">
        <f>-SUMIFS(Tab_99.Trial[DEZEMBRO],Tab_99.Trial[CONTA],$B59)</f>
        <v>0</v>
      </c>
      <c r="E59" s="78">
        <f ca="1">IFERROR($D59/$D$146,0)</f>
        <v>0</v>
      </c>
      <c r="F59" s="4">
        <f ca="1">-SUMIFS(INDIRECT("Tab_00.Trial["&amp;F$4&amp;"]"),Tab_00.Trial[CONTA],$B59)</f>
        <v>22468.91</v>
      </c>
      <c r="G59" s="78">
        <f ca="1">IFERROR($F59/$F$146,0)</f>
        <v>2.9999999999999997E-4</v>
      </c>
      <c r="H59" s="78">
        <f t="shared" ref="H59:H61" ca="1" si="111">IFERROR(($F59-$D59)/ABS($D59),0)</f>
        <v>0</v>
      </c>
      <c r="I59" s="4">
        <f ca="1">-SUMIFS(INDIRECT("Tab_00.Trial["&amp;I$4&amp;"]"),Tab_00.Trial[CONTA],$B59)</f>
        <v>22506.69</v>
      </c>
      <c r="J59" s="78">
        <f ca="1">IFERROR($I59/$I$146,0)</f>
        <v>2.9999999999999997E-4</v>
      </c>
      <c r="K59" s="78">
        <f t="shared" ref="K59:K61" ca="1" si="112">IFERROR(($I59-$F59)/ABS($F59),0)</f>
        <v>1.6999999999999999E-3</v>
      </c>
      <c r="L59" s="4">
        <f ca="1">-SUMIFS(INDIRECT("Tab_00.Trial["&amp;L$4&amp;"]"),Tab_00.Trial[CONTA],$B59)</f>
        <v>22488.11</v>
      </c>
      <c r="M59" s="78">
        <f ca="1">IFERROR($L59/$L$146,0)</f>
        <v>2.9999999999999997E-4</v>
      </c>
      <c r="N59" s="78">
        <f t="shared" ref="N59:N61" ca="1" si="113">IFERROR(($L59-$I59)/ABS($I59),0)</f>
        <v>-8.0000000000000004E-4</v>
      </c>
      <c r="O59" s="4">
        <f ca="1">-SUMIFS(INDIRECT("Tab_00.Trial["&amp;O$4&amp;"]"),Tab_00.Trial[CONTA],$B59)</f>
        <v>22727.49</v>
      </c>
      <c r="P59" s="78">
        <f ca="1">IFERROR($O59/$O$146,0)</f>
        <v>2.9999999999999997E-4</v>
      </c>
      <c r="Q59" s="78">
        <f t="shared" ref="Q59:Q61" ca="1" si="114">IFERROR(($O59-$L59)/ABS($L59),0)</f>
        <v>1.06E-2</v>
      </c>
      <c r="R59" s="4">
        <f ca="1">-SUMIFS(INDIRECT("Tab_00.Trial["&amp;R$4&amp;"]"),Tab_00.Trial[CONTA],$B59)</f>
        <v>22473.51</v>
      </c>
      <c r="S59" s="78">
        <f ca="1">IFERROR($R59/$R$146,0)</f>
        <v>2.9999999999999997E-4</v>
      </c>
      <c r="T59" s="78">
        <f t="shared" ref="T59:T61" ca="1" si="115">IFERROR(($R59-$O59)/ABS($O59),0)</f>
        <v>-1.12E-2</v>
      </c>
      <c r="U59" s="4">
        <f ca="1">-SUMIFS(INDIRECT("Tab_00.Trial["&amp;U$4&amp;"]"),Tab_00.Trial[CONTA],$B59)</f>
        <v>22355.56</v>
      </c>
      <c r="V59" s="78">
        <f ca="1">IFERROR($U59/$U$146,0)</f>
        <v>2.9999999999999997E-4</v>
      </c>
      <c r="W59" s="78">
        <f t="shared" ref="W59:W61" ca="1" si="116">IFERROR(($U59-$R59)/ABS($R59),0)</f>
        <v>-5.1999999999999998E-3</v>
      </c>
      <c r="X59" s="4">
        <f ca="1">-SUMIFS(INDIRECT("Tab_00.Trial["&amp;X$4&amp;"]"),Tab_00.Trial[CONTA],$B59)</f>
        <v>22355.56</v>
      </c>
      <c r="Y59" s="78">
        <f ca="1">IFERROR($X59/$X$146,0)</f>
        <v>2.9999999999999997E-4</v>
      </c>
      <c r="Z59" s="78">
        <f t="shared" ref="Z59:Z61" ca="1" si="117">IFERROR(($X59-$U59)/ABS($U59),0)</f>
        <v>0</v>
      </c>
      <c r="AA59" s="4">
        <f ca="1">-SUMIFS(INDIRECT("Tab_00.Trial["&amp;AA$4&amp;"]"),Tab_00.Trial[CONTA],$B59)</f>
        <v>22355.56</v>
      </c>
      <c r="AB59" s="78">
        <f ca="1">IFERROR($AA59/$AA$146,0)</f>
        <v>2.9999999999999997E-4</v>
      </c>
      <c r="AC59" s="78">
        <f t="shared" ref="AC59:AC61" ca="1" si="118">IFERROR(($AA59-$X59)/ABS($X59),0)</f>
        <v>0</v>
      </c>
      <c r="AD59" s="4">
        <f ca="1">-SUMIFS(INDIRECT("Tab_00.Trial["&amp;AD$4&amp;"]"),Tab_00.Trial[CONTA],$B59)</f>
        <v>22447.71</v>
      </c>
      <c r="AE59" s="78">
        <f ca="1">IFERROR($AD59/$AD$146,0)</f>
        <v>2.9999999999999997E-4</v>
      </c>
      <c r="AF59" s="78">
        <f t="shared" ref="AF59:AF61" ca="1" si="119">IFERROR(($AD59-$AA59)/ABS($AA59),0)</f>
        <v>4.1000000000000003E-3</v>
      </c>
      <c r="AG59" s="4">
        <f ca="1">-SUMIFS(INDIRECT("Tab_00.Trial["&amp;AG$4&amp;"]"),Tab_00.Trial[CONTA],$B59)</f>
        <v>23058.2</v>
      </c>
      <c r="AH59" s="78">
        <f ca="1">IFERROR($AG59/$AG$146,0)</f>
        <v>2.9999999999999997E-4</v>
      </c>
      <c r="AI59" s="78">
        <f t="shared" ref="AI59:AI61" ca="1" si="120">IFERROR(($AG59-$AD59)/ABS($AD59),0)</f>
        <v>2.7199999999999998E-2</v>
      </c>
      <c r="AJ59" s="4">
        <f ca="1">-SUMIFS(INDIRECT("Tab_00.Trial["&amp;AJ$4&amp;"]"),Tab_00.Trial[CONTA],$B59)</f>
        <v>23073.63</v>
      </c>
      <c r="AK59" s="78">
        <f ca="1">IFERROR($AJ59/$AJ$146,0)</f>
        <v>2.9999999999999997E-4</v>
      </c>
      <c r="AL59" s="78">
        <f t="shared" ref="AL59:AL61" ca="1" si="121">IFERROR(($AJ59-$AG59)/ABS($AG59),0)</f>
        <v>6.9999999999999999E-4</v>
      </c>
      <c r="AM59" s="4">
        <f ca="1">-SUMIFS(INDIRECT("Tab_00.Trial["&amp;AM$4&amp;"]"),Tab_00.Trial[CONTA],$B59)</f>
        <v>3198.94</v>
      </c>
      <c r="AN59" s="78">
        <f ca="1">IFERROR(AM59/AM$146,0)</f>
        <v>0</v>
      </c>
      <c r="AO59" s="78">
        <f t="shared" ref="AO59:AO61" ca="1" si="122">IFERROR(($AM59-$AJ59)/ABS($AJ59),0)</f>
        <v>-0.86140000000000005</v>
      </c>
    </row>
    <row r="60" spans="2:41" ht="15" hidden="1" customHeight="1" outlineLevel="1" x14ac:dyDescent="0.3">
      <c r="B60" s="14"/>
      <c r="C60" s="15"/>
      <c r="D60" s="4">
        <f>-SUMIFS(Tab_99.Trial[DEZEMBRO],Tab_99.Trial[CONTA],$B60)</f>
        <v>0</v>
      </c>
      <c r="E60" s="78">
        <f ca="1">IFERROR($D60/$D$146,0)</f>
        <v>0</v>
      </c>
      <c r="F60" s="4">
        <f ca="1">-SUMIFS(INDIRECT("Tab_00.Trial["&amp;F$4&amp;"]"),Tab_00.Trial[CONTA],$B60)</f>
        <v>0</v>
      </c>
      <c r="G60" s="78">
        <f ca="1">IFERROR($F60/$F$146,0)</f>
        <v>0</v>
      </c>
      <c r="H60" s="78">
        <f t="shared" ca="1" si="111"/>
        <v>0</v>
      </c>
      <c r="I60" s="4">
        <f ca="1">-SUMIFS(INDIRECT("Tab_00.Trial["&amp;I$4&amp;"]"),Tab_00.Trial[CONTA],$B60)</f>
        <v>0</v>
      </c>
      <c r="J60" s="78">
        <f ca="1">IFERROR($I60/$I$146,0)</f>
        <v>0</v>
      </c>
      <c r="K60" s="78">
        <f t="shared" ca="1" si="112"/>
        <v>0</v>
      </c>
      <c r="L60" s="4">
        <f ca="1">-SUMIFS(INDIRECT("Tab_00.Trial["&amp;L$4&amp;"]"),Tab_00.Trial[CONTA],$B60)</f>
        <v>0</v>
      </c>
      <c r="M60" s="78">
        <f ca="1">IFERROR($L60/$L$146,0)</f>
        <v>0</v>
      </c>
      <c r="N60" s="78">
        <f t="shared" ca="1" si="113"/>
        <v>0</v>
      </c>
      <c r="O60" s="4">
        <f ca="1">-SUMIFS(INDIRECT("Tab_00.Trial["&amp;O$4&amp;"]"),Tab_00.Trial[CONTA],$B60)</f>
        <v>0</v>
      </c>
      <c r="P60" s="78">
        <f ca="1">IFERROR($O60/$O$146,0)</f>
        <v>0</v>
      </c>
      <c r="Q60" s="78">
        <f t="shared" ca="1" si="114"/>
        <v>0</v>
      </c>
      <c r="R60" s="4">
        <f ca="1">-SUMIFS(INDIRECT("Tab_00.Trial["&amp;R$4&amp;"]"),Tab_00.Trial[CONTA],$B60)</f>
        <v>0</v>
      </c>
      <c r="S60" s="78">
        <f ca="1">IFERROR($R60/$R$146,0)</f>
        <v>0</v>
      </c>
      <c r="T60" s="78">
        <f t="shared" ca="1" si="115"/>
        <v>0</v>
      </c>
      <c r="U60" s="4">
        <f ca="1">-SUMIFS(INDIRECT("Tab_00.Trial["&amp;U$4&amp;"]"),Tab_00.Trial[CONTA],$B60)</f>
        <v>0</v>
      </c>
      <c r="V60" s="78">
        <f ca="1">IFERROR($U60/$U$146,0)</f>
        <v>0</v>
      </c>
      <c r="W60" s="78">
        <f t="shared" ca="1" si="116"/>
        <v>0</v>
      </c>
      <c r="X60" s="4">
        <f ca="1">-SUMIFS(INDIRECT("Tab_00.Trial["&amp;X$4&amp;"]"),Tab_00.Trial[CONTA],$B60)</f>
        <v>0</v>
      </c>
      <c r="Y60" s="78">
        <f ca="1">IFERROR($X60/$X$146,0)</f>
        <v>0</v>
      </c>
      <c r="Z60" s="78">
        <f t="shared" ca="1" si="117"/>
        <v>0</v>
      </c>
      <c r="AA60" s="4">
        <f ca="1">-SUMIFS(INDIRECT("Tab_00.Trial["&amp;AA$4&amp;"]"),Tab_00.Trial[CONTA],$B60)</f>
        <v>0</v>
      </c>
      <c r="AB60" s="78">
        <f ca="1">IFERROR($AA60/$AA$146,0)</f>
        <v>0</v>
      </c>
      <c r="AC60" s="78">
        <f t="shared" ca="1" si="118"/>
        <v>0</v>
      </c>
      <c r="AD60" s="4">
        <f ca="1">-SUMIFS(INDIRECT("Tab_00.Trial["&amp;AD$4&amp;"]"),Tab_00.Trial[CONTA],$B60)</f>
        <v>0</v>
      </c>
      <c r="AE60" s="78">
        <f ca="1">IFERROR($AD60/$AD$146,0)</f>
        <v>0</v>
      </c>
      <c r="AF60" s="78">
        <f t="shared" ca="1" si="119"/>
        <v>0</v>
      </c>
      <c r="AG60" s="4">
        <f ca="1">-SUMIFS(INDIRECT("Tab_00.Trial["&amp;AG$4&amp;"]"),Tab_00.Trial[CONTA],$B60)</f>
        <v>0</v>
      </c>
      <c r="AH60" s="78">
        <f ca="1">IFERROR($AG60/$AG$146,0)</f>
        <v>0</v>
      </c>
      <c r="AI60" s="78">
        <f t="shared" ca="1" si="120"/>
        <v>0</v>
      </c>
      <c r="AJ60" s="4">
        <f ca="1">-SUMIFS(INDIRECT("Tab_00.Trial["&amp;AJ$4&amp;"]"),Tab_00.Trial[CONTA],$B60)</f>
        <v>0</v>
      </c>
      <c r="AK60" s="78">
        <f ca="1">IFERROR($AJ60/$AJ$146,0)</f>
        <v>0</v>
      </c>
      <c r="AL60" s="78">
        <f t="shared" ca="1" si="121"/>
        <v>0</v>
      </c>
      <c r="AM60" s="4">
        <f ca="1">-SUMIFS(INDIRECT("Tab_00.Trial["&amp;AM$4&amp;"]"),Tab_00.Trial[CONTA],$B60)</f>
        <v>0</v>
      </c>
      <c r="AN60" s="78">
        <f ca="1">IFERROR(AM60/AM$146,0)</f>
        <v>0</v>
      </c>
      <c r="AO60" s="78">
        <f t="shared" ca="1" si="122"/>
        <v>0</v>
      </c>
    </row>
    <row r="61" spans="2:41" ht="15" hidden="1" customHeight="1" outlineLevel="1" x14ac:dyDescent="0.3">
      <c r="B61" s="14"/>
      <c r="C61" s="15"/>
      <c r="D61" s="4">
        <f>-SUMIFS(Tab_99.Trial[DEZEMBRO],Tab_99.Trial[CONTA],$B61)</f>
        <v>0</v>
      </c>
      <c r="E61" s="78">
        <f ca="1">IFERROR($D61/$D$146,0)</f>
        <v>0</v>
      </c>
      <c r="F61" s="4">
        <f ca="1">-SUMIFS(INDIRECT("Tab_00.Trial["&amp;F$4&amp;"]"),Tab_00.Trial[CONTA],$B61)</f>
        <v>0</v>
      </c>
      <c r="G61" s="78">
        <f ca="1">IFERROR($F61/$F$146,0)</f>
        <v>0</v>
      </c>
      <c r="H61" s="78">
        <f t="shared" ca="1" si="111"/>
        <v>0</v>
      </c>
      <c r="I61" s="4">
        <f ca="1">-SUMIFS(INDIRECT("Tab_00.Trial["&amp;I$4&amp;"]"),Tab_00.Trial[CONTA],$B61)</f>
        <v>0</v>
      </c>
      <c r="J61" s="78">
        <f ca="1">IFERROR($I61/$I$146,0)</f>
        <v>0</v>
      </c>
      <c r="K61" s="78">
        <f t="shared" ca="1" si="112"/>
        <v>0</v>
      </c>
      <c r="L61" s="4">
        <f ca="1">-SUMIFS(INDIRECT("Tab_00.Trial["&amp;L$4&amp;"]"),Tab_00.Trial[CONTA],$B61)</f>
        <v>0</v>
      </c>
      <c r="M61" s="78">
        <f ca="1">IFERROR($L61/$L$146,0)</f>
        <v>0</v>
      </c>
      <c r="N61" s="78">
        <f t="shared" ca="1" si="113"/>
        <v>0</v>
      </c>
      <c r="O61" s="4">
        <f ca="1">-SUMIFS(INDIRECT("Tab_00.Trial["&amp;O$4&amp;"]"),Tab_00.Trial[CONTA],$B61)</f>
        <v>0</v>
      </c>
      <c r="P61" s="78">
        <f ca="1">IFERROR($O61/$O$146,0)</f>
        <v>0</v>
      </c>
      <c r="Q61" s="78">
        <f t="shared" ca="1" si="114"/>
        <v>0</v>
      </c>
      <c r="R61" s="4">
        <f ca="1">-SUMIFS(INDIRECT("Tab_00.Trial["&amp;R$4&amp;"]"),Tab_00.Trial[CONTA],$B61)</f>
        <v>0</v>
      </c>
      <c r="S61" s="78">
        <f ca="1">IFERROR($R61/$R$146,0)</f>
        <v>0</v>
      </c>
      <c r="T61" s="78">
        <f t="shared" ca="1" si="115"/>
        <v>0</v>
      </c>
      <c r="U61" s="4">
        <f ca="1">-SUMIFS(INDIRECT("Tab_00.Trial["&amp;U$4&amp;"]"),Tab_00.Trial[CONTA],$B61)</f>
        <v>0</v>
      </c>
      <c r="V61" s="78">
        <f ca="1">IFERROR($U61/$U$146,0)</f>
        <v>0</v>
      </c>
      <c r="W61" s="78">
        <f t="shared" ca="1" si="116"/>
        <v>0</v>
      </c>
      <c r="X61" s="4">
        <f ca="1">-SUMIFS(INDIRECT("Tab_00.Trial["&amp;X$4&amp;"]"),Tab_00.Trial[CONTA],$B61)</f>
        <v>0</v>
      </c>
      <c r="Y61" s="78">
        <f ca="1">IFERROR($X61/$X$146,0)</f>
        <v>0</v>
      </c>
      <c r="Z61" s="78">
        <f t="shared" ca="1" si="117"/>
        <v>0</v>
      </c>
      <c r="AA61" s="4">
        <f ca="1">-SUMIFS(INDIRECT("Tab_00.Trial["&amp;AA$4&amp;"]"),Tab_00.Trial[CONTA],$B61)</f>
        <v>0</v>
      </c>
      <c r="AB61" s="78">
        <f ca="1">IFERROR($AA61/$AA$146,0)</f>
        <v>0</v>
      </c>
      <c r="AC61" s="78">
        <f t="shared" ca="1" si="118"/>
        <v>0</v>
      </c>
      <c r="AD61" s="4">
        <f ca="1">-SUMIFS(INDIRECT("Tab_00.Trial["&amp;AD$4&amp;"]"),Tab_00.Trial[CONTA],$B61)</f>
        <v>0</v>
      </c>
      <c r="AE61" s="78">
        <f ca="1">IFERROR($AD61/$AD$146,0)</f>
        <v>0</v>
      </c>
      <c r="AF61" s="78">
        <f t="shared" ca="1" si="119"/>
        <v>0</v>
      </c>
      <c r="AG61" s="4">
        <f ca="1">-SUMIFS(INDIRECT("Tab_00.Trial["&amp;AG$4&amp;"]"),Tab_00.Trial[CONTA],$B61)</f>
        <v>0</v>
      </c>
      <c r="AH61" s="78">
        <f ca="1">IFERROR($AG61/$AG$146,0)</f>
        <v>0</v>
      </c>
      <c r="AI61" s="78">
        <f t="shared" ca="1" si="120"/>
        <v>0</v>
      </c>
      <c r="AJ61" s="4">
        <f ca="1">-SUMIFS(INDIRECT("Tab_00.Trial["&amp;AJ$4&amp;"]"),Tab_00.Trial[CONTA],$B61)</f>
        <v>0</v>
      </c>
      <c r="AK61" s="78">
        <f ca="1">IFERROR($AJ61/$AJ$146,0)</f>
        <v>0</v>
      </c>
      <c r="AL61" s="78">
        <f t="shared" ca="1" si="121"/>
        <v>0</v>
      </c>
      <c r="AM61" s="4">
        <f ca="1">-SUMIFS(INDIRECT("Tab_00.Trial["&amp;AM$4&amp;"]"),Tab_00.Trial[CONTA],$B61)</f>
        <v>0</v>
      </c>
      <c r="AN61" s="78">
        <f ca="1">IFERROR(AM61/AM$146,0)</f>
        <v>0</v>
      </c>
      <c r="AO61" s="78">
        <f t="shared" ca="1" si="122"/>
        <v>0</v>
      </c>
    </row>
    <row r="62" spans="2:41" ht="5.0999999999999996" hidden="1" customHeight="1" outlineLevel="1" x14ac:dyDescent="0.3">
      <c r="B62" s="74"/>
      <c r="C62" s="75"/>
      <c r="D62" s="76"/>
      <c r="E62" s="77"/>
      <c r="F62" s="76"/>
      <c r="G62" s="77"/>
      <c r="H62" s="77"/>
      <c r="I62" s="76"/>
      <c r="J62" s="77"/>
      <c r="K62" s="77"/>
      <c r="L62" s="76"/>
      <c r="M62" s="77"/>
      <c r="N62" s="77"/>
      <c r="O62" s="76"/>
      <c r="P62" s="77"/>
      <c r="Q62" s="77"/>
      <c r="R62" s="76"/>
      <c r="S62" s="77"/>
      <c r="T62" s="77"/>
      <c r="U62" s="76"/>
      <c r="V62" s="77"/>
      <c r="W62" s="77"/>
      <c r="X62" s="76"/>
      <c r="Y62" s="77"/>
      <c r="Z62" s="77"/>
      <c r="AA62" s="76"/>
      <c r="AB62" s="77"/>
      <c r="AC62" s="77"/>
      <c r="AD62" s="76"/>
      <c r="AE62" s="77"/>
      <c r="AF62" s="77"/>
      <c r="AG62" s="76"/>
      <c r="AH62" s="77"/>
      <c r="AI62" s="77"/>
      <c r="AJ62" s="76"/>
      <c r="AK62" s="77"/>
      <c r="AL62" s="77"/>
      <c r="AM62" s="76"/>
      <c r="AN62" s="77"/>
      <c r="AO62" s="77"/>
    </row>
    <row r="63" spans="2:41" ht="15" customHeight="1" collapsed="1" x14ac:dyDescent="0.3">
      <c r="C63" s="3"/>
      <c r="D63" s="16">
        <f>SUBTOTAL(9,D$6:D$62)</f>
        <v>0</v>
      </c>
      <c r="E63" s="80">
        <f ca="1">IFERROR($D63/$D$146,0)</f>
        <v>0</v>
      </c>
      <c r="F63" s="16">
        <f ca="1">SUBTOTAL(9,F$6:F$62)</f>
        <v>1815294.31</v>
      </c>
      <c r="G63" s="80">
        <f ca="1">IFERROR($F63/$F$146,0)</f>
        <v>2.1700000000000001E-2</v>
      </c>
      <c r="H63" s="80">
        <f t="shared" ref="H63" ca="1" si="123">IFERROR(($F63-$D63)/ABS($D63),0)</f>
        <v>0</v>
      </c>
      <c r="I63" s="16">
        <f ca="1">SUBTOTAL(9,I$6:I$62)</f>
        <v>1005578.46</v>
      </c>
      <c r="J63" s="80">
        <f ca="1">IFERROR($I63/$I$146,0)</f>
        <v>1.21E-2</v>
      </c>
      <c r="K63" s="80">
        <f t="shared" ref="K63" ca="1" si="124">IFERROR(($I63-$F63)/ABS($F63),0)</f>
        <v>-0.4461</v>
      </c>
      <c r="L63" s="16">
        <f ca="1">SUBTOTAL(9,L$6:L$62)</f>
        <v>1205336.02</v>
      </c>
      <c r="M63" s="80">
        <f ca="1">IFERROR($L63/$L$146,0)</f>
        <v>1.4500000000000001E-2</v>
      </c>
      <c r="N63" s="80">
        <f t="shared" ref="N63" ca="1" si="125">IFERROR(($L63-$I63)/ABS($I63),0)</f>
        <v>0.1986</v>
      </c>
      <c r="O63" s="16">
        <f ca="1">SUBTOTAL(9,O$6:O$62)</f>
        <v>1552711.18</v>
      </c>
      <c r="P63" s="80">
        <f ca="1">IFERROR($O63/$O$146,0)</f>
        <v>1.8599999999999998E-2</v>
      </c>
      <c r="Q63" s="80">
        <f t="shared" ref="Q63" ca="1" si="126">IFERROR(($O63-$L63)/ABS($L63),0)</f>
        <v>0.28820000000000001</v>
      </c>
      <c r="R63" s="16">
        <f ca="1">SUBTOTAL(9,R$6:R$62)</f>
        <v>1425032.18</v>
      </c>
      <c r="S63" s="80">
        <f ca="1">IFERROR($R63/$R$146,0)</f>
        <v>1.7000000000000001E-2</v>
      </c>
      <c r="T63" s="80">
        <f t="shared" ref="T63" ca="1" si="127">IFERROR(($R63-$O63)/ABS($O63),0)</f>
        <v>-8.2199999999999995E-2</v>
      </c>
      <c r="U63" s="16">
        <f ca="1">SUBTOTAL(9,U$6:U$62)</f>
        <v>1445773.06</v>
      </c>
      <c r="V63" s="80">
        <f ca="1">IFERROR($U63/$U$146,0)</f>
        <v>1.7100000000000001E-2</v>
      </c>
      <c r="W63" s="80">
        <f t="shared" ref="W63" ca="1" si="128">IFERROR(($U63-$R63)/ABS($R63),0)</f>
        <v>1.46E-2</v>
      </c>
      <c r="X63" s="16">
        <f ca="1">SUBTOTAL(9,X$6:X$62)</f>
        <v>1445773.06</v>
      </c>
      <c r="Y63" s="80">
        <f ca="1">IFERROR($X63/$X$146,0)</f>
        <v>1.7100000000000001E-2</v>
      </c>
      <c r="Z63" s="80">
        <f t="shared" ref="Z63" ca="1" si="129">IFERROR(($X63-$U63)/ABS($U63),0)</f>
        <v>0</v>
      </c>
      <c r="AA63" s="16">
        <f ca="1">SUBTOTAL(9,AA$6:AA$62)</f>
        <v>1445773.06</v>
      </c>
      <c r="AB63" s="80">
        <f ca="1">IFERROR($AA63/$AA$146,0)</f>
        <v>1.7100000000000001E-2</v>
      </c>
      <c r="AC63" s="80">
        <f t="shared" ref="AC63" ca="1" si="130">IFERROR(($AA63-$X63)/ABS($X63),0)</f>
        <v>0</v>
      </c>
      <c r="AD63" s="16">
        <f ca="1">SUBTOTAL(9,AD$6:AD$62)</f>
        <v>1442424.13</v>
      </c>
      <c r="AE63" s="80">
        <f ca="1">IFERROR($AD63/$AD$146,0)</f>
        <v>1.7000000000000001E-2</v>
      </c>
      <c r="AF63" s="80">
        <f t="shared" ref="AF63" ca="1" si="131">IFERROR(($AD63-$AA63)/ABS($AA63),0)</f>
        <v>-2.3E-3</v>
      </c>
      <c r="AG63" s="16">
        <f ca="1">SUBTOTAL(9,AG$6:AG$62)</f>
        <v>1441250.31</v>
      </c>
      <c r="AH63" s="80">
        <f ca="1">IFERROR($AG63/$AG$146,0)</f>
        <v>1.6899999999999998E-2</v>
      </c>
      <c r="AI63" s="80">
        <f t="shared" ref="AI63" ca="1" si="132">IFERROR(($AG63-$AD63)/ABS($AD63),0)</f>
        <v>-8.0000000000000004E-4</v>
      </c>
      <c r="AJ63" s="16">
        <f ca="1">SUBTOTAL(9,AJ$6:AJ$62)</f>
        <v>1255686.92</v>
      </c>
      <c r="AK63" s="80">
        <f ca="1">IFERROR($AJ63/$AJ$146,0)</f>
        <v>1.47E-2</v>
      </c>
      <c r="AL63" s="80">
        <f t="shared" ref="AL63" ca="1" si="133">IFERROR(($AJ63-$AG63)/ABS($AG63),0)</f>
        <v>-0.1288</v>
      </c>
      <c r="AM63" s="16">
        <f ca="1">SUBTOTAL(9,AM$6:AM$62)</f>
        <v>649943.27</v>
      </c>
      <c r="AN63" s="80">
        <f ca="1">IFERROR(AM63/AM$146,0)</f>
        <v>7.6E-3</v>
      </c>
      <c r="AO63" s="80">
        <f t="shared" ref="AO63" ca="1" si="134">IFERROR(($AM63-$AJ63)/ABS($AJ63),0)</f>
        <v>-0.4824</v>
      </c>
    </row>
    <row r="64" spans="2:41" ht="15" customHeight="1" x14ac:dyDescent="0.3">
      <c r="C64" s="3"/>
      <c r="D64" s="7"/>
      <c r="E64" s="79"/>
      <c r="F64" s="7"/>
      <c r="G64" s="79"/>
      <c r="H64" s="79"/>
      <c r="I64" s="7"/>
      <c r="J64" s="79"/>
      <c r="K64" s="79"/>
      <c r="L64" s="7"/>
      <c r="M64" s="79"/>
      <c r="N64" s="79"/>
      <c r="O64" s="7"/>
      <c r="P64" s="79"/>
      <c r="Q64" s="79"/>
      <c r="R64" s="7"/>
      <c r="S64" s="79"/>
      <c r="T64" s="79"/>
      <c r="U64" s="7"/>
      <c r="V64" s="79"/>
      <c r="W64" s="79"/>
      <c r="X64" s="7"/>
      <c r="Y64" s="79"/>
      <c r="Z64" s="79"/>
      <c r="AA64" s="7"/>
      <c r="AB64" s="79"/>
      <c r="AC64" s="79"/>
      <c r="AD64" s="7"/>
      <c r="AE64" s="79"/>
      <c r="AF64" s="79"/>
      <c r="AG64" s="7"/>
      <c r="AH64" s="79"/>
      <c r="AI64" s="79"/>
      <c r="AJ64" s="7"/>
      <c r="AK64" s="79"/>
      <c r="AL64" s="79"/>
      <c r="AM64" s="7"/>
      <c r="AN64" s="79"/>
      <c r="AO64" s="79"/>
    </row>
    <row r="65" spans="2:41" ht="9.9" customHeight="1" x14ac:dyDescent="0.3">
      <c r="C65" s="9" t="s">
        <v>34</v>
      </c>
    </row>
    <row r="66" spans="2:41" ht="15" customHeight="1" collapsed="1" x14ac:dyDescent="0.3">
      <c r="B66" s="3" t="s">
        <v>95</v>
      </c>
      <c r="C66" s="14" t="s">
        <v>57</v>
      </c>
      <c r="D66" s="4">
        <f>SUBTOTAL(9,D$67:D$103)</f>
        <v>0</v>
      </c>
      <c r="E66" s="78">
        <f ca="1">IFERROR($F66/$F$146,0)</f>
        <v>0</v>
      </c>
      <c r="F66" s="4">
        <f ca="1">SUBTOTAL(9,F$67:F$103)</f>
        <v>0</v>
      </c>
      <c r="G66" s="78">
        <f t="shared" ref="G66:G102" ca="1" si="135">IFERROR($F66/$F$146,0)</f>
        <v>0</v>
      </c>
      <c r="H66" s="78">
        <f ca="1">IFERROR(($F66-$D66)/ABS($D66),0)</f>
        <v>0</v>
      </c>
      <c r="I66" s="4">
        <f ca="1">SUBTOTAL(9,I$68:I$81)</f>
        <v>0</v>
      </c>
      <c r="J66" s="78">
        <f t="shared" ref="J66:J102" ca="1" si="136">IFERROR($I66/$I$146,0)</f>
        <v>0</v>
      </c>
      <c r="K66" s="78">
        <f ca="1">IFERROR(($I66-$F66)/ABS($F66),0)</f>
        <v>0</v>
      </c>
      <c r="L66" s="4">
        <f ca="1">SUBTOTAL(9,L$40:L$53)</f>
        <v>2184.66</v>
      </c>
      <c r="M66" s="78">
        <f t="shared" ref="M66:M102" ca="1" si="137">IFERROR($L66/$L$146,0)</f>
        <v>0</v>
      </c>
      <c r="N66" s="78">
        <f ca="1">IFERROR(($L66-$I66)/ABS($I66),0)</f>
        <v>0</v>
      </c>
      <c r="O66" s="4">
        <f ca="1">SUBTOTAL(9,O$40:O$53)</f>
        <v>2946.97</v>
      </c>
      <c r="P66" s="78">
        <f t="shared" ref="P66:P102" ca="1" si="138">IFERROR($O66/$O$146,0)</f>
        <v>0</v>
      </c>
      <c r="Q66" s="78">
        <f ca="1">IFERROR(($O66-$L66)/ABS($L66),0)</f>
        <v>0.34889999999999999</v>
      </c>
      <c r="R66" s="4">
        <f ca="1">SUBTOTAL(9,R$40:R$53)</f>
        <v>1937.47</v>
      </c>
      <c r="S66" s="78">
        <f t="shared" ref="S66:S102" ca="1" si="139">IFERROR($R66/$R$146,0)</f>
        <v>0</v>
      </c>
      <c r="T66" s="78">
        <f ca="1">IFERROR(($R66-$O66)/ABS($O66),0)</f>
        <v>-0.34260000000000002</v>
      </c>
      <c r="U66" s="4">
        <f ca="1">SUBTOTAL(9,U$67:U$102)</f>
        <v>0</v>
      </c>
      <c r="V66" s="78">
        <f t="shared" ref="V66:V102" ca="1" si="140">IFERROR($U66/$U$146,0)</f>
        <v>0</v>
      </c>
      <c r="W66" s="78">
        <f ca="1">IFERROR(($U66-$R66)/ABS($R66),0)</f>
        <v>-1</v>
      </c>
      <c r="X66" s="4">
        <f ca="1">SUBTOTAL(9,X$40:X$53)</f>
        <v>4276.43</v>
      </c>
      <c r="Y66" s="78">
        <f t="shared" ref="Y66:Y102" ca="1" si="141">IFERROR($X66/$X$146,0)</f>
        <v>1E-4</v>
      </c>
      <c r="Z66" s="78">
        <f ca="1">IFERROR(($X66-$U66)/ABS($U66),0)</f>
        <v>0</v>
      </c>
      <c r="AA66" s="4">
        <f ca="1">SUBTOTAL(9,AA$40:AA$53)</f>
        <v>4276.43</v>
      </c>
      <c r="AB66" s="78">
        <f t="shared" ref="AB66:AB102" ca="1" si="142">IFERROR($AA66/$AA$146,0)</f>
        <v>1E-4</v>
      </c>
      <c r="AC66" s="78">
        <f ca="1">IFERROR(($AA66-$X66)/ABS($X66),0)</f>
        <v>0</v>
      </c>
      <c r="AD66" s="4">
        <f ca="1">SUBTOTAL(9,AD$40:AD$53)</f>
        <v>2829.9</v>
      </c>
      <c r="AE66" s="78">
        <f t="shared" ref="AE66:AE102" ca="1" si="143">IFERROR($AD66/$AD$146,0)</f>
        <v>0</v>
      </c>
      <c r="AF66" s="78">
        <f ca="1">IFERROR(($AD66-$AA66)/ABS($AA66),0)</f>
        <v>-0.33829999999999999</v>
      </c>
      <c r="AG66" s="4">
        <f ca="1">SUBTOTAL(9,AG$40:AG$53)</f>
        <v>7466.31</v>
      </c>
      <c r="AH66" s="78">
        <f t="shared" ref="AH66:AH102" ca="1" si="144">IFERROR($AG66/$AG$146,0)</f>
        <v>1E-4</v>
      </c>
      <c r="AI66" s="78">
        <f ca="1">IFERROR(($AG66-$AD66)/ABS($AD66),0)</f>
        <v>1.6384000000000001</v>
      </c>
      <c r="AJ66" s="4">
        <f ca="1">SUBTOTAL(9,AJ$67:AJ$102)</f>
        <v>0</v>
      </c>
      <c r="AK66" s="78">
        <f t="shared" ref="AK66:AK102" ca="1" si="145">IFERROR($AJ66/$AJ$146,0)</f>
        <v>0</v>
      </c>
      <c r="AL66" s="78">
        <f ca="1">IFERROR(($AJ66-$AG66)/ABS($AG66),0)</f>
        <v>-1</v>
      </c>
      <c r="AM66" s="4">
        <f ca="1">SUBTOTAL(9,AM$67:AM$102)</f>
        <v>0</v>
      </c>
      <c r="AN66" s="78">
        <f t="shared" ref="AN66:AN102" ca="1" si="146">IFERROR(AM66/AM$146,0)</f>
        <v>0</v>
      </c>
      <c r="AO66" s="78">
        <f ca="1">IFERROR(($AM66-$AJ66)/ABS($AJ66),0)</f>
        <v>0</v>
      </c>
    </row>
    <row r="67" spans="2:41" ht="15" hidden="1" customHeight="1" outlineLevel="1" x14ac:dyDescent="0.3">
      <c r="B67" s="14"/>
      <c r="C67" s="15"/>
      <c r="D67" s="4">
        <f>-SUMIFS(Tab_99.Trial[DEZEMBRO],Tab_99.Trial[CONTA],$B67)</f>
        <v>0</v>
      </c>
      <c r="E67" s="78">
        <f t="shared" ref="E67:E102" ca="1" si="147">IFERROR($D67/$D$146,0)</f>
        <v>0</v>
      </c>
      <c r="F67" s="4">
        <f ca="1">-SUMIFS(INDIRECT("Tab_00.Trial["&amp;F$4&amp;"]"),Tab_00.Trial[CONTA],$B67)</f>
        <v>0</v>
      </c>
      <c r="G67" s="78">
        <f t="shared" ca="1" si="135"/>
        <v>0</v>
      </c>
      <c r="H67" s="78">
        <f ca="1">IFERROR(($F67-$D67)/ABS($D67),0)</f>
        <v>0</v>
      </c>
      <c r="I67" s="4">
        <f ca="1">-SUMIFS(INDIRECT("Tab_00.Trial["&amp;I$4&amp;"]"),Tab_00.Trial[CONTA],$B67)</f>
        <v>0</v>
      </c>
      <c r="J67" s="78">
        <f t="shared" ca="1" si="136"/>
        <v>0</v>
      </c>
      <c r="K67" s="78">
        <f ca="1">IFERROR(($I67-$F67)/ABS($F67),0)</f>
        <v>0</v>
      </c>
      <c r="L67" s="4">
        <f ca="1">-SUMIFS(INDIRECT("Tab_00.Trial["&amp;L$4&amp;"]"),Tab_00.Trial[CONTA],$B67)</f>
        <v>0</v>
      </c>
      <c r="M67" s="78">
        <f t="shared" ca="1" si="137"/>
        <v>0</v>
      </c>
      <c r="N67" s="78">
        <f ca="1">IFERROR(($L67-$I67)/ABS($I67),0)</f>
        <v>0</v>
      </c>
      <c r="O67" s="4">
        <f ca="1">-SUMIFS(INDIRECT("Tab_00.Trial["&amp;O$4&amp;"]"),Tab_00.Trial[CONTA],$B67)</f>
        <v>0</v>
      </c>
      <c r="P67" s="78">
        <f t="shared" ca="1" si="138"/>
        <v>0</v>
      </c>
      <c r="Q67" s="78">
        <f ca="1">IFERROR(($O67-$L67)/ABS($L67),0)</f>
        <v>0</v>
      </c>
      <c r="R67" s="4">
        <f ca="1">-SUMIFS(INDIRECT("Tab_00.Trial["&amp;R$4&amp;"]"),Tab_00.Trial[CONTA],$B67)</f>
        <v>0</v>
      </c>
      <c r="S67" s="78">
        <f t="shared" ca="1" si="139"/>
        <v>0</v>
      </c>
      <c r="T67" s="78">
        <f ca="1">IFERROR(($R67-$O67)/ABS($O67),0)</f>
        <v>0</v>
      </c>
      <c r="U67" s="4">
        <f ca="1">-SUMIFS(INDIRECT("Tab_00.Trial["&amp;U$4&amp;"]"),Tab_00.Trial[CONTA],$B67)</f>
        <v>0</v>
      </c>
      <c r="V67" s="78">
        <f t="shared" ca="1" si="140"/>
        <v>0</v>
      </c>
      <c r="W67" s="78">
        <f ca="1">IFERROR(($U67-$R67)/ABS($R67),0)</f>
        <v>0</v>
      </c>
      <c r="X67" s="4">
        <f ca="1">-SUMIFS(INDIRECT("Tab_00.Trial["&amp;X$4&amp;"]"),Tab_00.Trial[CONTA],$B67)</f>
        <v>0</v>
      </c>
      <c r="Y67" s="78">
        <f t="shared" ca="1" si="141"/>
        <v>0</v>
      </c>
      <c r="Z67" s="78">
        <f ca="1">IFERROR(($X67-$U67)/ABS($U67),0)</f>
        <v>0</v>
      </c>
      <c r="AA67" s="4">
        <f ca="1">-SUMIFS(INDIRECT("Tab_00.Trial["&amp;AA$4&amp;"]"),Tab_00.Trial[CONTA],$B67)</f>
        <v>0</v>
      </c>
      <c r="AB67" s="78">
        <f t="shared" ca="1" si="142"/>
        <v>0</v>
      </c>
      <c r="AC67" s="78">
        <f ca="1">IFERROR(($AA67-$X67)/ABS($X67),0)</f>
        <v>0</v>
      </c>
      <c r="AD67" s="4">
        <f ca="1">-SUMIFS(INDIRECT("Tab_00.Trial["&amp;AD$4&amp;"]"),Tab_00.Trial[CONTA],$B67)</f>
        <v>0</v>
      </c>
      <c r="AE67" s="78">
        <f t="shared" ca="1" si="143"/>
        <v>0</v>
      </c>
      <c r="AF67" s="78">
        <f ca="1">IFERROR(($AD67-$AA67)/ABS($AA67),0)</f>
        <v>0</v>
      </c>
      <c r="AG67" s="4">
        <f ca="1">-SUMIFS(INDIRECT("Tab_00.Trial["&amp;AG$4&amp;"]"),Tab_00.Trial[CONTA],$B67)</f>
        <v>0</v>
      </c>
      <c r="AH67" s="78">
        <f t="shared" ca="1" si="144"/>
        <v>0</v>
      </c>
      <c r="AI67" s="78">
        <f ca="1">IFERROR(($AG67-$AD67)/ABS($AD67),0)</f>
        <v>0</v>
      </c>
      <c r="AJ67" s="4">
        <f ca="1">-SUMIFS(INDIRECT("Tab_00.Trial["&amp;AJ$4&amp;"]"),Tab_00.Trial[CONTA],$B67)</f>
        <v>0</v>
      </c>
      <c r="AK67" s="78">
        <f t="shared" ca="1" si="145"/>
        <v>0</v>
      </c>
      <c r="AL67" s="78">
        <f ca="1">IFERROR(($AJ67-$AG67)/ABS($AG67),0)</f>
        <v>0</v>
      </c>
      <c r="AM67" s="4">
        <f ca="1">-SUMIFS(INDIRECT("Tab_00.Trial["&amp;AM$4&amp;"]"),Tab_00.Trial[CONTA],$B67)</f>
        <v>0</v>
      </c>
      <c r="AN67" s="78">
        <f t="shared" ca="1" si="146"/>
        <v>0</v>
      </c>
      <c r="AO67" s="78">
        <f ca="1">IFERROR(($AM67-$AJ67)/ABS($AJ67),0)</f>
        <v>0</v>
      </c>
    </row>
    <row r="68" spans="2:41" ht="15" hidden="1" customHeight="1" outlineLevel="1" x14ac:dyDescent="0.3">
      <c r="B68" s="14"/>
      <c r="C68" s="15"/>
      <c r="D68" s="4">
        <f>-SUMIFS(Tab_99.Trial[DEZEMBRO],Tab_99.Trial[CONTA],$B68)</f>
        <v>0</v>
      </c>
      <c r="E68" s="78">
        <f t="shared" ca="1" si="147"/>
        <v>0</v>
      </c>
      <c r="F68" s="4">
        <f ca="1">-SUMIFS(INDIRECT("Tab_00.Trial["&amp;F$4&amp;"]"),Tab_00.Trial[CONTA],$B68)</f>
        <v>0</v>
      </c>
      <c r="G68" s="78">
        <f t="shared" ca="1" si="135"/>
        <v>0</v>
      </c>
      <c r="H68" s="78">
        <f ca="1">IFERROR(($F68-$D68)/ABS($D68),0)</f>
        <v>0</v>
      </c>
      <c r="I68" s="4">
        <f ca="1">-SUMIFS(INDIRECT("Tab_00.Trial["&amp;I$4&amp;"]"),Tab_00.Trial[CONTA],$B68)</f>
        <v>0</v>
      </c>
      <c r="J68" s="78">
        <f t="shared" ca="1" si="136"/>
        <v>0</v>
      </c>
      <c r="K68" s="78">
        <f ca="1">IFERROR(($I68-$F68)/ABS($F68),0)</f>
        <v>0</v>
      </c>
      <c r="L68" s="4">
        <f ca="1">-SUMIFS(INDIRECT("Tab_00.Trial["&amp;L$4&amp;"]"),Tab_00.Trial[CONTA],$B68)</f>
        <v>0</v>
      </c>
      <c r="M68" s="78">
        <f t="shared" ca="1" si="137"/>
        <v>0</v>
      </c>
      <c r="N68" s="78">
        <f ca="1">IFERROR(($L68-$I68)/ABS($I68),0)</f>
        <v>0</v>
      </c>
      <c r="O68" s="4">
        <f ca="1">-SUMIFS(INDIRECT("Tab_00.Trial["&amp;O$4&amp;"]"),Tab_00.Trial[CONTA],$B68)</f>
        <v>0</v>
      </c>
      <c r="P68" s="78">
        <f t="shared" ca="1" si="138"/>
        <v>0</v>
      </c>
      <c r="Q68" s="78">
        <f ca="1">IFERROR(($O68-$L68)/ABS($L68),0)</f>
        <v>0</v>
      </c>
      <c r="R68" s="4">
        <f ca="1">-SUMIFS(INDIRECT("Tab_00.Trial["&amp;R$4&amp;"]"),Tab_00.Trial[CONTA],$B68)</f>
        <v>0</v>
      </c>
      <c r="S68" s="78">
        <f t="shared" ca="1" si="139"/>
        <v>0</v>
      </c>
      <c r="T68" s="78">
        <f ca="1">IFERROR(($R68-$O68)/ABS($O68),0)</f>
        <v>0</v>
      </c>
      <c r="U68" s="4">
        <f ca="1">-SUMIFS(INDIRECT("Tab_00.Trial["&amp;U$4&amp;"]"),Tab_00.Trial[CONTA],$B68)</f>
        <v>0</v>
      </c>
      <c r="V68" s="78">
        <f t="shared" ca="1" si="140"/>
        <v>0</v>
      </c>
      <c r="W68" s="78">
        <f ca="1">IFERROR(($U68-$R68)/ABS($R68),0)</f>
        <v>0</v>
      </c>
      <c r="X68" s="4">
        <f ca="1">-SUMIFS(INDIRECT("Tab_00.Trial["&amp;X$4&amp;"]"),Tab_00.Trial[CONTA],$B68)</f>
        <v>0</v>
      </c>
      <c r="Y68" s="78">
        <f t="shared" ca="1" si="141"/>
        <v>0</v>
      </c>
      <c r="Z68" s="78">
        <f ca="1">IFERROR(($X68-$U68)/ABS($U68),0)</f>
        <v>0</v>
      </c>
      <c r="AA68" s="4">
        <f ca="1">-SUMIFS(INDIRECT("Tab_00.Trial["&amp;AA$4&amp;"]"),Tab_00.Trial[CONTA],$B68)</f>
        <v>0</v>
      </c>
      <c r="AB68" s="78">
        <f t="shared" ca="1" si="142"/>
        <v>0</v>
      </c>
      <c r="AC68" s="78">
        <f ca="1">IFERROR(($AA68-$X68)/ABS($X68),0)</f>
        <v>0</v>
      </c>
      <c r="AD68" s="4">
        <f ca="1">-SUMIFS(INDIRECT("Tab_00.Trial["&amp;AD$4&amp;"]"),Tab_00.Trial[CONTA],$B68)</f>
        <v>0</v>
      </c>
      <c r="AE68" s="78">
        <f t="shared" ca="1" si="143"/>
        <v>0</v>
      </c>
      <c r="AF68" s="78">
        <f ca="1">IFERROR(($AD68-$AA68)/ABS($AA68),0)</f>
        <v>0</v>
      </c>
      <c r="AG68" s="4">
        <f ca="1">-SUMIFS(INDIRECT("Tab_00.Trial["&amp;AG$4&amp;"]"),Tab_00.Trial[CONTA],$B68)</f>
        <v>0</v>
      </c>
      <c r="AH68" s="78">
        <f t="shared" ca="1" si="144"/>
        <v>0</v>
      </c>
      <c r="AI68" s="78">
        <f ca="1">IFERROR(($AG68-$AD68)/ABS($AD68),0)</f>
        <v>0</v>
      </c>
      <c r="AJ68" s="4">
        <f ca="1">-SUMIFS(INDIRECT("Tab_00.Trial["&amp;AJ$4&amp;"]"),Tab_00.Trial[CONTA],$B68)</f>
        <v>0</v>
      </c>
      <c r="AK68" s="78">
        <f t="shared" ca="1" si="145"/>
        <v>0</v>
      </c>
      <c r="AL68" s="78">
        <f ca="1">IFERROR(($AJ68-$AG68)/ABS($AG68),0)</f>
        <v>0</v>
      </c>
      <c r="AM68" s="4">
        <f ca="1">-SUMIFS(INDIRECT("Tab_00.Trial["&amp;AM$4&amp;"]"),Tab_00.Trial[CONTA],$B68)</f>
        <v>0</v>
      </c>
      <c r="AN68" s="78">
        <f t="shared" ca="1" si="146"/>
        <v>0</v>
      </c>
      <c r="AO68" s="78">
        <f ca="1">IFERROR(($AM68-$AJ68)/ABS($AJ68),0)</f>
        <v>0</v>
      </c>
    </row>
    <row r="69" spans="2:41" ht="15" hidden="1" customHeight="1" outlineLevel="1" x14ac:dyDescent="0.3">
      <c r="B69" s="14"/>
      <c r="C69" s="15"/>
      <c r="D69" s="4">
        <f>-SUMIFS(Tab_99.Trial[DEZEMBRO],Tab_99.Trial[CONTA],$B69)</f>
        <v>0</v>
      </c>
      <c r="E69" s="78">
        <f t="shared" ca="1" si="147"/>
        <v>0</v>
      </c>
      <c r="F69" s="4">
        <f ca="1">-SUMIFS(INDIRECT("Tab_00.Trial["&amp;F$4&amp;"]"),Tab_00.Trial[CONTA],$B69)</f>
        <v>0</v>
      </c>
      <c r="G69" s="78">
        <f t="shared" ca="1" si="135"/>
        <v>0</v>
      </c>
      <c r="H69" s="78">
        <f t="shared" ref="H69:H101" ca="1" si="148">IFERROR(($F69-$D69)/ABS($D69),0)</f>
        <v>0</v>
      </c>
      <c r="I69" s="4">
        <f ca="1">-SUMIFS(INDIRECT("Tab_00.Trial["&amp;I$4&amp;"]"),Tab_00.Trial[CONTA],$B69)</f>
        <v>0</v>
      </c>
      <c r="J69" s="78">
        <f t="shared" ca="1" si="136"/>
        <v>0</v>
      </c>
      <c r="K69" s="78">
        <f t="shared" ref="K69:K101" ca="1" si="149">IFERROR(($I69-$F69)/ABS($F69),0)</f>
        <v>0</v>
      </c>
      <c r="L69" s="4">
        <f ca="1">-SUMIFS(INDIRECT("Tab_00.Trial["&amp;L$4&amp;"]"),Tab_00.Trial[CONTA],$B69)</f>
        <v>0</v>
      </c>
      <c r="M69" s="78">
        <f t="shared" ca="1" si="137"/>
        <v>0</v>
      </c>
      <c r="N69" s="78">
        <f t="shared" ref="N69:N101" ca="1" si="150">IFERROR(($L69-$I69)/ABS($I69),0)</f>
        <v>0</v>
      </c>
      <c r="O69" s="4">
        <f ca="1">-SUMIFS(INDIRECT("Tab_00.Trial["&amp;O$4&amp;"]"),Tab_00.Trial[CONTA],$B69)</f>
        <v>0</v>
      </c>
      <c r="P69" s="78">
        <f t="shared" ca="1" si="138"/>
        <v>0</v>
      </c>
      <c r="Q69" s="78">
        <f t="shared" ref="Q69:Q101" ca="1" si="151">IFERROR(($O69-$L69)/ABS($L69),0)</f>
        <v>0</v>
      </c>
      <c r="R69" s="4">
        <f ca="1">-SUMIFS(INDIRECT("Tab_00.Trial["&amp;R$4&amp;"]"),Tab_00.Trial[CONTA],$B69)</f>
        <v>0</v>
      </c>
      <c r="S69" s="78">
        <f t="shared" ca="1" si="139"/>
        <v>0</v>
      </c>
      <c r="T69" s="78">
        <f t="shared" ref="T69:T101" ca="1" si="152">IFERROR(($R69-$O69)/ABS($O69),0)</f>
        <v>0</v>
      </c>
      <c r="U69" s="4">
        <f ca="1">-SUMIFS(INDIRECT("Tab_00.Trial["&amp;U$4&amp;"]"),Tab_00.Trial[CONTA],$B69)</f>
        <v>0</v>
      </c>
      <c r="V69" s="78">
        <f t="shared" ca="1" si="140"/>
        <v>0</v>
      </c>
      <c r="W69" s="78">
        <f t="shared" ref="W69:W101" ca="1" si="153">IFERROR(($U69-$R69)/ABS($R69),0)</f>
        <v>0</v>
      </c>
      <c r="X69" s="4">
        <f ca="1">-SUMIFS(INDIRECT("Tab_00.Trial["&amp;X$4&amp;"]"),Tab_00.Trial[CONTA],$B69)</f>
        <v>0</v>
      </c>
      <c r="Y69" s="78">
        <f t="shared" ca="1" si="141"/>
        <v>0</v>
      </c>
      <c r="Z69" s="78">
        <f t="shared" ref="Z69:Z101" ca="1" si="154">IFERROR(($X69-$U69)/ABS($U69),0)</f>
        <v>0</v>
      </c>
      <c r="AA69" s="4">
        <f ca="1">-SUMIFS(INDIRECT("Tab_00.Trial["&amp;AA$4&amp;"]"),Tab_00.Trial[CONTA],$B69)</f>
        <v>0</v>
      </c>
      <c r="AB69" s="78">
        <f t="shared" ca="1" si="142"/>
        <v>0</v>
      </c>
      <c r="AC69" s="78">
        <f t="shared" ref="AC69:AC101" ca="1" si="155">IFERROR(($AA69-$X69)/ABS($X69),0)</f>
        <v>0</v>
      </c>
      <c r="AD69" s="4">
        <f ca="1">-SUMIFS(INDIRECT("Tab_00.Trial["&amp;AD$4&amp;"]"),Tab_00.Trial[CONTA],$B69)</f>
        <v>0</v>
      </c>
      <c r="AE69" s="78">
        <f t="shared" ca="1" si="143"/>
        <v>0</v>
      </c>
      <c r="AF69" s="78">
        <f t="shared" ref="AF69:AF101" ca="1" si="156">IFERROR(($AD69-$AA69)/ABS($AA69),0)</f>
        <v>0</v>
      </c>
      <c r="AG69" s="4">
        <f ca="1">-SUMIFS(INDIRECT("Tab_00.Trial["&amp;AG$4&amp;"]"),Tab_00.Trial[CONTA],$B69)</f>
        <v>0</v>
      </c>
      <c r="AH69" s="78">
        <f t="shared" ca="1" si="144"/>
        <v>0</v>
      </c>
      <c r="AI69" s="78">
        <f t="shared" ref="AI69:AI101" ca="1" si="157">IFERROR(($AG69-$AD69)/ABS($AD69),0)</f>
        <v>0</v>
      </c>
      <c r="AJ69" s="4">
        <f ca="1">-SUMIFS(INDIRECT("Tab_00.Trial["&amp;AJ$4&amp;"]"),Tab_00.Trial[CONTA],$B69)</f>
        <v>0</v>
      </c>
      <c r="AK69" s="78">
        <f t="shared" ca="1" si="145"/>
        <v>0</v>
      </c>
      <c r="AL69" s="78">
        <f t="shared" ref="AL69:AL101" ca="1" si="158">IFERROR(($AJ69-$AG69)/ABS($AG69),0)</f>
        <v>0</v>
      </c>
      <c r="AM69" s="4">
        <f ca="1">-SUMIFS(INDIRECT("Tab_00.Trial["&amp;AM$4&amp;"]"),Tab_00.Trial[CONTA],$B69)</f>
        <v>0</v>
      </c>
      <c r="AN69" s="78">
        <f t="shared" ca="1" si="146"/>
        <v>0</v>
      </c>
      <c r="AO69" s="78">
        <f t="shared" ref="AO69:AO101" ca="1" si="159">IFERROR(($AM69-$AJ69)/ABS($AJ69),0)</f>
        <v>0</v>
      </c>
    </row>
    <row r="70" spans="2:41" ht="15" hidden="1" customHeight="1" outlineLevel="1" x14ac:dyDescent="0.3">
      <c r="B70" s="14"/>
      <c r="C70" s="15"/>
      <c r="D70" s="4">
        <f>-SUMIFS(Tab_99.Trial[DEZEMBRO],Tab_99.Trial[CONTA],$B70)</f>
        <v>0</v>
      </c>
      <c r="E70" s="78">
        <f t="shared" ca="1" si="147"/>
        <v>0</v>
      </c>
      <c r="F70" s="4">
        <f ca="1">-SUMIFS(INDIRECT("Tab_00.Trial["&amp;F$4&amp;"]"),Tab_00.Trial[CONTA],$B70)</f>
        <v>0</v>
      </c>
      <c r="G70" s="78">
        <f t="shared" ca="1" si="135"/>
        <v>0</v>
      </c>
      <c r="H70" s="78">
        <f t="shared" ca="1" si="148"/>
        <v>0</v>
      </c>
      <c r="I70" s="4">
        <f ca="1">-SUMIFS(INDIRECT("Tab_00.Trial["&amp;I$4&amp;"]"),Tab_00.Trial[CONTA],$B70)</f>
        <v>0</v>
      </c>
      <c r="J70" s="78">
        <f t="shared" ca="1" si="136"/>
        <v>0</v>
      </c>
      <c r="K70" s="78">
        <f t="shared" ca="1" si="149"/>
        <v>0</v>
      </c>
      <c r="L70" s="4">
        <f ca="1">-SUMIFS(INDIRECT("Tab_00.Trial["&amp;L$4&amp;"]"),Tab_00.Trial[CONTA],$B70)</f>
        <v>0</v>
      </c>
      <c r="M70" s="78">
        <f t="shared" ca="1" si="137"/>
        <v>0</v>
      </c>
      <c r="N70" s="78">
        <f t="shared" ca="1" si="150"/>
        <v>0</v>
      </c>
      <c r="O70" s="4">
        <f ca="1">-SUMIFS(INDIRECT("Tab_00.Trial["&amp;O$4&amp;"]"),Tab_00.Trial[CONTA],$B70)</f>
        <v>0</v>
      </c>
      <c r="P70" s="78">
        <f t="shared" ca="1" si="138"/>
        <v>0</v>
      </c>
      <c r="Q70" s="78">
        <f t="shared" ca="1" si="151"/>
        <v>0</v>
      </c>
      <c r="R70" s="4">
        <f ca="1">-SUMIFS(INDIRECT("Tab_00.Trial["&amp;R$4&amp;"]"),Tab_00.Trial[CONTA],$B70)</f>
        <v>0</v>
      </c>
      <c r="S70" s="78">
        <f t="shared" ca="1" si="139"/>
        <v>0</v>
      </c>
      <c r="T70" s="78">
        <f t="shared" ca="1" si="152"/>
        <v>0</v>
      </c>
      <c r="U70" s="4">
        <f ca="1">-SUMIFS(INDIRECT("Tab_00.Trial["&amp;U$4&amp;"]"),Tab_00.Trial[CONTA],$B70)</f>
        <v>0</v>
      </c>
      <c r="V70" s="78">
        <f t="shared" ca="1" si="140"/>
        <v>0</v>
      </c>
      <c r="W70" s="78">
        <f t="shared" ca="1" si="153"/>
        <v>0</v>
      </c>
      <c r="X70" s="4">
        <f ca="1">-SUMIFS(INDIRECT("Tab_00.Trial["&amp;X$4&amp;"]"),Tab_00.Trial[CONTA],$B70)</f>
        <v>0</v>
      </c>
      <c r="Y70" s="78">
        <f t="shared" ca="1" si="141"/>
        <v>0</v>
      </c>
      <c r="Z70" s="78">
        <f t="shared" ca="1" si="154"/>
        <v>0</v>
      </c>
      <c r="AA70" s="4">
        <f ca="1">-SUMIFS(INDIRECT("Tab_00.Trial["&amp;AA$4&amp;"]"),Tab_00.Trial[CONTA],$B70)</f>
        <v>0</v>
      </c>
      <c r="AB70" s="78">
        <f t="shared" ca="1" si="142"/>
        <v>0</v>
      </c>
      <c r="AC70" s="78">
        <f t="shared" ca="1" si="155"/>
        <v>0</v>
      </c>
      <c r="AD70" s="4">
        <f ca="1">-SUMIFS(INDIRECT("Tab_00.Trial["&amp;AD$4&amp;"]"),Tab_00.Trial[CONTA],$B70)</f>
        <v>0</v>
      </c>
      <c r="AE70" s="78">
        <f t="shared" ca="1" si="143"/>
        <v>0</v>
      </c>
      <c r="AF70" s="78">
        <f t="shared" ca="1" si="156"/>
        <v>0</v>
      </c>
      <c r="AG70" s="4">
        <f ca="1">-SUMIFS(INDIRECT("Tab_00.Trial["&amp;AG$4&amp;"]"),Tab_00.Trial[CONTA],$B70)</f>
        <v>0</v>
      </c>
      <c r="AH70" s="78">
        <f t="shared" ca="1" si="144"/>
        <v>0</v>
      </c>
      <c r="AI70" s="78">
        <f t="shared" ca="1" si="157"/>
        <v>0</v>
      </c>
      <c r="AJ70" s="4">
        <f ca="1">-SUMIFS(INDIRECT("Tab_00.Trial["&amp;AJ$4&amp;"]"),Tab_00.Trial[CONTA],$B70)</f>
        <v>0</v>
      </c>
      <c r="AK70" s="78">
        <f t="shared" ca="1" si="145"/>
        <v>0</v>
      </c>
      <c r="AL70" s="78">
        <f t="shared" ca="1" si="158"/>
        <v>0</v>
      </c>
      <c r="AM70" s="4">
        <f ca="1">-SUMIFS(INDIRECT("Tab_00.Trial["&amp;AM$4&amp;"]"),Tab_00.Trial[CONTA],$B70)</f>
        <v>0</v>
      </c>
      <c r="AN70" s="78">
        <f t="shared" ca="1" si="146"/>
        <v>0</v>
      </c>
      <c r="AO70" s="78">
        <f t="shared" ca="1" si="159"/>
        <v>0</v>
      </c>
    </row>
    <row r="71" spans="2:41" ht="15" hidden="1" customHeight="1" outlineLevel="1" x14ac:dyDescent="0.3">
      <c r="B71" s="14"/>
      <c r="C71" s="15"/>
      <c r="D71" s="4">
        <f>-SUMIFS(Tab_99.Trial[DEZEMBRO],Tab_99.Trial[CONTA],$B71)</f>
        <v>0</v>
      </c>
      <c r="E71" s="78">
        <f t="shared" ca="1" si="147"/>
        <v>0</v>
      </c>
      <c r="F71" s="4">
        <f ca="1">-SUMIFS(INDIRECT("Tab_00.Trial["&amp;F$4&amp;"]"),Tab_00.Trial[CONTA],$B71)</f>
        <v>0</v>
      </c>
      <c r="G71" s="78">
        <f t="shared" ca="1" si="135"/>
        <v>0</v>
      </c>
      <c r="H71" s="78">
        <f t="shared" ca="1" si="148"/>
        <v>0</v>
      </c>
      <c r="I71" s="4">
        <f ca="1">-SUMIFS(INDIRECT("Tab_00.Trial["&amp;I$4&amp;"]"),Tab_00.Trial[CONTA],$B71)</f>
        <v>0</v>
      </c>
      <c r="J71" s="78">
        <f t="shared" ca="1" si="136"/>
        <v>0</v>
      </c>
      <c r="K71" s="78">
        <f t="shared" ca="1" si="149"/>
        <v>0</v>
      </c>
      <c r="L71" s="4">
        <f ca="1">-SUMIFS(INDIRECT("Tab_00.Trial["&amp;L$4&amp;"]"),Tab_00.Trial[CONTA],$B71)</f>
        <v>0</v>
      </c>
      <c r="M71" s="78">
        <f t="shared" ca="1" si="137"/>
        <v>0</v>
      </c>
      <c r="N71" s="78">
        <f t="shared" ca="1" si="150"/>
        <v>0</v>
      </c>
      <c r="O71" s="4">
        <f ca="1">-SUMIFS(INDIRECT("Tab_00.Trial["&amp;O$4&amp;"]"),Tab_00.Trial[CONTA],$B71)</f>
        <v>0</v>
      </c>
      <c r="P71" s="78">
        <f t="shared" ca="1" si="138"/>
        <v>0</v>
      </c>
      <c r="Q71" s="78">
        <f t="shared" ca="1" si="151"/>
        <v>0</v>
      </c>
      <c r="R71" s="4">
        <f ca="1">-SUMIFS(INDIRECT("Tab_00.Trial["&amp;R$4&amp;"]"),Tab_00.Trial[CONTA],$B71)</f>
        <v>0</v>
      </c>
      <c r="S71" s="78">
        <f t="shared" ca="1" si="139"/>
        <v>0</v>
      </c>
      <c r="T71" s="78">
        <f t="shared" ca="1" si="152"/>
        <v>0</v>
      </c>
      <c r="U71" s="4">
        <f ca="1">-SUMIFS(INDIRECT("Tab_00.Trial["&amp;U$4&amp;"]"),Tab_00.Trial[CONTA],$B71)</f>
        <v>0</v>
      </c>
      <c r="V71" s="78">
        <f t="shared" ca="1" si="140"/>
        <v>0</v>
      </c>
      <c r="W71" s="78">
        <f t="shared" ca="1" si="153"/>
        <v>0</v>
      </c>
      <c r="X71" s="4">
        <f ca="1">-SUMIFS(INDIRECT("Tab_00.Trial["&amp;X$4&amp;"]"),Tab_00.Trial[CONTA],$B71)</f>
        <v>0</v>
      </c>
      <c r="Y71" s="78">
        <f t="shared" ca="1" si="141"/>
        <v>0</v>
      </c>
      <c r="Z71" s="78">
        <f t="shared" ca="1" si="154"/>
        <v>0</v>
      </c>
      <c r="AA71" s="4">
        <f ca="1">-SUMIFS(INDIRECT("Tab_00.Trial["&amp;AA$4&amp;"]"),Tab_00.Trial[CONTA],$B71)</f>
        <v>0</v>
      </c>
      <c r="AB71" s="78">
        <f t="shared" ca="1" si="142"/>
        <v>0</v>
      </c>
      <c r="AC71" s="78">
        <f t="shared" ca="1" si="155"/>
        <v>0</v>
      </c>
      <c r="AD71" s="4">
        <f ca="1">-SUMIFS(INDIRECT("Tab_00.Trial["&amp;AD$4&amp;"]"),Tab_00.Trial[CONTA],$B71)</f>
        <v>0</v>
      </c>
      <c r="AE71" s="78">
        <f t="shared" ca="1" si="143"/>
        <v>0</v>
      </c>
      <c r="AF71" s="78">
        <f t="shared" ca="1" si="156"/>
        <v>0</v>
      </c>
      <c r="AG71" s="4">
        <f ca="1">-SUMIFS(INDIRECT("Tab_00.Trial["&amp;AG$4&amp;"]"),Tab_00.Trial[CONTA],$B71)</f>
        <v>0</v>
      </c>
      <c r="AH71" s="78">
        <f t="shared" ca="1" si="144"/>
        <v>0</v>
      </c>
      <c r="AI71" s="78">
        <f t="shared" ca="1" si="157"/>
        <v>0</v>
      </c>
      <c r="AJ71" s="4">
        <f ca="1">-SUMIFS(INDIRECT("Tab_00.Trial["&amp;AJ$4&amp;"]"),Tab_00.Trial[CONTA],$B71)</f>
        <v>0</v>
      </c>
      <c r="AK71" s="78">
        <f t="shared" ca="1" si="145"/>
        <v>0</v>
      </c>
      <c r="AL71" s="78">
        <f t="shared" ca="1" si="158"/>
        <v>0</v>
      </c>
      <c r="AM71" s="4">
        <f ca="1">-SUMIFS(INDIRECT("Tab_00.Trial["&amp;AM$4&amp;"]"),Tab_00.Trial[CONTA],$B71)</f>
        <v>0</v>
      </c>
      <c r="AN71" s="78">
        <f t="shared" ca="1" si="146"/>
        <v>0</v>
      </c>
      <c r="AO71" s="78">
        <f t="shared" ca="1" si="159"/>
        <v>0</v>
      </c>
    </row>
    <row r="72" spans="2:41" ht="15" hidden="1" customHeight="1" outlineLevel="1" x14ac:dyDescent="0.3">
      <c r="B72" s="14"/>
      <c r="C72" s="15"/>
      <c r="D72" s="4">
        <f>-SUMIFS(Tab_99.Trial[DEZEMBRO],Tab_99.Trial[CONTA],$B72)</f>
        <v>0</v>
      </c>
      <c r="E72" s="78">
        <f t="shared" ca="1" si="147"/>
        <v>0</v>
      </c>
      <c r="F72" s="4">
        <f ca="1">-SUMIFS(INDIRECT("Tab_00.Trial["&amp;F$4&amp;"]"),Tab_00.Trial[CONTA],$B72)</f>
        <v>0</v>
      </c>
      <c r="G72" s="78">
        <f t="shared" ca="1" si="135"/>
        <v>0</v>
      </c>
      <c r="H72" s="78">
        <f t="shared" ca="1" si="148"/>
        <v>0</v>
      </c>
      <c r="I72" s="4">
        <f ca="1">-SUMIFS(INDIRECT("Tab_00.Trial["&amp;I$4&amp;"]"),Tab_00.Trial[CONTA],$B72)</f>
        <v>0</v>
      </c>
      <c r="J72" s="78">
        <f t="shared" ca="1" si="136"/>
        <v>0</v>
      </c>
      <c r="K72" s="78">
        <f t="shared" ca="1" si="149"/>
        <v>0</v>
      </c>
      <c r="L72" s="4">
        <f ca="1">-SUMIFS(INDIRECT("Tab_00.Trial["&amp;L$4&amp;"]"),Tab_00.Trial[CONTA],$B72)</f>
        <v>0</v>
      </c>
      <c r="M72" s="78">
        <f t="shared" ca="1" si="137"/>
        <v>0</v>
      </c>
      <c r="N72" s="78">
        <f t="shared" ca="1" si="150"/>
        <v>0</v>
      </c>
      <c r="O72" s="4">
        <f ca="1">-SUMIFS(INDIRECT("Tab_00.Trial["&amp;O$4&amp;"]"),Tab_00.Trial[CONTA],$B72)</f>
        <v>0</v>
      </c>
      <c r="P72" s="78">
        <f t="shared" ca="1" si="138"/>
        <v>0</v>
      </c>
      <c r="Q72" s="78">
        <f t="shared" ca="1" si="151"/>
        <v>0</v>
      </c>
      <c r="R72" s="4">
        <f ca="1">-SUMIFS(INDIRECT("Tab_00.Trial["&amp;R$4&amp;"]"),Tab_00.Trial[CONTA],$B72)</f>
        <v>0</v>
      </c>
      <c r="S72" s="78">
        <f t="shared" ca="1" si="139"/>
        <v>0</v>
      </c>
      <c r="T72" s="78">
        <f t="shared" ca="1" si="152"/>
        <v>0</v>
      </c>
      <c r="U72" s="4">
        <f ca="1">-SUMIFS(INDIRECT("Tab_00.Trial["&amp;U$4&amp;"]"),Tab_00.Trial[CONTA],$B72)</f>
        <v>0</v>
      </c>
      <c r="V72" s="78">
        <f t="shared" ca="1" si="140"/>
        <v>0</v>
      </c>
      <c r="W72" s="78">
        <f t="shared" ca="1" si="153"/>
        <v>0</v>
      </c>
      <c r="X72" s="4">
        <f ca="1">-SUMIFS(INDIRECT("Tab_00.Trial["&amp;X$4&amp;"]"),Tab_00.Trial[CONTA],$B72)</f>
        <v>0</v>
      </c>
      <c r="Y72" s="78">
        <f t="shared" ca="1" si="141"/>
        <v>0</v>
      </c>
      <c r="Z72" s="78">
        <f t="shared" ca="1" si="154"/>
        <v>0</v>
      </c>
      <c r="AA72" s="4">
        <f ca="1">-SUMIFS(INDIRECT("Tab_00.Trial["&amp;AA$4&amp;"]"),Tab_00.Trial[CONTA],$B72)</f>
        <v>0</v>
      </c>
      <c r="AB72" s="78">
        <f t="shared" ca="1" si="142"/>
        <v>0</v>
      </c>
      <c r="AC72" s="78">
        <f t="shared" ca="1" si="155"/>
        <v>0</v>
      </c>
      <c r="AD72" s="4">
        <f ca="1">-SUMIFS(INDIRECT("Tab_00.Trial["&amp;AD$4&amp;"]"),Tab_00.Trial[CONTA],$B72)</f>
        <v>0</v>
      </c>
      <c r="AE72" s="78">
        <f t="shared" ca="1" si="143"/>
        <v>0</v>
      </c>
      <c r="AF72" s="78">
        <f t="shared" ca="1" si="156"/>
        <v>0</v>
      </c>
      <c r="AG72" s="4">
        <f ca="1">-SUMIFS(INDIRECT("Tab_00.Trial["&amp;AG$4&amp;"]"),Tab_00.Trial[CONTA],$B72)</f>
        <v>0</v>
      </c>
      <c r="AH72" s="78">
        <f t="shared" ca="1" si="144"/>
        <v>0</v>
      </c>
      <c r="AI72" s="78">
        <f t="shared" ca="1" si="157"/>
        <v>0</v>
      </c>
      <c r="AJ72" s="4">
        <f ca="1">-SUMIFS(INDIRECT("Tab_00.Trial["&amp;AJ$4&amp;"]"),Tab_00.Trial[CONTA],$B72)</f>
        <v>0</v>
      </c>
      <c r="AK72" s="78">
        <f t="shared" ca="1" si="145"/>
        <v>0</v>
      </c>
      <c r="AL72" s="78">
        <f t="shared" ca="1" si="158"/>
        <v>0</v>
      </c>
      <c r="AM72" s="4">
        <f ca="1">-SUMIFS(INDIRECT("Tab_00.Trial["&amp;AM$4&amp;"]"),Tab_00.Trial[CONTA],$B72)</f>
        <v>0</v>
      </c>
      <c r="AN72" s="78">
        <f t="shared" ca="1" si="146"/>
        <v>0</v>
      </c>
      <c r="AO72" s="78">
        <f t="shared" ca="1" si="159"/>
        <v>0</v>
      </c>
    </row>
    <row r="73" spans="2:41" ht="15" hidden="1" customHeight="1" outlineLevel="1" x14ac:dyDescent="0.3">
      <c r="B73" s="14"/>
      <c r="C73" s="15"/>
      <c r="D73" s="4">
        <f>-SUMIFS(Tab_99.Trial[DEZEMBRO],Tab_99.Trial[CONTA],$B73)</f>
        <v>0</v>
      </c>
      <c r="E73" s="78">
        <f t="shared" ca="1" si="147"/>
        <v>0</v>
      </c>
      <c r="F73" s="4">
        <f ca="1">-SUMIFS(INDIRECT("Tab_00.Trial["&amp;F$4&amp;"]"),Tab_00.Trial[CONTA],$B73)</f>
        <v>0</v>
      </c>
      <c r="G73" s="78">
        <f t="shared" ca="1" si="135"/>
        <v>0</v>
      </c>
      <c r="H73" s="78">
        <f t="shared" ca="1" si="148"/>
        <v>0</v>
      </c>
      <c r="I73" s="4">
        <f ca="1">-SUMIFS(INDIRECT("Tab_00.Trial["&amp;I$4&amp;"]"),Tab_00.Trial[CONTA],$B73)</f>
        <v>0</v>
      </c>
      <c r="J73" s="78">
        <f t="shared" ca="1" si="136"/>
        <v>0</v>
      </c>
      <c r="K73" s="78">
        <f t="shared" ca="1" si="149"/>
        <v>0</v>
      </c>
      <c r="L73" s="4">
        <f ca="1">-SUMIFS(INDIRECT("Tab_00.Trial["&amp;L$4&amp;"]"),Tab_00.Trial[CONTA],$B73)</f>
        <v>0</v>
      </c>
      <c r="M73" s="78">
        <f t="shared" ca="1" si="137"/>
        <v>0</v>
      </c>
      <c r="N73" s="78">
        <f t="shared" ca="1" si="150"/>
        <v>0</v>
      </c>
      <c r="O73" s="4">
        <f ca="1">-SUMIFS(INDIRECT("Tab_00.Trial["&amp;O$4&amp;"]"),Tab_00.Trial[CONTA],$B73)</f>
        <v>0</v>
      </c>
      <c r="P73" s="78">
        <f t="shared" ca="1" si="138"/>
        <v>0</v>
      </c>
      <c r="Q73" s="78">
        <f t="shared" ca="1" si="151"/>
        <v>0</v>
      </c>
      <c r="R73" s="4">
        <f ca="1">-SUMIFS(INDIRECT("Tab_00.Trial["&amp;R$4&amp;"]"),Tab_00.Trial[CONTA],$B73)</f>
        <v>0</v>
      </c>
      <c r="S73" s="78">
        <f t="shared" ca="1" si="139"/>
        <v>0</v>
      </c>
      <c r="T73" s="78">
        <f t="shared" ca="1" si="152"/>
        <v>0</v>
      </c>
      <c r="U73" s="4">
        <f ca="1">-SUMIFS(INDIRECT("Tab_00.Trial["&amp;U$4&amp;"]"),Tab_00.Trial[CONTA],$B73)</f>
        <v>0</v>
      </c>
      <c r="V73" s="78">
        <f t="shared" ca="1" si="140"/>
        <v>0</v>
      </c>
      <c r="W73" s="78">
        <f t="shared" ca="1" si="153"/>
        <v>0</v>
      </c>
      <c r="X73" s="4">
        <f ca="1">-SUMIFS(INDIRECT("Tab_00.Trial["&amp;X$4&amp;"]"),Tab_00.Trial[CONTA],$B73)</f>
        <v>0</v>
      </c>
      <c r="Y73" s="78">
        <f t="shared" ca="1" si="141"/>
        <v>0</v>
      </c>
      <c r="Z73" s="78">
        <f t="shared" ca="1" si="154"/>
        <v>0</v>
      </c>
      <c r="AA73" s="4">
        <f ca="1">-SUMIFS(INDIRECT("Tab_00.Trial["&amp;AA$4&amp;"]"),Tab_00.Trial[CONTA],$B73)</f>
        <v>0</v>
      </c>
      <c r="AB73" s="78">
        <f t="shared" ca="1" si="142"/>
        <v>0</v>
      </c>
      <c r="AC73" s="78">
        <f t="shared" ca="1" si="155"/>
        <v>0</v>
      </c>
      <c r="AD73" s="4">
        <f ca="1">-SUMIFS(INDIRECT("Tab_00.Trial["&amp;AD$4&amp;"]"),Tab_00.Trial[CONTA],$B73)</f>
        <v>0</v>
      </c>
      <c r="AE73" s="78">
        <f t="shared" ca="1" si="143"/>
        <v>0</v>
      </c>
      <c r="AF73" s="78">
        <f t="shared" ca="1" si="156"/>
        <v>0</v>
      </c>
      <c r="AG73" s="4">
        <f ca="1">-SUMIFS(INDIRECT("Tab_00.Trial["&amp;AG$4&amp;"]"),Tab_00.Trial[CONTA],$B73)</f>
        <v>0</v>
      </c>
      <c r="AH73" s="78">
        <f t="shared" ca="1" si="144"/>
        <v>0</v>
      </c>
      <c r="AI73" s="78">
        <f t="shared" ca="1" si="157"/>
        <v>0</v>
      </c>
      <c r="AJ73" s="4">
        <f ca="1">-SUMIFS(INDIRECT("Tab_00.Trial["&amp;AJ$4&amp;"]"),Tab_00.Trial[CONTA],$B73)</f>
        <v>0</v>
      </c>
      <c r="AK73" s="78">
        <f t="shared" ca="1" si="145"/>
        <v>0</v>
      </c>
      <c r="AL73" s="78">
        <f t="shared" ca="1" si="158"/>
        <v>0</v>
      </c>
      <c r="AM73" s="4">
        <f ca="1">-SUMIFS(INDIRECT("Tab_00.Trial["&amp;AM$4&amp;"]"),Tab_00.Trial[CONTA],$B73)</f>
        <v>0</v>
      </c>
      <c r="AN73" s="78">
        <f t="shared" ca="1" si="146"/>
        <v>0</v>
      </c>
      <c r="AO73" s="78">
        <f t="shared" ca="1" si="159"/>
        <v>0</v>
      </c>
    </row>
    <row r="74" spans="2:41" ht="15" hidden="1" customHeight="1" outlineLevel="1" x14ac:dyDescent="0.3">
      <c r="B74" s="14"/>
      <c r="C74" s="15"/>
      <c r="D74" s="4">
        <f>-SUMIFS(Tab_99.Trial[DEZEMBRO],Tab_99.Trial[CONTA],$B74)</f>
        <v>0</v>
      </c>
      <c r="E74" s="78">
        <f t="shared" ca="1" si="147"/>
        <v>0</v>
      </c>
      <c r="F74" s="4">
        <f ca="1">-SUMIFS(INDIRECT("Tab_00.Trial["&amp;F$4&amp;"]"),Tab_00.Trial[CONTA],$B74)</f>
        <v>0</v>
      </c>
      <c r="G74" s="78">
        <f t="shared" ca="1" si="135"/>
        <v>0</v>
      </c>
      <c r="H74" s="78">
        <f t="shared" ca="1" si="148"/>
        <v>0</v>
      </c>
      <c r="I74" s="4">
        <f ca="1">-SUMIFS(INDIRECT("Tab_00.Trial["&amp;I$4&amp;"]"),Tab_00.Trial[CONTA],$B74)</f>
        <v>0</v>
      </c>
      <c r="J74" s="78">
        <f t="shared" ca="1" si="136"/>
        <v>0</v>
      </c>
      <c r="K74" s="78">
        <f t="shared" ca="1" si="149"/>
        <v>0</v>
      </c>
      <c r="L74" s="4">
        <f ca="1">-SUMIFS(INDIRECT("Tab_00.Trial["&amp;L$4&amp;"]"),Tab_00.Trial[CONTA],$B74)</f>
        <v>0</v>
      </c>
      <c r="M74" s="78">
        <f t="shared" ca="1" si="137"/>
        <v>0</v>
      </c>
      <c r="N74" s="78">
        <f t="shared" ca="1" si="150"/>
        <v>0</v>
      </c>
      <c r="O74" s="4">
        <f ca="1">-SUMIFS(INDIRECT("Tab_00.Trial["&amp;O$4&amp;"]"),Tab_00.Trial[CONTA],$B74)</f>
        <v>0</v>
      </c>
      <c r="P74" s="78">
        <f t="shared" ca="1" si="138"/>
        <v>0</v>
      </c>
      <c r="Q74" s="78">
        <f t="shared" ca="1" si="151"/>
        <v>0</v>
      </c>
      <c r="R74" s="4">
        <f ca="1">-SUMIFS(INDIRECT("Tab_00.Trial["&amp;R$4&amp;"]"),Tab_00.Trial[CONTA],$B74)</f>
        <v>0</v>
      </c>
      <c r="S74" s="78">
        <f t="shared" ca="1" si="139"/>
        <v>0</v>
      </c>
      <c r="T74" s="78">
        <f t="shared" ca="1" si="152"/>
        <v>0</v>
      </c>
      <c r="U74" s="4">
        <f ca="1">-SUMIFS(INDIRECT("Tab_00.Trial["&amp;U$4&amp;"]"),Tab_00.Trial[CONTA],$B74)</f>
        <v>0</v>
      </c>
      <c r="V74" s="78">
        <f t="shared" ca="1" si="140"/>
        <v>0</v>
      </c>
      <c r="W74" s="78">
        <f t="shared" ca="1" si="153"/>
        <v>0</v>
      </c>
      <c r="X74" s="4">
        <f ca="1">-SUMIFS(INDIRECT("Tab_00.Trial["&amp;X$4&amp;"]"),Tab_00.Trial[CONTA],$B74)</f>
        <v>0</v>
      </c>
      <c r="Y74" s="78">
        <f t="shared" ca="1" si="141"/>
        <v>0</v>
      </c>
      <c r="Z74" s="78">
        <f t="shared" ca="1" si="154"/>
        <v>0</v>
      </c>
      <c r="AA74" s="4">
        <f ca="1">-SUMIFS(INDIRECT("Tab_00.Trial["&amp;AA$4&amp;"]"),Tab_00.Trial[CONTA],$B74)</f>
        <v>0</v>
      </c>
      <c r="AB74" s="78">
        <f t="shared" ca="1" si="142"/>
        <v>0</v>
      </c>
      <c r="AC74" s="78">
        <f t="shared" ca="1" si="155"/>
        <v>0</v>
      </c>
      <c r="AD74" s="4">
        <f ca="1">-SUMIFS(INDIRECT("Tab_00.Trial["&amp;AD$4&amp;"]"),Tab_00.Trial[CONTA],$B74)</f>
        <v>0</v>
      </c>
      <c r="AE74" s="78">
        <f t="shared" ca="1" si="143"/>
        <v>0</v>
      </c>
      <c r="AF74" s="78">
        <f t="shared" ca="1" si="156"/>
        <v>0</v>
      </c>
      <c r="AG74" s="4">
        <f ca="1">-SUMIFS(INDIRECT("Tab_00.Trial["&amp;AG$4&amp;"]"),Tab_00.Trial[CONTA],$B74)</f>
        <v>0</v>
      </c>
      <c r="AH74" s="78">
        <f t="shared" ca="1" si="144"/>
        <v>0</v>
      </c>
      <c r="AI74" s="78">
        <f t="shared" ca="1" si="157"/>
        <v>0</v>
      </c>
      <c r="AJ74" s="4">
        <f ca="1">-SUMIFS(INDIRECT("Tab_00.Trial["&amp;AJ$4&amp;"]"),Tab_00.Trial[CONTA],$B74)</f>
        <v>0</v>
      </c>
      <c r="AK74" s="78">
        <f t="shared" ca="1" si="145"/>
        <v>0</v>
      </c>
      <c r="AL74" s="78">
        <f t="shared" ca="1" si="158"/>
        <v>0</v>
      </c>
      <c r="AM74" s="4">
        <f ca="1">-SUMIFS(INDIRECT("Tab_00.Trial["&amp;AM$4&amp;"]"),Tab_00.Trial[CONTA],$B74)</f>
        <v>0</v>
      </c>
      <c r="AN74" s="78">
        <f t="shared" ca="1" si="146"/>
        <v>0</v>
      </c>
      <c r="AO74" s="78">
        <f t="shared" ca="1" si="159"/>
        <v>0</v>
      </c>
    </row>
    <row r="75" spans="2:41" ht="15" hidden="1" customHeight="1" outlineLevel="1" x14ac:dyDescent="0.3">
      <c r="B75" s="14"/>
      <c r="C75" s="15"/>
      <c r="D75" s="4">
        <f>-SUMIFS(Tab_99.Trial[DEZEMBRO],Tab_99.Trial[CONTA],$B75)</f>
        <v>0</v>
      </c>
      <c r="E75" s="78">
        <f t="shared" ca="1" si="147"/>
        <v>0</v>
      </c>
      <c r="F75" s="4">
        <f ca="1">-SUMIFS(INDIRECT("Tab_00.Trial["&amp;F$4&amp;"]"),Tab_00.Trial[CONTA],$B75)</f>
        <v>0</v>
      </c>
      <c r="G75" s="78">
        <f t="shared" ca="1" si="135"/>
        <v>0</v>
      </c>
      <c r="H75" s="78">
        <f t="shared" ca="1" si="148"/>
        <v>0</v>
      </c>
      <c r="I75" s="4">
        <f ca="1">-SUMIFS(INDIRECT("Tab_00.Trial["&amp;I$4&amp;"]"),Tab_00.Trial[CONTA],$B75)</f>
        <v>0</v>
      </c>
      <c r="J75" s="78">
        <f t="shared" ca="1" si="136"/>
        <v>0</v>
      </c>
      <c r="K75" s="78">
        <f t="shared" ca="1" si="149"/>
        <v>0</v>
      </c>
      <c r="L75" s="4">
        <f ca="1">-SUMIFS(INDIRECT("Tab_00.Trial["&amp;L$4&amp;"]"),Tab_00.Trial[CONTA],$B75)</f>
        <v>0</v>
      </c>
      <c r="M75" s="78">
        <f t="shared" ca="1" si="137"/>
        <v>0</v>
      </c>
      <c r="N75" s="78">
        <f t="shared" ca="1" si="150"/>
        <v>0</v>
      </c>
      <c r="O75" s="4">
        <f ca="1">-SUMIFS(INDIRECT("Tab_00.Trial["&amp;O$4&amp;"]"),Tab_00.Trial[CONTA],$B75)</f>
        <v>0</v>
      </c>
      <c r="P75" s="78">
        <f t="shared" ca="1" si="138"/>
        <v>0</v>
      </c>
      <c r="Q75" s="78">
        <f t="shared" ca="1" si="151"/>
        <v>0</v>
      </c>
      <c r="R75" s="4">
        <f ca="1">-SUMIFS(INDIRECT("Tab_00.Trial["&amp;R$4&amp;"]"),Tab_00.Trial[CONTA],$B75)</f>
        <v>0</v>
      </c>
      <c r="S75" s="78">
        <f t="shared" ca="1" si="139"/>
        <v>0</v>
      </c>
      <c r="T75" s="78">
        <f t="shared" ca="1" si="152"/>
        <v>0</v>
      </c>
      <c r="U75" s="4">
        <f ca="1">-SUMIFS(INDIRECT("Tab_00.Trial["&amp;U$4&amp;"]"),Tab_00.Trial[CONTA],$B75)</f>
        <v>0</v>
      </c>
      <c r="V75" s="78">
        <f t="shared" ca="1" si="140"/>
        <v>0</v>
      </c>
      <c r="W75" s="78">
        <f t="shared" ca="1" si="153"/>
        <v>0</v>
      </c>
      <c r="X75" s="4">
        <f ca="1">-SUMIFS(INDIRECT("Tab_00.Trial["&amp;X$4&amp;"]"),Tab_00.Trial[CONTA],$B75)</f>
        <v>0</v>
      </c>
      <c r="Y75" s="78">
        <f t="shared" ca="1" si="141"/>
        <v>0</v>
      </c>
      <c r="Z75" s="78">
        <f t="shared" ca="1" si="154"/>
        <v>0</v>
      </c>
      <c r="AA75" s="4">
        <f ca="1">-SUMIFS(INDIRECT("Tab_00.Trial["&amp;AA$4&amp;"]"),Tab_00.Trial[CONTA],$B75)</f>
        <v>0</v>
      </c>
      <c r="AB75" s="78">
        <f t="shared" ca="1" si="142"/>
        <v>0</v>
      </c>
      <c r="AC75" s="78">
        <f t="shared" ca="1" si="155"/>
        <v>0</v>
      </c>
      <c r="AD75" s="4">
        <f ca="1">-SUMIFS(INDIRECT("Tab_00.Trial["&amp;AD$4&amp;"]"),Tab_00.Trial[CONTA],$B75)</f>
        <v>0</v>
      </c>
      <c r="AE75" s="78">
        <f t="shared" ca="1" si="143"/>
        <v>0</v>
      </c>
      <c r="AF75" s="78">
        <f t="shared" ca="1" si="156"/>
        <v>0</v>
      </c>
      <c r="AG75" s="4">
        <f ca="1">-SUMIFS(INDIRECT("Tab_00.Trial["&amp;AG$4&amp;"]"),Tab_00.Trial[CONTA],$B75)</f>
        <v>0</v>
      </c>
      <c r="AH75" s="78">
        <f t="shared" ca="1" si="144"/>
        <v>0</v>
      </c>
      <c r="AI75" s="78">
        <f t="shared" ca="1" si="157"/>
        <v>0</v>
      </c>
      <c r="AJ75" s="4">
        <f ca="1">-SUMIFS(INDIRECT("Tab_00.Trial["&amp;AJ$4&amp;"]"),Tab_00.Trial[CONTA],$B75)</f>
        <v>0</v>
      </c>
      <c r="AK75" s="78">
        <f t="shared" ca="1" si="145"/>
        <v>0</v>
      </c>
      <c r="AL75" s="78">
        <f t="shared" ca="1" si="158"/>
        <v>0</v>
      </c>
      <c r="AM75" s="4">
        <f ca="1">-SUMIFS(INDIRECT("Tab_00.Trial["&amp;AM$4&amp;"]"),Tab_00.Trial[CONTA],$B75)</f>
        <v>0</v>
      </c>
      <c r="AN75" s="78">
        <f t="shared" ca="1" si="146"/>
        <v>0</v>
      </c>
      <c r="AO75" s="78">
        <f t="shared" ca="1" si="159"/>
        <v>0</v>
      </c>
    </row>
    <row r="76" spans="2:41" ht="15" hidden="1" customHeight="1" outlineLevel="1" x14ac:dyDescent="0.3">
      <c r="B76" s="14"/>
      <c r="C76" s="15"/>
      <c r="D76" s="4">
        <f>-SUMIFS(Tab_99.Trial[DEZEMBRO],Tab_99.Trial[CONTA],$B76)</f>
        <v>0</v>
      </c>
      <c r="E76" s="78">
        <f t="shared" ca="1" si="147"/>
        <v>0</v>
      </c>
      <c r="F76" s="4">
        <f ca="1">-SUMIFS(INDIRECT("Tab_00.Trial["&amp;F$4&amp;"]"),Tab_00.Trial[CONTA],$B76)</f>
        <v>0</v>
      </c>
      <c r="G76" s="78">
        <f t="shared" ca="1" si="135"/>
        <v>0</v>
      </c>
      <c r="H76" s="78">
        <f t="shared" ca="1" si="148"/>
        <v>0</v>
      </c>
      <c r="I76" s="4">
        <f ca="1">-SUMIFS(INDIRECT("Tab_00.Trial["&amp;I$4&amp;"]"),Tab_00.Trial[CONTA],$B76)</f>
        <v>0</v>
      </c>
      <c r="J76" s="78">
        <f t="shared" ca="1" si="136"/>
        <v>0</v>
      </c>
      <c r="K76" s="78">
        <f t="shared" ca="1" si="149"/>
        <v>0</v>
      </c>
      <c r="L76" s="4">
        <f ca="1">-SUMIFS(INDIRECT("Tab_00.Trial["&amp;L$4&amp;"]"),Tab_00.Trial[CONTA],$B76)</f>
        <v>0</v>
      </c>
      <c r="M76" s="78">
        <f t="shared" ca="1" si="137"/>
        <v>0</v>
      </c>
      <c r="N76" s="78">
        <f t="shared" ca="1" si="150"/>
        <v>0</v>
      </c>
      <c r="O76" s="4">
        <f ca="1">-SUMIFS(INDIRECT("Tab_00.Trial["&amp;O$4&amp;"]"),Tab_00.Trial[CONTA],$B76)</f>
        <v>0</v>
      </c>
      <c r="P76" s="78">
        <f t="shared" ca="1" si="138"/>
        <v>0</v>
      </c>
      <c r="Q76" s="78">
        <f t="shared" ca="1" si="151"/>
        <v>0</v>
      </c>
      <c r="R76" s="4">
        <f ca="1">-SUMIFS(INDIRECT("Tab_00.Trial["&amp;R$4&amp;"]"),Tab_00.Trial[CONTA],$B76)</f>
        <v>0</v>
      </c>
      <c r="S76" s="78">
        <f t="shared" ca="1" si="139"/>
        <v>0</v>
      </c>
      <c r="T76" s="78">
        <f t="shared" ca="1" si="152"/>
        <v>0</v>
      </c>
      <c r="U76" s="4">
        <f ca="1">-SUMIFS(INDIRECT("Tab_00.Trial["&amp;U$4&amp;"]"),Tab_00.Trial[CONTA],$B76)</f>
        <v>0</v>
      </c>
      <c r="V76" s="78">
        <f t="shared" ca="1" si="140"/>
        <v>0</v>
      </c>
      <c r="W76" s="78">
        <f t="shared" ca="1" si="153"/>
        <v>0</v>
      </c>
      <c r="X76" s="4">
        <f ca="1">-SUMIFS(INDIRECT("Tab_00.Trial["&amp;X$4&amp;"]"),Tab_00.Trial[CONTA],$B76)</f>
        <v>0</v>
      </c>
      <c r="Y76" s="78">
        <f t="shared" ca="1" si="141"/>
        <v>0</v>
      </c>
      <c r="Z76" s="78">
        <f t="shared" ca="1" si="154"/>
        <v>0</v>
      </c>
      <c r="AA76" s="4">
        <f ca="1">-SUMIFS(INDIRECT("Tab_00.Trial["&amp;AA$4&amp;"]"),Tab_00.Trial[CONTA],$B76)</f>
        <v>0</v>
      </c>
      <c r="AB76" s="78">
        <f t="shared" ca="1" si="142"/>
        <v>0</v>
      </c>
      <c r="AC76" s="78">
        <f t="shared" ca="1" si="155"/>
        <v>0</v>
      </c>
      <c r="AD76" s="4">
        <f ca="1">-SUMIFS(INDIRECT("Tab_00.Trial["&amp;AD$4&amp;"]"),Tab_00.Trial[CONTA],$B76)</f>
        <v>0</v>
      </c>
      <c r="AE76" s="78">
        <f t="shared" ca="1" si="143"/>
        <v>0</v>
      </c>
      <c r="AF76" s="78">
        <f t="shared" ca="1" si="156"/>
        <v>0</v>
      </c>
      <c r="AG76" s="4">
        <f ca="1">-SUMIFS(INDIRECT("Tab_00.Trial["&amp;AG$4&amp;"]"),Tab_00.Trial[CONTA],$B76)</f>
        <v>0</v>
      </c>
      <c r="AH76" s="78">
        <f t="shared" ca="1" si="144"/>
        <v>0</v>
      </c>
      <c r="AI76" s="78">
        <f t="shared" ca="1" si="157"/>
        <v>0</v>
      </c>
      <c r="AJ76" s="4">
        <f ca="1">-SUMIFS(INDIRECT("Tab_00.Trial["&amp;AJ$4&amp;"]"),Tab_00.Trial[CONTA],$B76)</f>
        <v>0</v>
      </c>
      <c r="AK76" s="78">
        <f t="shared" ca="1" si="145"/>
        <v>0</v>
      </c>
      <c r="AL76" s="78">
        <f t="shared" ca="1" si="158"/>
        <v>0</v>
      </c>
      <c r="AM76" s="4">
        <f ca="1">-SUMIFS(INDIRECT("Tab_00.Trial["&amp;AM$4&amp;"]"),Tab_00.Trial[CONTA],$B76)</f>
        <v>0</v>
      </c>
      <c r="AN76" s="78">
        <f t="shared" ca="1" si="146"/>
        <v>0</v>
      </c>
      <c r="AO76" s="78">
        <f t="shared" ca="1" si="159"/>
        <v>0</v>
      </c>
    </row>
    <row r="77" spans="2:41" ht="15" hidden="1" customHeight="1" outlineLevel="1" x14ac:dyDescent="0.3">
      <c r="B77" s="14"/>
      <c r="C77" s="15"/>
      <c r="D77" s="4">
        <f>-SUMIFS(Tab_99.Trial[DEZEMBRO],Tab_99.Trial[CONTA],$B77)</f>
        <v>0</v>
      </c>
      <c r="E77" s="78">
        <f t="shared" ca="1" si="147"/>
        <v>0</v>
      </c>
      <c r="F77" s="4">
        <f ca="1">-SUMIFS(INDIRECT("Tab_00.Trial["&amp;F$4&amp;"]"),Tab_00.Trial[CONTA],$B77)</f>
        <v>0</v>
      </c>
      <c r="G77" s="78">
        <f t="shared" ca="1" si="135"/>
        <v>0</v>
      </c>
      <c r="H77" s="78">
        <f t="shared" ca="1" si="148"/>
        <v>0</v>
      </c>
      <c r="I77" s="4">
        <f ca="1">-SUMIFS(INDIRECT("Tab_00.Trial["&amp;I$4&amp;"]"),Tab_00.Trial[CONTA],$B77)</f>
        <v>0</v>
      </c>
      <c r="J77" s="78">
        <f t="shared" ca="1" si="136"/>
        <v>0</v>
      </c>
      <c r="K77" s="78">
        <f t="shared" ca="1" si="149"/>
        <v>0</v>
      </c>
      <c r="L77" s="4">
        <f ca="1">-SUMIFS(INDIRECT("Tab_00.Trial["&amp;L$4&amp;"]"),Tab_00.Trial[CONTA],$B77)</f>
        <v>0</v>
      </c>
      <c r="M77" s="78">
        <f t="shared" ca="1" si="137"/>
        <v>0</v>
      </c>
      <c r="N77" s="78">
        <f t="shared" ca="1" si="150"/>
        <v>0</v>
      </c>
      <c r="O77" s="4">
        <f ca="1">-SUMIFS(INDIRECT("Tab_00.Trial["&amp;O$4&amp;"]"),Tab_00.Trial[CONTA],$B77)</f>
        <v>0</v>
      </c>
      <c r="P77" s="78">
        <f t="shared" ca="1" si="138"/>
        <v>0</v>
      </c>
      <c r="Q77" s="78">
        <f t="shared" ca="1" si="151"/>
        <v>0</v>
      </c>
      <c r="R77" s="4">
        <f ca="1">-SUMIFS(INDIRECT("Tab_00.Trial["&amp;R$4&amp;"]"),Tab_00.Trial[CONTA],$B77)</f>
        <v>0</v>
      </c>
      <c r="S77" s="78">
        <f t="shared" ca="1" si="139"/>
        <v>0</v>
      </c>
      <c r="T77" s="78">
        <f t="shared" ca="1" si="152"/>
        <v>0</v>
      </c>
      <c r="U77" s="4">
        <f ca="1">-SUMIFS(INDIRECT("Tab_00.Trial["&amp;U$4&amp;"]"),Tab_00.Trial[CONTA],$B77)</f>
        <v>0</v>
      </c>
      <c r="V77" s="78">
        <f t="shared" ca="1" si="140"/>
        <v>0</v>
      </c>
      <c r="W77" s="78">
        <f t="shared" ca="1" si="153"/>
        <v>0</v>
      </c>
      <c r="X77" s="4">
        <f ca="1">-SUMIFS(INDIRECT("Tab_00.Trial["&amp;X$4&amp;"]"),Tab_00.Trial[CONTA],$B77)</f>
        <v>0</v>
      </c>
      <c r="Y77" s="78">
        <f t="shared" ca="1" si="141"/>
        <v>0</v>
      </c>
      <c r="Z77" s="78">
        <f t="shared" ca="1" si="154"/>
        <v>0</v>
      </c>
      <c r="AA77" s="4">
        <f ca="1">-SUMIFS(INDIRECT("Tab_00.Trial["&amp;AA$4&amp;"]"),Tab_00.Trial[CONTA],$B77)</f>
        <v>0</v>
      </c>
      <c r="AB77" s="78">
        <f t="shared" ca="1" si="142"/>
        <v>0</v>
      </c>
      <c r="AC77" s="78">
        <f t="shared" ca="1" si="155"/>
        <v>0</v>
      </c>
      <c r="AD77" s="4">
        <f ca="1">-SUMIFS(INDIRECT("Tab_00.Trial["&amp;AD$4&amp;"]"),Tab_00.Trial[CONTA],$B77)</f>
        <v>0</v>
      </c>
      <c r="AE77" s="78">
        <f t="shared" ca="1" si="143"/>
        <v>0</v>
      </c>
      <c r="AF77" s="78">
        <f t="shared" ca="1" si="156"/>
        <v>0</v>
      </c>
      <c r="AG77" s="4">
        <f ca="1">-SUMIFS(INDIRECT("Tab_00.Trial["&amp;AG$4&amp;"]"),Tab_00.Trial[CONTA],$B77)</f>
        <v>0</v>
      </c>
      <c r="AH77" s="78">
        <f t="shared" ca="1" si="144"/>
        <v>0</v>
      </c>
      <c r="AI77" s="78">
        <f t="shared" ca="1" si="157"/>
        <v>0</v>
      </c>
      <c r="AJ77" s="4">
        <f ca="1">-SUMIFS(INDIRECT("Tab_00.Trial["&amp;AJ$4&amp;"]"),Tab_00.Trial[CONTA],$B77)</f>
        <v>0</v>
      </c>
      <c r="AK77" s="78">
        <f t="shared" ca="1" si="145"/>
        <v>0</v>
      </c>
      <c r="AL77" s="78">
        <f t="shared" ca="1" si="158"/>
        <v>0</v>
      </c>
      <c r="AM77" s="4">
        <f ca="1">-SUMIFS(INDIRECT("Tab_00.Trial["&amp;AM$4&amp;"]"),Tab_00.Trial[CONTA],$B77)</f>
        <v>0</v>
      </c>
      <c r="AN77" s="78">
        <f t="shared" ca="1" si="146"/>
        <v>0</v>
      </c>
      <c r="AO77" s="78">
        <f t="shared" ca="1" si="159"/>
        <v>0</v>
      </c>
    </row>
    <row r="78" spans="2:41" ht="15" hidden="1" customHeight="1" outlineLevel="1" x14ac:dyDescent="0.3">
      <c r="B78" s="14"/>
      <c r="C78" s="15"/>
      <c r="D78" s="4">
        <f>-SUMIFS(Tab_99.Trial[DEZEMBRO],Tab_99.Trial[CONTA],$B78)</f>
        <v>0</v>
      </c>
      <c r="E78" s="78">
        <f t="shared" ca="1" si="147"/>
        <v>0</v>
      </c>
      <c r="F78" s="4">
        <f ca="1">-SUMIFS(INDIRECT("Tab_00.Trial["&amp;F$4&amp;"]"),Tab_00.Trial[CONTA],$B78)</f>
        <v>0</v>
      </c>
      <c r="G78" s="78">
        <f t="shared" ca="1" si="135"/>
        <v>0</v>
      </c>
      <c r="H78" s="78">
        <f t="shared" ca="1" si="148"/>
        <v>0</v>
      </c>
      <c r="I78" s="4">
        <f ca="1">-SUMIFS(INDIRECT("Tab_00.Trial["&amp;I$4&amp;"]"),Tab_00.Trial[CONTA],$B78)</f>
        <v>0</v>
      </c>
      <c r="J78" s="78">
        <f t="shared" ca="1" si="136"/>
        <v>0</v>
      </c>
      <c r="K78" s="78">
        <f t="shared" ca="1" si="149"/>
        <v>0</v>
      </c>
      <c r="L78" s="4">
        <f ca="1">-SUMIFS(INDIRECT("Tab_00.Trial["&amp;L$4&amp;"]"),Tab_00.Trial[CONTA],$B78)</f>
        <v>0</v>
      </c>
      <c r="M78" s="78">
        <f t="shared" ca="1" si="137"/>
        <v>0</v>
      </c>
      <c r="N78" s="78">
        <f t="shared" ca="1" si="150"/>
        <v>0</v>
      </c>
      <c r="O78" s="4">
        <f ca="1">-SUMIFS(INDIRECT("Tab_00.Trial["&amp;O$4&amp;"]"),Tab_00.Trial[CONTA],$B78)</f>
        <v>0</v>
      </c>
      <c r="P78" s="78">
        <f t="shared" ca="1" si="138"/>
        <v>0</v>
      </c>
      <c r="Q78" s="78">
        <f t="shared" ca="1" si="151"/>
        <v>0</v>
      </c>
      <c r="R78" s="4">
        <f ca="1">-SUMIFS(INDIRECT("Tab_00.Trial["&amp;R$4&amp;"]"),Tab_00.Trial[CONTA],$B78)</f>
        <v>0</v>
      </c>
      <c r="S78" s="78">
        <f t="shared" ca="1" si="139"/>
        <v>0</v>
      </c>
      <c r="T78" s="78">
        <f t="shared" ca="1" si="152"/>
        <v>0</v>
      </c>
      <c r="U78" s="4">
        <f ca="1">-SUMIFS(INDIRECT("Tab_00.Trial["&amp;U$4&amp;"]"),Tab_00.Trial[CONTA],$B78)</f>
        <v>0</v>
      </c>
      <c r="V78" s="78">
        <f t="shared" ca="1" si="140"/>
        <v>0</v>
      </c>
      <c r="W78" s="78">
        <f t="shared" ca="1" si="153"/>
        <v>0</v>
      </c>
      <c r="X78" s="4">
        <f ca="1">-SUMIFS(INDIRECT("Tab_00.Trial["&amp;X$4&amp;"]"),Tab_00.Trial[CONTA],$B78)</f>
        <v>0</v>
      </c>
      <c r="Y78" s="78">
        <f t="shared" ca="1" si="141"/>
        <v>0</v>
      </c>
      <c r="Z78" s="78">
        <f t="shared" ca="1" si="154"/>
        <v>0</v>
      </c>
      <c r="AA78" s="4">
        <f ca="1">-SUMIFS(INDIRECT("Tab_00.Trial["&amp;AA$4&amp;"]"),Tab_00.Trial[CONTA],$B78)</f>
        <v>0</v>
      </c>
      <c r="AB78" s="78">
        <f t="shared" ca="1" si="142"/>
        <v>0</v>
      </c>
      <c r="AC78" s="78">
        <f t="shared" ca="1" si="155"/>
        <v>0</v>
      </c>
      <c r="AD78" s="4">
        <f ca="1">-SUMIFS(INDIRECT("Tab_00.Trial["&amp;AD$4&amp;"]"),Tab_00.Trial[CONTA],$B78)</f>
        <v>0</v>
      </c>
      <c r="AE78" s="78">
        <f t="shared" ca="1" si="143"/>
        <v>0</v>
      </c>
      <c r="AF78" s="78">
        <f t="shared" ca="1" si="156"/>
        <v>0</v>
      </c>
      <c r="AG78" s="4">
        <f ca="1">-SUMIFS(INDIRECT("Tab_00.Trial["&amp;AG$4&amp;"]"),Tab_00.Trial[CONTA],$B78)</f>
        <v>0</v>
      </c>
      <c r="AH78" s="78">
        <f t="shared" ca="1" si="144"/>
        <v>0</v>
      </c>
      <c r="AI78" s="78">
        <f t="shared" ca="1" si="157"/>
        <v>0</v>
      </c>
      <c r="AJ78" s="4">
        <f ca="1">-SUMIFS(INDIRECT("Tab_00.Trial["&amp;AJ$4&amp;"]"),Tab_00.Trial[CONTA],$B78)</f>
        <v>0</v>
      </c>
      <c r="AK78" s="78">
        <f t="shared" ca="1" si="145"/>
        <v>0</v>
      </c>
      <c r="AL78" s="78">
        <f t="shared" ca="1" si="158"/>
        <v>0</v>
      </c>
      <c r="AM78" s="4">
        <f ca="1">-SUMIFS(INDIRECT("Tab_00.Trial["&amp;AM$4&amp;"]"),Tab_00.Trial[CONTA],$B78)</f>
        <v>0</v>
      </c>
      <c r="AN78" s="78">
        <f t="shared" ca="1" si="146"/>
        <v>0</v>
      </c>
      <c r="AO78" s="78">
        <f t="shared" ca="1" si="159"/>
        <v>0</v>
      </c>
    </row>
    <row r="79" spans="2:41" ht="15" hidden="1" customHeight="1" outlineLevel="1" x14ac:dyDescent="0.3">
      <c r="B79" s="14"/>
      <c r="C79" s="15"/>
      <c r="D79" s="4">
        <f>-SUMIFS(Tab_99.Trial[DEZEMBRO],Tab_99.Trial[CONTA],$B79)</f>
        <v>0</v>
      </c>
      <c r="E79" s="78">
        <f t="shared" ca="1" si="147"/>
        <v>0</v>
      </c>
      <c r="F79" s="4">
        <f ca="1">-SUMIFS(INDIRECT("Tab_00.Trial["&amp;F$4&amp;"]"),Tab_00.Trial[CONTA],$B79)</f>
        <v>0</v>
      </c>
      <c r="G79" s="78">
        <f t="shared" ca="1" si="135"/>
        <v>0</v>
      </c>
      <c r="H79" s="78">
        <f t="shared" ca="1" si="148"/>
        <v>0</v>
      </c>
      <c r="I79" s="4">
        <f ca="1">-SUMIFS(INDIRECT("Tab_00.Trial["&amp;I$4&amp;"]"),Tab_00.Trial[CONTA],$B79)</f>
        <v>0</v>
      </c>
      <c r="J79" s="78">
        <f t="shared" ca="1" si="136"/>
        <v>0</v>
      </c>
      <c r="K79" s="78">
        <f t="shared" ca="1" si="149"/>
        <v>0</v>
      </c>
      <c r="L79" s="4">
        <f ca="1">-SUMIFS(INDIRECT("Tab_00.Trial["&amp;L$4&amp;"]"),Tab_00.Trial[CONTA],$B79)</f>
        <v>0</v>
      </c>
      <c r="M79" s="78">
        <f t="shared" ca="1" si="137"/>
        <v>0</v>
      </c>
      <c r="N79" s="78">
        <f t="shared" ca="1" si="150"/>
        <v>0</v>
      </c>
      <c r="O79" s="4">
        <f ca="1">-SUMIFS(INDIRECT("Tab_00.Trial["&amp;O$4&amp;"]"),Tab_00.Trial[CONTA],$B79)</f>
        <v>0</v>
      </c>
      <c r="P79" s="78">
        <f t="shared" ca="1" si="138"/>
        <v>0</v>
      </c>
      <c r="Q79" s="78">
        <f t="shared" ca="1" si="151"/>
        <v>0</v>
      </c>
      <c r="R79" s="4">
        <f ca="1">-SUMIFS(INDIRECT("Tab_00.Trial["&amp;R$4&amp;"]"),Tab_00.Trial[CONTA],$B79)</f>
        <v>0</v>
      </c>
      <c r="S79" s="78">
        <f t="shared" ca="1" si="139"/>
        <v>0</v>
      </c>
      <c r="T79" s="78">
        <f t="shared" ca="1" si="152"/>
        <v>0</v>
      </c>
      <c r="U79" s="4">
        <f ca="1">-SUMIFS(INDIRECT("Tab_00.Trial["&amp;U$4&amp;"]"),Tab_00.Trial[CONTA],$B79)</f>
        <v>0</v>
      </c>
      <c r="V79" s="78">
        <f t="shared" ca="1" si="140"/>
        <v>0</v>
      </c>
      <c r="W79" s="78">
        <f t="shared" ca="1" si="153"/>
        <v>0</v>
      </c>
      <c r="X79" s="4">
        <f ca="1">-SUMIFS(INDIRECT("Tab_00.Trial["&amp;X$4&amp;"]"),Tab_00.Trial[CONTA],$B79)</f>
        <v>0</v>
      </c>
      <c r="Y79" s="78">
        <f t="shared" ca="1" si="141"/>
        <v>0</v>
      </c>
      <c r="Z79" s="78">
        <f t="shared" ca="1" si="154"/>
        <v>0</v>
      </c>
      <c r="AA79" s="4">
        <f ca="1">-SUMIFS(INDIRECT("Tab_00.Trial["&amp;AA$4&amp;"]"),Tab_00.Trial[CONTA],$B79)</f>
        <v>0</v>
      </c>
      <c r="AB79" s="78">
        <f t="shared" ca="1" si="142"/>
        <v>0</v>
      </c>
      <c r="AC79" s="78">
        <f t="shared" ca="1" si="155"/>
        <v>0</v>
      </c>
      <c r="AD79" s="4">
        <f ca="1">-SUMIFS(INDIRECT("Tab_00.Trial["&amp;AD$4&amp;"]"),Tab_00.Trial[CONTA],$B79)</f>
        <v>0</v>
      </c>
      <c r="AE79" s="78">
        <f t="shared" ca="1" si="143"/>
        <v>0</v>
      </c>
      <c r="AF79" s="78">
        <f t="shared" ca="1" si="156"/>
        <v>0</v>
      </c>
      <c r="AG79" s="4">
        <f ca="1">-SUMIFS(INDIRECT("Tab_00.Trial["&amp;AG$4&amp;"]"),Tab_00.Trial[CONTA],$B79)</f>
        <v>0</v>
      </c>
      <c r="AH79" s="78">
        <f t="shared" ca="1" si="144"/>
        <v>0</v>
      </c>
      <c r="AI79" s="78">
        <f t="shared" ca="1" si="157"/>
        <v>0</v>
      </c>
      <c r="AJ79" s="4">
        <f ca="1">-SUMIFS(INDIRECT("Tab_00.Trial["&amp;AJ$4&amp;"]"),Tab_00.Trial[CONTA],$B79)</f>
        <v>0</v>
      </c>
      <c r="AK79" s="78">
        <f t="shared" ca="1" si="145"/>
        <v>0</v>
      </c>
      <c r="AL79" s="78">
        <f t="shared" ca="1" si="158"/>
        <v>0</v>
      </c>
      <c r="AM79" s="4">
        <f ca="1">-SUMIFS(INDIRECT("Tab_00.Trial["&amp;AM$4&amp;"]"),Tab_00.Trial[CONTA],$B79)</f>
        <v>0</v>
      </c>
      <c r="AN79" s="78">
        <f t="shared" ca="1" si="146"/>
        <v>0</v>
      </c>
      <c r="AO79" s="78">
        <f t="shared" ca="1" si="159"/>
        <v>0</v>
      </c>
    </row>
    <row r="80" spans="2:41" ht="15" hidden="1" customHeight="1" outlineLevel="1" x14ac:dyDescent="0.3">
      <c r="B80" s="14"/>
      <c r="C80" s="15"/>
      <c r="D80" s="4">
        <f>-SUMIFS(Tab_99.Trial[DEZEMBRO],Tab_99.Trial[CONTA],$B80)</f>
        <v>0</v>
      </c>
      <c r="E80" s="78">
        <f t="shared" ca="1" si="147"/>
        <v>0</v>
      </c>
      <c r="F80" s="4">
        <f ca="1">-SUMIFS(INDIRECT("Tab_00.Trial["&amp;F$4&amp;"]"),Tab_00.Trial[CONTA],$B80)</f>
        <v>0</v>
      </c>
      <c r="G80" s="78">
        <f t="shared" ca="1" si="135"/>
        <v>0</v>
      </c>
      <c r="H80" s="78">
        <f t="shared" ca="1" si="148"/>
        <v>0</v>
      </c>
      <c r="I80" s="4">
        <f ca="1">-SUMIFS(INDIRECT("Tab_00.Trial["&amp;I$4&amp;"]"),Tab_00.Trial[CONTA],$B80)</f>
        <v>0</v>
      </c>
      <c r="J80" s="78">
        <f t="shared" ca="1" si="136"/>
        <v>0</v>
      </c>
      <c r="K80" s="78">
        <f t="shared" ca="1" si="149"/>
        <v>0</v>
      </c>
      <c r="L80" s="4">
        <f ca="1">-SUMIFS(INDIRECT("Tab_00.Trial["&amp;L$4&amp;"]"),Tab_00.Trial[CONTA],$B80)</f>
        <v>0</v>
      </c>
      <c r="M80" s="78">
        <f t="shared" ca="1" si="137"/>
        <v>0</v>
      </c>
      <c r="N80" s="78">
        <f t="shared" ca="1" si="150"/>
        <v>0</v>
      </c>
      <c r="O80" s="4">
        <f ca="1">-SUMIFS(INDIRECT("Tab_00.Trial["&amp;O$4&amp;"]"),Tab_00.Trial[CONTA],$B80)</f>
        <v>0</v>
      </c>
      <c r="P80" s="78">
        <f t="shared" ca="1" si="138"/>
        <v>0</v>
      </c>
      <c r="Q80" s="78">
        <f t="shared" ca="1" si="151"/>
        <v>0</v>
      </c>
      <c r="R80" s="4">
        <f ca="1">-SUMIFS(INDIRECT("Tab_00.Trial["&amp;R$4&amp;"]"),Tab_00.Trial[CONTA],$B80)</f>
        <v>0</v>
      </c>
      <c r="S80" s="78">
        <f t="shared" ca="1" si="139"/>
        <v>0</v>
      </c>
      <c r="T80" s="78">
        <f t="shared" ca="1" si="152"/>
        <v>0</v>
      </c>
      <c r="U80" s="4">
        <f ca="1">-SUMIFS(INDIRECT("Tab_00.Trial["&amp;U$4&amp;"]"),Tab_00.Trial[CONTA],$B80)</f>
        <v>0</v>
      </c>
      <c r="V80" s="78">
        <f t="shared" ca="1" si="140"/>
        <v>0</v>
      </c>
      <c r="W80" s="78">
        <f t="shared" ca="1" si="153"/>
        <v>0</v>
      </c>
      <c r="X80" s="4">
        <f ca="1">-SUMIFS(INDIRECT("Tab_00.Trial["&amp;X$4&amp;"]"),Tab_00.Trial[CONTA],$B80)</f>
        <v>0</v>
      </c>
      <c r="Y80" s="78">
        <f t="shared" ca="1" si="141"/>
        <v>0</v>
      </c>
      <c r="Z80" s="78">
        <f t="shared" ca="1" si="154"/>
        <v>0</v>
      </c>
      <c r="AA80" s="4">
        <f ca="1">-SUMIFS(INDIRECT("Tab_00.Trial["&amp;AA$4&amp;"]"),Tab_00.Trial[CONTA],$B80)</f>
        <v>0</v>
      </c>
      <c r="AB80" s="78">
        <f t="shared" ca="1" si="142"/>
        <v>0</v>
      </c>
      <c r="AC80" s="78">
        <f t="shared" ca="1" si="155"/>
        <v>0</v>
      </c>
      <c r="AD80" s="4">
        <f ca="1">-SUMIFS(INDIRECT("Tab_00.Trial["&amp;AD$4&amp;"]"),Tab_00.Trial[CONTA],$B80)</f>
        <v>0</v>
      </c>
      <c r="AE80" s="78">
        <f t="shared" ca="1" si="143"/>
        <v>0</v>
      </c>
      <c r="AF80" s="78">
        <f t="shared" ca="1" si="156"/>
        <v>0</v>
      </c>
      <c r="AG80" s="4">
        <f ca="1">-SUMIFS(INDIRECT("Tab_00.Trial["&amp;AG$4&amp;"]"),Tab_00.Trial[CONTA],$B80)</f>
        <v>0</v>
      </c>
      <c r="AH80" s="78">
        <f t="shared" ca="1" si="144"/>
        <v>0</v>
      </c>
      <c r="AI80" s="78">
        <f t="shared" ca="1" si="157"/>
        <v>0</v>
      </c>
      <c r="AJ80" s="4">
        <f ca="1">-SUMIFS(INDIRECT("Tab_00.Trial["&amp;AJ$4&amp;"]"),Tab_00.Trial[CONTA],$B80)</f>
        <v>0</v>
      </c>
      <c r="AK80" s="78">
        <f t="shared" ca="1" si="145"/>
        <v>0</v>
      </c>
      <c r="AL80" s="78">
        <f t="shared" ca="1" si="158"/>
        <v>0</v>
      </c>
      <c r="AM80" s="4">
        <f ca="1">-SUMIFS(INDIRECT("Tab_00.Trial["&amp;AM$4&amp;"]"),Tab_00.Trial[CONTA],$B80)</f>
        <v>0</v>
      </c>
      <c r="AN80" s="78">
        <f t="shared" ca="1" si="146"/>
        <v>0</v>
      </c>
      <c r="AO80" s="78">
        <f t="shared" ca="1" si="159"/>
        <v>0</v>
      </c>
    </row>
    <row r="81" spans="2:41" ht="15" hidden="1" customHeight="1" outlineLevel="1" x14ac:dyDescent="0.3">
      <c r="B81" s="14"/>
      <c r="C81" s="15"/>
      <c r="D81" s="4">
        <f>-SUMIFS(Tab_99.Trial[DEZEMBRO],Tab_99.Trial[CONTA],$B81)</f>
        <v>0</v>
      </c>
      <c r="E81" s="78">
        <f t="shared" ca="1" si="147"/>
        <v>0</v>
      </c>
      <c r="F81" s="4">
        <f ca="1">-SUMIFS(INDIRECT("Tab_00.Trial["&amp;F$4&amp;"]"),Tab_00.Trial[CONTA],$B81)</f>
        <v>0</v>
      </c>
      <c r="G81" s="78">
        <f t="shared" ca="1" si="135"/>
        <v>0</v>
      </c>
      <c r="H81" s="78">
        <f t="shared" ca="1" si="148"/>
        <v>0</v>
      </c>
      <c r="I81" s="4">
        <f ca="1">-SUMIFS(INDIRECT("Tab_00.Trial["&amp;I$4&amp;"]"),Tab_00.Trial[CONTA],$B81)</f>
        <v>0</v>
      </c>
      <c r="J81" s="78">
        <f t="shared" ca="1" si="136"/>
        <v>0</v>
      </c>
      <c r="K81" s="78">
        <f t="shared" ca="1" si="149"/>
        <v>0</v>
      </c>
      <c r="L81" s="4">
        <f ca="1">-SUMIFS(INDIRECT("Tab_00.Trial["&amp;L$4&amp;"]"),Tab_00.Trial[CONTA],$B81)</f>
        <v>0</v>
      </c>
      <c r="M81" s="78">
        <f t="shared" ca="1" si="137"/>
        <v>0</v>
      </c>
      <c r="N81" s="78">
        <f t="shared" ca="1" si="150"/>
        <v>0</v>
      </c>
      <c r="O81" s="4">
        <f ca="1">-SUMIFS(INDIRECT("Tab_00.Trial["&amp;O$4&amp;"]"),Tab_00.Trial[CONTA],$B81)</f>
        <v>0</v>
      </c>
      <c r="P81" s="78">
        <f t="shared" ca="1" si="138"/>
        <v>0</v>
      </c>
      <c r="Q81" s="78">
        <f t="shared" ca="1" si="151"/>
        <v>0</v>
      </c>
      <c r="R81" s="4">
        <f ca="1">-SUMIFS(INDIRECT("Tab_00.Trial["&amp;R$4&amp;"]"),Tab_00.Trial[CONTA],$B81)</f>
        <v>0</v>
      </c>
      <c r="S81" s="78">
        <f t="shared" ca="1" si="139"/>
        <v>0</v>
      </c>
      <c r="T81" s="78">
        <f t="shared" ca="1" si="152"/>
        <v>0</v>
      </c>
      <c r="U81" s="4">
        <f ca="1">-SUMIFS(INDIRECT("Tab_00.Trial["&amp;U$4&amp;"]"),Tab_00.Trial[CONTA],$B81)</f>
        <v>0</v>
      </c>
      <c r="V81" s="78">
        <f t="shared" ca="1" si="140"/>
        <v>0</v>
      </c>
      <c r="W81" s="78">
        <f t="shared" ca="1" si="153"/>
        <v>0</v>
      </c>
      <c r="X81" s="4">
        <f ca="1">-SUMIFS(INDIRECT("Tab_00.Trial["&amp;X$4&amp;"]"),Tab_00.Trial[CONTA],$B81)</f>
        <v>0</v>
      </c>
      <c r="Y81" s="78">
        <f t="shared" ca="1" si="141"/>
        <v>0</v>
      </c>
      <c r="Z81" s="78">
        <f t="shared" ca="1" si="154"/>
        <v>0</v>
      </c>
      <c r="AA81" s="4">
        <f ca="1">-SUMIFS(INDIRECT("Tab_00.Trial["&amp;AA$4&amp;"]"),Tab_00.Trial[CONTA],$B81)</f>
        <v>0</v>
      </c>
      <c r="AB81" s="78">
        <f t="shared" ca="1" si="142"/>
        <v>0</v>
      </c>
      <c r="AC81" s="78">
        <f t="shared" ca="1" si="155"/>
        <v>0</v>
      </c>
      <c r="AD81" s="4">
        <f ca="1">-SUMIFS(INDIRECT("Tab_00.Trial["&amp;AD$4&amp;"]"),Tab_00.Trial[CONTA],$B81)</f>
        <v>0</v>
      </c>
      <c r="AE81" s="78">
        <f t="shared" ca="1" si="143"/>
        <v>0</v>
      </c>
      <c r="AF81" s="78">
        <f t="shared" ca="1" si="156"/>
        <v>0</v>
      </c>
      <c r="AG81" s="4">
        <f ca="1">-SUMIFS(INDIRECT("Tab_00.Trial["&amp;AG$4&amp;"]"),Tab_00.Trial[CONTA],$B81)</f>
        <v>0</v>
      </c>
      <c r="AH81" s="78">
        <f t="shared" ca="1" si="144"/>
        <v>0</v>
      </c>
      <c r="AI81" s="78">
        <f t="shared" ca="1" si="157"/>
        <v>0</v>
      </c>
      <c r="AJ81" s="4">
        <f ca="1">-SUMIFS(INDIRECT("Tab_00.Trial["&amp;AJ$4&amp;"]"),Tab_00.Trial[CONTA],$B81)</f>
        <v>0</v>
      </c>
      <c r="AK81" s="78">
        <f t="shared" ca="1" si="145"/>
        <v>0</v>
      </c>
      <c r="AL81" s="78">
        <f t="shared" ca="1" si="158"/>
        <v>0</v>
      </c>
      <c r="AM81" s="4">
        <f ca="1">-SUMIFS(INDIRECT("Tab_00.Trial["&amp;AM$4&amp;"]"),Tab_00.Trial[CONTA],$B81)</f>
        <v>0</v>
      </c>
      <c r="AN81" s="78">
        <f t="shared" ca="1" si="146"/>
        <v>0</v>
      </c>
      <c r="AO81" s="78">
        <f t="shared" ca="1" si="159"/>
        <v>0</v>
      </c>
    </row>
    <row r="82" spans="2:41" ht="15" hidden="1" customHeight="1" outlineLevel="1" x14ac:dyDescent="0.3">
      <c r="B82" s="14"/>
      <c r="C82" s="15"/>
      <c r="D82" s="4">
        <f>-SUMIFS(Tab_99.Trial[DEZEMBRO],Tab_99.Trial[CONTA],$B82)</f>
        <v>0</v>
      </c>
      <c r="E82" s="78">
        <f t="shared" ca="1" si="147"/>
        <v>0</v>
      </c>
      <c r="F82" s="4">
        <f ca="1">-SUMIFS(INDIRECT("Tab_00.Trial["&amp;F$4&amp;"]"),Tab_00.Trial[CONTA],$B82)</f>
        <v>0</v>
      </c>
      <c r="G82" s="78">
        <f t="shared" ca="1" si="135"/>
        <v>0</v>
      </c>
      <c r="H82" s="78">
        <f t="shared" ca="1" si="148"/>
        <v>0</v>
      </c>
      <c r="I82" s="4">
        <f ca="1">-SUMIFS(INDIRECT("Tab_00.Trial["&amp;I$4&amp;"]"),Tab_00.Trial[CONTA],$B82)</f>
        <v>0</v>
      </c>
      <c r="J82" s="78">
        <f t="shared" ca="1" si="136"/>
        <v>0</v>
      </c>
      <c r="K82" s="78">
        <f t="shared" ca="1" si="149"/>
        <v>0</v>
      </c>
      <c r="L82" s="4">
        <f ca="1">-SUMIFS(INDIRECT("Tab_00.Trial["&amp;L$4&amp;"]"),Tab_00.Trial[CONTA],$B82)</f>
        <v>0</v>
      </c>
      <c r="M82" s="78">
        <f t="shared" ca="1" si="137"/>
        <v>0</v>
      </c>
      <c r="N82" s="78">
        <f t="shared" ca="1" si="150"/>
        <v>0</v>
      </c>
      <c r="O82" s="4">
        <f ca="1">-SUMIFS(INDIRECT("Tab_00.Trial["&amp;O$4&amp;"]"),Tab_00.Trial[CONTA],$B82)</f>
        <v>0</v>
      </c>
      <c r="P82" s="78">
        <f t="shared" ca="1" si="138"/>
        <v>0</v>
      </c>
      <c r="Q82" s="78">
        <f t="shared" ca="1" si="151"/>
        <v>0</v>
      </c>
      <c r="R82" s="4">
        <f ca="1">-SUMIFS(INDIRECT("Tab_00.Trial["&amp;R$4&amp;"]"),Tab_00.Trial[CONTA],$B82)</f>
        <v>0</v>
      </c>
      <c r="S82" s="78">
        <f t="shared" ca="1" si="139"/>
        <v>0</v>
      </c>
      <c r="T82" s="78">
        <f t="shared" ca="1" si="152"/>
        <v>0</v>
      </c>
      <c r="U82" s="4">
        <f ca="1">-SUMIFS(INDIRECT("Tab_00.Trial["&amp;U$4&amp;"]"),Tab_00.Trial[CONTA],$B82)</f>
        <v>0</v>
      </c>
      <c r="V82" s="78">
        <f t="shared" ca="1" si="140"/>
        <v>0</v>
      </c>
      <c r="W82" s="78">
        <f t="shared" ca="1" si="153"/>
        <v>0</v>
      </c>
      <c r="X82" s="4">
        <f ca="1">-SUMIFS(INDIRECT("Tab_00.Trial["&amp;X$4&amp;"]"),Tab_00.Trial[CONTA],$B82)</f>
        <v>0</v>
      </c>
      <c r="Y82" s="78">
        <f t="shared" ca="1" si="141"/>
        <v>0</v>
      </c>
      <c r="Z82" s="78">
        <f t="shared" ca="1" si="154"/>
        <v>0</v>
      </c>
      <c r="AA82" s="4">
        <f ca="1">-SUMIFS(INDIRECT("Tab_00.Trial["&amp;AA$4&amp;"]"),Tab_00.Trial[CONTA],$B82)</f>
        <v>0</v>
      </c>
      <c r="AB82" s="78">
        <f t="shared" ca="1" si="142"/>
        <v>0</v>
      </c>
      <c r="AC82" s="78">
        <f t="shared" ca="1" si="155"/>
        <v>0</v>
      </c>
      <c r="AD82" s="4">
        <f ca="1">-SUMIFS(INDIRECT("Tab_00.Trial["&amp;AD$4&amp;"]"),Tab_00.Trial[CONTA],$B82)</f>
        <v>0</v>
      </c>
      <c r="AE82" s="78">
        <f t="shared" ca="1" si="143"/>
        <v>0</v>
      </c>
      <c r="AF82" s="78">
        <f t="shared" ca="1" si="156"/>
        <v>0</v>
      </c>
      <c r="AG82" s="4">
        <f ca="1">-SUMIFS(INDIRECT("Tab_00.Trial["&amp;AG$4&amp;"]"),Tab_00.Trial[CONTA],$B82)</f>
        <v>0</v>
      </c>
      <c r="AH82" s="78">
        <f t="shared" ca="1" si="144"/>
        <v>0</v>
      </c>
      <c r="AI82" s="78">
        <f t="shared" ca="1" si="157"/>
        <v>0</v>
      </c>
      <c r="AJ82" s="4">
        <f ca="1">-SUMIFS(INDIRECT("Tab_00.Trial["&amp;AJ$4&amp;"]"),Tab_00.Trial[CONTA],$B82)</f>
        <v>0</v>
      </c>
      <c r="AK82" s="78">
        <f t="shared" ca="1" si="145"/>
        <v>0</v>
      </c>
      <c r="AL82" s="78">
        <f t="shared" ca="1" si="158"/>
        <v>0</v>
      </c>
      <c r="AM82" s="4">
        <f ca="1">-SUMIFS(INDIRECT("Tab_00.Trial["&amp;AM$4&amp;"]"),Tab_00.Trial[CONTA],$B82)</f>
        <v>0</v>
      </c>
      <c r="AN82" s="78">
        <f t="shared" ca="1" si="146"/>
        <v>0</v>
      </c>
      <c r="AO82" s="78">
        <f t="shared" ca="1" si="159"/>
        <v>0</v>
      </c>
    </row>
    <row r="83" spans="2:41" ht="15" hidden="1" customHeight="1" outlineLevel="1" x14ac:dyDescent="0.3">
      <c r="B83" s="14"/>
      <c r="C83" s="15"/>
      <c r="D83" s="4">
        <f>-SUMIFS(Tab_99.Trial[DEZEMBRO],Tab_99.Trial[CONTA],$B83)</f>
        <v>0</v>
      </c>
      <c r="E83" s="78">
        <f t="shared" ca="1" si="147"/>
        <v>0</v>
      </c>
      <c r="F83" s="4">
        <f ca="1">-SUMIFS(INDIRECT("Tab_00.Trial["&amp;F$4&amp;"]"),Tab_00.Trial[CONTA],$B83)</f>
        <v>0</v>
      </c>
      <c r="G83" s="78">
        <f t="shared" ca="1" si="135"/>
        <v>0</v>
      </c>
      <c r="H83" s="78">
        <f t="shared" ca="1" si="148"/>
        <v>0</v>
      </c>
      <c r="I83" s="4">
        <f ca="1">-SUMIFS(INDIRECT("Tab_00.Trial["&amp;I$4&amp;"]"),Tab_00.Trial[CONTA],$B83)</f>
        <v>0</v>
      </c>
      <c r="J83" s="78">
        <f t="shared" ca="1" si="136"/>
        <v>0</v>
      </c>
      <c r="K83" s="78">
        <f t="shared" ca="1" si="149"/>
        <v>0</v>
      </c>
      <c r="L83" s="4">
        <f ca="1">-SUMIFS(INDIRECT("Tab_00.Trial["&amp;L$4&amp;"]"),Tab_00.Trial[CONTA],$B83)</f>
        <v>0</v>
      </c>
      <c r="M83" s="78">
        <f t="shared" ca="1" si="137"/>
        <v>0</v>
      </c>
      <c r="N83" s="78">
        <f t="shared" ca="1" si="150"/>
        <v>0</v>
      </c>
      <c r="O83" s="4">
        <f ca="1">-SUMIFS(INDIRECT("Tab_00.Trial["&amp;O$4&amp;"]"),Tab_00.Trial[CONTA],$B83)</f>
        <v>0</v>
      </c>
      <c r="P83" s="78">
        <f t="shared" ca="1" si="138"/>
        <v>0</v>
      </c>
      <c r="Q83" s="78">
        <f t="shared" ca="1" si="151"/>
        <v>0</v>
      </c>
      <c r="R83" s="4">
        <f ca="1">-SUMIFS(INDIRECT("Tab_00.Trial["&amp;R$4&amp;"]"),Tab_00.Trial[CONTA],$B83)</f>
        <v>0</v>
      </c>
      <c r="S83" s="78">
        <f t="shared" ca="1" si="139"/>
        <v>0</v>
      </c>
      <c r="T83" s="78">
        <f t="shared" ca="1" si="152"/>
        <v>0</v>
      </c>
      <c r="U83" s="4">
        <f ca="1">-SUMIFS(INDIRECT("Tab_00.Trial["&amp;U$4&amp;"]"),Tab_00.Trial[CONTA],$B83)</f>
        <v>0</v>
      </c>
      <c r="V83" s="78">
        <f t="shared" ca="1" si="140"/>
        <v>0</v>
      </c>
      <c r="W83" s="78">
        <f t="shared" ca="1" si="153"/>
        <v>0</v>
      </c>
      <c r="X83" s="4">
        <f ca="1">-SUMIFS(INDIRECT("Tab_00.Trial["&amp;X$4&amp;"]"),Tab_00.Trial[CONTA],$B83)</f>
        <v>0</v>
      </c>
      <c r="Y83" s="78">
        <f t="shared" ca="1" si="141"/>
        <v>0</v>
      </c>
      <c r="Z83" s="78">
        <f t="shared" ca="1" si="154"/>
        <v>0</v>
      </c>
      <c r="AA83" s="4">
        <f ca="1">-SUMIFS(INDIRECT("Tab_00.Trial["&amp;AA$4&amp;"]"),Tab_00.Trial[CONTA],$B83)</f>
        <v>0</v>
      </c>
      <c r="AB83" s="78">
        <f t="shared" ca="1" si="142"/>
        <v>0</v>
      </c>
      <c r="AC83" s="78">
        <f t="shared" ca="1" si="155"/>
        <v>0</v>
      </c>
      <c r="AD83" s="4">
        <f ca="1">-SUMIFS(INDIRECT("Tab_00.Trial["&amp;AD$4&amp;"]"),Tab_00.Trial[CONTA],$B83)</f>
        <v>0</v>
      </c>
      <c r="AE83" s="78">
        <f t="shared" ca="1" si="143"/>
        <v>0</v>
      </c>
      <c r="AF83" s="78">
        <f t="shared" ca="1" si="156"/>
        <v>0</v>
      </c>
      <c r="AG83" s="4">
        <f ca="1">-SUMIFS(INDIRECT("Tab_00.Trial["&amp;AG$4&amp;"]"),Tab_00.Trial[CONTA],$B83)</f>
        <v>0</v>
      </c>
      <c r="AH83" s="78">
        <f t="shared" ca="1" si="144"/>
        <v>0</v>
      </c>
      <c r="AI83" s="78">
        <f t="shared" ca="1" si="157"/>
        <v>0</v>
      </c>
      <c r="AJ83" s="4">
        <f ca="1">-SUMIFS(INDIRECT("Tab_00.Trial["&amp;AJ$4&amp;"]"),Tab_00.Trial[CONTA],$B83)</f>
        <v>0</v>
      </c>
      <c r="AK83" s="78">
        <f t="shared" ca="1" si="145"/>
        <v>0</v>
      </c>
      <c r="AL83" s="78">
        <f t="shared" ca="1" si="158"/>
        <v>0</v>
      </c>
      <c r="AM83" s="4">
        <f ca="1">-SUMIFS(INDIRECT("Tab_00.Trial["&amp;AM$4&amp;"]"),Tab_00.Trial[CONTA],$B83)</f>
        <v>0</v>
      </c>
      <c r="AN83" s="78">
        <f t="shared" ca="1" si="146"/>
        <v>0</v>
      </c>
      <c r="AO83" s="78">
        <f t="shared" ca="1" si="159"/>
        <v>0</v>
      </c>
    </row>
    <row r="84" spans="2:41" ht="15" hidden="1" customHeight="1" outlineLevel="1" x14ac:dyDescent="0.3">
      <c r="B84" s="14"/>
      <c r="C84" s="15"/>
      <c r="D84" s="4">
        <f>-SUMIFS(Tab_99.Trial[DEZEMBRO],Tab_99.Trial[CONTA],$B84)</f>
        <v>0</v>
      </c>
      <c r="E84" s="78">
        <f t="shared" ca="1" si="147"/>
        <v>0</v>
      </c>
      <c r="F84" s="4">
        <f ca="1">-SUMIFS(INDIRECT("Tab_00.Trial["&amp;F$4&amp;"]"),Tab_00.Trial[CONTA],$B84)</f>
        <v>0</v>
      </c>
      <c r="G84" s="78">
        <f t="shared" ca="1" si="135"/>
        <v>0</v>
      </c>
      <c r="H84" s="78">
        <f t="shared" ca="1" si="148"/>
        <v>0</v>
      </c>
      <c r="I84" s="4">
        <f ca="1">-SUMIFS(INDIRECT("Tab_00.Trial["&amp;I$4&amp;"]"),Tab_00.Trial[CONTA],$B84)</f>
        <v>0</v>
      </c>
      <c r="J84" s="78">
        <f t="shared" ca="1" si="136"/>
        <v>0</v>
      </c>
      <c r="K84" s="78">
        <f t="shared" ca="1" si="149"/>
        <v>0</v>
      </c>
      <c r="L84" s="4">
        <f ca="1">-SUMIFS(INDIRECT("Tab_00.Trial["&amp;L$4&amp;"]"),Tab_00.Trial[CONTA],$B84)</f>
        <v>0</v>
      </c>
      <c r="M84" s="78">
        <f t="shared" ca="1" si="137"/>
        <v>0</v>
      </c>
      <c r="N84" s="78">
        <f t="shared" ca="1" si="150"/>
        <v>0</v>
      </c>
      <c r="O84" s="4">
        <f ca="1">-SUMIFS(INDIRECT("Tab_00.Trial["&amp;O$4&amp;"]"),Tab_00.Trial[CONTA],$B84)</f>
        <v>0</v>
      </c>
      <c r="P84" s="78">
        <f t="shared" ca="1" si="138"/>
        <v>0</v>
      </c>
      <c r="Q84" s="78">
        <f t="shared" ca="1" si="151"/>
        <v>0</v>
      </c>
      <c r="R84" s="4">
        <f ca="1">-SUMIFS(INDIRECT("Tab_00.Trial["&amp;R$4&amp;"]"),Tab_00.Trial[CONTA],$B84)</f>
        <v>0</v>
      </c>
      <c r="S84" s="78">
        <f t="shared" ca="1" si="139"/>
        <v>0</v>
      </c>
      <c r="T84" s="78">
        <f t="shared" ca="1" si="152"/>
        <v>0</v>
      </c>
      <c r="U84" s="4">
        <f ca="1">-SUMIFS(INDIRECT("Tab_00.Trial["&amp;U$4&amp;"]"),Tab_00.Trial[CONTA],$B84)</f>
        <v>0</v>
      </c>
      <c r="V84" s="78">
        <f t="shared" ca="1" si="140"/>
        <v>0</v>
      </c>
      <c r="W84" s="78">
        <f t="shared" ca="1" si="153"/>
        <v>0</v>
      </c>
      <c r="X84" s="4">
        <f ca="1">-SUMIFS(INDIRECT("Tab_00.Trial["&amp;X$4&amp;"]"),Tab_00.Trial[CONTA],$B84)</f>
        <v>0</v>
      </c>
      <c r="Y84" s="78">
        <f t="shared" ca="1" si="141"/>
        <v>0</v>
      </c>
      <c r="Z84" s="78">
        <f t="shared" ca="1" si="154"/>
        <v>0</v>
      </c>
      <c r="AA84" s="4">
        <f ca="1">-SUMIFS(INDIRECT("Tab_00.Trial["&amp;AA$4&amp;"]"),Tab_00.Trial[CONTA],$B84)</f>
        <v>0</v>
      </c>
      <c r="AB84" s="78">
        <f t="shared" ca="1" si="142"/>
        <v>0</v>
      </c>
      <c r="AC84" s="78">
        <f t="shared" ca="1" si="155"/>
        <v>0</v>
      </c>
      <c r="AD84" s="4">
        <f ca="1">-SUMIFS(INDIRECT("Tab_00.Trial["&amp;AD$4&amp;"]"),Tab_00.Trial[CONTA],$B84)</f>
        <v>0</v>
      </c>
      <c r="AE84" s="78">
        <f t="shared" ca="1" si="143"/>
        <v>0</v>
      </c>
      <c r="AF84" s="78">
        <f t="shared" ca="1" si="156"/>
        <v>0</v>
      </c>
      <c r="AG84" s="4">
        <f ca="1">-SUMIFS(INDIRECT("Tab_00.Trial["&amp;AG$4&amp;"]"),Tab_00.Trial[CONTA],$B84)</f>
        <v>0</v>
      </c>
      <c r="AH84" s="78">
        <f t="shared" ca="1" si="144"/>
        <v>0</v>
      </c>
      <c r="AI84" s="78">
        <f t="shared" ca="1" si="157"/>
        <v>0</v>
      </c>
      <c r="AJ84" s="4">
        <f ca="1">-SUMIFS(INDIRECT("Tab_00.Trial["&amp;AJ$4&amp;"]"),Tab_00.Trial[CONTA],$B84)</f>
        <v>0</v>
      </c>
      <c r="AK84" s="78">
        <f t="shared" ca="1" si="145"/>
        <v>0</v>
      </c>
      <c r="AL84" s="78">
        <f t="shared" ca="1" si="158"/>
        <v>0</v>
      </c>
      <c r="AM84" s="4">
        <f ca="1">-SUMIFS(INDIRECT("Tab_00.Trial["&amp;AM$4&amp;"]"),Tab_00.Trial[CONTA],$B84)</f>
        <v>0</v>
      </c>
      <c r="AN84" s="78">
        <f t="shared" ca="1" si="146"/>
        <v>0</v>
      </c>
      <c r="AO84" s="78">
        <f t="shared" ca="1" si="159"/>
        <v>0</v>
      </c>
    </row>
    <row r="85" spans="2:41" ht="15" hidden="1" customHeight="1" outlineLevel="1" x14ac:dyDescent="0.3">
      <c r="B85" s="14"/>
      <c r="C85" s="15"/>
      <c r="D85" s="4">
        <f>-SUMIFS(Tab_99.Trial[DEZEMBRO],Tab_99.Trial[CONTA],$B85)</f>
        <v>0</v>
      </c>
      <c r="E85" s="78">
        <f t="shared" ca="1" si="147"/>
        <v>0</v>
      </c>
      <c r="F85" s="4">
        <f ca="1">-SUMIFS(INDIRECT("Tab_00.Trial["&amp;F$4&amp;"]"),Tab_00.Trial[CONTA],$B85)</f>
        <v>0</v>
      </c>
      <c r="G85" s="78">
        <f t="shared" ca="1" si="135"/>
        <v>0</v>
      </c>
      <c r="H85" s="78">
        <f t="shared" ca="1" si="148"/>
        <v>0</v>
      </c>
      <c r="I85" s="4">
        <f ca="1">-SUMIFS(INDIRECT("Tab_00.Trial["&amp;I$4&amp;"]"),Tab_00.Trial[CONTA],$B85)</f>
        <v>0</v>
      </c>
      <c r="J85" s="78">
        <f t="shared" ca="1" si="136"/>
        <v>0</v>
      </c>
      <c r="K85" s="78">
        <f t="shared" ca="1" si="149"/>
        <v>0</v>
      </c>
      <c r="L85" s="4">
        <f ca="1">-SUMIFS(INDIRECT("Tab_00.Trial["&amp;L$4&amp;"]"),Tab_00.Trial[CONTA],$B85)</f>
        <v>0</v>
      </c>
      <c r="M85" s="78">
        <f t="shared" ca="1" si="137"/>
        <v>0</v>
      </c>
      <c r="N85" s="78">
        <f t="shared" ca="1" si="150"/>
        <v>0</v>
      </c>
      <c r="O85" s="4">
        <f ca="1">-SUMIFS(INDIRECT("Tab_00.Trial["&amp;O$4&amp;"]"),Tab_00.Trial[CONTA],$B85)</f>
        <v>0</v>
      </c>
      <c r="P85" s="78">
        <f t="shared" ca="1" si="138"/>
        <v>0</v>
      </c>
      <c r="Q85" s="78">
        <f t="shared" ca="1" si="151"/>
        <v>0</v>
      </c>
      <c r="R85" s="4">
        <f ca="1">-SUMIFS(INDIRECT("Tab_00.Trial["&amp;R$4&amp;"]"),Tab_00.Trial[CONTA],$B85)</f>
        <v>0</v>
      </c>
      <c r="S85" s="78">
        <f t="shared" ca="1" si="139"/>
        <v>0</v>
      </c>
      <c r="T85" s="78">
        <f t="shared" ca="1" si="152"/>
        <v>0</v>
      </c>
      <c r="U85" s="4">
        <f ca="1">-SUMIFS(INDIRECT("Tab_00.Trial["&amp;U$4&amp;"]"),Tab_00.Trial[CONTA],$B85)</f>
        <v>0</v>
      </c>
      <c r="V85" s="78">
        <f t="shared" ca="1" si="140"/>
        <v>0</v>
      </c>
      <c r="W85" s="78">
        <f t="shared" ca="1" si="153"/>
        <v>0</v>
      </c>
      <c r="X85" s="4">
        <f ca="1">-SUMIFS(INDIRECT("Tab_00.Trial["&amp;X$4&amp;"]"),Tab_00.Trial[CONTA],$B85)</f>
        <v>0</v>
      </c>
      <c r="Y85" s="78">
        <f t="shared" ca="1" si="141"/>
        <v>0</v>
      </c>
      <c r="Z85" s="78">
        <f t="shared" ca="1" si="154"/>
        <v>0</v>
      </c>
      <c r="AA85" s="4">
        <f ca="1">-SUMIFS(INDIRECT("Tab_00.Trial["&amp;AA$4&amp;"]"),Tab_00.Trial[CONTA],$B85)</f>
        <v>0</v>
      </c>
      <c r="AB85" s="78">
        <f t="shared" ca="1" si="142"/>
        <v>0</v>
      </c>
      <c r="AC85" s="78">
        <f t="shared" ca="1" si="155"/>
        <v>0</v>
      </c>
      <c r="AD85" s="4">
        <f ca="1">-SUMIFS(INDIRECT("Tab_00.Trial["&amp;AD$4&amp;"]"),Tab_00.Trial[CONTA],$B85)</f>
        <v>0</v>
      </c>
      <c r="AE85" s="78">
        <f t="shared" ca="1" si="143"/>
        <v>0</v>
      </c>
      <c r="AF85" s="78">
        <f t="shared" ca="1" si="156"/>
        <v>0</v>
      </c>
      <c r="AG85" s="4">
        <f ca="1">-SUMIFS(INDIRECT("Tab_00.Trial["&amp;AG$4&amp;"]"),Tab_00.Trial[CONTA],$B85)</f>
        <v>0</v>
      </c>
      <c r="AH85" s="78">
        <f t="shared" ca="1" si="144"/>
        <v>0</v>
      </c>
      <c r="AI85" s="78">
        <f t="shared" ca="1" si="157"/>
        <v>0</v>
      </c>
      <c r="AJ85" s="4">
        <f ca="1">-SUMIFS(INDIRECT("Tab_00.Trial["&amp;AJ$4&amp;"]"),Tab_00.Trial[CONTA],$B85)</f>
        <v>0</v>
      </c>
      <c r="AK85" s="78">
        <f t="shared" ca="1" si="145"/>
        <v>0</v>
      </c>
      <c r="AL85" s="78">
        <f t="shared" ca="1" si="158"/>
        <v>0</v>
      </c>
      <c r="AM85" s="4">
        <f ca="1">-SUMIFS(INDIRECT("Tab_00.Trial["&amp;AM$4&amp;"]"),Tab_00.Trial[CONTA],$B85)</f>
        <v>0</v>
      </c>
      <c r="AN85" s="78">
        <f t="shared" ca="1" si="146"/>
        <v>0</v>
      </c>
      <c r="AO85" s="78">
        <f t="shared" ca="1" si="159"/>
        <v>0</v>
      </c>
    </row>
    <row r="86" spans="2:41" ht="15" hidden="1" customHeight="1" outlineLevel="1" x14ac:dyDescent="0.3">
      <c r="B86" s="14"/>
      <c r="C86" s="15"/>
      <c r="D86" s="4">
        <f>-SUMIFS(Tab_99.Trial[DEZEMBRO],Tab_99.Trial[CONTA],$B86)</f>
        <v>0</v>
      </c>
      <c r="E86" s="78">
        <f t="shared" ca="1" si="147"/>
        <v>0</v>
      </c>
      <c r="F86" s="4">
        <f ca="1">-SUMIFS(INDIRECT("Tab_00.Trial["&amp;F$4&amp;"]"),Tab_00.Trial[CONTA],$B86)</f>
        <v>0</v>
      </c>
      <c r="G86" s="78">
        <f t="shared" ca="1" si="135"/>
        <v>0</v>
      </c>
      <c r="H86" s="78">
        <f t="shared" ca="1" si="148"/>
        <v>0</v>
      </c>
      <c r="I86" s="4">
        <f ca="1">-SUMIFS(INDIRECT("Tab_00.Trial["&amp;I$4&amp;"]"),Tab_00.Trial[CONTA],$B86)</f>
        <v>0</v>
      </c>
      <c r="J86" s="78">
        <f t="shared" ca="1" si="136"/>
        <v>0</v>
      </c>
      <c r="K86" s="78">
        <f t="shared" ca="1" si="149"/>
        <v>0</v>
      </c>
      <c r="L86" s="4">
        <f ca="1">-SUMIFS(INDIRECT("Tab_00.Trial["&amp;L$4&amp;"]"),Tab_00.Trial[CONTA],$B86)</f>
        <v>0</v>
      </c>
      <c r="M86" s="78">
        <f t="shared" ca="1" si="137"/>
        <v>0</v>
      </c>
      <c r="N86" s="78">
        <f t="shared" ca="1" si="150"/>
        <v>0</v>
      </c>
      <c r="O86" s="4">
        <f ca="1">-SUMIFS(INDIRECT("Tab_00.Trial["&amp;O$4&amp;"]"),Tab_00.Trial[CONTA],$B86)</f>
        <v>0</v>
      </c>
      <c r="P86" s="78">
        <f t="shared" ca="1" si="138"/>
        <v>0</v>
      </c>
      <c r="Q86" s="78">
        <f t="shared" ca="1" si="151"/>
        <v>0</v>
      </c>
      <c r="R86" s="4">
        <f ca="1">-SUMIFS(INDIRECT("Tab_00.Trial["&amp;R$4&amp;"]"),Tab_00.Trial[CONTA],$B86)</f>
        <v>0</v>
      </c>
      <c r="S86" s="78">
        <f t="shared" ca="1" si="139"/>
        <v>0</v>
      </c>
      <c r="T86" s="78">
        <f t="shared" ca="1" si="152"/>
        <v>0</v>
      </c>
      <c r="U86" s="4">
        <f ca="1">-SUMIFS(INDIRECT("Tab_00.Trial["&amp;U$4&amp;"]"),Tab_00.Trial[CONTA],$B86)</f>
        <v>0</v>
      </c>
      <c r="V86" s="78">
        <f t="shared" ca="1" si="140"/>
        <v>0</v>
      </c>
      <c r="W86" s="78">
        <f t="shared" ca="1" si="153"/>
        <v>0</v>
      </c>
      <c r="X86" s="4">
        <f ca="1">-SUMIFS(INDIRECT("Tab_00.Trial["&amp;X$4&amp;"]"),Tab_00.Trial[CONTA],$B86)</f>
        <v>0</v>
      </c>
      <c r="Y86" s="78">
        <f t="shared" ca="1" si="141"/>
        <v>0</v>
      </c>
      <c r="Z86" s="78">
        <f t="shared" ca="1" si="154"/>
        <v>0</v>
      </c>
      <c r="AA86" s="4">
        <f ca="1">-SUMIFS(INDIRECT("Tab_00.Trial["&amp;AA$4&amp;"]"),Tab_00.Trial[CONTA],$B86)</f>
        <v>0</v>
      </c>
      <c r="AB86" s="78">
        <f t="shared" ca="1" si="142"/>
        <v>0</v>
      </c>
      <c r="AC86" s="78">
        <f t="shared" ca="1" si="155"/>
        <v>0</v>
      </c>
      <c r="AD86" s="4">
        <f ca="1">-SUMIFS(INDIRECT("Tab_00.Trial["&amp;AD$4&amp;"]"),Tab_00.Trial[CONTA],$B86)</f>
        <v>0</v>
      </c>
      <c r="AE86" s="78">
        <f t="shared" ca="1" si="143"/>
        <v>0</v>
      </c>
      <c r="AF86" s="78">
        <f t="shared" ca="1" si="156"/>
        <v>0</v>
      </c>
      <c r="AG86" s="4">
        <f ca="1">-SUMIFS(INDIRECT("Tab_00.Trial["&amp;AG$4&amp;"]"),Tab_00.Trial[CONTA],$B86)</f>
        <v>0</v>
      </c>
      <c r="AH86" s="78">
        <f t="shared" ca="1" si="144"/>
        <v>0</v>
      </c>
      <c r="AI86" s="78">
        <f t="shared" ca="1" si="157"/>
        <v>0</v>
      </c>
      <c r="AJ86" s="4">
        <f ca="1">-SUMIFS(INDIRECT("Tab_00.Trial["&amp;AJ$4&amp;"]"),Tab_00.Trial[CONTA],$B86)</f>
        <v>0</v>
      </c>
      <c r="AK86" s="78">
        <f t="shared" ca="1" si="145"/>
        <v>0</v>
      </c>
      <c r="AL86" s="78">
        <f t="shared" ca="1" si="158"/>
        <v>0</v>
      </c>
      <c r="AM86" s="4">
        <f ca="1">-SUMIFS(INDIRECT("Tab_00.Trial["&amp;AM$4&amp;"]"),Tab_00.Trial[CONTA],$B86)</f>
        <v>0</v>
      </c>
      <c r="AN86" s="78">
        <f t="shared" ca="1" si="146"/>
        <v>0</v>
      </c>
      <c r="AO86" s="78">
        <f t="shared" ca="1" si="159"/>
        <v>0</v>
      </c>
    </row>
    <row r="87" spans="2:41" ht="15" hidden="1" customHeight="1" outlineLevel="1" x14ac:dyDescent="0.3">
      <c r="B87" s="14"/>
      <c r="C87" s="15"/>
      <c r="D87" s="4">
        <f>-SUMIFS(Tab_99.Trial[DEZEMBRO],Tab_99.Trial[CONTA],$B87)</f>
        <v>0</v>
      </c>
      <c r="E87" s="78">
        <f t="shared" ca="1" si="147"/>
        <v>0</v>
      </c>
      <c r="F87" s="4">
        <f ca="1">-SUMIFS(INDIRECT("Tab_00.Trial["&amp;F$4&amp;"]"),Tab_00.Trial[CONTA],$B87)</f>
        <v>0</v>
      </c>
      <c r="G87" s="78">
        <f t="shared" ca="1" si="135"/>
        <v>0</v>
      </c>
      <c r="H87" s="78">
        <f t="shared" ca="1" si="148"/>
        <v>0</v>
      </c>
      <c r="I87" s="4">
        <f ca="1">-SUMIFS(INDIRECT("Tab_00.Trial["&amp;I$4&amp;"]"),Tab_00.Trial[CONTA],$B87)</f>
        <v>0</v>
      </c>
      <c r="J87" s="78">
        <f t="shared" ca="1" si="136"/>
        <v>0</v>
      </c>
      <c r="K87" s="78">
        <f t="shared" ca="1" si="149"/>
        <v>0</v>
      </c>
      <c r="L87" s="4">
        <f ca="1">-SUMIFS(INDIRECT("Tab_00.Trial["&amp;L$4&amp;"]"),Tab_00.Trial[CONTA],$B87)</f>
        <v>0</v>
      </c>
      <c r="M87" s="78">
        <f t="shared" ca="1" si="137"/>
        <v>0</v>
      </c>
      <c r="N87" s="78">
        <f t="shared" ca="1" si="150"/>
        <v>0</v>
      </c>
      <c r="O87" s="4">
        <f ca="1">-SUMIFS(INDIRECT("Tab_00.Trial["&amp;O$4&amp;"]"),Tab_00.Trial[CONTA],$B87)</f>
        <v>0</v>
      </c>
      <c r="P87" s="78">
        <f t="shared" ca="1" si="138"/>
        <v>0</v>
      </c>
      <c r="Q87" s="78">
        <f t="shared" ca="1" si="151"/>
        <v>0</v>
      </c>
      <c r="R87" s="4">
        <f ca="1">-SUMIFS(INDIRECT("Tab_00.Trial["&amp;R$4&amp;"]"),Tab_00.Trial[CONTA],$B87)</f>
        <v>0</v>
      </c>
      <c r="S87" s="78">
        <f t="shared" ca="1" si="139"/>
        <v>0</v>
      </c>
      <c r="T87" s="78">
        <f t="shared" ca="1" si="152"/>
        <v>0</v>
      </c>
      <c r="U87" s="4">
        <f ca="1">-SUMIFS(INDIRECT("Tab_00.Trial["&amp;U$4&amp;"]"),Tab_00.Trial[CONTA],$B87)</f>
        <v>0</v>
      </c>
      <c r="V87" s="78">
        <f t="shared" ca="1" si="140"/>
        <v>0</v>
      </c>
      <c r="W87" s="78">
        <f t="shared" ca="1" si="153"/>
        <v>0</v>
      </c>
      <c r="X87" s="4">
        <f ca="1">-SUMIFS(INDIRECT("Tab_00.Trial["&amp;X$4&amp;"]"),Tab_00.Trial[CONTA],$B87)</f>
        <v>0</v>
      </c>
      <c r="Y87" s="78">
        <f t="shared" ca="1" si="141"/>
        <v>0</v>
      </c>
      <c r="Z87" s="78">
        <f t="shared" ca="1" si="154"/>
        <v>0</v>
      </c>
      <c r="AA87" s="4">
        <f ca="1">-SUMIFS(INDIRECT("Tab_00.Trial["&amp;AA$4&amp;"]"),Tab_00.Trial[CONTA],$B87)</f>
        <v>0</v>
      </c>
      <c r="AB87" s="78">
        <f t="shared" ca="1" si="142"/>
        <v>0</v>
      </c>
      <c r="AC87" s="78">
        <f t="shared" ca="1" si="155"/>
        <v>0</v>
      </c>
      <c r="AD87" s="4">
        <f ca="1">-SUMIFS(INDIRECT("Tab_00.Trial["&amp;AD$4&amp;"]"),Tab_00.Trial[CONTA],$B87)</f>
        <v>0</v>
      </c>
      <c r="AE87" s="78">
        <f t="shared" ca="1" si="143"/>
        <v>0</v>
      </c>
      <c r="AF87" s="78">
        <f t="shared" ca="1" si="156"/>
        <v>0</v>
      </c>
      <c r="AG87" s="4">
        <f ca="1">-SUMIFS(INDIRECT("Tab_00.Trial["&amp;AG$4&amp;"]"),Tab_00.Trial[CONTA],$B87)</f>
        <v>0</v>
      </c>
      <c r="AH87" s="78">
        <f t="shared" ca="1" si="144"/>
        <v>0</v>
      </c>
      <c r="AI87" s="78">
        <f t="shared" ca="1" si="157"/>
        <v>0</v>
      </c>
      <c r="AJ87" s="4">
        <f ca="1">-SUMIFS(INDIRECT("Tab_00.Trial["&amp;AJ$4&amp;"]"),Tab_00.Trial[CONTA],$B87)</f>
        <v>0</v>
      </c>
      <c r="AK87" s="78">
        <f t="shared" ca="1" si="145"/>
        <v>0</v>
      </c>
      <c r="AL87" s="78">
        <f t="shared" ca="1" si="158"/>
        <v>0</v>
      </c>
      <c r="AM87" s="4">
        <f ca="1">-SUMIFS(INDIRECT("Tab_00.Trial["&amp;AM$4&amp;"]"),Tab_00.Trial[CONTA],$B87)</f>
        <v>0</v>
      </c>
      <c r="AN87" s="78">
        <f t="shared" ca="1" si="146"/>
        <v>0</v>
      </c>
      <c r="AO87" s="78">
        <f t="shared" ca="1" si="159"/>
        <v>0</v>
      </c>
    </row>
    <row r="88" spans="2:41" ht="15" hidden="1" customHeight="1" outlineLevel="1" x14ac:dyDescent="0.3">
      <c r="B88" s="14"/>
      <c r="C88" s="15"/>
      <c r="D88" s="4">
        <f>-SUMIFS(Tab_99.Trial[DEZEMBRO],Tab_99.Trial[CONTA],$B88)</f>
        <v>0</v>
      </c>
      <c r="E88" s="78">
        <f t="shared" ca="1" si="147"/>
        <v>0</v>
      </c>
      <c r="F88" s="4">
        <f ca="1">-SUMIFS(INDIRECT("Tab_00.Trial["&amp;F$4&amp;"]"),Tab_00.Trial[CONTA],$B88)</f>
        <v>0</v>
      </c>
      <c r="G88" s="78">
        <f t="shared" ca="1" si="135"/>
        <v>0</v>
      </c>
      <c r="H88" s="78">
        <f t="shared" ca="1" si="148"/>
        <v>0</v>
      </c>
      <c r="I88" s="4">
        <f ca="1">-SUMIFS(INDIRECT("Tab_00.Trial["&amp;I$4&amp;"]"),Tab_00.Trial[CONTA],$B88)</f>
        <v>0</v>
      </c>
      <c r="J88" s="78">
        <f t="shared" ca="1" si="136"/>
        <v>0</v>
      </c>
      <c r="K88" s="78">
        <f t="shared" ca="1" si="149"/>
        <v>0</v>
      </c>
      <c r="L88" s="4">
        <f ca="1">-SUMIFS(INDIRECT("Tab_00.Trial["&amp;L$4&amp;"]"),Tab_00.Trial[CONTA],$B88)</f>
        <v>0</v>
      </c>
      <c r="M88" s="78">
        <f t="shared" ca="1" si="137"/>
        <v>0</v>
      </c>
      <c r="N88" s="78">
        <f t="shared" ca="1" si="150"/>
        <v>0</v>
      </c>
      <c r="O88" s="4">
        <f ca="1">-SUMIFS(INDIRECT("Tab_00.Trial["&amp;O$4&amp;"]"),Tab_00.Trial[CONTA],$B88)</f>
        <v>0</v>
      </c>
      <c r="P88" s="78">
        <f t="shared" ca="1" si="138"/>
        <v>0</v>
      </c>
      <c r="Q88" s="78">
        <f t="shared" ca="1" si="151"/>
        <v>0</v>
      </c>
      <c r="R88" s="4">
        <f ca="1">-SUMIFS(INDIRECT("Tab_00.Trial["&amp;R$4&amp;"]"),Tab_00.Trial[CONTA],$B88)</f>
        <v>0</v>
      </c>
      <c r="S88" s="78">
        <f t="shared" ca="1" si="139"/>
        <v>0</v>
      </c>
      <c r="T88" s="78">
        <f t="shared" ca="1" si="152"/>
        <v>0</v>
      </c>
      <c r="U88" s="4">
        <f ca="1">-SUMIFS(INDIRECT("Tab_00.Trial["&amp;U$4&amp;"]"),Tab_00.Trial[CONTA],$B88)</f>
        <v>0</v>
      </c>
      <c r="V88" s="78">
        <f t="shared" ca="1" si="140"/>
        <v>0</v>
      </c>
      <c r="W88" s="78">
        <f t="shared" ca="1" si="153"/>
        <v>0</v>
      </c>
      <c r="X88" s="4">
        <f ca="1">-SUMIFS(INDIRECT("Tab_00.Trial["&amp;X$4&amp;"]"),Tab_00.Trial[CONTA],$B88)</f>
        <v>0</v>
      </c>
      <c r="Y88" s="78">
        <f t="shared" ca="1" si="141"/>
        <v>0</v>
      </c>
      <c r="Z88" s="78">
        <f t="shared" ca="1" si="154"/>
        <v>0</v>
      </c>
      <c r="AA88" s="4">
        <f ca="1">-SUMIFS(INDIRECT("Tab_00.Trial["&amp;AA$4&amp;"]"),Tab_00.Trial[CONTA],$B88)</f>
        <v>0</v>
      </c>
      <c r="AB88" s="78">
        <f t="shared" ca="1" si="142"/>
        <v>0</v>
      </c>
      <c r="AC88" s="78">
        <f t="shared" ca="1" si="155"/>
        <v>0</v>
      </c>
      <c r="AD88" s="4">
        <f ca="1">-SUMIFS(INDIRECT("Tab_00.Trial["&amp;AD$4&amp;"]"),Tab_00.Trial[CONTA],$B88)</f>
        <v>0</v>
      </c>
      <c r="AE88" s="78">
        <f t="shared" ca="1" si="143"/>
        <v>0</v>
      </c>
      <c r="AF88" s="78">
        <f t="shared" ca="1" si="156"/>
        <v>0</v>
      </c>
      <c r="AG88" s="4">
        <f ca="1">-SUMIFS(INDIRECT("Tab_00.Trial["&amp;AG$4&amp;"]"),Tab_00.Trial[CONTA],$B88)</f>
        <v>0</v>
      </c>
      <c r="AH88" s="78">
        <f t="shared" ca="1" si="144"/>
        <v>0</v>
      </c>
      <c r="AI88" s="78">
        <f t="shared" ca="1" si="157"/>
        <v>0</v>
      </c>
      <c r="AJ88" s="4">
        <f ca="1">-SUMIFS(INDIRECT("Tab_00.Trial["&amp;AJ$4&amp;"]"),Tab_00.Trial[CONTA],$B88)</f>
        <v>0</v>
      </c>
      <c r="AK88" s="78">
        <f t="shared" ca="1" si="145"/>
        <v>0</v>
      </c>
      <c r="AL88" s="78">
        <f t="shared" ca="1" si="158"/>
        <v>0</v>
      </c>
      <c r="AM88" s="4">
        <f ca="1">-SUMIFS(INDIRECT("Tab_00.Trial["&amp;AM$4&amp;"]"),Tab_00.Trial[CONTA],$B88)</f>
        <v>0</v>
      </c>
      <c r="AN88" s="78">
        <f t="shared" ca="1" si="146"/>
        <v>0</v>
      </c>
      <c r="AO88" s="78">
        <f t="shared" ca="1" si="159"/>
        <v>0</v>
      </c>
    </row>
    <row r="89" spans="2:41" ht="15" hidden="1" customHeight="1" outlineLevel="1" x14ac:dyDescent="0.3">
      <c r="B89" s="14"/>
      <c r="C89" s="15"/>
      <c r="D89" s="4">
        <f>-SUMIFS(Tab_99.Trial[DEZEMBRO],Tab_99.Trial[CONTA],$B89)</f>
        <v>0</v>
      </c>
      <c r="E89" s="78">
        <f t="shared" ca="1" si="147"/>
        <v>0</v>
      </c>
      <c r="F89" s="4">
        <f ca="1">-SUMIFS(INDIRECT("Tab_00.Trial["&amp;F$4&amp;"]"),Tab_00.Trial[CONTA],$B89)</f>
        <v>0</v>
      </c>
      <c r="G89" s="78">
        <f t="shared" ca="1" si="135"/>
        <v>0</v>
      </c>
      <c r="H89" s="78">
        <f t="shared" ca="1" si="148"/>
        <v>0</v>
      </c>
      <c r="I89" s="4">
        <f ca="1">-SUMIFS(INDIRECT("Tab_00.Trial["&amp;I$4&amp;"]"),Tab_00.Trial[CONTA],$B89)</f>
        <v>0</v>
      </c>
      <c r="J89" s="78">
        <f t="shared" ca="1" si="136"/>
        <v>0</v>
      </c>
      <c r="K89" s="78">
        <f t="shared" ca="1" si="149"/>
        <v>0</v>
      </c>
      <c r="L89" s="4">
        <f ca="1">-SUMIFS(INDIRECT("Tab_00.Trial["&amp;L$4&amp;"]"),Tab_00.Trial[CONTA],$B89)</f>
        <v>0</v>
      </c>
      <c r="M89" s="78">
        <f t="shared" ca="1" si="137"/>
        <v>0</v>
      </c>
      <c r="N89" s="78">
        <f t="shared" ca="1" si="150"/>
        <v>0</v>
      </c>
      <c r="O89" s="4">
        <f ca="1">-SUMIFS(INDIRECT("Tab_00.Trial["&amp;O$4&amp;"]"),Tab_00.Trial[CONTA],$B89)</f>
        <v>0</v>
      </c>
      <c r="P89" s="78">
        <f t="shared" ca="1" si="138"/>
        <v>0</v>
      </c>
      <c r="Q89" s="78">
        <f t="shared" ca="1" si="151"/>
        <v>0</v>
      </c>
      <c r="R89" s="4">
        <f ca="1">-SUMIFS(INDIRECT("Tab_00.Trial["&amp;R$4&amp;"]"),Tab_00.Trial[CONTA],$B89)</f>
        <v>0</v>
      </c>
      <c r="S89" s="78">
        <f t="shared" ca="1" si="139"/>
        <v>0</v>
      </c>
      <c r="T89" s="78">
        <f t="shared" ca="1" si="152"/>
        <v>0</v>
      </c>
      <c r="U89" s="4">
        <f ca="1">-SUMIFS(INDIRECT("Tab_00.Trial["&amp;U$4&amp;"]"),Tab_00.Trial[CONTA],$B89)</f>
        <v>0</v>
      </c>
      <c r="V89" s="78">
        <f t="shared" ca="1" si="140"/>
        <v>0</v>
      </c>
      <c r="W89" s="78">
        <f t="shared" ca="1" si="153"/>
        <v>0</v>
      </c>
      <c r="X89" s="4">
        <f ca="1">-SUMIFS(INDIRECT("Tab_00.Trial["&amp;X$4&amp;"]"),Tab_00.Trial[CONTA],$B89)</f>
        <v>0</v>
      </c>
      <c r="Y89" s="78">
        <f t="shared" ca="1" si="141"/>
        <v>0</v>
      </c>
      <c r="Z89" s="78">
        <f t="shared" ca="1" si="154"/>
        <v>0</v>
      </c>
      <c r="AA89" s="4">
        <f ca="1">-SUMIFS(INDIRECT("Tab_00.Trial["&amp;AA$4&amp;"]"),Tab_00.Trial[CONTA],$B89)</f>
        <v>0</v>
      </c>
      <c r="AB89" s="78">
        <f t="shared" ca="1" si="142"/>
        <v>0</v>
      </c>
      <c r="AC89" s="78">
        <f t="shared" ca="1" si="155"/>
        <v>0</v>
      </c>
      <c r="AD89" s="4">
        <f ca="1">-SUMIFS(INDIRECT("Tab_00.Trial["&amp;AD$4&amp;"]"),Tab_00.Trial[CONTA],$B89)</f>
        <v>0</v>
      </c>
      <c r="AE89" s="78">
        <f t="shared" ca="1" si="143"/>
        <v>0</v>
      </c>
      <c r="AF89" s="78">
        <f t="shared" ca="1" si="156"/>
        <v>0</v>
      </c>
      <c r="AG89" s="4">
        <f ca="1">-SUMIFS(INDIRECT("Tab_00.Trial["&amp;AG$4&amp;"]"),Tab_00.Trial[CONTA],$B89)</f>
        <v>0</v>
      </c>
      <c r="AH89" s="78">
        <f t="shared" ca="1" si="144"/>
        <v>0</v>
      </c>
      <c r="AI89" s="78">
        <f t="shared" ca="1" si="157"/>
        <v>0</v>
      </c>
      <c r="AJ89" s="4">
        <f ca="1">-SUMIFS(INDIRECT("Tab_00.Trial["&amp;AJ$4&amp;"]"),Tab_00.Trial[CONTA],$B89)</f>
        <v>0</v>
      </c>
      <c r="AK89" s="78">
        <f t="shared" ca="1" si="145"/>
        <v>0</v>
      </c>
      <c r="AL89" s="78">
        <f t="shared" ca="1" si="158"/>
        <v>0</v>
      </c>
      <c r="AM89" s="4">
        <f ca="1">-SUMIFS(INDIRECT("Tab_00.Trial["&amp;AM$4&amp;"]"),Tab_00.Trial[CONTA],$B89)</f>
        <v>0</v>
      </c>
      <c r="AN89" s="78">
        <f t="shared" ca="1" si="146"/>
        <v>0</v>
      </c>
      <c r="AO89" s="78">
        <f t="shared" ca="1" si="159"/>
        <v>0</v>
      </c>
    </row>
    <row r="90" spans="2:41" ht="15" hidden="1" customHeight="1" outlineLevel="1" x14ac:dyDescent="0.3">
      <c r="B90" s="14"/>
      <c r="C90" s="15"/>
      <c r="D90" s="4">
        <f>-SUMIFS(Tab_99.Trial[DEZEMBRO],Tab_99.Trial[CONTA],$B90)</f>
        <v>0</v>
      </c>
      <c r="E90" s="78">
        <f t="shared" ca="1" si="147"/>
        <v>0</v>
      </c>
      <c r="F90" s="4">
        <f ca="1">-SUMIFS(INDIRECT("Tab_00.Trial["&amp;F$4&amp;"]"),Tab_00.Trial[CONTA],$B90)</f>
        <v>0</v>
      </c>
      <c r="G90" s="78">
        <f t="shared" ca="1" si="135"/>
        <v>0</v>
      </c>
      <c r="H90" s="78">
        <f t="shared" ca="1" si="148"/>
        <v>0</v>
      </c>
      <c r="I90" s="4">
        <f ca="1">-SUMIFS(INDIRECT("Tab_00.Trial["&amp;I$4&amp;"]"),Tab_00.Trial[CONTA],$B90)</f>
        <v>0</v>
      </c>
      <c r="J90" s="78">
        <f t="shared" ca="1" si="136"/>
        <v>0</v>
      </c>
      <c r="K90" s="78">
        <f t="shared" ca="1" si="149"/>
        <v>0</v>
      </c>
      <c r="L90" s="4">
        <f ca="1">-SUMIFS(INDIRECT("Tab_00.Trial["&amp;L$4&amp;"]"),Tab_00.Trial[CONTA],$B90)</f>
        <v>0</v>
      </c>
      <c r="M90" s="78">
        <f t="shared" ca="1" si="137"/>
        <v>0</v>
      </c>
      <c r="N90" s="78">
        <f t="shared" ca="1" si="150"/>
        <v>0</v>
      </c>
      <c r="O90" s="4">
        <f ca="1">-SUMIFS(INDIRECT("Tab_00.Trial["&amp;O$4&amp;"]"),Tab_00.Trial[CONTA],$B90)</f>
        <v>0</v>
      </c>
      <c r="P90" s="78">
        <f t="shared" ca="1" si="138"/>
        <v>0</v>
      </c>
      <c r="Q90" s="78">
        <f t="shared" ca="1" si="151"/>
        <v>0</v>
      </c>
      <c r="R90" s="4">
        <f ca="1">-SUMIFS(INDIRECT("Tab_00.Trial["&amp;R$4&amp;"]"),Tab_00.Trial[CONTA],$B90)</f>
        <v>0</v>
      </c>
      <c r="S90" s="78">
        <f t="shared" ca="1" si="139"/>
        <v>0</v>
      </c>
      <c r="T90" s="78">
        <f t="shared" ca="1" si="152"/>
        <v>0</v>
      </c>
      <c r="U90" s="4">
        <f ca="1">-SUMIFS(INDIRECT("Tab_00.Trial["&amp;U$4&amp;"]"),Tab_00.Trial[CONTA],$B90)</f>
        <v>0</v>
      </c>
      <c r="V90" s="78">
        <f t="shared" ca="1" si="140"/>
        <v>0</v>
      </c>
      <c r="W90" s="78">
        <f t="shared" ca="1" si="153"/>
        <v>0</v>
      </c>
      <c r="X90" s="4">
        <f ca="1">-SUMIFS(INDIRECT("Tab_00.Trial["&amp;X$4&amp;"]"),Tab_00.Trial[CONTA],$B90)</f>
        <v>0</v>
      </c>
      <c r="Y90" s="78">
        <f t="shared" ca="1" si="141"/>
        <v>0</v>
      </c>
      <c r="Z90" s="78">
        <f t="shared" ca="1" si="154"/>
        <v>0</v>
      </c>
      <c r="AA90" s="4">
        <f ca="1">-SUMIFS(INDIRECT("Tab_00.Trial["&amp;AA$4&amp;"]"),Tab_00.Trial[CONTA],$B90)</f>
        <v>0</v>
      </c>
      <c r="AB90" s="78">
        <f t="shared" ca="1" si="142"/>
        <v>0</v>
      </c>
      <c r="AC90" s="78">
        <f t="shared" ca="1" si="155"/>
        <v>0</v>
      </c>
      <c r="AD90" s="4">
        <f ca="1">-SUMIFS(INDIRECT("Tab_00.Trial["&amp;AD$4&amp;"]"),Tab_00.Trial[CONTA],$B90)</f>
        <v>0</v>
      </c>
      <c r="AE90" s="78">
        <f t="shared" ca="1" si="143"/>
        <v>0</v>
      </c>
      <c r="AF90" s="78">
        <f t="shared" ca="1" si="156"/>
        <v>0</v>
      </c>
      <c r="AG90" s="4">
        <f ca="1">-SUMIFS(INDIRECT("Tab_00.Trial["&amp;AG$4&amp;"]"),Tab_00.Trial[CONTA],$B90)</f>
        <v>0</v>
      </c>
      <c r="AH90" s="78">
        <f t="shared" ca="1" si="144"/>
        <v>0</v>
      </c>
      <c r="AI90" s="78">
        <f t="shared" ca="1" si="157"/>
        <v>0</v>
      </c>
      <c r="AJ90" s="4">
        <f ca="1">-SUMIFS(INDIRECT("Tab_00.Trial["&amp;AJ$4&amp;"]"),Tab_00.Trial[CONTA],$B90)</f>
        <v>0</v>
      </c>
      <c r="AK90" s="78">
        <f t="shared" ca="1" si="145"/>
        <v>0</v>
      </c>
      <c r="AL90" s="78">
        <f t="shared" ca="1" si="158"/>
        <v>0</v>
      </c>
      <c r="AM90" s="4">
        <f ca="1">-SUMIFS(INDIRECT("Tab_00.Trial["&amp;AM$4&amp;"]"),Tab_00.Trial[CONTA],$B90)</f>
        <v>0</v>
      </c>
      <c r="AN90" s="78">
        <f t="shared" ca="1" si="146"/>
        <v>0</v>
      </c>
      <c r="AO90" s="78">
        <f t="shared" ca="1" si="159"/>
        <v>0</v>
      </c>
    </row>
    <row r="91" spans="2:41" ht="15" hidden="1" customHeight="1" outlineLevel="1" x14ac:dyDescent="0.3">
      <c r="B91" s="14"/>
      <c r="C91" s="15"/>
      <c r="D91" s="4">
        <f>-SUMIFS(Tab_99.Trial[DEZEMBRO],Tab_99.Trial[CONTA],$B91)</f>
        <v>0</v>
      </c>
      <c r="E91" s="78">
        <f t="shared" ca="1" si="147"/>
        <v>0</v>
      </c>
      <c r="F91" s="4">
        <f ca="1">-SUMIFS(INDIRECT("Tab_00.Trial["&amp;F$4&amp;"]"),Tab_00.Trial[CONTA],$B91)</f>
        <v>0</v>
      </c>
      <c r="G91" s="78">
        <f t="shared" ca="1" si="135"/>
        <v>0</v>
      </c>
      <c r="H91" s="78">
        <f t="shared" ca="1" si="148"/>
        <v>0</v>
      </c>
      <c r="I91" s="4">
        <f ca="1">-SUMIFS(INDIRECT("Tab_00.Trial["&amp;I$4&amp;"]"),Tab_00.Trial[CONTA],$B91)</f>
        <v>0</v>
      </c>
      <c r="J91" s="78">
        <f t="shared" ca="1" si="136"/>
        <v>0</v>
      </c>
      <c r="K91" s="78">
        <f t="shared" ca="1" si="149"/>
        <v>0</v>
      </c>
      <c r="L91" s="4">
        <f ca="1">-SUMIFS(INDIRECT("Tab_00.Trial["&amp;L$4&amp;"]"),Tab_00.Trial[CONTA],$B91)</f>
        <v>0</v>
      </c>
      <c r="M91" s="78">
        <f t="shared" ca="1" si="137"/>
        <v>0</v>
      </c>
      <c r="N91" s="78">
        <f t="shared" ca="1" si="150"/>
        <v>0</v>
      </c>
      <c r="O91" s="4">
        <f ca="1">-SUMIFS(INDIRECT("Tab_00.Trial["&amp;O$4&amp;"]"),Tab_00.Trial[CONTA],$B91)</f>
        <v>0</v>
      </c>
      <c r="P91" s="78">
        <f t="shared" ca="1" si="138"/>
        <v>0</v>
      </c>
      <c r="Q91" s="78">
        <f t="shared" ca="1" si="151"/>
        <v>0</v>
      </c>
      <c r="R91" s="4">
        <f ca="1">-SUMIFS(INDIRECT("Tab_00.Trial["&amp;R$4&amp;"]"),Tab_00.Trial[CONTA],$B91)</f>
        <v>0</v>
      </c>
      <c r="S91" s="78">
        <f t="shared" ca="1" si="139"/>
        <v>0</v>
      </c>
      <c r="T91" s="78">
        <f t="shared" ca="1" si="152"/>
        <v>0</v>
      </c>
      <c r="U91" s="4">
        <f ca="1">-SUMIFS(INDIRECT("Tab_00.Trial["&amp;U$4&amp;"]"),Tab_00.Trial[CONTA],$B91)</f>
        <v>0</v>
      </c>
      <c r="V91" s="78">
        <f t="shared" ca="1" si="140"/>
        <v>0</v>
      </c>
      <c r="W91" s="78">
        <f t="shared" ca="1" si="153"/>
        <v>0</v>
      </c>
      <c r="X91" s="4">
        <f ca="1">-SUMIFS(INDIRECT("Tab_00.Trial["&amp;X$4&amp;"]"),Tab_00.Trial[CONTA],$B91)</f>
        <v>0</v>
      </c>
      <c r="Y91" s="78">
        <f t="shared" ca="1" si="141"/>
        <v>0</v>
      </c>
      <c r="Z91" s="78">
        <f t="shared" ca="1" si="154"/>
        <v>0</v>
      </c>
      <c r="AA91" s="4">
        <f ca="1">-SUMIFS(INDIRECT("Tab_00.Trial["&amp;AA$4&amp;"]"),Tab_00.Trial[CONTA],$B91)</f>
        <v>0</v>
      </c>
      <c r="AB91" s="78">
        <f t="shared" ca="1" si="142"/>
        <v>0</v>
      </c>
      <c r="AC91" s="78">
        <f t="shared" ca="1" si="155"/>
        <v>0</v>
      </c>
      <c r="AD91" s="4">
        <f ca="1">-SUMIFS(INDIRECT("Tab_00.Trial["&amp;AD$4&amp;"]"),Tab_00.Trial[CONTA],$B91)</f>
        <v>0</v>
      </c>
      <c r="AE91" s="78">
        <f t="shared" ca="1" si="143"/>
        <v>0</v>
      </c>
      <c r="AF91" s="78">
        <f t="shared" ca="1" si="156"/>
        <v>0</v>
      </c>
      <c r="AG91" s="4">
        <f ca="1">-SUMIFS(INDIRECT("Tab_00.Trial["&amp;AG$4&amp;"]"),Tab_00.Trial[CONTA],$B91)</f>
        <v>0</v>
      </c>
      <c r="AH91" s="78">
        <f t="shared" ca="1" si="144"/>
        <v>0</v>
      </c>
      <c r="AI91" s="78">
        <f t="shared" ca="1" si="157"/>
        <v>0</v>
      </c>
      <c r="AJ91" s="4">
        <f ca="1">-SUMIFS(INDIRECT("Tab_00.Trial["&amp;AJ$4&amp;"]"),Tab_00.Trial[CONTA],$B91)</f>
        <v>0</v>
      </c>
      <c r="AK91" s="78">
        <f t="shared" ca="1" si="145"/>
        <v>0</v>
      </c>
      <c r="AL91" s="78">
        <f t="shared" ca="1" si="158"/>
        <v>0</v>
      </c>
      <c r="AM91" s="4">
        <f ca="1">-SUMIFS(INDIRECT("Tab_00.Trial["&amp;AM$4&amp;"]"),Tab_00.Trial[CONTA],$B91)</f>
        <v>0</v>
      </c>
      <c r="AN91" s="78">
        <f t="shared" ca="1" si="146"/>
        <v>0</v>
      </c>
      <c r="AO91" s="78">
        <f t="shared" ca="1" si="159"/>
        <v>0</v>
      </c>
    </row>
    <row r="92" spans="2:41" ht="15" hidden="1" customHeight="1" outlineLevel="1" x14ac:dyDescent="0.3">
      <c r="B92" s="14"/>
      <c r="C92" s="15"/>
      <c r="D92" s="4">
        <f>-SUMIFS(Tab_99.Trial[DEZEMBRO],Tab_99.Trial[CONTA],$B92)</f>
        <v>0</v>
      </c>
      <c r="E92" s="78">
        <f t="shared" ca="1" si="147"/>
        <v>0</v>
      </c>
      <c r="F92" s="4">
        <f ca="1">-SUMIFS(INDIRECT("Tab_00.Trial["&amp;F$4&amp;"]"),Tab_00.Trial[CONTA],$B92)</f>
        <v>0</v>
      </c>
      <c r="G92" s="78">
        <f t="shared" ca="1" si="135"/>
        <v>0</v>
      </c>
      <c r="H92" s="78">
        <f t="shared" ca="1" si="148"/>
        <v>0</v>
      </c>
      <c r="I92" s="4">
        <f ca="1">-SUMIFS(INDIRECT("Tab_00.Trial["&amp;I$4&amp;"]"),Tab_00.Trial[CONTA],$B92)</f>
        <v>0</v>
      </c>
      <c r="J92" s="78">
        <f t="shared" ca="1" si="136"/>
        <v>0</v>
      </c>
      <c r="K92" s="78">
        <f t="shared" ca="1" si="149"/>
        <v>0</v>
      </c>
      <c r="L92" s="4">
        <f ca="1">-SUMIFS(INDIRECT("Tab_00.Trial["&amp;L$4&amp;"]"),Tab_00.Trial[CONTA],$B92)</f>
        <v>0</v>
      </c>
      <c r="M92" s="78">
        <f t="shared" ca="1" si="137"/>
        <v>0</v>
      </c>
      <c r="N92" s="78">
        <f t="shared" ca="1" si="150"/>
        <v>0</v>
      </c>
      <c r="O92" s="4">
        <f ca="1">-SUMIFS(INDIRECT("Tab_00.Trial["&amp;O$4&amp;"]"),Tab_00.Trial[CONTA],$B92)</f>
        <v>0</v>
      </c>
      <c r="P92" s="78">
        <f t="shared" ca="1" si="138"/>
        <v>0</v>
      </c>
      <c r="Q92" s="78">
        <f t="shared" ca="1" si="151"/>
        <v>0</v>
      </c>
      <c r="R92" s="4">
        <f ca="1">-SUMIFS(INDIRECT("Tab_00.Trial["&amp;R$4&amp;"]"),Tab_00.Trial[CONTA],$B92)</f>
        <v>0</v>
      </c>
      <c r="S92" s="78">
        <f t="shared" ca="1" si="139"/>
        <v>0</v>
      </c>
      <c r="T92" s="78">
        <f t="shared" ca="1" si="152"/>
        <v>0</v>
      </c>
      <c r="U92" s="4">
        <f ca="1">-SUMIFS(INDIRECT("Tab_00.Trial["&amp;U$4&amp;"]"),Tab_00.Trial[CONTA],$B92)</f>
        <v>0</v>
      </c>
      <c r="V92" s="78">
        <f t="shared" ca="1" si="140"/>
        <v>0</v>
      </c>
      <c r="W92" s="78">
        <f t="shared" ca="1" si="153"/>
        <v>0</v>
      </c>
      <c r="X92" s="4">
        <f ca="1">-SUMIFS(INDIRECT("Tab_00.Trial["&amp;X$4&amp;"]"),Tab_00.Trial[CONTA],$B92)</f>
        <v>0</v>
      </c>
      <c r="Y92" s="78">
        <f t="shared" ca="1" si="141"/>
        <v>0</v>
      </c>
      <c r="Z92" s="78">
        <f t="shared" ca="1" si="154"/>
        <v>0</v>
      </c>
      <c r="AA92" s="4">
        <f ca="1">-SUMIFS(INDIRECT("Tab_00.Trial["&amp;AA$4&amp;"]"),Tab_00.Trial[CONTA],$B92)</f>
        <v>0</v>
      </c>
      <c r="AB92" s="78">
        <f t="shared" ca="1" si="142"/>
        <v>0</v>
      </c>
      <c r="AC92" s="78">
        <f t="shared" ca="1" si="155"/>
        <v>0</v>
      </c>
      <c r="AD92" s="4">
        <f ca="1">-SUMIFS(INDIRECT("Tab_00.Trial["&amp;AD$4&amp;"]"),Tab_00.Trial[CONTA],$B92)</f>
        <v>0</v>
      </c>
      <c r="AE92" s="78">
        <f t="shared" ca="1" si="143"/>
        <v>0</v>
      </c>
      <c r="AF92" s="78">
        <f t="shared" ca="1" si="156"/>
        <v>0</v>
      </c>
      <c r="AG92" s="4">
        <f ca="1">-SUMIFS(INDIRECT("Tab_00.Trial["&amp;AG$4&amp;"]"),Tab_00.Trial[CONTA],$B92)</f>
        <v>0</v>
      </c>
      <c r="AH92" s="78">
        <f t="shared" ca="1" si="144"/>
        <v>0</v>
      </c>
      <c r="AI92" s="78">
        <f t="shared" ca="1" si="157"/>
        <v>0</v>
      </c>
      <c r="AJ92" s="4">
        <f ca="1">-SUMIFS(INDIRECT("Tab_00.Trial["&amp;AJ$4&amp;"]"),Tab_00.Trial[CONTA],$B92)</f>
        <v>0</v>
      </c>
      <c r="AK92" s="78">
        <f t="shared" ca="1" si="145"/>
        <v>0</v>
      </c>
      <c r="AL92" s="78">
        <f t="shared" ca="1" si="158"/>
        <v>0</v>
      </c>
      <c r="AM92" s="4">
        <f ca="1">-SUMIFS(INDIRECT("Tab_00.Trial["&amp;AM$4&amp;"]"),Tab_00.Trial[CONTA],$B92)</f>
        <v>0</v>
      </c>
      <c r="AN92" s="78">
        <f t="shared" ca="1" si="146"/>
        <v>0</v>
      </c>
      <c r="AO92" s="78">
        <f t="shared" ca="1" si="159"/>
        <v>0</v>
      </c>
    </row>
    <row r="93" spans="2:41" ht="15" hidden="1" customHeight="1" outlineLevel="1" x14ac:dyDescent="0.3">
      <c r="B93" s="14"/>
      <c r="C93" s="15"/>
      <c r="D93" s="4">
        <f>-SUMIFS(Tab_99.Trial[DEZEMBRO],Tab_99.Trial[CONTA],$B93)</f>
        <v>0</v>
      </c>
      <c r="E93" s="78">
        <f t="shared" ca="1" si="147"/>
        <v>0</v>
      </c>
      <c r="F93" s="4">
        <f ca="1">-SUMIFS(INDIRECT("Tab_00.Trial["&amp;F$4&amp;"]"),Tab_00.Trial[CONTA],$B93)</f>
        <v>0</v>
      </c>
      <c r="G93" s="78">
        <f t="shared" ca="1" si="135"/>
        <v>0</v>
      </c>
      <c r="H93" s="78">
        <f t="shared" ca="1" si="148"/>
        <v>0</v>
      </c>
      <c r="I93" s="4">
        <f ca="1">-SUMIFS(INDIRECT("Tab_00.Trial["&amp;I$4&amp;"]"),Tab_00.Trial[CONTA],$B93)</f>
        <v>0</v>
      </c>
      <c r="J93" s="78">
        <f t="shared" ca="1" si="136"/>
        <v>0</v>
      </c>
      <c r="K93" s="78">
        <f t="shared" ca="1" si="149"/>
        <v>0</v>
      </c>
      <c r="L93" s="4">
        <f ca="1">-SUMIFS(INDIRECT("Tab_00.Trial["&amp;L$4&amp;"]"),Tab_00.Trial[CONTA],$B93)</f>
        <v>0</v>
      </c>
      <c r="M93" s="78">
        <f t="shared" ca="1" si="137"/>
        <v>0</v>
      </c>
      <c r="N93" s="78">
        <f t="shared" ca="1" si="150"/>
        <v>0</v>
      </c>
      <c r="O93" s="4">
        <f ca="1">-SUMIFS(INDIRECT("Tab_00.Trial["&amp;O$4&amp;"]"),Tab_00.Trial[CONTA],$B93)</f>
        <v>0</v>
      </c>
      <c r="P93" s="78">
        <f t="shared" ca="1" si="138"/>
        <v>0</v>
      </c>
      <c r="Q93" s="78">
        <f t="shared" ca="1" si="151"/>
        <v>0</v>
      </c>
      <c r="R93" s="4">
        <f ca="1">-SUMIFS(INDIRECT("Tab_00.Trial["&amp;R$4&amp;"]"),Tab_00.Trial[CONTA],$B93)</f>
        <v>0</v>
      </c>
      <c r="S93" s="78">
        <f t="shared" ca="1" si="139"/>
        <v>0</v>
      </c>
      <c r="T93" s="78">
        <f t="shared" ca="1" si="152"/>
        <v>0</v>
      </c>
      <c r="U93" s="4">
        <f ca="1">-SUMIFS(INDIRECT("Tab_00.Trial["&amp;U$4&amp;"]"),Tab_00.Trial[CONTA],$B93)</f>
        <v>0</v>
      </c>
      <c r="V93" s="78">
        <f t="shared" ca="1" si="140"/>
        <v>0</v>
      </c>
      <c r="W93" s="78">
        <f t="shared" ca="1" si="153"/>
        <v>0</v>
      </c>
      <c r="X93" s="4">
        <f ca="1">-SUMIFS(INDIRECT("Tab_00.Trial["&amp;X$4&amp;"]"),Tab_00.Trial[CONTA],$B93)</f>
        <v>0</v>
      </c>
      <c r="Y93" s="78">
        <f t="shared" ca="1" si="141"/>
        <v>0</v>
      </c>
      <c r="Z93" s="78">
        <f t="shared" ca="1" si="154"/>
        <v>0</v>
      </c>
      <c r="AA93" s="4">
        <f ca="1">-SUMIFS(INDIRECT("Tab_00.Trial["&amp;AA$4&amp;"]"),Tab_00.Trial[CONTA],$B93)</f>
        <v>0</v>
      </c>
      <c r="AB93" s="78">
        <f t="shared" ca="1" si="142"/>
        <v>0</v>
      </c>
      <c r="AC93" s="78">
        <f t="shared" ca="1" si="155"/>
        <v>0</v>
      </c>
      <c r="AD93" s="4">
        <f ca="1">-SUMIFS(INDIRECT("Tab_00.Trial["&amp;AD$4&amp;"]"),Tab_00.Trial[CONTA],$B93)</f>
        <v>0</v>
      </c>
      <c r="AE93" s="78">
        <f t="shared" ca="1" si="143"/>
        <v>0</v>
      </c>
      <c r="AF93" s="78">
        <f t="shared" ca="1" si="156"/>
        <v>0</v>
      </c>
      <c r="AG93" s="4">
        <f ca="1">-SUMIFS(INDIRECT("Tab_00.Trial["&amp;AG$4&amp;"]"),Tab_00.Trial[CONTA],$B93)</f>
        <v>0</v>
      </c>
      <c r="AH93" s="78">
        <f t="shared" ca="1" si="144"/>
        <v>0</v>
      </c>
      <c r="AI93" s="78">
        <f t="shared" ca="1" si="157"/>
        <v>0</v>
      </c>
      <c r="AJ93" s="4">
        <f ca="1">-SUMIFS(INDIRECT("Tab_00.Trial["&amp;AJ$4&amp;"]"),Tab_00.Trial[CONTA],$B93)</f>
        <v>0</v>
      </c>
      <c r="AK93" s="78">
        <f t="shared" ca="1" si="145"/>
        <v>0</v>
      </c>
      <c r="AL93" s="78">
        <f t="shared" ca="1" si="158"/>
        <v>0</v>
      </c>
      <c r="AM93" s="4">
        <f ca="1">-SUMIFS(INDIRECT("Tab_00.Trial["&amp;AM$4&amp;"]"),Tab_00.Trial[CONTA],$B93)</f>
        <v>0</v>
      </c>
      <c r="AN93" s="78">
        <f t="shared" ca="1" si="146"/>
        <v>0</v>
      </c>
      <c r="AO93" s="78">
        <f t="shared" ca="1" si="159"/>
        <v>0</v>
      </c>
    </row>
    <row r="94" spans="2:41" ht="15" hidden="1" customHeight="1" outlineLevel="1" x14ac:dyDescent="0.3">
      <c r="B94" s="14"/>
      <c r="C94" s="15"/>
      <c r="D94" s="4">
        <f>-SUMIFS(Tab_99.Trial[DEZEMBRO],Tab_99.Trial[CONTA],$B94)</f>
        <v>0</v>
      </c>
      <c r="E94" s="78">
        <f t="shared" ca="1" si="147"/>
        <v>0</v>
      </c>
      <c r="F94" s="4">
        <f ca="1">-SUMIFS(INDIRECT("Tab_00.Trial["&amp;F$4&amp;"]"),Tab_00.Trial[CONTA],$B94)</f>
        <v>0</v>
      </c>
      <c r="G94" s="78">
        <f t="shared" ca="1" si="135"/>
        <v>0</v>
      </c>
      <c r="H94" s="78">
        <f t="shared" ca="1" si="148"/>
        <v>0</v>
      </c>
      <c r="I94" s="4">
        <f ca="1">-SUMIFS(INDIRECT("Tab_00.Trial["&amp;I$4&amp;"]"),Tab_00.Trial[CONTA],$B94)</f>
        <v>0</v>
      </c>
      <c r="J94" s="78">
        <f t="shared" ca="1" si="136"/>
        <v>0</v>
      </c>
      <c r="K94" s="78">
        <f t="shared" ca="1" si="149"/>
        <v>0</v>
      </c>
      <c r="L94" s="4">
        <f ca="1">-SUMIFS(INDIRECT("Tab_00.Trial["&amp;L$4&amp;"]"),Tab_00.Trial[CONTA],$B94)</f>
        <v>0</v>
      </c>
      <c r="M94" s="78">
        <f t="shared" ca="1" si="137"/>
        <v>0</v>
      </c>
      <c r="N94" s="78">
        <f t="shared" ca="1" si="150"/>
        <v>0</v>
      </c>
      <c r="O94" s="4">
        <f ca="1">-SUMIFS(INDIRECT("Tab_00.Trial["&amp;O$4&amp;"]"),Tab_00.Trial[CONTA],$B94)</f>
        <v>0</v>
      </c>
      <c r="P94" s="78">
        <f t="shared" ca="1" si="138"/>
        <v>0</v>
      </c>
      <c r="Q94" s="78">
        <f t="shared" ca="1" si="151"/>
        <v>0</v>
      </c>
      <c r="R94" s="4">
        <f ca="1">-SUMIFS(INDIRECT("Tab_00.Trial["&amp;R$4&amp;"]"),Tab_00.Trial[CONTA],$B94)</f>
        <v>0</v>
      </c>
      <c r="S94" s="78">
        <f t="shared" ca="1" si="139"/>
        <v>0</v>
      </c>
      <c r="T94" s="78">
        <f t="shared" ca="1" si="152"/>
        <v>0</v>
      </c>
      <c r="U94" s="4">
        <f ca="1">-SUMIFS(INDIRECT("Tab_00.Trial["&amp;U$4&amp;"]"),Tab_00.Trial[CONTA],$B94)</f>
        <v>0</v>
      </c>
      <c r="V94" s="78">
        <f t="shared" ca="1" si="140"/>
        <v>0</v>
      </c>
      <c r="W94" s="78">
        <f t="shared" ca="1" si="153"/>
        <v>0</v>
      </c>
      <c r="X94" s="4">
        <f ca="1">-SUMIFS(INDIRECT("Tab_00.Trial["&amp;X$4&amp;"]"),Tab_00.Trial[CONTA],$B94)</f>
        <v>0</v>
      </c>
      <c r="Y94" s="78">
        <f t="shared" ca="1" si="141"/>
        <v>0</v>
      </c>
      <c r="Z94" s="78">
        <f t="shared" ca="1" si="154"/>
        <v>0</v>
      </c>
      <c r="AA94" s="4">
        <f ca="1">-SUMIFS(INDIRECT("Tab_00.Trial["&amp;AA$4&amp;"]"),Tab_00.Trial[CONTA],$B94)</f>
        <v>0</v>
      </c>
      <c r="AB94" s="78">
        <f t="shared" ca="1" si="142"/>
        <v>0</v>
      </c>
      <c r="AC94" s="78">
        <f t="shared" ca="1" si="155"/>
        <v>0</v>
      </c>
      <c r="AD94" s="4">
        <f ca="1">-SUMIFS(INDIRECT("Tab_00.Trial["&amp;AD$4&amp;"]"),Tab_00.Trial[CONTA],$B94)</f>
        <v>0</v>
      </c>
      <c r="AE94" s="78">
        <f t="shared" ca="1" si="143"/>
        <v>0</v>
      </c>
      <c r="AF94" s="78">
        <f t="shared" ca="1" si="156"/>
        <v>0</v>
      </c>
      <c r="AG94" s="4">
        <f ca="1">-SUMIFS(INDIRECT("Tab_00.Trial["&amp;AG$4&amp;"]"),Tab_00.Trial[CONTA],$B94)</f>
        <v>0</v>
      </c>
      <c r="AH94" s="78">
        <f t="shared" ca="1" si="144"/>
        <v>0</v>
      </c>
      <c r="AI94" s="78">
        <f t="shared" ca="1" si="157"/>
        <v>0</v>
      </c>
      <c r="AJ94" s="4">
        <f ca="1">-SUMIFS(INDIRECT("Tab_00.Trial["&amp;AJ$4&amp;"]"),Tab_00.Trial[CONTA],$B94)</f>
        <v>0</v>
      </c>
      <c r="AK94" s="78">
        <f t="shared" ca="1" si="145"/>
        <v>0</v>
      </c>
      <c r="AL94" s="78">
        <f t="shared" ca="1" si="158"/>
        <v>0</v>
      </c>
      <c r="AM94" s="4">
        <f ca="1">-SUMIFS(INDIRECT("Tab_00.Trial["&amp;AM$4&amp;"]"),Tab_00.Trial[CONTA],$B94)</f>
        <v>0</v>
      </c>
      <c r="AN94" s="78">
        <f t="shared" ca="1" si="146"/>
        <v>0</v>
      </c>
      <c r="AO94" s="78">
        <f t="shared" ca="1" si="159"/>
        <v>0</v>
      </c>
    </row>
    <row r="95" spans="2:41" ht="15" hidden="1" customHeight="1" outlineLevel="1" x14ac:dyDescent="0.3">
      <c r="B95" s="14"/>
      <c r="C95" s="15"/>
      <c r="D95" s="4">
        <f>-SUMIFS(Tab_99.Trial[DEZEMBRO],Tab_99.Trial[CONTA],$B95)</f>
        <v>0</v>
      </c>
      <c r="E95" s="78">
        <f t="shared" ca="1" si="147"/>
        <v>0</v>
      </c>
      <c r="F95" s="4">
        <f ca="1">-SUMIFS(INDIRECT("Tab_00.Trial["&amp;F$4&amp;"]"),Tab_00.Trial[CONTA],$B95)</f>
        <v>0</v>
      </c>
      <c r="G95" s="78">
        <f t="shared" ca="1" si="135"/>
        <v>0</v>
      </c>
      <c r="H95" s="78">
        <f t="shared" ca="1" si="148"/>
        <v>0</v>
      </c>
      <c r="I95" s="4">
        <f ca="1">-SUMIFS(INDIRECT("Tab_00.Trial["&amp;I$4&amp;"]"),Tab_00.Trial[CONTA],$B95)</f>
        <v>0</v>
      </c>
      <c r="J95" s="78">
        <f t="shared" ca="1" si="136"/>
        <v>0</v>
      </c>
      <c r="K95" s="78">
        <f t="shared" ca="1" si="149"/>
        <v>0</v>
      </c>
      <c r="L95" s="4">
        <f ca="1">-SUMIFS(INDIRECT("Tab_00.Trial["&amp;L$4&amp;"]"),Tab_00.Trial[CONTA],$B95)</f>
        <v>0</v>
      </c>
      <c r="M95" s="78">
        <f t="shared" ca="1" si="137"/>
        <v>0</v>
      </c>
      <c r="N95" s="78">
        <f t="shared" ca="1" si="150"/>
        <v>0</v>
      </c>
      <c r="O95" s="4">
        <f ca="1">-SUMIFS(INDIRECT("Tab_00.Trial["&amp;O$4&amp;"]"),Tab_00.Trial[CONTA],$B95)</f>
        <v>0</v>
      </c>
      <c r="P95" s="78">
        <f t="shared" ca="1" si="138"/>
        <v>0</v>
      </c>
      <c r="Q95" s="78">
        <f t="shared" ca="1" si="151"/>
        <v>0</v>
      </c>
      <c r="R95" s="4">
        <f ca="1">-SUMIFS(INDIRECT("Tab_00.Trial["&amp;R$4&amp;"]"),Tab_00.Trial[CONTA],$B95)</f>
        <v>0</v>
      </c>
      <c r="S95" s="78">
        <f t="shared" ca="1" si="139"/>
        <v>0</v>
      </c>
      <c r="T95" s="78">
        <f t="shared" ca="1" si="152"/>
        <v>0</v>
      </c>
      <c r="U95" s="4">
        <f ca="1">-SUMIFS(INDIRECT("Tab_00.Trial["&amp;U$4&amp;"]"),Tab_00.Trial[CONTA],$B95)</f>
        <v>0</v>
      </c>
      <c r="V95" s="78">
        <f t="shared" ca="1" si="140"/>
        <v>0</v>
      </c>
      <c r="W95" s="78">
        <f t="shared" ca="1" si="153"/>
        <v>0</v>
      </c>
      <c r="X95" s="4">
        <f ca="1">-SUMIFS(INDIRECT("Tab_00.Trial["&amp;X$4&amp;"]"),Tab_00.Trial[CONTA],$B95)</f>
        <v>0</v>
      </c>
      <c r="Y95" s="78">
        <f t="shared" ca="1" si="141"/>
        <v>0</v>
      </c>
      <c r="Z95" s="78">
        <f t="shared" ca="1" si="154"/>
        <v>0</v>
      </c>
      <c r="AA95" s="4">
        <f ca="1">-SUMIFS(INDIRECT("Tab_00.Trial["&amp;AA$4&amp;"]"),Tab_00.Trial[CONTA],$B95)</f>
        <v>0</v>
      </c>
      <c r="AB95" s="78">
        <f t="shared" ca="1" si="142"/>
        <v>0</v>
      </c>
      <c r="AC95" s="78">
        <f t="shared" ca="1" si="155"/>
        <v>0</v>
      </c>
      <c r="AD95" s="4">
        <f ca="1">-SUMIFS(INDIRECT("Tab_00.Trial["&amp;AD$4&amp;"]"),Tab_00.Trial[CONTA],$B95)</f>
        <v>0</v>
      </c>
      <c r="AE95" s="78">
        <f t="shared" ca="1" si="143"/>
        <v>0</v>
      </c>
      <c r="AF95" s="78">
        <f t="shared" ca="1" si="156"/>
        <v>0</v>
      </c>
      <c r="AG95" s="4">
        <f ca="1">-SUMIFS(INDIRECT("Tab_00.Trial["&amp;AG$4&amp;"]"),Tab_00.Trial[CONTA],$B95)</f>
        <v>0</v>
      </c>
      <c r="AH95" s="78">
        <f t="shared" ca="1" si="144"/>
        <v>0</v>
      </c>
      <c r="AI95" s="78">
        <f t="shared" ca="1" si="157"/>
        <v>0</v>
      </c>
      <c r="AJ95" s="4">
        <f ca="1">-SUMIFS(INDIRECT("Tab_00.Trial["&amp;AJ$4&amp;"]"),Tab_00.Trial[CONTA],$B95)</f>
        <v>0</v>
      </c>
      <c r="AK95" s="78">
        <f t="shared" ca="1" si="145"/>
        <v>0</v>
      </c>
      <c r="AL95" s="78">
        <f t="shared" ca="1" si="158"/>
        <v>0</v>
      </c>
      <c r="AM95" s="4">
        <f ca="1">-SUMIFS(INDIRECT("Tab_00.Trial["&amp;AM$4&amp;"]"),Tab_00.Trial[CONTA],$B95)</f>
        <v>0</v>
      </c>
      <c r="AN95" s="78">
        <f t="shared" ca="1" si="146"/>
        <v>0</v>
      </c>
      <c r="AO95" s="78">
        <f t="shared" ca="1" si="159"/>
        <v>0</v>
      </c>
    </row>
    <row r="96" spans="2:41" ht="15" hidden="1" customHeight="1" outlineLevel="1" x14ac:dyDescent="0.3">
      <c r="B96" s="14"/>
      <c r="C96" s="15"/>
      <c r="D96" s="4">
        <f>-SUMIFS(Tab_99.Trial[DEZEMBRO],Tab_99.Trial[CONTA],$B96)</f>
        <v>0</v>
      </c>
      <c r="E96" s="78">
        <f t="shared" ca="1" si="147"/>
        <v>0</v>
      </c>
      <c r="F96" s="4">
        <f ca="1">-SUMIFS(INDIRECT("Tab_00.Trial["&amp;F$4&amp;"]"),Tab_00.Trial[CONTA],$B96)</f>
        <v>0</v>
      </c>
      <c r="G96" s="78">
        <f t="shared" ca="1" si="135"/>
        <v>0</v>
      </c>
      <c r="H96" s="78">
        <f t="shared" ca="1" si="148"/>
        <v>0</v>
      </c>
      <c r="I96" s="4">
        <f ca="1">-SUMIFS(INDIRECT("Tab_00.Trial["&amp;I$4&amp;"]"),Tab_00.Trial[CONTA],$B96)</f>
        <v>0</v>
      </c>
      <c r="J96" s="78">
        <f t="shared" ca="1" si="136"/>
        <v>0</v>
      </c>
      <c r="K96" s="78">
        <f t="shared" ca="1" si="149"/>
        <v>0</v>
      </c>
      <c r="L96" s="4">
        <f ca="1">-SUMIFS(INDIRECT("Tab_00.Trial["&amp;L$4&amp;"]"),Tab_00.Trial[CONTA],$B96)</f>
        <v>0</v>
      </c>
      <c r="M96" s="78">
        <f t="shared" ca="1" si="137"/>
        <v>0</v>
      </c>
      <c r="N96" s="78">
        <f t="shared" ca="1" si="150"/>
        <v>0</v>
      </c>
      <c r="O96" s="4">
        <f ca="1">-SUMIFS(INDIRECT("Tab_00.Trial["&amp;O$4&amp;"]"),Tab_00.Trial[CONTA],$B96)</f>
        <v>0</v>
      </c>
      <c r="P96" s="78">
        <f t="shared" ca="1" si="138"/>
        <v>0</v>
      </c>
      <c r="Q96" s="78">
        <f t="shared" ca="1" si="151"/>
        <v>0</v>
      </c>
      <c r="R96" s="4">
        <f ca="1">-SUMIFS(INDIRECT("Tab_00.Trial["&amp;R$4&amp;"]"),Tab_00.Trial[CONTA],$B96)</f>
        <v>0</v>
      </c>
      <c r="S96" s="78">
        <f t="shared" ca="1" si="139"/>
        <v>0</v>
      </c>
      <c r="T96" s="78">
        <f t="shared" ca="1" si="152"/>
        <v>0</v>
      </c>
      <c r="U96" s="4">
        <f ca="1">-SUMIFS(INDIRECT("Tab_00.Trial["&amp;U$4&amp;"]"),Tab_00.Trial[CONTA],$B96)</f>
        <v>0</v>
      </c>
      <c r="V96" s="78">
        <f t="shared" ca="1" si="140"/>
        <v>0</v>
      </c>
      <c r="W96" s="78">
        <f t="shared" ca="1" si="153"/>
        <v>0</v>
      </c>
      <c r="X96" s="4">
        <f ca="1">-SUMIFS(INDIRECT("Tab_00.Trial["&amp;X$4&amp;"]"),Tab_00.Trial[CONTA],$B96)</f>
        <v>0</v>
      </c>
      <c r="Y96" s="78">
        <f t="shared" ca="1" si="141"/>
        <v>0</v>
      </c>
      <c r="Z96" s="78">
        <f t="shared" ca="1" si="154"/>
        <v>0</v>
      </c>
      <c r="AA96" s="4">
        <f ca="1">-SUMIFS(INDIRECT("Tab_00.Trial["&amp;AA$4&amp;"]"),Tab_00.Trial[CONTA],$B96)</f>
        <v>0</v>
      </c>
      <c r="AB96" s="78">
        <f t="shared" ca="1" si="142"/>
        <v>0</v>
      </c>
      <c r="AC96" s="78">
        <f t="shared" ca="1" si="155"/>
        <v>0</v>
      </c>
      <c r="AD96" s="4">
        <f ca="1">-SUMIFS(INDIRECT("Tab_00.Trial["&amp;AD$4&amp;"]"),Tab_00.Trial[CONTA],$B96)</f>
        <v>0</v>
      </c>
      <c r="AE96" s="78">
        <f t="shared" ca="1" si="143"/>
        <v>0</v>
      </c>
      <c r="AF96" s="78">
        <f t="shared" ca="1" si="156"/>
        <v>0</v>
      </c>
      <c r="AG96" s="4">
        <f ca="1">-SUMIFS(INDIRECT("Tab_00.Trial["&amp;AG$4&amp;"]"),Tab_00.Trial[CONTA],$B96)</f>
        <v>0</v>
      </c>
      <c r="AH96" s="78">
        <f t="shared" ca="1" si="144"/>
        <v>0</v>
      </c>
      <c r="AI96" s="78">
        <f t="shared" ca="1" si="157"/>
        <v>0</v>
      </c>
      <c r="AJ96" s="4">
        <f ca="1">-SUMIFS(INDIRECT("Tab_00.Trial["&amp;AJ$4&amp;"]"),Tab_00.Trial[CONTA],$B96)</f>
        <v>0</v>
      </c>
      <c r="AK96" s="78">
        <f t="shared" ca="1" si="145"/>
        <v>0</v>
      </c>
      <c r="AL96" s="78">
        <f t="shared" ca="1" si="158"/>
        <v>0</v>
      </c>
      <c r="AM96" s="4">
        <f ca="1">-SUMIFS(INDIRECT("Tab_00.Trial["&amp;AM$4&amp;"]"),Tab_00.Trial[CONTA],$B96)</f>
        <v>0</v>
      </c>
      <c r="AN96" s="78">
        <f t="shared" ca="1" si="146"/>
        <v>0</v>
      </c>
      <c r="AO96" s="78">
        <f t="shared" ca="1" si="159"/>
        <v>0</v>
      </c>
    </row>
    <row r="97" spans="2:41" ht="15" hidden="1" customHeight="1" outlineLevel="1" x14ac:dyDescent="0.3">
      <c r="B97" s="14"/>
      <c r="C97" s="15"/>
      <c r="D97" s="4">
        <f>-SUMIFS(Tab_99.Trial[DEZEMBRO],Tab_99.Trial[CONTA],$B97)</f>
        <v>0</v>
      </c>
      <c r="E97" s="78">
        <f t="shared" ca="1" si="147"/>
        <v>0</v>
      </c>
      <c r="F97" s="4">
        <f ca="1">-SUMIFS(INDIRECT("Tab_00.Trial["&amp;F$4&amp;"]"),Tab_00.Trial[CONTA],$B97)</f>
        <v>0</v>
      </c>
      <c r="G97" s="78">
        <f t="shared" ca="1" si="135"/>
        <v>0</v>
      </c>
      <c r="H97" s="78">
        <f t="shared" ca="1" si="148"/>
        <v>0</v>
      </c>
      <c r="I97" s="4">
        <f ca="1">-SUMIFS(INDIRECT("Tab_00.Trial["&amp;I$4&amp;"]"),Tab_00.Trial[CONTA],$B97)</f>
        <v>0</v>
      </c>
      <c r="J97" s="78">
        <f t="shared" ca="1" si="136"/>
        <v>0</v>
      </c>
      <c r="K97" s="78">
        <f t="shared" ca="1" si="149"/>
        <v>0</v>
      </c>
      <c r="L97" s="4">
        <f ca="1">-SUMIFS(INDIRECT("Tab_00.Trial["&amp;L$4&amp;"]"),Tab_00.Trial[CONTA],$B97)</f>
        <v>0</v>
      </c>
      <c r="M97" s="78">
        <f t="shared" ca="1" si="137"/>
        <v>0</v>
      </c>
      <c r="N97" s="78">
        <f t="shared" ca="1" si="150"/>
        <v>0</v>
      </c>
      <c r="O97" s="4">
        <f ca="1">-SUMIFS(INDIRECT("Tab_00.Trial["&amp;O$4&amp;"]"),Tab_00.Trial[CONTA],$B97)</f>
        <v>0</v>
      </c>
      <c r="P97" s="78">
        <f t="shared" ca="1" si="138"/>
        <v>0</v>
      </c>
      <c r="Q97" s="78">
        <f t="shared" ca="1" si="151"/>
        <v>0</v>
      </c>
      <c r="R97" s="4">
        <f ca="1">-SUMIFS(INDIRECT("Tab_00.Trial["&amp;R$4&amp;"]"),Tab_00.Trial[CONTA],$B97)</f>
        <v>0</v>
      </c>
      <c r="S97" s="78">
        <f t="shared" ca="1" si="139"/>
        <v>0</v>
      </c>
      <c r="T97" s="78">
        <f t="shared" ca="1" si="152"/>
        <v>0</v>
      </c>
      <c r="U97" s="4">
        <f ca="1">-SUMIFS(INDIRECT("Tab_00.Trial["&amp;U$4&amp;"]"),Tab_00.Trial[CONTA],$B97)</f>
        <v>0</v>
      </c>
      <c r="V97" s="78">
        <f t="shared" ca="1" si="140"/>
        <v>0</v>
      </c>
      <c r="W97" s="78">
        <f t="shared" ca="1" si="153"/>
        <v>0</v>
      </c>
      <c r="X97" s="4">
        <f ca="1">-SUMIFS(INDIRECT("Tab_00.Trial["&amp;X$4&amp;"]"),Tab_00.Trial[CONTA],$B97)</f>
        <v>0</v>
      </c>
      <c r="Y97" s="78">
        <f t="shared" ca="1" si="141"/>
        <v>0</v>
      </c>
      <c r="Z97" s="78">
        <f t="shared" ca="1" si="154"/>
        <v>0</v>
      </c>
      <c r="AA97" s="4">
        <f ca="1">-SUMIFS(INDIRECT("Tab_00.Trial["&amp;AA$4&amp;"]"),Tab_00.Trial[CONTA],$B97)</f>
        <v>0</v>
      </c>
      <c r="AB97" s="78">
        <f t="shared" ca="1" si="142"/>
        <v>0</v>
      </c>
      <c r="AC97" s="78">
        <f t="shared" ca="1" si="155"/>
        <v>0</v>
      </c>
      <c r="AD97" s="4">
        <f ca="1">-SUMIFS(INDIRECT("Tab_00.Trial["&amp;AD$4&amp;"]"),Tab_00.Trial[CONTA],$B97)</f>
        <v>0</v>
      </c>
      <c r="AE97" s="78">
        <f t="shared" ca="1" si="143"/>
        <v>0</v>
      </c>
      <c r="AF97" s="78">
        <f t="shared" ca="1" si="156"/>
        <v>0</v>
      </c>
      <c r="AG97" s="4">
        <f ca="1">-SUMIFS(INDIRECT("Tab_00.Trial["&amp;AG$4&amp;"]"),Tab_00.Trial[CONTA],$B97)</f>
        <v>0</v>
      </c>
      <c r="AH97" s="78">
        <f t="shared" ca="1" si="144"/>
        <v>0</v>
      </c>
      <c r="AI97" s="78">
        <f t="shared" ca="1" si="157"/>
        <v>0</v>
      </c>
      <c r="AJ97" s="4">
        <f ca="1">-SUMIFS(INDIRECT("Tab_00.Trial["&amp;AJ$4&amp;"]"),Tab_00.Trial[CONTA],$B97)</f>
        <v>0</v>
      </c>
      <c r="AK97" s="78">
        <f t="shared" ca="1" si="145"/>
        <v>0</v>
      </c>
      <c r="AL97" s="78">
        <f t="shared" ca="1" si="158"/>
        <v>0</v>
      </c>
      <c r="AM97" s="4">
        <f ca="1">-SUMIFS(INDIRECT("Tab_00.Trial["&amp;AM$4&amp;"]"),Tab_00.Trial[CONTA],$B97)</f>
        <v>0</v>
      </c>
      <c r="AN97" s="78">
        <f t="shared" ca="1" si="146"/>
        <v>0</v>
      </c>
      <c r="AO97" s="78">
        <f t="shared" ca="1" si="159"/>
        <v>0</v>
      </c>
    </row>
    <row r="98" spans="2:41" ht="15" hidden="1" customHeight="1" outlineLevel="1" x14ac:dyDescent="0.3">
      <c r="B98" s="14"/>
      <c r="C98" s="15"/>
      <c r="D98" s="4">
        <f>-SUMIFS(Tab_99.Trial[DEZEMBRO],Tab_99.Trial[CONTA],$B98)</f>
        <v>0</v>
      </c>
      <c r="E98" s="78">
        <f t="shared" ca="1" si="147"/>
        <v>0</v>
      </c>
      <c r="F98" s="4">
        <f ca="1">-SUMIFS(INDIRECT("Tab_00.Trial["&amp;F$4&amp;"]"),Tab_00.Trial[CONTA],$B98)</f>
        <v>0</v>
      </c>
      <c r="G98" s="78">
        <f t="shared" ca="1" si="135"/>
        <v>0</v>
      </c>
      <c r="H98" s="78">
        <f t="shared" ca="1" si="148"/>
        <v>0</v>
      </c>
      <c r="I98" s="4">
        <f ca="1">-SUMIFS(INDIRECT("Tab_00.Trial["&amp;I$4&amp;"]"),Tab_00.Trial[CONTA],$B98)</f>
        <v>0</v>
      </c>
      <c r="J98" s="78">
        <f t="shared" ca="1" si="136"/>
        <v>0</v>
      </c>
      <c r="K98" s="78">
        <f t="shared" ca="1" si="149"/>
        <v>0</v>
      </c>
      <c r="L98" s="4">
        <f ca="1">-SUMIFS(INDIRECT("Tab_00.Trial["&amp;L$4&amp;"]"),Tab_00.Trial[CONTA],$B98)</f>
        <v>0</v>
      </c>
      <c r="M98" s="78">
        <f t="shared" ca="1" si="137"/>
        <v>0</v>
      </c>
      <c r="N98" s="78">
        <f t="shared" ca="1" si="150"/>
        <v>0</v>
      </c>
      <c r="O98" s="4">
        <f ca="1">-SUMIFS(INDIRECT("Tab_00.Trial["&amp;O$4&amp;"]"),Tab_00.Trial[CONTA],$B98)</f>
        <v>0</v>
      </c>
      <c r="P98" s="78">
        <f t="shared" ca="1" si="138"/>
        <v>0</v>
      </c>
      <c r="Q98" s="78">
        <f t="shared" ca="1" si="151"/>
        <v>0</v>
      </c>
      <c r="R98" s="4">
        <f ca="1">-SUMIFS(INDIRECT("Tab_00.Trial["&amp;R$4&amp;"]"),Tab_00.Trial[CONTA],$B98)</f>
        <v>0</v>
      </c>
      <c r="S98" s="78">
        <f t="shared" ca="1" si="139"/>
        <v>0</v>
      </c>
      <c r="T98" s="78">
        <f t="shared" ca="1" si="152"/>
        <v>0</v>
      </c>
      <c r="U98" s="4">
        <f ca="1">-SUMIFS(INDIRECT("Tab_00.Trial["&amp;U$4&amp;"]"),Tab_00.Trial[CONTA],$B98)</f>
        <v>0</v>
      </c>
      <c r="V98" s="78">
        <f t="shared" ca="1" si="140"/>
        <v>0</v>
      </c>
      <c r="W98" s="78">
        <f t="shared" ca="1" si="153"/>
        <v>0</v>
      </c>
      <c r="X98" s="4">
        <f ca="1">-SUMIFS(INDIRECT("Tab_00.Trial["&amp;X$4&amp;"]"),Tab_00.Trial[CONTA],$B98)</f>
        <v>0</v>
      </c>
      <c r="Y98" s="78">
        <f t="shared" ca="1" si="141"/>
        <v>0</v>
      </c>
      <c r="Z98" s="78">
        <f t="shared" ca="1" si="154"/>
        <v>0</v>
      </c>
      <c r="AA98" s="4">
        <f ca="1">-SUMIFS(INDIRECT("Tab_00.Trial["&amp;AA$4&amp;"]"),Tab_00.Trial[CONTA],$B98)</f>
        <v>0</v>
      </c>
      <c r="AB98" s="78">
        <f t="shared" ca="1" si="142"/>
        <v>0</v>
      </c>
      <c r="AC98" s="78">
        <f t="shared" ca="1" si="155"/>
        <v>0</v>
      </c>
      <c r="AD98" s="4">
        <f ca="1">-SUMIFS(INDIRECT("Tab_00.Trial["&amp;AD$4&amp;"]"),Tab_00.Trial[CONTA],$B98)</f>
        <v>0</v>
      </c>
      <c r="AE98" s="78">
        <f t="shared" ca="1" si="143"/>
        <v>0</v>
      </c>
      <c r="AF98" s="78">
        <f t="shared" ca="1" si="156"/>
        <v>0</v>
      </c>
      <c r="AG98" s="4">
        <f ca="1">-SUMIFS(INDIRECT("Tab_00.Trial["&amp;AG$4&amp;"]"),Tab_00.Trial[CONTA],$B98)</f>
        <v>0</v>
      </c>
      <c r="AH98" s="78">
        <f t="shared" ca="1" si="144"/>
        <v>0</v>
      </c>
      <c r="AI98" s="78">
        <f t="shared" ca="1" si="157"/>
        <v>0</v>
      </c>
      <c r="AJ98" s="4">
        <f ca="1">-SUMIFS(INDIRECT("Tab_00.Trial["&amp;AJ$4&amp;"]"),Tab_00.Trial[CONTA],$B98)</f>
        <v>0</v>
      </c>
      <c r="AK98" s="78">
        <f t="shared" ca="1" si="145"/>
        <v>0</v>
      </c>
      <c r="AL98" s="78">
        <f t="shared" ca="1" si="158"/>
        <v>0</v>
      </c>
      <c r="AM98" s="4">
        <f ca="1">-SUMIFS(INDIRECT("Tab_00.Trial["&amp;AM$4&amp;"]"),Tab_00.Trial[CONTA],$B98)</f>
        <v>0</v>
      </c>
      <c r="AN98" s="78">
        <f t="shared" ca="1" si="146"/>
        <v>0</v>
      </c>
      <c r="AO98" s="78">
        <f t="shared" ca="1" si="159"/>
        <v>0</v>
      </c>
    </row>
    <row r="99" spans="2:41" ht="15" hidden="1" customHeight="1" outlineLevel="1" x14ac:dyDescent="0.3">
      <c r="B99" s="14"/>
      <c r="C99" s="15"/>
      <c r="D99" s="4">
        <f>-SUMIFS(Tab_99.Trial[DEZEMBRO],Tab_99.Trial[CONTA],$B99)</f>
        <v>0</v>
      </c>
      <c r="E99" s="78">
        <f t="shared" ca="1" si="147"/>
        <v>0</v>
      </c>
      <c r="F99" s="4">
        <f ca="1">-SUMIFS(INDIRECT("Tab_00.Trial["&amp;F$4&amp;"]"),Tab_00.Trial[CONTA],$B99)</f>
        <v>0</v>
      </c>
      <c r="G99" s="78">
        <f t="shared" ca="1" si="135"/>
        <v>0</v>
      </c>
      <c r="H99" s="78">
        <f t="shared" ca="1" si="148"/>
        <v>0</v>
      </c>
      <c r="I99" s="4">
        <f ca="1">-SUMIFS(INDIRECT("Tab_00.Trial["&amp;I$4&amp;"]"),Tab_00.Trial[CONTA],$B99)</f>
        <v>0</v>
      </c>
      <c r="J99" s="78">
        <f t="shared" ca="1" si="136"/>
        <v>0</v>
      </c>
      <c r="K99" s="78">
        <f t="shared" ca="1" si="149"/>
        <v>0</v>
      </c>
      <c r="L99" s="4">
        <f ca="1">-SUMIFS(INDIRECT("Tab_00.Trial["&amp;L$4&amp;"]"),Tab_00.Trial[CONTA],$B99)</f>
        <v>0</v>
      </c>
      <c r="M99" s="78">
        <f t="shared" ca="1" si="137"/>
        <v>0</v>
      </c>
      <c r="N99" s="78">
        <f t="shared" ca="1" si="150"/>
        <v>0</v>
      </c>
      <c r="O99" s="4">
        <f ca="1">-SUMIFS(INDIRECT("Tab_00.Trial["&amp;O$4&amp;"]"),Tab_00.Trial[CONTA],$B99)</f>
        <v>0</v>
      </c>
      <c r="P99" s="78">
        <f t="shared" ca="1" si="138"/>
        <v>0</v>
      </c>
      <c r="Q99" s="78">
        <f t="shared" ca="1" si="151"/>
        <v>0</v>
      </c>
      <c r="R99" s="4">
        <f ca="1">-SUMIFS(INDIRECT("Tab_00.Trial["&amp;R$4&amp;"]"),Tab_00.Trial[CONTA],$B99)</f>
        <v>0</v>
      </c>
      <c r="S99" s="78">
        <f t="shared" ca="1" si="139"/>
        <v>0</v>
      </c>
      <c r="T99" s="78">
        <f t="shared" ca="1" si="152"/>
        <v>0</v>
      </c>
      <c r="U99" s="4">
        <f ca="1">-SUMIFS(INDIRECT("Tab_00.Trial["&amp;U$4&amp;"]"),Tab_00.Trial[CONTA],$B99)</f>
        <v>0</v>
      </c>
      <c r="V99" s="78">
        <f t="shared" ca="1" si="140"/>
        <v>0</v>
      </c>
      <c r="W99" s="78">
        <f t="shared" ca="1" si="153"/>
        <v>0</v>
      </c>
      <c r="X99" s="4">
        <f ca="1">-SUMIFS(INDIRECT("Tab_00.Trial["&amp;X$4&amp;"]"),Tab_00.Trial[CONTA],$B99)</f>
        <v>0</v>
      </c>
      <c r="Y99" s="78">
        <f t="shared" ca="1" si="141"/>
        <v>0</v>
      </c>
      <c r="Z99" s="78">
        <f t="shared" ca="1" si="154"/>
        <v>0</v>
      </c>
      <c r="AA99" s="4">
        <f ca="1">-SUMIFS(INDIRECT("Tab_00.Trial["&amp;AA$4&amp;"]"),Tab_00.Trial[CONTA],$B99)</f>
        <v>0</v>
      </c>
      <c r="AB99" s="78">
        <f t="shared" ca="1" si="142"/>
        <v>0</v>
      </c>
      <c r="AC99" s="78">
        <f t="shared" ca="1" si="155"/>
        <v>0</v>
      </c>
      <c r="AD99" s="4">
        <f ca="1">-SUMIFS(INDIRECT("Tab_00.Trial["&amp;AD$4&amp;"]"),Tab_00.Trial[CONTA],$B99)</f>
        <v>0</v>
      </c>
      <c r="AE99" s="78">
        <f t="shared" ca="1" si="143"/>
        <v>0</v>
      </c>
      <c r="AF99" s="78">
        <f t="shared" ca="1" si="156"/>
        <v>0</v>
      </c>
      <c r="AG99" s="4">
        <f ca="1">-SUMIFS(INDIRECT("Tab_00.Trial["&amp;AG$4&amp;"]"),Tab_00.Trial[CONTA],$B99)</f>
        <v>0</v>
      </c>
      <c r="AH99" s="78">
        <f t="shared" ca="1" si="144"/>
        <v>0</v>
      </c>
      <c r="AI99" s="78">
        <f t="shared" ca="1" si="157"/>
        <v>0</v>
      </c>
      <c r="AJ99" s="4">
        <f ca="1">-SUMIFS(INDIRECT("Tab_00.Trial["&amp;AJ$4&amp;"]"),Tab_00.Trial[CONTA],$B99)</f>
        <v>0</v>
      </c>
      <c r="AK99" s="78">
        <f t="shared" ca="1" si="145"/>
        <v>0</v>
      </c>
      <c r="AL99" s="78">
        <f t="shared" ca="1" si="158"/>
        <v>0</v>
      </c>
      <c r="AM99" s="4">
        <f ca="1">-SUMIFS(INDIRECT("Tab_00.Trial["&amp;AM$4&amp;"]"),Tab_00.Trial[CONTA],$B99)</f>
        <v>0</v>
      </c>
      <c r="AN99" s="78">
        <f t="shared" ca="1" si="146"/>
        <v>0</v>
      </c>
      <c r="AO99" s="78">
        <f t="shared" ca="1" si="159"/>
        <v>0</v>
      </c>
    </row>
    <row r="100" spans="2:41" ht="15" hidden="1" customHeight="1" outlineLevel="1" x14ac:dyDescent="0.3">
      <c r="B100" s="14"/>
      <c r="C100" s="15"/>
      <c r="D100" s="4">
        <f>-SUMIFS(Tab_99.Trial[DEZEMBRO],Tab_99.Trial[CONTA],$B100)</f>
        <v>0</v>
      </c>
      <c r="E100" s="78">
        <f t="shared" ca="1" si="147"/>
        <v>0</v>
      </c>
      <c r="F100" s="4">
        <f ca="1">-SUMIFS(INDIRECT("Tab_00.Trial["&amp;F$4&amp;"]"),Tab_00.Trial[CONTA],$B100)</f>
        <v>0</v>
      </c>
      <c r="G100" s="78">
        <f t="shared" ca="1" si="135"/>
        <v>0</v>
      </c>
      <c r="H100" s="78">
        <f t="shared" ca="1" si="148"/>
        <v>0</v>
      </c>
      <c r="I100" s="4">
        <f ca="1">-SUMIFS(INDIRECT("Tab_00.Trial["&amp;I$4&amp;"]"),Tab_00.Trial[CONTA],$B100)</f>
        <v>0</v>
      </c>
      <c r="J100" s="78">
        <f t="shared" ca="1" si="136"/>
        <v>0</v>
      </c>
      <c r="K100" s="78">
        <f t="shared" ca="1" si="149"/>
        <v>0</v>
      </c>
      <c r="L100" s="4">
        <f ca="1">-SUMIFS(INDIRECT("Tab_00.Trial["&amp;L$4&amp;"]"),Tab_00.Trial[CONTA],$B100)</f>
        <v>0</v>
      </c>
      <c r="M100" s="78">
        <f t="shared" ca="1" si="137"/>
        <v>0</v>
      </c>
      <c r="N100" s="78">
        <f t="shared" ca="1" si="150"/>
        <v>0</v>
      </c>
      <c r="O100" s="4">
        <f ca="1">-SUMIFS(INDIRECT("Tab_00.Trial["&amp;O$4&amp;"]"),Tab_00.Trial[CONTA],$B100)</f>
        <v>0</v>
      </c>
      <c r="P100" s="78">
        <f t="shared" ca="1" si="138"/>
        <v>0</v>
      </c>
      <c r="Q100" s="78">
        <f t="shared" ca="1" si="151"/>
        <v>0</v>
      </c>
      <c r="R100" s="4">
        <f ca="1">-SUMIFS(INDIRECT("Tab_00.Trial["&amp;R$4&amp;"]"),Tab_00.Trial[CONTA],$B100)</f>
        <v>0</v>
      </c>
      <c r="S100" s="78">
        <f t="shared" ca="1" si="139"/>
        <v>0</v>
      </c>
      <c r="T100" s="78">
        <f t="shared" ca="1" si="152"/>
        <v>0</v>
      </c>
      <c r="U100" s="4">
        <f ca="1">-SUMIFS(INDIRECT("Tab_00.Trial["&amp;U$4&amp;"]"),Tab_00.Trial[CONTA],$B100)</f>
        <v>0</v>
      </c>
      <c r="V100" s="78">
        <f t="shared" ca="1" si="140"/>
        <v>0</v>
      </c>
      <c r="W100" s="78">
        <f t="shared" ca="1" si="153"/>
        <v>0</v>
      </c>
      <c r="X100" s="4">
        <f ca="1">-SUMIFS(INDIRECT("Tab_00.Trial["&amp;X$4&amp;"]"),Tab_00.Trial[CONTA],$B100)</f>
        <v>0</v>
      </c>
      <c r="Y100" s="78">
        <f t="shared" ca="1" si="141"/>
        <v>0</v>
      </c>
      <c r="Z100" s="78">
        <f t="shared" ca="1" si="154"/>
        <v>0</v>
      </c>
      <c r="AA100" s="4">
        <f ca="1">-SUMIFS(INDIRECT("Tab_00.Trial["&amp;AA$4&amp;"]"),Tab_00.Trial[CONTA],$B100)</f>
        <v>0</v>
      </c>
      <c r="AB100" s="78">
        <f t="shared" ca="1" si="142"/>
        <v>0</v>
      </c>
      <c r="AC100" s="78">
        <f t="shared" ca="1" si="155"/>
        <v>0</v>
      </c>
      <c r="AD100" s="4">
        <f ca="1">-SUMIFS(INDIRECT("Tab_00.Trial["&amp;AD$4&amp;"]"),Tab_00.Trial[CONTA],$B100)</f>
        <v>0</v>
      </c>
      <c r="AE100" s="78">
        <f t="shared" ca="1" si="143"/>
        <v>0</v>
      </c>
      <c r="AF100" s="78">
        <f t="shared" ca="1" si="156"/>
        <v>0</v>
      </c>
      <c r="AG100" s="4">
        <f ca="1">-SUMIFS(INDIRECT("Tab_00.Trial["&amp;AG$4&amp;"]"),Tab_00.Trial[CONTA],$B100)</f>
        <v>0</v>
      </c>
      <c r="AH100" s="78">
        <f t="shared" ca="1" si="144"/>
        <v>0</v>
      </c>
      <c r="AI100" s="78">
        <f t="shared" ca="1" si="157"/>
        <v>0</v>
      </c>
      <c r="AJ100" s="4">
        <f ca="1">-SUMIFS(INDIRECT("Tab_00.Trial["&amp;AJ$4&amp;"]"),Tab_00.Trial[CONTA],$B100)</f>
        <v>0</v>
      </c>
      <c r="AK100" s="78">
        <f t="shared" ca="1" si="145"/>
        <v>0</v>
      </c>
      <c r="AL100" s="78">
        <f t="shared" ca="1" si="158"/>
        <v>0</v>
      </c>
      <c r="AM100" s="4">
        <f ca="1">-SUMIFS(INDIRECT("Tab_00.Trial["&amp;AM$4&amp;"]"),Tab_00.Trial[CONTA],$B100)</f>
        <v>0</v>
      </c>
      <c r="AN100" s="78">
        <f t="shared" ca="1" si="146"/>
        <v>0</v>
      </c>
      <c r="AO100" s="78">
        <f t="shared" ca="1" si="159"/>
        <v>0</v>
      </c>
    </row>
    <row r="101" spans="2:41" ht="15" hidden="1" customHeight="1" outlineLevel="1" x14ac:dyDescent="0.3">
      <c r="B101" s="14"/>
      <c r="C101" s="15"/>
      <c r="D101" s="4">
        <f>-SUMIFS(Tab_99.Trial[DEZEMBRO],Tab_99.Trial[CONTA],$B101)</f>
        <v>0</v>
      </c>
      <c r="E101" s="78">
        <f t="shared" ca="1" si="147"/>
        <v>0</v>
      </c>
      <c r="F101" s="4">
        <f ca="1">-SUMIFS(INDIRECT("Tab_00.Trial["&amp;F$4&amp;"]"),Tab_00.Trial[CONTA],$B101)</f>
        <v>0</v>
      </c>
      <c r="G101" s="78">
        <f t="shared" ca="1" si="135"/>
        <v>0</v>
      </c>
      <c r="H101" s="78">
        <f t="shared" ca="1" si="148"/>
        <v>0</v>
      </c>
      <c r="I101" s="4">
        <f ca="1">-SUMIFS(INDIRECT("Tab_00.Trial["&amp;I$4&amp;"]"),Tab_00.Trial[CONTA],$B101)</f>
        <v>0</v>
      </c>
      <c r="J101" s="78">
        <f t="shared" ca="1" si="136"/>
        <v>0</v>
      </c>
      <c r="K101" s="78">
        <f t="shared" ca="1" si="149"/>
        <v>0</v>
      </c>
      <c r="L101" s="4">
        <f ca="1">-SUMIFS(INDIRECT("Tab_00.Trial["&amp;L$4&amp;"]"),Tab_00.Trial[CONTA],$B101)</f>
        <v>0</v>
      </c>
      <c r="M101" s="78">
        <f t="shared" ca="1" si="137"/>
        <v>0</v>
      </c>
      <c r="N101" s="78">
        <f t="shared" ca="1" si="150"/>
        <v>0</v>
      </c>
      <c r="O101" s="4">
        <f ca="1">-SUMIFS(INDIRECT("Tab_00.Trial["&amp;O$4&amp;"]"),Tab_00.Trial[CONTA],$B101)</f>
        <v>0</v>
      </c>
      <c r="P101" s="78">
        <f t="shared" ca="1" si="138"/>
        <v>0</v>
      </c>
      <c r="Q101" s="78">
        <f t="shared" ca="1" si="151"/>
        <v>0</v>
      </c>
      <c r="R101" s="4">
        <f ca="1">-SUMIFS(INDIRECT("Tab_00.Trial["&amp;R$4&amp;"]"),Tab_00.Trial[CONTA],$B101)</f>
        <v>0</v>
      </c>
      <c r="S101" s="78">
        <f t="shared" ca="1" si="139"/>
        <v>0</v>
      </c>
      <c r="T101" s="78">
        <f t="shared" ca="1" si="152"/>
        <v>0</v>
      </c>
      <c r="U101" s="4">
        <f ca="1">-SUMIFS(INDIRECT("Tab_00.Trial["&amp;U$4&amp;"]"),Tab_00.Trial[CONTA],$B101)</f>
        <v>0</v>
      </c>
      <c r="V101" s="78">
        <f t="shared" ca="1" si="140"/>
        <v>0</v>
      </c>
      <c r="W101" s="78">
        <f t="shared" ca="1" si="153"/>
        <v>0</v>
      </c>
      <c r="X101" s="4">
        <f ca="1">-SUMIFS(INDIRECT("Tab_00.Trial["&amp;X$4&amp;"]"),Tab_00.Trial[CONTA],$B101)</f>
        <v>0</v>
      </c>
      <c r="Y101" s="78">
        <f t="shared" ca="1" si="141"/>
        <v>0</v>
      </c>
      <c r="Z101" s="78">
        <f t="shared" ca="1" si="154"/>
        <v>0</v>
      </c>
      <c r="AA101" s="4">
        <f ca="1">-SUMIFS(INDIRECT("Tab_00.Trial["&amp;AA$4&amp;"]"),Tab_00.Trial[CONTA],$B101)</f>
        <v>0</v>
      </c>
      <c r="AB101" s="78">
        <f t="shared" ca="1" si="142"/>
        <v>0</v>
      </c>
      <c r="AC101" s="78">
        <f t="shared" ca="1" si="155"/>
        <v>0</v>
      </c>
      <c r="AD101" s="4">
        <f ca="1">-SUMIFS(INDIRECT("Tab_00.Trial["&amp;AD$4&amp;"]"),Tab_00.Trial[CONTA],$B101)</f>
        <v>0</v>
      </c>
      <c r="AE101" s="78">
        <f t="shared" ca="1" si="143"/>
        <v>0</v>
      </c>
      <c r="AF101" s="78">
        <f t="shared" ca="1" si="156"/>
        <v>0</v>
      </c>
      <c r="AG101" s="4">
        <f ca="1">-SUMIFS(INDIRECT("Tab_00.Trial["&amp;AG$4&amp;"]"),Tab_00.Trial[CONTA],$B101)</f>
        <v>0</v>
      </c>
      <c r="AH101" s="78">
        <f t="shared" ca="1" si="144"/>
        <v>0</v>
      </c>
      <c r="AI101" s="78">
        <f t="shared" ca="1" si="157"/>
        <v>0</v>
      </c>
      <c r="AJ101" s="4">
        <f ca="1">-SUMIFS(INDIRECT("Tab_00.Trial["&amp;AJ$4&amp;"]"),Tab_00.Trial[CONTA],$B101)</f>
        <v>0</v>
      </c>
      <c r="AK101" s="78">
        <f t="shared" ca="1" si="145"/>
        <v>0</v>
      </c>
      <c r="AL101" s="78">
        <f t="shared" ca="1" si="158"/>
        <v>0</v>
      </c>
      <c r="AM101" s="4">
        <f ca="1">-SUMIFS(INDIRECT("Tab_00.Trial["&amp;AM$4&amp;"]"),Tab_00.Trial[CONTA],$B101)</f>
        <v>0</v>
      </c>
      <c r="AN101" s="78">
        <f t="shared" ca="1" si="146"/>
        <v>0</v>
      </c>
      <c r="AO101" s="78">
        <f t="shared" ca="1" si="159"/>
        <v>0</v>
      </c>
    </row>
    <row r="102" spans="2:41" ht="15" hidden="1" customHeight="1" outlineLevel="1" x14ac:dyDescent="0.3">
      <c r="B102" s="14"/>
      <c r="C102" s="15"/>
      <c r="D102" s="4">
        <f>-SUMIFS(Tab_99.Trial[DEZEMBRO],Tab_99.Trial[CONTA],$B102)</f>
        <v>0</v>
      </c>
      <c r="E102" s="78">
        <f t="shared" ca="1" si="147"/>
        <v>0</v>
      </c>
      <c r="F102" s="4">
        <f ca="1">-SUMIFS(INDIRECT("Tab_00.Trial["&amp;F$4&amp;"]"),Tab_00.Trial[CONTA],$B102)</f>
        <v>0</v>
      </c>
      <c r="G102" s="78">
        <f t="shared" ca="1" si="135"/>
        <v>0</v>
      </c>
      <c r="H102" s="78">
        <f t="shared" ref="H102" ca="1" si="160">IFERROR(($F102-$D102)/ABS($D102),0)</f>
        <v>0</v>
      </c>
      <c r="I102" s="4">
        <f ca="1">-SUMIFS(INDIRECT("Tab_00.Trial["&amp;I$4&amp;"]"),Tab_00.Trial[CONTA],$B102)</f>
        <v>0</v>
      </c>
      <c r="J102" s="78">
        <f t="shared" ca="1" si="136"/>
        <v>0</v>
      </c>
      <c r="K102" s="78">
        <f t="shared" ref="K102" ca="1" si="161">IFERROR(($I102-$F102)/ABS($F102),0)</f>
        <v>0</v>
      </c>
      <c r="L102" s="4">
        <f ca="1">-SUMIFS(INDIRECT("Tab_00.Trial["&amp;L$4&amp;"]"),Tab_00.Trial[CONTA],$B102)</f>
        <v>0</v>
      </c>
      <c r="M102" s="78">
        <f t="shared" ca="1" si="137"/>
        <v>0</v>
      </c>
      <c r="N102" s="78">
        <f t="shared" ref="N102" ca="1" si="162">IFERROR(($L102-$I102)/ABS($I102),0)</f>
        <v>0</v>
      </c>
      <c r="O102" s="4">
        <f ca="1">-SUMIFS(INDIRECT("Tab_00.Trial["&amp;O$4&amp;"]"),Tab_00.Trial[CONTA],$B102)</f>
        <v>0</v>
      </c>
      <c r="P102" s="78">
        <f t="shared" ca="1" si="138"/>
        <v>0</v>
      </c>
      <c r="Q102" s="78">
        <f t="shared" ref="Q102" ca="1" si="163">IFERROR(($O102-$L102)/ABS($L102),0)</f>
        <v>0</v>
      </c>
      <c r="R102" s="4">
        <f ca="1">-SUMIFS(INDIRECT("Tab_00.Trial["&amp;R$4&amp;"]"),Tab_00.Trial[CONTA],$B102)</f>
        <v>0</v>
      </c>
      <c r="S102" s="78">
        <f t="shared" ca="1" si="139"/>
        <v>0</v>
      </c>
      <c r="T102" s="78">
        <f t="shared" ref="T102" ca="1" si="164">IFERROR(($R102-$O102)/ABS($O102),0)</f>
        <v>0</v>
      </c>
      <c r="U102" s="4">
        <f ca="1">-SUMIFS(INDIRECT("Tab_00.Trial["&amp;U$4&amp;"]"),Tab_00.Trial[CONTA],$B102)</f>
        <v>0</v>
      </c>
      <c r="V102" s="78">
        <f t="shared" ca="1" si="140"/>
        <v>0</v>
      </c>
      <c r="W102" s="78">
        <f t="shared" ref="W102" ca="1" si="165">IFERROR(($U102-$R102)/ABS($R102),0)</f>
        <v>0</v>
      </c>
      <c r="X102" s="4">
        <f ca="1">-SUMIFS(INDIRECT("Tab_00.Trial["&amp;X$4&amp;"]"),Tab_00.Trial[CONTA],$B102)</f>
        <v>0</v>
      </c>
      <c r="Y102" s="78">
        <f t="shared" ca="1" si="141"/>
        <v>0</v>
      </c>
      <c r="Z102" s="78">
        <f t="shared" ref="Z102" ca="1" si="166">IFERROR(($X102-$U102)/ABS($U102),0)</f>
        <v>0</v>
      </c>
      <c r="AA102" s="4">
        <f ca="1">-SUMIFS(INDIRECT("Tab_00.Trial["&amp;AA$4&amp;"]"),Tab_00.Trial[CONTA],$B102)</f>
        <v>0</v>
      </c>
      <c r="AB102" s="78">
        <f t="shared" ca="1" si="142"/>
        <v>0</v>
      </c>
      <c r="AC102" s="78">
        <f t="shared" ref="AC102" ca="1" si="167">IFERROR(($AA102-$X102)/ABS($X102),0)</f>
        <v>0</v>
      </c>
      <c r="AD102" s="4">
        <f ca="1">-SUMIFS(INDIRECT("Tab_00.Trial["&amp;AD$4&amp;"]"),Tab_00.Trial[CONTA],$B102)</f>
        <v>0</v>
      </c>
      <c r="AE102" s="78">
        <f t="shared" ca="1" si="143"/>
        <v>0</v>
      </c>
      <c r="AF102" s="78">
        <f t="shared" ref="AF102" ca="1" si="168">IFERROR(($AD102-$AA102)/ABS($AA102),0)</f>
        <v>0</v>
      </c>
      <c r="AG102" s="4">
        <f ca="1">-SUMIFS(INDIRECT("Tab_00.Trial["&amp;AG$4&amp;"]"),Tab_00.Trial[CONTA],$B102)</f>
        <v>0</v>
      </c>
      <c r="AH102" s="78">
        <f t="shared" ca="1" si="144"/>
        <v>0</v>
      </c>
      <c r="AI102" s="78">
        <f t="shared" ref="AI102" ca="1" si="169">IFERROR(($AG102-$AD102)/ABS($AD102),0)</f>
        <v>0</v>
      </c>
      <c r="AJ102" s="4">
        <f ca="1">-SUMIFS(INDIRECT("Tab_00.Trial["&amp;AJ$4&amp;"]"),Tab_00.Trial[CONTA],$B102)</f>
        <v>0</v>
      </c>
      <c r="AK102" s="78">
        <f t="shared" ca="1" si="145"/>
        <v>0</v>
      </c>
      <c r="AL102" s="78">
        <f t="shared" ref="AL102" ca="1" si="170">IFERROR(($AJ102-$AG102)/ABS($AG102),0)</f>
        <v>0</v>
      </c>
      <c r="AM102" s="4">
        <f ca="1">-SUMIFS(INDIRECT("Tab_00.Trial["&amp;AM$4&amp;"]"),Tab_00.Trial[CONTA],$B102)</f>
        <v>0</v>
      </c>
      <c r="AN102" s="78">
        <f t="shared" ca="1" si="146"/>
        <v>0</v>
      </c>
      <c r="AO102" s="78">
        <f t="shared" ref="AO102" ca="1" si="171">IFERROR(($AM102-$AJ102)/ABS($AJ102),0)</f>
        <v>0</v>
      </c>
    </row>
    <row r="103" spans="2:41" ht="5.0999999999999996" hidden="1" customHeight="1" outlineLevel="1" x14ac:dyDescent="0.3">
      <c r="B103" s="74"/>
      <c r="C103" s="75"/>
      <c r="D103" s="76"/>
      <c r="E103" s="77"/>
      <c r="F103" s="76"/>
      <c r="G103" s="77"/>
      <c r="H103" s="77"/>
      <c r="I103" s="76"/>
      <c r="J103" s="77"/>
      <c r="K103" s="77"/>
      <c r="L103" s="76"/>
      <c r="M103" s="77"/>
      <c r="N103" s="77"/>
      <c r="O103" s="76"/>
      <c r="P103" s="77"/>
      <c r="Q103" s="77"/>
      <c r="R103" s="76"/>
      <c r="S103" s="77"/>
      <c r="T103" s="77"/>
      <c r="U103" s="76"/>
      <c r="V103" s="77"/>
      <c r="W103" s="77"/>
      <c r="X103" s="76"/>
      <c r="Y103" s="77"/>
      <c r="Z103" s="77"/>
      <c r="AA103" s="76"/>
      <c r="AB103" s="77"/>
      <c r="AC103" s="77"/>
      <c r="AD103" s="76"/>
      <c r="AE103" s="77"/>
      <c r="AF103" s="77"/>
      <c r="AG103" s="76"/>
      <c r="AH103" s="77"/>
      <c r="AI103" s="77"/>
      <c r="AJ103" s="76"/>
      <c r="AK103" s="77"/>
      <c r="AL103" s="77"/>
      <c r="AM103" s="76"/>
      <c r="AN103" s="77"/>
      <c r="AO103" s="77"/>
    </row>
    <row r="104" spans="2:41" ht="15" customHeight="1" collapsed="1" x14ac:dyDescent="0.3">
      <c r="B104" s="3" t="s">
        <v>97</v>
      </c>
      <c r="C104" s="14" t="s">
        <v>58</v>
      </c>
      <c r="D104" s="4">
        <f>SUBTOTAL(9,D$105:D$110)</f>
        <v>0</v>
      </c>
      <c r="E104" s="78">
        <f t="shared" ref="E104:E109" ca="1" si="172">IFERROR($D104/$D$146,0)</f>
        <v>0</v>
      </c>
      <c r="F104" s="4">
        <f ca="1">SUBTOTAL(9,F$105:F$110)</f>
        <v>0</v>
      </c>
      <c r="G104" s="78">
        <f t="shared" ref="G104:G109" ca="1" si="173">IFERROR($F104/$F$146,0)</f>
        <v>0</v>
      </c>
      <c r="H104" s="78">
        <f ca="1">IFERROR(($F104-$D104)/ABS($D104),0)</f>
        <v>0</v>
      </c>
      <c r="I104" s="4">
        <f ca="1">SUBTOTAL(9,I$105:I$110)</f>
        <v>0</v>
      </c>
      <c r="J104" s="78">
        <f t="shared" ref="J104:J109" ca="1" si="174">IFERROR($I104/$I$146,0)</f>
        <v>0</v>
      </c>
      <c r="K104" s="78">
        <f ca="1">IFERROR(($I104-$F104)/ABS($F104),0)</f>
        <v>0</v>
      </c>
      <c r="L104" s="4">
        <f ca="1">SUBTOTAL(9,L$105:L$110)</f>
        <v>0</v>
      </c>
      <c r="M104" s="78">
        <f t="shared" ref="M104:M109" ca="1" si="175">IFERROR($L104/$L$146,0)</f>
        <v>0</v>
      </c>
      <c r="N104" s="78">
        <f ca="1">IFERROR(($L104-$I104)/ABS($I104),0)</f>
        <v>0</v>
      </c>
      <c r="O104" s="4">
        <f ca="1">SUBTOTAL(9,O$105:O$110)</f>
        <v>0</v>
      </c>
      <c r="P104" s="78">
        <f t="shared" ref="P104:P109" ca="1" si="176">IFERROR($O104/$O$146,0)</f>
        <v>0</v>
      </c>
      <c r="Q104" s="78">
        <f ca="1">IFERROR(($O104-$L104)/ABS($L104),0)</f>
        <v>0</v>
      </c>
      <c r="R104" s="4">
        <f ca="1">SUBTOTAL(9,R$105:R$110)</f>
        <v>0</v>
      </c>
      <c r="S104" s="78">
        <f t="shared" ref="S104:S109" ca="1" si="177">IFERROR($R104/$R$146,0)</f>
        <v>0</v>
      </c>
      <c r="T104" s="78">
        <f ca="1">IFERROR(($R104-$O104)/ABS($O104),0)</f>
        <v>0</v>
      </c>
      <c r="U104" s="4">
        <f ca="1">SUBTOTAL(9,U$105:U$110)</f>
        <v>0</v>
      </c>
      <c r="V104" s="78">
        <f t="shared" ref="V104:V109" ca="1" si="178">IFERROR($U104/$U$146,0)</f>
        <v>0</v>
      </c>
      <c r="W104" s="78">
        <f ca="1">IFERROR(($U104-$R104)/ABS($R104),0)</f>
        <v>0</v>
      </c>
      <c r="X104" s="4">
        <f ca="1">SUBTOTAL(9,X$105:X$110)</f>
        <v>0</v>
      </c>
      <c r="Y104" s="78">
        <f t="shared" ref="Y104:Y109" ca="1" si="179">IFERROR($X104/$X$146,0)</f>
        <v>0</v>
      </c>
      <c r="Z104" s="78">
        <f ca="1">IFERROR(($X104-$U104)/ABS($U104),0)</f>
        <v>0</v>
      </c>
      <c r="AA104" s="4">
        <f ca="1">SUBTOTAL(9,AA$105:AA$110)</f>
        <v>0</v>
      </c>
      <c r="AB104" s="78">
        <f t="shared" ref="AB104:AB109" ca="1" si="180">IFERROR($AA104/$AA$146,0)</f>
        <v>0</v>
      </c>
      <c r="AC104" s="78">
        <f ca="1">IFERROR(($AA104-$X104)/ABS($X104),0)</f>
        <v>0</v>
      </c>
      <c r="AD104" s="4">
        <f ca="1">SUBTOTAL(9,AD$105:AD$110)</f>
        <v>0</v>
      </c>
      <c r="AE104" s="78">
        <f t="shared" ref="AE104:AE109" ca="1" si="181">IFERROR($AD104/$AD$146,0)</f>
        <v>0</v>
      </c>
      <c r="AF104" s="78">
        <f ca="1">IFERROR(($AD104-$AA104)/ABS($AA104),0)</f>
        <v>0</v>
      </c>
      <c r="AG104" s="4">
        <f ca="1">SUBTOTAL(9,AG$105:AG$110)</f>
        <v>0</v>
      </c>
      <c r="AH104" s="78">
        <f t="shared" ref="AH104:AH109" ca="1" si="182">IFERROR($AG104/$AG$146,0)</f>
        <v>0</v>
      </c>
      <c r="AI104" s="78">
        <f ca="1">IFERROR(($AG104-$AD104)/ABS($AD104),0)</f>
        <v>0</v>
      </c>
      <c r="AJ104" s="4">
        <f ca="1">SUBTOTAL(9,AJ$105:AJ$110)</f>
        <v>0</v>
      </c>
      <c r="AK104" s="78">
        <f t="shared" ref="AK104:AK109" ca="1" si="183">IFERROR($AJ104/$AJ$146,0)</f>
        <v>0</v>
      </c>
      <c r="AL104" s="78">
        <f ca="1">IFERROR(($AJ104-$AG104)/ABS($AG104),0)</f>
        <v>0</v>
      </c>
      <c r="AM104" s="4">
        <f ca="1">SUBTOTAL(9,AM$105:AM$110)</f>
        <v>0</v>
      </c>
      <c r="AN104" s="78">
        <f t="shared" ref="AN104:AN109" ca="1" si="184">IFERROR(AM104/AM$146,0)</f>
        <v>0</v>
      </c>
      <c r="AO104" s="78">
        <f ca="1">IFERROR(($AM104-$AJ104)/ABS($AJ104),0)</f>
        <v>0</v>
      </c>
    </row>
    <row r="105" spans="2:41" ht="15" hidden="1" customHeight="1" outlineLevel="1" x14ac:dyDescent="0.3">
      <c r="B105" s="14"/>
      <c r="C105" s="15"/>
      <c r="D105" s="4">
        <f>-SUMIFS(Tab_99.Trial[DEZEMBRO],Tab_99.Trial[CONTA],$B105)</f>
        <v>0</v>
      </c>
      <c r="E105" s="78">
        <f t="shared" ca="1" si="172"/>
        <v>0</v>
      </c>
      <c r="F105" s="4">
        <f ca="1">-SUMIFS(INDIRECT("Tab_00.Trial["&amp;F$4&amp;"]"),Tab_00.Trial[CONTA],$B105)</f>
        <v>0</v>
      </c>
      <c r="G105" s="78">
        <f t="shared" ca="1" si="173"/>
        <v>0</v>
      </c>
      <c r="H105" s="78">
        <f t="shared" ref="H105:H109" ca="1" si="185">IFERROR(($F105-$D105)/ABS($D105),0)</f>
        <v>0</v>
      </c>
      <c r="I105" s="4">
        <f ca="1">-SUMIFS(INDIRECT("Tab_00.Trial["&amp;I$4&amp;"]"),Tab_00.Trial[CONTA],$B105)</f>
        <v>0</v>
      </c>
      <c r="J105" s="78">
        <f t="shared" ca="1" si="174"/>
        <v>0</v>
      </c>
      <c r="K105" s="78">
        <f t="shared" ref="K105:K109" ca="1" si="186">IFERROR(($I105-$F105)/ABS($F105),0)</f>
        <v>0</v>
      </c>
      <c r="L105" s="4">
        <f ca="1">-SUMIFS(INDIRECT("Tab_00.Trial["&amp;L$4&amp;"]"),Tab_00.Trial[CONTA],$B105)</f>
        <v>0</v>
      </c>
      <c r="M105" s="78">
        <f t="shared" ca="1" si="175"/>
        <v>0</v>
      </c>
      <c r="N105" s="78">
        <f t="shared" ref="N105:N109" ca="1" si="187">IFERROR(($L105-$I105)/ABS($I105),0)</f>
        <v>0</v>
      </c>
      <c r="O105" s="4">
        <f ca="1">-SUMIFS(INDIRECT("Tab_00.Trial["&amp;O$4&amp;"]"),Tab_00.Trial[CONTA],$B105)</f>
        <v>0</v>
      </c>
      <c r="P105" s="78">
        <f t="shared" ca="1" si="176"/>
        <v>0</v>
      </c>
      <c r="Q105" s="78">
        <f t="shared" ref="Q105:Q109" ca="1" si="188">IFERROR(($O105-$L105)/ABS($L105),0)</f>
        <v>0</v>
      </c>
      <c r="R105" s="4">
        <f ca="1">-SUMIFS(INDIRECT("Tab_00.Trial["&amp;R$4&amp;"]"),Tab_00.Trial[CONTA],$B105)</f>
        <v>0</v>
      </c>
      <c r="S105" s="78">
        <f t="shared" ca="1" si="177"/>
        <v>0</v>
      </c>
      <c r="T105" s="78">
        <f t="shared" ref="T105:T109" ca="1" si="189">IFERROR(($R105-$O105)/ABS($O105),0)</f>
        <v>0</v>
      </c>
      <c r="U105" s="4">
        <f ca="1">-SUMIFS(INDIRECT("Tab_00.Trial["&amp;U$4&amp;"]"),Tab_00.Trial[CONTA],$B105)</f>
        <v>0</v>
      </c>
      <c r="V105" s="78">
        <f t="shared" ca="1" si="178"/>
        <v>0</v>
      </c>
      <c r="W105" s="78">
        <f t="shared" ref="W105:W109" ca="1" si="190">IFERROR(($U105-$R105)/ABS($R105),0)</f>
        <v>0</v>
      </c>
      <c r="X105" s="4">
        <f ca="1">-SUMIFS(INDIRECT("Tab_00.Trial["&amp;X$4&amp;"]"),Tab_00.Trial[CONTA],$B105)</f>
        <v>0</v>
      </c>
      <c r="Y105" s="78">
        <f t="shared" ca="1" si="179"/>
        <v>0</v>
      </c>
      <c r="Z105" s="78">
        <f t="shared" ref="Z105:Z109" ca="1" si="191">IFERROR(($X105-$U105)/ABS($U105),0)</f>
        <v>0</v>
      </c>
      <c r="AA105" s="4">
        <f ca="1">-SUMIFS(INDIRECT("Tab_00.Trial["&amp;AA$4&amp;"]"),Tab_00.Trial[CONTA],$B105)</f>
        <v>0</v>
      </c>
      <c r="AB105" s="78">
        <f t="shared" ca="1" si="180"/>
        <v>0</v>
      </c>
      <c r="AC105" s="78">
        <f t="shared" ref="AC105:AC109" ca="1" si="192">IFERROR(($AA105-$X105)/ABS($X105),0)</f>
        <v>0</v>
      </c>
      <c r="AD105" s="4">
        <f ca="1">-SUMIFS(INDIRECT("Tab_00.Trial["&amp;AD$4&amp;"]"),Tab_00.Trial[CONTA],$B105)</f>
        <v>0</v>
      </c>
      <c r="AE105" s="78">
        <f t="shared" ca="1" si="181"/>
        <v>0</v>
      </c>
      <c r="AF105" s="78">
        <f t="shared" ref="AF105:AF109" ca="1" si="193">IFERROR(($AD105-$AA105)/ABS($AA105),0)</f>
        <v>0</v>
      </c>
      <c r="AG105" s="4">
        <f ca="1">-SUMIFS(INDIRECT("Tab_00.Trial["&amp;AG$4&amp;"]"),Tab_00.Trial[CONTA],$B105)</f>
        <v>0</v>
      </c>
      <c r="AH105" s="78">
        <f t="shared" ca="1" si="182"/>
        <v>0</v>
      </c>
      <c r="AI105" s="78">
        <f t="shared" ref="AI105:AI109" ca="1" si="194">IFERROR(($AG105-$AD105)/ABS($AD105),0)</f>
        <v>0</v>
      </c>
      <c r="AJ105" s="4">
        <f ca="1">-SUMIFS(INDIRECT("Tab_00.Trial["&amp;AJ$4&amp;"]"),Tab_00.Trial[CONTA],$B105)</f>
        <v>0</v>
      </c>
      <c r="AK105" s="78">
        <f t="shared" ca="1" si="183"/>
        <v>0</v>
      </c>
      <c r="AL105" s="78">
        <f t="shared" ref="AL105:AL109" ca="1" si="195">IFERROR(($AJ105-$AG105)/ABS($AG105),0)</f>
        <v>0</v>
      </c>
      <c r="AM105" s="4">
        <f ca="1">-SUMIFS(INDIRECT("Tab_00.Trial["&amp;AM$4&amp;"]"),Tab_00.Trial[CONTA],$B105)</f>
        <v>0</v>
      </c>
      <c r="AN105" s="78">
        <f t="shared" ca="1" si="184"/>
        <v>0</v>
      </c>
      <c r="AO105" s="78">
        <f t="shared" ref="AO105:AO109" ca="1" si="196">IFERROR(($AM105-$AJ105)/ABS($AJ105),0)</f>
        <v>0</v>
      </c>
    </row>
    <row r="106" spans="2:41" ht="15" hidden="1" customHeight="1" outlineLevel="1" x14ac:dyDescent="0.3">
      <c r="B106" s="14"/>
      <c r="C106" s="15"/>
      <c r="D106" s="4">
        <f>-SUMIFS(Tab_99.Trial[DEZEMBRO],Tab_99.Trial[CONTA],$B106)</f>
        <v>0</v>
      </c>
      <c r="E106" s="78">
        <f t="shared" ca="1" si="172"/>
        <v>0</v>
      </c>
      <c r="F106" s="4">
        <f ca="1">-SUMIFS(INDIRECT("Tab_00.Trial["&amp;F$4&amp;"]"),Tab_00.Trial[CONTA],$B106)</f>
        <v>0</v>
      </c>
      <c r="G106" s="78">
        <f t="shared" ca="1" si="173"/>
        <v>0</v>
      </c>
      <c r="H106" s="78">
        <f t="shared" ca="1" si="185"/>
        <v>0</v>
      </c>
      <c r="I106" s="4">
        <f ca="1">-SUMIFS(INDIRECT("Tab_00.Trial["&amp;I$4&amp;"]"),Tab_00.Trial[CONTA],$B106)</f>
        <v>0</v>
      </c>
      <c r="J106" s="78">
        <f t="shared" ca="1" si="174"/>
        <v>0</v>
      </c>
      <c r="K106" s="78">
        <f t="shared" ca="1" si="186"/>
        <v>0</v>
      </c>
      <c r="L106" s="4">
        <f ca="1">-SUMIFS(INDIRECT("Tab_00.Trial["&amp;L$4&amp;"]"),Tab_00.Trial[CONTA],$B106)</f>
        <v>0</v>
      </c>
      <c r="M106" s="78">
        <f t="shared" ca="1" si="175"/>
        <v>0</v>
      </c>
      <c r="N106" s="78">
        <f t="shared" ca="1" si="187"/>
        <v>0</v>
      </c>
      <c r="O106" s="4">
        <f ca="1">-SUMIFS(INDIRECT("Tab_00.Trial["&amp;O$4&amp;"]"),Tab_00.Trial[CONTA],$B106)</f>
        <v>0</v>
      </c>
      <c r="P106" s="78">
        <f t="shared" ca="1" si="176"/>
        <v>0</v>
      </c>
      <c r="Q106" s="78">
        <f t="shared" ca="1" si="188"/>
        <v>0</v>
      </c>
      <c r="R106" s="4">
        <f ca="1">-SUMIFS(INDIRECT("Tab_00.Trial["&amp;R$4&amp;"]"),Tab_00.Trial[CONTA],$B106)</f>
        <v>0</v>
      </c>
      <c r="S106" s="78">
        <f t="shared" ca="1" si="177"/>
        <v>0</v>
      </c>
      <c r="T106" s="78">
        <f t="shared" ca="1" si="189"/>
        <v>0</v>
      </c>
      <c r="U106" s="4">
        <f ca="1">-SUMIFS(INDIRECT("Tab_00.Trial["&amp;U$4&amp;"]"),Tab_00.Trial[CONTA],$B106)</f>
        <v>0</v>
      </c>
      <c r="V106" s="78">
        <f t="shared" ca="1" si="178"/>
        <v>0</v>
      </c>
      <c r="W106" s="78">
        <f t="shared" ca="1" si="190"/>
        <v>0</v>
      </c>
      <c r="X106" s="4">
        <f ca="1">-SUMIFS(INDIRECT("Tab_00.Trial["&amp;X$4&amp;"]"),Tab_00.Trial[CONTA],$B106)</f>
        <v>0</v>
      </c>
      <c r="Y106" s="78">
        <f t="shared" ca="1" si="179"/>
        <v>0</v>
      </c>
      <c r="Z106" s="78">
        <f t="shared" ca="1" si="191"/>
        <v>0</v>
      </c>
      <c r="AA106" s="4">
        <f ca="1">-SUMIFS(INDIRECT("Tab_00.Trial["&amp;AA$4&amp;"]"),Tab_00.Trial[CONTA],$B106)</f>
        <v>0</v>
      </c>
      <c r="AB106" s="78">
        <f t="shared" ca="1" si="180"/>
        <v>0</v>
      </c>
      <c r="AC106" s="78">
        <f t="shared" ca="1" si="192"/>
        <v>0</v>
      </c>
      <c r="AD106" s="4">
        <f ca="1">-SUMIFS(INDIRECT("Tab_00.Trial["&amp;AD$4&amp;"]"),Tab_00.Trial[CONTA],$B106)</f>
        <v>0</v>
      </c>
      <c r="AE106" s="78">
        <f t="shared" ca="1" si="181"/>
        <v>0</v>
      </c>
      <c r="AF106" s="78">
        <f t="shared" ca="1" si="193"/>
        <v>0</v>
      </c>
      <c r="AG106" s="4">
        <f ca="1">-SUMIFS(INDIRECT("Tab_00.Trial["&amp;AG$4&amp;"]"),Tab_00.Trial[CONTA],$B106)</f>
        <v>0</v>
      </c>
      <c r="AH106" s="78">
        <f t="shared" ca="1" si="182"/>
        <v>0</v>
      </c>
      <c r="AI106" s="78">
        <f t="shared" ca="1" si="194"/>
        <v>0</v>
      </c>
      <c r="AJ106" s="4">
        <f ca="1">-SUMIFS(INDIRECT("Tab_00.Trial["&amp;AJ$4&amp;"]"),Tab_00.Trial[CONTA],$B106)</f>
        <v>0</v>
      </c>
      <c r="AK106" s="78">
        <f t="shared" ca="1" si="183"/>
        <v>0</v>
      </c>
      <c r="AL106" s="78">
        <f t="shared" ca="1" si="195"/>
        <v>0</v>
      </c>
      <c r="AM106" s="4">
        <f ca="1">-SUMIFS(INDIRECT("Tab_00.Trial["&amp;AM$4&amp;"]"),Tab_00.Trial[CONTA],$B106)</f>
        <v>0</v>
      </c>
      <c r="AN106" s="78">
        <f t="shared" ca="1" si="184"/>
        <v>0</v>
      </c>
      <c r="AO106" s="78">
        <f t="shared" ca="1" si="196"/>
        <v>0</v>
      </c>
    </row>
    <row r="107" spans="2:41" ht="15" hidden="1" customHeight="1" outlineLevel="1" x14ac:dyDescent="0.3">
      <c r="B107" s="14"/>
      <c r="C107" s="15"/>
      <c r="D107" s="4">
        <f>-SUMIFS(Tab_99.Trial[DEZEMBRO],Tab_99.Trial[CONTA],$B107)</f>
        <v>0</v>
      </c>
      <c r="E107" s="78">
        <f t="shared" ca="1" si="172"/>
        <v>0</v>
      </c>
      <c r="F107" s="4">
        <f ca="1">-SUMIFS(INDIRECT("Tab_00.Trial["&amp;F$4&amp;"]"),Tab_00.Trial[CONTA],$B107)</f>
        <v>0</v>
      </c>
      <c r="G107" s="78">
        <f t="shared" ca="1" si="173"/>
        <v>0</v>
      </c>
      <c r="H107" s="78">
        <f t="shared" ca="1" si="185"/>
        <v>0</v>
      </c>
      <c r="I107" s="4">
        <f ca="1">-SUMIFS(INDIRECT("Tab_00.Trial["&amp;I$4&amp;"]"),Tab_00.Trial[CONTA],$B107)</f>
        <v>0</v>
      </c>
      <c r="J107" s="78">
        <f t="shared" ca="1" si="174"/>
        <v>0</v>
      </c>
      <c r="K107" s="78">
        <f t="shared" ca="1" si="186"/>
        <v>0</v>
      </c>
      <c r="L107" s="4">
        <f ca="1">-SUMIFS(INDIRECT("Tab_00.Trial["&amp;L$4&amp;"]"),Tab_00.Trial[CONTA],$B107)</f>
        <v>0</v>
      </c>
      <c r="M107" s="78">
        <f t="shared" ca="1" si="175"/>
        <v>0</v>
      </c>
      <c r="N107" s="78">
        <f t="shared" ca="1" si="187"/>
        <v>0</v>
      </c>
      <c r="O107" s="4">
        <f ca="1">-SUMIFS(INDIRECT("Tab_00.Trial["&amp;O$4&amp;"]"),Tab_00.Trial[CONTA],$B107)</f>
        <v>0</v>
      </c>
      <c r="P107" s="78">
        <f t="shared" ca="1" si="176"/>
        <v>0</v>
      </c>
      <c r="Q107" s="78">
        <f t="shared" ca="1" si="188"/>
        <v>0</v>
      </c>
      <c r="R107" s="4">
        <f ca="1">-SUMIFS(INDIRECT("Tab_00.Trial["&amp;R$4&amp;"]"),Tab_00.Trial[CONTA],$B107)</f>
        <v>0</v>
      </c>
      <c r="S107" s="78">
        <f t="shared" ca="1" si="177"/>
        <v>0</v>
      </c>
      <c r="T107" s="78">
        <f t="shared" ca="1" si="189"/>
        <v>0</v>
      </c>
      <c r="U107" s="4">
        <f ca="1">-SUMIFS(INDIRECT("Tab_00.Trial["&amp;U$4&amp;"]"),Tab_00.Trial[CONTA],$B107)</f>
        <v>0</v>
      </c>
      <c r="V107" s="78">
        <f t="shared" ca="1" si="178"/>
        <v>0</v>
      </c>
      <c r="W107" s="78">
        <f t="shared" ca="1" si="190"/>
        <v>0</v>
      </c>
      <c r="X107" s="4">
        <f ca="1">-SUMIFS(INDIRECT("Tab_00.Trial["&amp;X$4&amp;"]"),Tab_00.Trial[CONTA],$B107)</f>
        <v>0</v>
      </c>
      <c r="Y107" s="78">
        <f t="shared" ca="1" si="179"/>
        <v>0</v>
      </c>
      <c r="Z107" s="78">
        <f t="shared" ca="1" si="191"/>
        <v>0</v>
      </c>
      <c r="AA107" s="4">
        <f ca="1">-SUMIFS(INDIRECT("Tab_00.Trial["&amp;AA$4&amp;"]"),Tab_00.Trial[CONTA],$B107)</f>
        <v>0</v>
      </c>
      <c r="AB107" s="78">
        <f t="shared" ca="1" si="180"/>
        <v>0</v>
      </c>
      <c r="AC107" s="78">
        <f t="shared" ca="1" si="192"/>
        <v>0</v>
      </c>
      <c r="AD107" s="4">
        <f ca="1">-SUMIFS(INDIRECT("Tab_00.Trial["&amp;AD$4&amp;"]"),Tab_00.Trial[CONTA],$B107)</f>
        <v>0</v>
      </c>
      <c r="AE107" s="78">
        <f t="shared" ca="1" si="181"/>
        <v>0</v>
      </c>
      <c r="AF107" s="78">
        <f t="shared" ca="1" si="193"/>
        <v>0</v>
      </c>
      <c r="AG107" s="4">
        <f ca="1">-SUMIFS(INDIRECT("Tab_00.Trial["&amp;AG$4&amp;"]"),Tab_00.Trial[CONTA],$B107)</f>
        <v>0</v>
      </c>
      <c r="AH107" s="78">
        <f t="shared" ca="1" si="182"/>
        <v>0</v>
      </c>
      <c r="AI107" s="78">
        <f t="shared" ca="1" si="194"/>
        <v>0</v>
      </c>
      <c r="AJ107" s="4">
        <f ca="1">-SUMIFS(INDIRECT("Tab_00.Trial["&amp;AJ$4&amp;"]"),Tab_00.Trial[CONTA],$B107)</f>
        <v>0</v>
      </c>
      <c r="AK107" s="78">
        <f t="shared" ca="1" si="183"/>
        <v>0</v>
      </c>
      <c r="AL107" s="78">
        <f t="shared" ca="1" si="195"/>
        <v>0</v>
      </c>
      <c r="AM107" s="4">
        <f ca="1">-SUMIFS(INDIRECT("Tab_00.Trial["&amp;AM$4&amp;"]"),Tab_00.Trial[CONTA],$B107)</f>
        <v>0</v>
      </c>
      <c r="AN107" s="78">
        <f t="shared" ca="1" si="184"/>
        <v>0</v>
      </c>
      <c r="AO107" s="78">
        <f t="shared" ca="1" si="196"/>
        <v>0</v>
      </c>
    </row>
    <row r="108" spans="2:41" ht="15" hidden="1" customHeight="1" outlineLevel="1" x14ac:dyDescent="0.3">
      <c r="B108" s="14"/>
      <c r="C108" s="15"/>
      <c r="D108" s="4">
        <f>-SUMIFS(Tab_99.Trial[DEZEMBRO],Tab_99.Trial[CONTA],$B108)</f>
        <v>0</v>
      </c>
      <c r="E108" s="78">
        <f t="shared" ca="1" si="172"/>
        <v>0</v>
      </c>
      <c r="F108" s="4">
        <f ca="1">-SUMIFS(INDIRECT("Tab_00.Trial["&amp;F$4&amp;"]"),Tab_00.Trial[CONTA],$B108)</f>
        <v>0</v>
      </c>
      <c r="G108" s="78">
        <f t="shared" ca="1" si="173"/>
        <v>0</v>
      </c>
      <c r="H108" s="78">
        <f t="shared" ca="1" si="185"/>
        <v>0</v>
      </c>
      <c r="I108" s="4">
        <f ca="1">-SUMIFS(INDIRECT("Tab_00.Trial["&amp;I$4&amp;"]"),Tab_00.Trial[CONTA],$B108)</f>
        <v>0</v>
      </c>
      <c r="J108" s="78">
        <f t="shared" ca="1" si="174"/>
        <v>0</v>
      </c>
      <c r="K108" s="78">
        <f t="shared" ca="1" si="186"/>
        <v>0</v>
      </c>
      <c r="L108" s="4">
        <f ca="1">-SUMIFS(INDIRECT("Tab_00.Trial["&amp;L$4&amp;"]"),Tab_00.Trial[CONTA],$B108)</f>
        <v>0</v>
      </c>
      <c r="M108" s="78">
        <f t="shared" ca="1" si="175"/>
        <v>0</v>
      </c>
      <c r="N108" s="78">
        <f t="shared" ca="1" si="187"/>
        <v>0</v>
      </c>
      <c r="O108" s="4">
        <f ca="1">-SUMIFS(INDIRECT("Tab_00.Trial["&amp;O$4&amp;"]"),Tab_00.Trial[CONTA],$B108)</f>
        <v>0</v>
      </c>
      <c r="P108" s="78">
        <f t="shared" ca="1" si="176"/>
        <v>0</v>
      </c>
      <c r="Q108" s="78">
        <f t="shared" ca="1" si="188"/>
        <v>0</v>
      </c>
      <c r="R108" s="4">
        <f ca="1">-SUMIFS(INDIRECT("Tab_00.Trial["&amp;R$4&amp;"]"),Tab_00.Trial[CONTA],$B108)</f>
        <v>0</v>
      </c>
      <c r="S108" s="78">
        <f t="shared" ca="1" si="177"/>
        <v>0</v>
      </c>
      <c r="T108" s="78">
        <f t="shared" ca="1" si="189"/>
        <v>0</v>
      </c>
      <c r="U108" s="4">
        <f ca="1">-SUMIFS(INDIRECT("Tab_00.Trial["&amp;U$4&amp;"]"),Tab_00.Trial[CONTA],$B108)</f>
        <v>0</v>
      </c>
      <c r="V108" s="78">
        <f t="shared" ca="1" si="178"/>
        <v>0</v>
      </c>
      <c r="W108" s="78">
        <f t="shared" ca="1" si="190"/>
        <v>0</v>
      </c>
      <c r="X108" s="4">
        <f ca="1">-SUMIFS(INDIRECT("Tab_00.Trial["&amp;X$4&amp;"]"),Tab_00.Trial[CONTA],$B108)</f>
        <v>0</v>
      </c>
      <c r="Y108" s="78">
        <f t="shared" ca="1" si="179"/>
        <v>0</v>
      </c>
      <c r="Z108" s="78">
        <f t="shared" ca="1" si="191"/>
        <v>0</v>
      </c>
      <c r="AA108" s="4">
        <f ca="1">-SUMIFS(INDIRECT("Tab_00.Trial["&amp;AA$4&amp;"]"),Tab_00.Trial[CONTA],$B108)</f>
        <v>0</v>
      </c>
      <c r="AB108" s="78">
        <f t="shared" ca="1" si="180"/>
        <v>0</v>
      </c>
      <c r="AC108" s="78">
        <f t="shared" ca="1" si="192"/>
        <v>0</v>
      </c>
      <c r="AD108" s="4">
        <f ca="1">-SUMIFS(INDIRECT("Tab_00.Trial["&amp;AD$4&amp;"]"),Tab_00.Trial[CONTA],$B108)</f>
        <v>0</v>
      </c>
      <c r="AE108" s="78">
        <f t="shared" ca="1" si="181"/>
        <v>0</v>
      </c>
      <c r="AF108" s="78">
        <f t="shared" ca="1" si="193"/>
        <v>0</v>
      </c>
      <c r="AG108" s="4">
        <f ca="1">-SUMIFS(INDIRECT("Tab_00.Trial["&amp;AG$4&amp;"]"),Tab_00.Trial[CONTA],$B108)</f>
        <v>0</v>
      </c>
      <c r="AH108" s="78">
        <f t="shared" ca="1" si="182"/>
        <v>0</v>
      </c>
      <c r="AI108" s="78">
        <f t="shared" ca="1" si="194"/>
        <v>0</v>
      </c>
      <c r="AJ108" s="4">
        <f ca="1">-SUMIFS(INDIRECT("Tab_00.Trial["&amp;AJ$4&amp;"]"),Tab_00.Trial[CONTA],$B108)</f>
        <v>0</v>
      </c>
      <c r="AK108" s="78">
        <f t="shared" ca="1" si="183"/>
        <v>0</v>
      </c>
      <c r="AL108" s="78">
        <f t="shared" ca="1" si="195"/>
        <v>0</v>
      </c>
      <c r="AM108" s="4">
        <f ca="1">-SUMIFS(INDIRECT("Tab_00.Trial["&amp;AM$4&amp;"]"),Tab_00.Trial[CONTA],$B108)</f>
        <v>0</v>
      </c>
      <c r="AN108" s="78">
        <f t="shared" ca="1" si="184"/>
        <v>0</v>
      </c>
      <c r="AO108" s="78">
        <f t="shared" ca="1" si="196"/>
        <v>0</v>
      </c>
    </row>
    <row r="109" spans="2:41" ht="15" hidden="1" customHeight="1" outlineLevel="1" x14ac:dyDescent="0.3">
      <c r="B109" s="14"/>
      <c r="C109" s="15"/>
      <c r="D109" s="4">
        <f>-SUMIFS(Tab_99.Trial[DEZEMBRO],Tab_99.Trial[CONTA],$B109)</f>
        <v>0</v>
      </c>
      <c r="E109" s="78">
        <f t="shared" ca="1" si="172"/>
        <v>0</v>
      </c>
      <c r="F109" s="4">
        <f ca="1">-SUMIFS(INDIRECT("Tab_00.Trial["&amp;F$4&amp;"]"),Tab_00.Trial[CONTA],$B109)</f>
        <v>0</v>
      </c>
      <c r="G109" s="78">
        <f t="shared" ca="1" si="173"/>
        <v>0</v>
      </c>
      <c r="H109" s="78">
        <f t="shared" ca="1" si="185"/>
        <v>0</v>
      </c>
      <c r="I109" s="4">
        <f ca="1">-SUMIFS(INDIRECT("Tab_00.Trial["&amp;I$4&amp;"]"),Tab_00.Trial[CONTA],$B109)</f>
        <v>0</v>
      </c>
      <c r="J109" s="78">
        <f t="shared" ca="1" si="174"/>
        <v>0</v>
      </c>
      <c r="K109" s="78">
        <f t="shared" ca="1" si="186"/>
        <v>0</v>
      </c>
      <c r="L109" s="4">
        <f ca="1">-SUMIFS(INDIRECT("Tab_00.Trial["&amp;L$4&amp;"]"),Tab_00.Trial[CONTA],$B109)</f>
        <v>0</v>
      </c>
      <c r="M109" s="78">
        <f t="shared" ca="1" si="175"/>
        <v>0</v>
      </c>
      <c r="N109" s="78">
        <f t="shared" ca="1" si="187"/>
        <v>0</v>
      </c>
      <c r="O109" s="4">
        <f ca="1">-SUMIFS(INDIRECT("Tab_00.Trial["&amp;O$4&amp;"]"),Tab_00.Trial[CONTA],$B109)</f>
        <v>0</v>
      </c>
      <c r="P109" s="78">
        <f t="shared" ca="1" si="176"/>
        <v>0</v>
      </c>
      <c r="Q109" s="78">
        <f t="shared" ca="1" si="188"/>
        <v>0</v>
      </c>
      <c r="R109" s="4">
        <f ca="1">-SUMIFS(INDIRECT("Tab_00.Trial["&amp;R$4&amp;"]"),Tab_00.Trial[CONTA],$B109)</f>
        <v>0</v>
      </c>
      <c r="S109" s="78">
        <f t="shared" ca="1" si="177"/>
        <v>0</v>
      </c>
      <c r="T109" s="78">
        <f t="shared" ca="1" si="189"/>
        <v>0</v>
      </c>
      <c r="U109" s="4">
        <f ca="1">-SUMIFS(INDIRECT("Tab_00.Trial["&amp;U$4&amp;"]"),Tab_00.Trial[CONTA],$B109)</f>
        <v>0</v>
      </c>
      <c r="V109" s="78">
        <f t="shared" ca="1" si="178"/>
        <v>0</v>
      </c>
      <c r="W109" s="78">
        <f t="shared" ca="1" si="190"/>
        <v>0</v>
      </c>
      <c r="X109" s="4">
        <f ca="1">-SUMIFS(INDIRECT("Tab_00.Trial["&amp;X$4&amp;"]"),Tab_00.Trial[CONTA],$B109)</f>
        <v>0</v>
      </c>
      <c r="Y109" s="78">
        <f t="shared" ca="1" si="179"/>
        <v>0</v>
      </c>
      <c r="Z109" s="78">
        <f t="shared" ca="1" si="191"/>
        <v>0</v>
      </c>
      <c r="AA109" s="4">
        <f ca="1">-SUMIFS(INDIRECT("Tab_00.Trial["&amp;AA$4&amp;"]"),Tab_00.Trial[CONTA],$B109)</f>
        <v>0</v>
      </c>
      <c r="AB109" s="78">
        <f t="shared" ca="1" si="180"/>
        <v>0</v>
      </c>
      <c r="AC109" s="78">
        <f t="shared" ca="1" si="192"/>
        <v>0</v>
      </c>
      <c r="AD109" s="4">
        <f ca="1">-SUMIFS(INDIRECT("Tab_00.Trial["&amp;AD$4&amp;"]"),Tab_00.Trial[CONTA],$B109)</f>
        <v>0</v>
      </c>
      <c r="AE109" s="78">
        <f t="shared" ca="1" si="181"/>
        <v>0</v>
      </c>
      <c r="AF109" s="78">
        <f t="shared" ca="1" si="193"/>
        <v>0</v>
      </c>
      <c r="AG109" s="4">
        <f ca="1">-SUMIFS(INDIRECT("Tab_00.Trial["&amp;AG$4&amp;"]"),Tab_00.Trial[CONTA],$B109)</f>
        <v>0</v>
      </c>
      <c r="AH109" s="78">
        <f t="shared" ca="1" si="182"/>
        <v>0</v>
      </c>
      <c r="AI109" s="78">
        <f t="shared" ca="1" si="194"/>
        <v>0</v>
      </c>
      <c r="AJ109" s="4">
        <f ca="1">-SUMIFS(INDIRECT("Tab_00.Trial["&amp;AJ$4&amp;"]"),Tab_00.Trial[CONTA],$B109)</f>
        <v>0</v>
      </c>
      <c r="AK109" s="78">
        <f t="shared" ca="1" si="183"/>
        <v>0</v>
      </c>
      <c r="AL109" s="78">
        <f t="shared" ca="1" si="195"/>
        <v>0</v>
      </c>
      <c r="AM109" s="4">
        <f ca="1">-SUMIFS(INDIRECT("Tab_00.Trial["&amp;AM$4&amp;"]"),Tab_00.Trial[CONTA],$B109)</f>
        <v>0</v>
      </c>
      <c r="AN109" s="78">
        <f t="shared" ca="1" si="184"/>
        <v>0</v>
      </c>
      <c r="AO109" s="78">
        <f t="shared" ca="1" si="196"/>
        <v>0</v>
      </c>
    </row>
    <row r="110" spans="2:41" ht="5.0999999999999996" hidden="1" customHeight="1" outlineLevel="1" x14ac:dyDescent="0.3">
      <c r="B110" s="74"/>
      <c r="C110" s="75"/>
      <c r="D110" s="76"/>
      <c r="E110" s="77"/>
      <c r="F110" s="76"/>
      <c r="G110" s="77"/>
      <c r="H110" s="77"/>
      <c r="I110" s="76"/>
      <c r="J110" s="77"/>
      <c r="K110" s="77"/>
      <c r="L110" s="76"/>
      <c r="M110" s="77"/>
      <c r="N110" s="77"/>
      <c r="O110" s="76"/>
      <c r="P110" s="77"/>
      <c r="Q110" s="77"/>
      <c r="R110" s="76"/>
      <c r="S110" s="77"/>
      <c r="T110" s="77"/>
      <c r="U110" s="76"/>
      <c r="V110" s="77"/>
      <c r="W110" s="77"/>
      <c r="X110" s="76"/>
      <c r="Y110" s="77"/>
      <c r="Z110" s="77"/>
      <c r="AA110" s="76"/>
      <c r="AB110" s="77"/>
      <c r="AC110" s="77"/>
      <c r="AD110" s="76"/>
      <c r="AE110" s="77"/>
      <c r="AF110" s="77"/>
      <c r="AG110" s="76"/>
      <c r="AH110" s="77"/>
      <c r="AI110" s="77"/>
      <c r="AJ110" s="76"/>
      <c r="AK110" s="77"/>
      <c r="AL110" s="77"/>
      <c r="AM110" s="76"/>
      <c r="AN110" s="77"/>
      <c r="AO110" s="77"/>
    </row>
    <row r="111" spans="2:41" ht="15" customHeight="1" collapsed="1" x14ac:dyDescent="0.3">
      <c r="B111" s="3" t="s">
        <v>96</v>
      </c>
      <c r="C111" s="14" t="s">
        <v>119</v>
      </c>
      <c r="D111" s="4">
        <f>SUBTOTAL(9,D$112:D$113)</f>
        <v>0</v>
      </c>
      <c r="E111" s="78">
        <f ca="1">IFERROR($D111/$D$146,0)</f>
        <v>0</v>
      </c>
      <c r="F111" s="4">
        <f ca="1">SUBTOTAL(9,F$112:F$113)</f>
        <v>0</v>
      </c>
      <c r="G111" s="78">
        <f ca="1">IFERROR($F111/$F$146,0)</f>
        <v>0</v>
      </c>
      <c r="H111" s="78">
        <f ca="1">IFERROR(($F111-$D111)/ABS($D111),0)</f>
        <v>0</v>
      </c>
      <c r="I111" s="4">
        <f ca="1">SUBTOTAL(9,I$112:I$113)</f>
        <v>0</v>
      </c>
      <c r="J111" s="78">
        <f ca="1">IFERROR($I111/$I$146,0)</f>
        <v>0</v>
      </c>
      <c r="K111" s="78">
        <f ca="1">IFERROR(($I111-$F111)/ABS($F111),0)</f>
        <v>0</v>
      </c>
      <c r="L111" s="4">
        <f ca="1">SUBTOTAL(9,L$112:L$113)</f>
        <v>0</v>
      </c>
      <c r="M111" s="78">
        <f ca="1">IFERROR($L111/$L$146,0)</f>
        <v>0</v>
      </c>
      <c r="N111" s="78">
        <f ca="1">IFERROR(($L111-$I111)/ABS($I111),0)</f>
        <v>0</v>
      </c>
      <c r="O111" s="4">
        <f ca="1">SUBTOTAL(9,O$112:O$113)</f>
        <v>0</v>
      </c>
      <c r="P111" s="78">
        <f ca="1">IFERROR($O111/$O$146,0)</f>
        <v>0</v>
      </c>
      <c r="Q111" s="78">
        <f ca="1">IFERROR(($O111-$L111)/ABS($L111),0)</f>
        <v>0</v>
      </c>
      <c r="R111" s="4">
        <f ca="1">SUBTOTAL(9,R$112:R$113)</f>
        <v>0</v>
      </c>
      <c r="S111" s="78">
        <f ca="1">IFERROR($R111/$R$146,0)</f>
        <v>0</v>
      </c>
      <c r="T111" s="78">
        <f ca="1">IFERROR(($R111-$O111)/ABS($O111),0)</f>
        <v>0</v>
      </c>
      <c r="U111" s="4">
        <f ca="1">SUBTOTAL(9,U$112:U$113)</f>
        <v>0</v>
      </c>
      <c r="V111" s="78">
        <f ca="1">IFERROR($U111/$U$146,0)</f>
        <v>0</v>
      </c>
      <c r="W111" s="78">
        <f ca="1">IFERROR(($U111-$R111)/ABS($R111),0)</f>
        <v>0</v>
      </c>
      <c r="X111" s="4">
        <f ca="1">SUBTOTAL(9,X$112:X$113)</f>
        <v>0</v>
      </c>
      <c r="Y111" s="78">
        <f ca="1">IFERROR($X111/$X$146,0)</f>
        <v>0</v>
      </c>
      <c r="Z111" s="78">
        <f ca="1">IFERROR(($X111-$U111)/ABS($U111),0)</f>
        <v>0</v>
      </c>
      <c r="AA111" s="4">
        <f ca="1">SUBTOTAL(9,AA$112:AA$113)</f>
        <v>0</v>
      </c>
      <c r="AB111" s="78">
        <f ca="1">IFERROR($AA111/$AA$146,0)</f>
        <v>0</v>
      </c>
      <c r="AC111" s="78">
        <f ca="1">IFERROR(($AA111-$X111)/ABS($X111),0)</f>
        <v>0</v>
      </c>
      <c r="AD111" s="4">
        <f ca="1">SUBTOTAL(9,AD$112:AD$113)</f>
        <v>0</v>
      </c>
      <c r="AE111" s="78">
        <f ca="1">IFERROR($AD111/$AD$146,0)</f>
        <v>0</v>
      </c>
      <c r="AF111" s="78">
        <f ca="1">IFERROR(($AD111-$AA111)/ABS($AA111),0)</f>
        <v>0</v>
      </c>
      <c r="AG111" s="4">
        <f ca="1">SUBTOTAL(9,AG$112:AG$113)</f>
        <v>0</v>
      </c>
      <c r="AH111" s="78">
        <f ca="1">IFERROR($AG111/$AG$146,0)</f>
        <v>0</v>
      </c>
      <c r="AI111" s="78">
        <f ca="1">IFERROR(($AG111-$AD111)/ABS($AD111),0)</f>
        <v>0</v>
      </c>
      <c r="AJ111" s="4">
        <f ca="1">SUBTOTAL(9,AJ$112:AJ$113)</f>
        <v>0</v>
      </c>
      <c r="AK111" s="78">
        <f ca="1">IFERROR($AJ111/$AJ$146,0)</f>
        <v>0</v>
      </c>
      <c r="AL111" s="78">
        <f ca="1">IFERROR(($AJ111-$AG111)/ABS($AG111),0)</f>
        <v>0</v>
      </c>
      <c r="AM111" s="4">
        <f ca="1">SUBTOTAL(9,AM$112:AM$113)</f>
        <v>0</v>
      </c>
      <c r="AN111" s="78">
        <f ca="1">IFERROR(AM111/AM$146,0)</f>
        <v>0</v>
      </c>
      <c r="AO111" s="78">
        <f ca="1">IFERROR(($AM111-$AJ111)/ABS($AJ111),0)</f>
        <v>0</v>
      </c>
    </row>
    <row r="112" spans="2:41" ht="15" hidden="1" customHeight="1" outlineLevel="1" x14ac:dyDescent="0.3">
      <c r="B112" s="14"/>
      <c r="C112" s="15"/>
      <c r="D112" s="4">
        <f>-SUMIFS(Tab_99.Trial[DEZEMBRO],Tab_99.Trial[CONTA],$B112)</f>
        <v>0</v>
      </c>
      <c r="E112" s="78">
        <f ca="1">IFERROR($D112/$D$146,0)</f>
        <v>0</v>
      </c>
      <c r="F112" s="4">
        <f ca="1">-SUMIFS(INDIRECT("Tab_00.Trial["&amp;F$4&amp;"]"),Tab_00.Trial[CONTA],$B112)</f>
        <v>0</v>
      </c>
      <c r="G112" s="78">
        <f ca="1">IFERROR($F112/$F$146,0)</f>
        <v>0</v>
      </c>
      <c r="H112" s="78">
        <f t="shared" ref="H112" ca="1" si="197">IFERROR(($F112-$D112)/ABS($D112),0)</f>
        <v>0</v>
      </c>
      <c r="I112" s="4">
        <f ca="1">-SUMIFS(INDIRECT("Tab_00.Trial["&amp;I$4&amp;"]"),Tab_00.Trial[CONTA],$B112)</f>
        <v>0</v>
      </c>
      <c r="J112" s="78">
        <f ca="1">IFERROR($I112/$I$146,0)</f>
        <v>0</v>
      </c>
      <c r="K112" s="78">
        <f t="shared" ref="K112" ca="1" si="198">IFERROR(($I112-$F112)/ABS($F112),0)</f>
        <v>0</v>
      </c>
      <c r="L112" s="4">
        <f ca="1">-SUMIFS(INDIRECT("Tab_00.Trial["&amp;L$4&amp;"]"),Tab_00.Trial[CONTA],$B112)</f>
        <v>0</v>
      </c>
      <c r="M112" s="78">
        <f ca="1">IFERROR($L112/$L$146,0)</f>
        <v>0</v>
      </c>
      <c r="N112" s="78">
        <f t="shared" ref="N112" ca="1" si="199">IFERROR(($L112-$I112)/ABS($I112),0)</f>
        <v>0</v>
      </c>
      <c r="O112" s="4">
        <f ca="1">-SUMIFS(INDIRECT("Tab_00.Trial["&amp;O$4&amp;"]"),Tab_00.Trial[CONTA],$B112)</f>
        <v>0</v>
      </c>
      <c r="P112" s="78">
        <f ca="1">IFERROR($O112/$O$146,0)</f>
        <v>0</v>
      </c>
      <c r="Q112" s="78">
        <f t="shared" ref="Q112" ca="1" si="200">IFERROR(($O112-$L112)/ABS($L112),0)</f>
        <v>0</v>
      </c>
      <c r="R112" s="4">
        <f ca="1">-SUMIFS(INDIRECT("Tab_00.Trial["&amp;R$4&amp;"]"),Tab_00.Trial[CONTA],$B112)</f>
        <v>0</v>
      </c>
      <c r="S112" s="78">
        <f ca="1">IFERROR($R112/$R$146,0)</f>
        <v>0</v>
      </c>
      <c r="T112" s="78">
        <f t="shared" ref="T112" ca="1" si="201">IFERROR(($R112-$O112)/ABS($O112),0)</f>
        <v>0</v>
      </c>
      <c r="U112" s="4">
        <f ca="1">-SUMIFS(INDIRECT("Tab_00.Trial["&amp;U$4&amp;"]"),Tab_00.Trial[CONTA],$B112)</f>
        <v>0</v>
      </c>
      <c r="V112" s="78">
        <f ca="1">IFERROR($U112/$U$146,0)</f>
        <v>0</v>
      </c>
      <c r="W112" s="78">
        <f t="shared" ref="W112" ca="1" si="202">IFERROR(($U112-$R112)/ABS($R112),0)</f>
        <v>0</v>
      </c>
      <c r="X112" s="4">
        <f ca="1">-SUMIFS(INDIRECT("Tab_00.Trial["&amp;X$4&amp;"]"),Tab_00.Trial[CONTA],$B112)</f>
        <v>0</v>
      </c>
      <c r="Y112" s="78">
        <f ca="1">IFERROR($X112/$X$146,0)</f>
        <v>0</v>
      </c>
      <c r="Z112" s="78">
        <f t="shared" ref="Z112" ca="1" si="203">IFERROR(($X112-$U112)/ABS($U112),0)</f>
        <v>0</v>
      </c>
      <c r="AA112" s="4">
        <f ca="1">-SUMIFS(INDIRECT("Tab_00.Trial["&amp;AA$4&amp;"]"),Tab_00.Trial[CONTA],$B112)</f>
        <v>0</v>
      </c>
      <c r="AB112" s="78">
        <f ca="1">IFERROR($AA112/$AA$146,0)</f>
        <v>0</v>
      </c>
      <c r="AC112" s="78">
        <f t="shared" ref="AC112" ca="1" si="204">IFERROR(($AA112-$X112)/ABS($X112),0)</f>
        <v>0</v>
      </c>
      <c r="AD112" s="4">
        <f ca="1">-SUMIFS(INDIRECT("Tab_00.Trial["&amp;AD$4&amp;"]"),Tab_00.Trial[CONTA],$B112)</f>
        <v>0</v>
      </c>
      <c r="AE112" s="78">
        <f ca="1">IFERROR($AD112/$AD$146,0)</f>
        <v>0</v>
      </c>
      <c r="AF112" s="78">
        <f t="shared" ref="AF112" ca="1" si="205">IFERROR(($AD112-$AA112)/ABS($AA112),0)</f>
        <v>0</v>
      </c>
      <c r="AG112" s="4">
        <f ca="1">-SUMIFS(INDIRECT("Tab_00.Trial["&amp;AG$4&amp;"]"),Tab_00.Trial[CONTA],$B112)</f>
        <v>0</v>
      </c>
      <c r="AH112" s="78">
        <f ca="1">IFERROR($AG112/$AG$146,0)</f>
        <v>0</v>
      </c>
      <c r="AI112" s="78">
        <f t="shared" ref="AI112" ca="1" si="206">IFERROR(($AG112-$AD112)/ABS($AD112),0)</f>
        <v>0</v>
      </c>
      <c r="AJ112" s="4">
        <f ca="1">-SUMIFS(INDIRECT("Tab_00.Trial["&amp;AJ$4&amp;"]"),Tab_00.Trial[CONTA],$B112)</f>
        <v>0</v>
      </c>
      <c r="AK112" s="78">
        <f ca="1">IFERROR($AJ112/$AJ$146,0)</f>
        <v>0</v>
      </c>
      <c r="AL112" s="78">
        <f t="shared" ref="AL112" ca="1" si="207">IFERROR(($AJ112-$AG112)/ABS($AG112),0)</f>
        <v>0</v>
      </c>
      <c r="AM112" s="4">
        <f ca="1">-SUMIFS(INDIRECT("Tab_00.Trial["&amp;AM$4&amp;"]"),Tab_00.Trial[CONTA],$B112)</f>
        <v>0</v>
      </c>
      <c r="AN112" s="78">
        <f ca="1">IFERROR(AM112/AM$146,0)</f>
        <v>0</v>
      </c>
      <c r="AO112" s="78">
        <f t="shared" ref="AO112" ca="1" si="208">IFERROR(($AM112-$AJ112)/ABS($AJ112),0)</f>
        <v>0</v>
      </c>
    </row>
    <row r="113" spans="2:41" ht="5.0999999999999996" hidden="1" customHeight="1" outlineLevel="1" x14ac:dyDescent="0.3">
      <c r="B113" s="74"/>
      <c r="C113" s="75"/>
      <c r="D113" s="76"/>
      <c r="E113" s="77"/>
      <c r="F113" s="76"/>
      <c r="G113" s="77"/>
      <c r="H113" s="77"/>
      <c r="I113" s="76"/>
      <c r="J113" s="77"/>
      <c r="K113" s="77"/>
      <c r="L113" s="76"/>
      <c r="M113" s="77"/>
      <c r="N113" s="77"/>
      <c r="O113" s="76"/>
      <c r="P113" s="77"/>
      <c r="Q113" s="77"/>
      <c r="R113" s="76"/>
      <c r="S113" s="77"/>
      <c r="T113" s="77"/>
      <c r="U113" s="76"/>
      <c r="V113" s="77"/>
      <c r="W113" s="77"/>
      <c r="X113" s="76"/>
      <c r="Y113" s="77"/>
      <c r="Z113" s="77"/>
      <c r="AA113" s="76"/>
      <c r="AB113" s="77"/>
      <c r="AC113" s="77"/>
      <c r="AD113" s="76"/>
      <c r="AE113" s="77"/>
      <c r="AF113" s="77"/>
      <c r="AG113" s="76"/>
      <c r="AH113" s="77"/>
      <c r="AI113" s="77"/>
      <c r="AJ113" s="76"/>
      <c r="AK113" s="77"/>
      <c r="AL113" s="77"/>
      <c r="AM113" s="76"/>
      <c r="AN113" s="77"/>
      <c r="AO113" s="77"/>
    </row>
    <row r="114" spans="2:41" ht="15" customHeight="1" collapsed="1" x14ac:dyDescent="0.3">
      <c r="B114" s="3" t="s">
        <v>94</v>
      </c>
      <c r="C114" s="14" t="s">
        <v>120</v>
      </c>
      <c r="D114" s="4">
        <f>SUBTOTAL(9,D$115:D$117)</f>
        <v>0</v>
      </c>
      <c r="E114" s="78">
        <f ca="1">IFERROR($D114/$D$146,0)</f>
        <v>0</v>
      </c>
      <c r="F114" s="4">
        <f ca="1">SUBTOTAL(9,F$115:F$117)</f>
        <v>0</v>
      </c>
      <c r="G114" s="78">
        <f ca="1">IFERROR($F114/$F$146,0)</f>
        <v>0</v>
      </c>
      <c r="H114" s="78">
        <f ca="1">IFERROR(($F114-$D114)/ABS($D114),0)</f>
        <v>0</v>
      </c>
      <c r="I114" s="4">
        <f ca="1">SUBTOTAL(9,I$115:I$117)</f>
        <v>0</v>
      </c>
      <c r="J114" s="78">
        <f ca="1">IFERROR($I114/$I$146,0)</f>
        <v>0</v>
      </c>
      <c r="K114" s="78">
        <f ca="1">IFERROR(($I114-$F114)/ABS($F114),0)</f>
        <v>0</v>
      </c>
      <c r="L114" s="4">
        <f ca="1">SUBTOTAL(9,L$115:L$117)</f>
        <v>0</v>
      </c>
      <c r="M114" s="78">
        <f ca="1">IFERROR($L114/$L$146,0)</f>
        <v>0</v>
      </c>
      <c r="N114" s="78">
        <f ca="1">IFERROR(($L114-$I114)/ABS($I114),0)</f>
        <v>0</v>
      </c>
      <c r="O114" s="4">
        <f ca="1">SUBTOTAL(9,O$115:O$117)</f>
        <v>0</v>
      </c>
      <c r="P114" s="78">
        <f ca="1">IFERROR($O114/$O$146,0)</f>
        <v>0</v>
      </c>
      <c r="Q114" s="78">
        <f ca="1">IFERROR(($O114-$L114)/ABS($L114),0)</f>
        <v>0</v>
      </c>
      <c r="R114" s="4">
        <f ca="1">SUBTOTAL(9,R$115:R$117)</f>
        <v>0</v>
      </c>
      <c r="S114" s="78">
        <f ca="1">IFERROR($R114/$R$146,0)</f>
        <v>0</v>
      </c>
      <c r="T114" s="78">
        <f ca="1">IFERROR(($R114-$O114)/ABS($O114),0)</f>
        <v>0</v>
      </c>
      <c r="U114" s="4">
        <f ca="1">SUBTOTAL(9,U$115:U$117)</f>
        <v>0</v>
      </c>
      <c r="V114" s="78">
        <f ca="1">IFERROR($U114/$U$146,0)</f>
        <v>0</v>
      </c>
      <c r="W114" s="78">
        <f ca="1">IFERROR(($U114-$R114)/ABS($R114),0)</f>
        <v>0</v>
      </c>
      <c r="X114" s="4">
        <f ca="1">SUBTOTAL(9,X$115:X$117)</f>
        <v>0</v>
      </c>
      <c r="Y114" s="78">
        <f ca="1">IFERROR($X114/$X$146,0)</f>
        <v>0</v>
      </c>
      <c r="Z114" s="78">
        <f ca="1">IFERROR(($X114-$U114)/ABS($U114),0)</f>
        <v>0</v>
      </c>
      <c r="AA114" s="4">
        <f ca="1">SUBTOTAL(9,AA$115:AA$117)</f>
        <v>0</v>
      </c>
      <c r="AB114" s="78">
        <f ca="1">IFERROR($AA114/$AA$146,0)</f>
        <v>0</v>
      </c>
      <c r="AC114" s="78">
        <f ca="1">IFERROR(($AA114-$X114)/ABS($X114),0)</f>
        <v>0</v>
      </c>
      <c r="AD114" s="4">
        <f ca="1">SUBTOTAL(9,AD$115:AD$117)</f>
        <v>0</v>
      </c>
      <c r="AE114" s="78">
        <f ca="1">IFERROR($AD114/$AD$146,0)</f>
        <v>0</v>
      </c>
      <c r="AF114" s="78">
        <f ca="1">IFERROR(($AD114-$AA114)/ABS($AA114),0)</f>
        <v>0</v>
      </c>
      <c r="AG114" s="4">
        <f ca="1">SUBTOTAL(9,AG$115:AG$117)</f>
        <v>0</v>
      </c>
      <c r="AH114" s="78">
        <f ca="1">IFERROR($AG114/$AG$146,0)</f>
        <v>0</v>
      </c>
      <c r="AI114" s="78">
        <f ca="1">IFERROR(($AG114-$AD114)/ABS($AD114),0)</f>
        <v>0</v>
      </c>
      <c r="AJ114" s="4">
        <f ca="1">SUBTOTAL(9,AJ$115:AJ$117)</f>
        <v>0</v>
      </c>
      <c r="AK114" s="78">
        <f ca="1">IFERROR($AJ114/$AJ$146,0)</f>
        <v>0</v>
      </c>
      <c r="AL114" s="78">
        <f ca="1">IFERROR(($AJ114-$AG114)/ABS($AG114),0)</f>
        <v>0</v>
      </c>
      <c r="AM114" s="4">
        <f ca="1">SUBTOTAL(9,AM$115:AM$117)</f>
        <v>0</v>
      </c>
      <c r="AN114" s="78">
        <f ca="1">IFERROR(AM114/AM$146,0)</f>
        <v>0</v>
      </c>
      <c r="AO114" s="78">
        <f ca="1">IFERROR(($AM114-$AJ114)/ABS($AJ114),0)</f>
        <v>0</v>
      </c>
    </row>
    <row r="115" spans="2:41" ht="15" hidden="1" customHeight="1" outlineLevel="1" x14ac:dyDescent="0.3">
      <c r="B115" s="14"/>
      <c r="C115" s="15"/>
      <c r="D115" s="4">
        <f>-SUMIFS(Tab_99.Trial[DEZEMBRO],Tab_99.Trial[CONTA],$B115)</f>
        <v>0</v>
      </c>
      <c r="E115" s="78">
        <f ca="1">IFERROR($D115/$D$146,0)</f>
        <v>0</v>
      </c>
      <c r="F115" s="4">
        <f ca="1">-SUMIFS(INDIRECT("Tab_00.Trial["&amp;F$4&amp;"]"),Tab_00.Trial[CONTA],$B115)</f>
        <v>0</v>
      </c>
      <c r="G115" s="78">
        <f ca="1">IFERROR($F115/$F$146,0)</f>
        <v>0</v>
      </c>
      <c r="H115" s="78">
        <f ca="1">IFERROR(($F115-$D115)/ABS($D115),0)</f>
        <v>0</v>
      </c>
      <c r="I115" s="4">
        <f ca="1">-SUMIFS(INDIRECT("Tab_00.Trial["&amp;I$4&amp;"]"),Tab_00.Trial[CONTA],$B115)</f>
        <v>0</v>
      </c>
      <c r="J115" s="78">
        <f ca="1">IFERROR($I115/$I$146,0)</f>
        <v>0</v>
      </c>
      <c r="K115" s="78">
        <f ca="1">IFERROR(($I115-$F115)/ABS($F115),0)</f>
        <v>0</v>
      </c>
      <c r="L115" s="4">
        <f ca="1">-SUMIFS(INDIRECT("Tab_00.Trial["&amp;L$4&amp;"]"),Tab_00.Trial[CONTA],$B115)</f>
        <v>0</v>
      </c>
      <c r="M115" s="78">
        <f ca="1">IFERROR($L115/$L$146,0)</f>
        <v>0</v>
      </c>
      <c r="N115" s="78">
        <f ca="1">IFERROR(($L115-$I115)/ABS($I115),0)</f>
        <v>0</v>
      </c>
      <c r="O115" s="4">
        <f ca="1">-SUMIFS(INDIRECT("Tab_00.Trial["&amp;O$4&amp;"]"),Tab_00.Trial[CONTA],$B115)</f>
        <v>0</v>
      </c>
      <c r="P115" s="78">
        <f ca="1">IFERROR($O115/$O$146,0)</f>
        <v>0</v>
      </c>
      <c r="Q115" s="78">
        <f ca="1">IFERROR(($O115-$L115)/ABS($L115),0)</f>
        <v>0</v>
      </c>
      <c r="R115" s="4">
        <f ca="1">-SUMIFS(INDIRECT("Tab_00.Trial["&amp;R$4&amp;"]"),Tab_00.Trial[CONTA],$B115)</f>
        <v>0</v>
      </c>
      <c r="S115" s="78">
        <f ca="1">IFERROR($R115/$R$146,0)</f>
        <v>0</v>
      </c>
      <c r="T115" s="78">
        <f ca="1">IFERROR(($R115-$O115)/ABS($O115),0)</f>
        <v>0</v>
      </c>
      <c r="U115" s="4">
        <f ca="1">-SUMIFS(INDIRECT("Tab_00.Trial["&amp;U$4&amp;"]"),Tab_00.Trial[CONTA],$B115)</f>
        <v>0</v>
      </c>
      <c r="V115" s="78">
        <f ca="1">IFERROR($U115/$U$146,0)</f>
        <v>0</v>
      </c>
      <c r="W115" s="78">
        <f ca="1">IFERROR(($U115-$R115)/ABS($R115),0)</f>
        <v>0</v>
      </c>
      <c r="X115" s="4">
        <f ca="1">-SUMIFS(INDIRECT("Tab_00.Trial["&amp;X$4&amp;"]"),Tab_00.Trial[CONTA],$B115)</f>
        <v>0</v>
      </c>
      <c r="Y115" s="78">
        <f ca="1">IFERROR($X115/$X$146,0)</f>
        <v>0</v>
      </c>
      <c r="Z115" s="78">
        <f ca="1">IFERROR(($X115-$U115)/ABS($U115),0)</f>
        <v>0</v>
      </c>
      <c r="AA115" s="4">
        <f ca="1">-SUMIFS(INDIRECT("Tab_00.Trial["&amp;AA$4&amp;"]"),Tab_00.Trial[CONTA],$B115)</f>
        <v>0</v>
      </c>
      <c r="AB115" s="78">
        <f ca="1">IFERROR($AA115/$AA$146,0)</f>
        <v>0</v>
      </c>
      <c r="AC115" s="78">
        <f ca="1">IFERROR(($AA115-$X115)/ABS($X115),0)</f>
        <v>0</v>
      </c>
      <c r="AD115" s="4">
        <f ca="1">-SUMIFS(INDIRECT("Tab_00.Trial["&amp;AD$4&amp;"]"),Tab_00.Trial[CONTA],$B115)</f>
        <v>0</v>
      </c>
      <c r="AE115" s="78">
        <f ca="1">IFERROR($AD115/$AD$146,0)</f>
        <v>0</v>
      </c>
      <c r="AF115" s="78">
        <f ca="1">IFERROR(($AD115-$AA115)/ABS($AA115),0)</f>
        <v>0</v>
      </c>
      <c r="AG115" s="4">
        <f ca="1">-SUMIFS(INDIRECT("Tab_00.Trial["&amp;AG$4&amp;"]"),Tab_00.Trial[CONTA],$B115)</f>
        <v>0</v>
      </c>
      <c r="AH115" s="78">
        <f ca="1">IFERROR($AG115/$AG$146,0)</f>
        <v>0</v>
      </c>
      <c r="AI115" s="78">
        <f ca="1">IFERROR(($AG115-$AD115)/ABS($AD115),0)</f>
        <v>0</v>
      </c>
      <c r="AJ115" s="4">
        <f ca="1">-SUMIFS(INDIRECT("Tab_00.Trial["&amp;AJ$4&amp;"]"),Tab_00.Trial[CONTA],$B115)</f>
        <v>0</v>
      </c>
      <c r="AK115" s="78">
        <f ca="1">IFERROR($AJ115/$AJ$146,0)</f>
        <v>0</v>
      </c>
      <c r="AL115" s="78">
        <f ca="1">IFERROR(($AJ115-$AG115)/ABS($AG115),0)</f>
        <v>0</v>
      </c>
      <c r="AM115" s="4">
        <f ca="1">-SUMIFS(INDIRECT("Tab_00.Trial["&amp;AM$4&amp;"]"),Tab_00.Trial[CONTA],$B115)</f>
        <v>0</v>
      </c>
      <c r="AN115" s="78">
        <f ca="1">IFERROR(AM115/AM$146,0)</f>
        <v>0</v>
      </c>
      <c r="AO115" s="78">
        <f ca="1">IFERROR(($AM115-$AJ115)/ABS($AJ115),0)</f>
        <v>0</v>
      </c>
    </row>
    <row r="116" spans="2:41" ht="15" hidden="1" customHeight="1" outlineLevel="1" x14ac:dyDescent="0.3">
      <c r="B116" s="14"/>
      <c r="C116" s="15"/>
      <c r="D116" s="4">
        <f>-SUMIFS(Tab_99.Trial[DEZEMBRO],Tab_99.Trial[CONTA],$B116)</f>
        <v>0</v>
      </c>
      <c r="E116" s="78">
        <f ca="1">IFERROR($D116/$D$146,0)</f>
        <v>0</v>
      </c>
      <c r="F116" s="4">
        <f ca="1">-SUMIFS(INDIRECT("Tab_00.Trial["&amp;F$4&amp;"]"),Tab_00.Trial[CONTA],$B116)</f>
        <v>0</v>
      </c>
      <c r="G116" s="78">
        <f ca="1">IFERROR($F116/$F$146,0)</f>
        <v>0</v>
      </c>
      <c r="H116" s="78">
        <f t="shared" ref="H116" ca="1" si="209">IFERROR(($F116-$D116)/ABS($D116),0)</f>
        <v>0</v>
      </c>
      <c r="I116" s="4">
        <f ca="1">-SUMIFS(INDIRECT("Tab_00.Trial["&amp;I$4&amp;"]"),Tab_00.Trial[CONTA],$B116)</f>
        <v>0</v>
      </c>
      <c r="J116" s="78">
        <f ca="1">IFERROR($I116/$I$146,0)</f>
        <v>0</v>
      </c>
      <c r="K116" s="78">
        <f t="shared" ref="K116" ca="1" si="210">IFERROR(($I116-$F116)/ABS($F116),0)</f>
        <v>0</v>
      </c>
      <c r="L116" s="4">
        <f ca="1">-SUMIFS(INDIRECT("Tab_00.Trial["&amp;L$4&amp;"]"),Tab_00.Trial[CONTA],$B116)</f>
        <v>0</v>
      </c>
      <c r="M116" s="78">
        <f ca="1">IFERROR($L116/$L$146,0)</f>
        <v>0</v>
      </c>
      <c r="N116" s="78">
        <f t="shared" ref="N116" ca="1" si="211">IFERROR(($L116-$I116)/ABS($I116),0)</f>
        <v>0</v>
      </c>
      <c r="O116" s="4">
        <f ca="1">-SUMIFS(INDIRECT("Tab_00.Trial["&amp;O$4&amp;"]"),Tab_00.Trial[CONTA],$B116)</f>
        <v>0</v>
      </c>
      <c r="P116" s="78">
        <f ca="1">IFERROR($O116/$O$146,0)</f>
        <v>0</v>
      </c>
      <c r="Q116" s="78">
        <f t="shared" ref="Q116" ca="1" si="212">IFERROR(($O116-$L116)/ABS($L116),0)</f>
        <v>0</v>
      </c>
      <c r="R116" s="4">
        <f ca="1">-SUMIFS(INDIRECT("Tab_00.Trial["&amp;R$4&amp;"]"),Tab_00.Trial[CONTA],$B116)</f>
        <v>0</v>
      </c>
      <c r="S116" s="78">
        <f ca="1">IFERROR($R116/$R$146,0)</f>
        <v>0</v>
      </c>
      <c r="T116" s="78">
        <f t="shared" ref="T116" ca="1" si="213">IFERROR(($R116-$O116)/ABS($O116),0)</f>
        <v>0</v>
      </c>
      <c r="U116" s="4">
        <f ca="1">-SUMIFS(INDIRECT("Tab_00.Trial["&amp;U$4&amp;"]"),Tab_00.Trial[CONTA],$B116)</f>
        <v>0</v>
      </c>
      <c r="V116" s="78">
        <f ca="1">IFERROR($U116/$U$146,0)</f>
        <v>0</v>
      </c>
      <c r="W116" s="78">
        <f t="shared" ref="W116" ca="1" si="214">IFERROR(($U116-$R116)/ABS($R116),0)</f>
        <v>0</v>
      </c>
      <c r="X116" s="4">
        <f ca="1">-SUMIFS(INDIRECT("Tab_00.Trial["&amp;X$4&amp;"]"),Tab_00.Trial[CONTA],$B116)</f>
        <v>0</v>
      </c>
      <c r="Y116" s="78">
        <f ca="1">IFERROR($X116/$X$146,0)</f>
        <v>0</v>
      </c>
      <c r="Z116" s="78">
        <f t="shared" ref="Z116" ca="1" si="215">IFERROR(($X116-$U116)/ABS($U116),0)</f>
        <v>0</v>
      </c>
      <c r="AA116" s="4">
        <f ca="1">-SUMIFS(INDIRECT("Tab_00.Trial["&amp;AA$4&amp;"]"),Tab_00.Trial[CONTA],$B116)</f>
        <v>0</v>
      </c>
      <c r="AB116" s="78">
        <f ca="1">IFERROR($AA116/$AA$146,0)</f>
        <v>0</v>
      </c>
      <c r="AC116" s="78">
        <f t="shared" ref="AC116" ca="1" si="216">IFERROR(($AA116-$X116)/ABS($X116),0)</f>
        <v>0</v>
      </c>
      <c r="AD116" s="4">
        <f ca="1">-SUMIFS(INDIRECT("Tab_00.Trial["&amp;AD$4&amp;"]"),Tab_00.Trial[CONTA],$B116)</f>
        <v>0</v>
      </c>
      <c r="AE116" s="78">
        <f ca="1">IFERROR($AD116/$AD$146,0)</f>
        <v>0</v>
      </c>
      <c r="AF116" s="78">
        <f t="shared" ref="AF116" ca="1" si="217">IFERROR(($AD116-$AA116)/ABS($AA116),0)</f>
        <v>0</v>
      </c>
      <c r="AG116" s="4">
        <f ca="1">-SUMIFS(INDIRECT("Tab_00.Trial["&amp;AG$4&amp;"]"),Tab_00.Trial[CONTA],$B116)</f>
        <v>0</v>
      </c>
      <c r="AH116" s="78">
        <f ca="1">IFERROR($AG116/$AG$146,0)</f>
        <v>0</v>
      </c>
      <c r="AI116" s="78">
        <f t="shared" ref="AI116" ca="1" si="218">IFERROR(($AG116-$AD116)/ABS($AD116),0)</f>
        <v>0</v>
      </c>
      <c r="AJ116" s="4">
        <f ca="1">-SUMIFS(INDIRECT("Tab_00.Trial["&amp;AJ$4&amp;"]"),Tab_00.Trial[CONTA],$B116)</f>
        <v>0</v>
      </c>
      <c r="AK116" s="78">
        <f ca="1">IFERROR($AJ116/$AJ$146,0)</f>
        <v>0</v>
      </c>
      <c r="AL116" s="78">
        <f t="shared" ref="AL116" ca="1" si="219">IFERROR(($AJ116-$AG116)/ABS($AG116),0)</f>
        <v>0</v>
      </c>
      <c r="AM116" s="4">
        <f ca="1">-SUMIFS(INDIRECT("Tab_00.Trial["&amp;AM$4&amp;"]"),Tab_00.Trial[CONTA],$B116)</f>
        <v>0</v>
      </c>
      <c r="AN116" s="78">
        <f ca="1">IFERROR(AM116/AM$146,0)</f>
        <v>0</v>
      </c>
      <c r="AO116" s="78">
        <f t="shared" ref="AO116" ca="1" si="220">IFERROR(($AM116-$AJ116)/ABS($AJ116),0)</f>
        <v>0</v>
      </c>
    </row>
    <row r="117" spans="2:41" ht="5.0999999999999996" hidden="1" customHeight="1" outlineLevel="1" x14ac:dyDescent="0.3">
      <c r="B117" s="74"/>
      <c r="C117" s="75"/>
      <c r="D117" s="76"/>
      <c r="E117" s="77"/>
      <c r="F117" s="76"/>
      <c r="G117" s="77"/>
      <c r="H117" s="77"/>
      <c r="I117" s="76"/>
      <c r="J117" s="77"/>
      <c r="K117" s="77"/>
      <c r="L117" s="76"/>
      <c r="M117" s="77"/>
      <c r="N117" s="77"/>
      <c r="O117" s="76"/>
      <c r="P117" s="77"/>
      <c r="Q117" s="77"/>
      <c r="R117" s="76"/>
      <c r="S117" s="77"/>
      <c r="T117" s="77"/>
      <c r="U117" s="76"/>
      <c r="V117" s="77"/>
      <c r="W117" s="77"/>
      <c r="X117" s="76"/>
      <c r="Y117" s="77"/>
      <c r="Z117" s="77"/>
      <c r="AA117" s="76"/>
      <c r="AB117" s="77"/>
      <c r="AC117" s="77"/>
      <c r="AD117" s="76"/>
      <c r="AE117" s="77"/>
      <c r="AF117" s="77"/>
      <c r="AG117" s="76"/>
      <c r="AH117" s="77"/>
      <c r="AI117" s="77"/>
      <c r="AJ117" s="76"/>
      <c r="AK117" s="77"/>
      <c r="AL117" s="77"/>
      <c r="AM117" s="76"/>
      <c r="AN117" s="77"/>
      <c r="AO117" s="77"/>
    </row>
    <row r="118" spans="2:41" ht="15" customHeight="1" collapsed="1" x14ac:dyDescent="0.3">
      <c r="B118" s="3" t="s">
        <v>122</v>
      </c>
      <c r="C118" s="14" t="s">
        <v>89</v>
      </c>
      <c r="D118" s="4">
        <f>SUBTOTAL(9,D$119:D$121)</f>
        <v>0</v>
      </c>
      <c r="E118" s="78">
        <f ca="1">IFERROR($D118/$D$146,0)</f>
        <v>0</v>
      </c>
      <c r="F118" s="4">
        <f ca="1">SUBTOTAL(9,F$119:F$121)</f>
        <v>46934.04</v>
      </c>
      <c r="G118" s="78">
        <f ca="1">IFERROR($F118/$F$146,0)</f>
        <v>5.9999999999999995E-4</v>
      </c>
      <c r="H118" s="78">
        <f ca="1">IFERROR(($F118-$D118)/ABS($D118),0)</f>
        <v>0</v>
      </c>
      <c r="I118" s="4">
        <f ca="1">SUBTOTAL(9,I$119:I$121)</f>
        <v>46934.04</v>
      </c>
      <c r="J118" s="78">
        <f ca="1">IFERROR($I118/$I$146,0)</f>
        <v>5.9999999999999995E-4</v>
      </c>
      <c r="K118" s="78">
        <f ca="1">IFERROR(($I118-$F118)/ABS($F118),0)</f>
        <v>0</v>
      </c>
      <c r="L118" s="4">
        <f ca="1">SUBTOTAL(9,L$119:L$121)</f>
        <v>46934.04</v>
      </c>
      <c r="M118" s="78">
        <f ca="1">IFERROR($L118/$L$146,0)</f>
        <v>5.9999999999999995E-4</v>
      </c>
      <c r="N118" s="78">
        <f ca="1">IFERROR(($L118-$I118)/ABS($I118),0)</f>
        <v>0</v>
      </c>
      <c r="O118" s="4">
        <f ca="1">SUBTOTAL(9,O$119:O$121)</f>
        <v>46934.04</v>
      </c>
      <c r="P118" s="78">
        <f ca="1">IFERROR($O118/$O$146,0)</f>
        <v>5.9999999999999995E-4</v>
      </c>
      <c r="Q118" s="78">
        <f ca="1">IFERROR(($O118-$L118)/ABS($L118),0)</f>
        <v>0</v>
      </c>
      <c r="R118" s="4">
        <f ca="1">SUBTOTAL(9,R$119:R$121)</f>
        <v>46934.04</v>
      </c>
      <c r="S118" s="78">
        <f ca="1">IFERROR($R118/$R$146,0)</f>
        <v>5.9999999999999995E-4</v>
      </c>
      <c r="T118" s="78">
        <f ca="1">IFERROR(($R118-$O118)/ABS($O118),0)</f>
        <v>0</v>
      </c>
      <c r="U118" s="4">
        <f ca="1">SUBTOTAL(9,U$119:U$121)</f>
        <v>46934.04</v>
      </c>
      <c r="V118" s="78">
        <f ca="1">IFERROR($U118/$U$146,0)</f>
        <v>5.9999999999999995E-4</v>
      </c>
      <c r="W118" s="78">
        <f ca="1">IFERROR(($U118-$R118)/ABS($R118),0)</f>
        <v>0</v>
      </c>
      <c r="X118" s="4">
        <f ca="1">SUBTOTAL(9,X$119:X$121)</f>
        <v>46934.04</v>
      </c>
      <c r="Y118" s="78">
        <f ca="1">IFERROR($X118/$X$146,0)</f>
        <v>5.9999999999999995E-4</v>
      </c>
      <c r="Z118" s="78">
        <f ca="1">IFERROR(($X118-$U118)/ABS($U118),0)</f>
        <v>0</v>
      </c>
      <c r="AA118" s="4">
        <f ca="1">SUBTOTAL(9,AA$119:AA$121)</f>
        <v>46934.04</v>
      </c>
      <c r="AB118" s="78">
        <f ca="1">IFERROR($AA118/$AA$146,0)</f>
        <v>5.9999999999999995E-4</v>
      </c>
      <c r="AC118" s="78">
        <f ca="1">IFERROR(($AA118-$X118)/ABS($X118),0)</f>
        <v>0</v>
      </c>
      <c r="AD118" s="4">
        <f ca="1">SUBTOTAL(9,AD$119:AD$121)</f>
        <v>46934.04</v>
      </c>
      <c r="AE118" s="78">
        <f ca="1">IFERROR($AD118/$AD$146,0)</f>
        <v>5.9999999999999995E-4</v>
      </c>
      <c r="AF118" s="78">
        <f ca="1">IFERROR(($AD118-$AA118)/ABS($AA118),0)</f>
        <v>0</v>
      </c>
      <c r="AG118" s="4">
        <f ca="1">SUBTOTAL(9,AG$119:AG$121)</f>
        <v>46934.04</v>
      </c>
      <c r="AH118" s="78">
        <f ca="1">IFERROR($AG118/$AG$146,0)</f>
        <v>5.9999999999999995E-4</v>
      </c>
      <c r="AI118" s="78">
        <f ca="1">IFERROR(($AG118-$AD118)/ABS($AD118),0)</f>
        <v>0</v>
      </c>
      <c r="AJ118" s="4">
        <f ca="1">SUBTOTAL(9,AJ$119:AJ$121)</f>
        <v>46934.04</v>
      </c>
      <c r="AK118" s="78">
        <f ca="1">IFERROR($AJ118/$AJ$146,0)</f>
        <v>5.0000000000000001E-4</v>
      </c>
      <c r="AL118" s="78">
        <f ca="1">IFERROR(($AJ118-$AG118)/ABS($AG118),0)</f>
        <v>0</v>
      </c>
      <c r="AM118" s="4">
        <f ca="1">SUBTOTAL(9,AM$119:AM$121)</f>
        <v>0</v>
      </c>
      <c r="AN118" s="78">
        <f ca="1">IFERROR(AM118/AM$146,0)</f>
        <v>0</v>
      </c>
      <c r="AO118" s="78">
        <f ca="1">IFERROR(($AM118-$AJ118)/ABS($AJ118),0)</f>
        <v>-1</v>
      </c>
    </row>
    <row r="119" spans="2:41" ht="15" hidden="1" customHeight="1" outlineLevel="1" x14ac:dyDescent="0.3">
      <c r="B119" s="14" t="s">
        <v>360</v>
      </c>
      <c r="C119" s="15" t="s">
        <v>361</v>
      </c>
      <c r="D119" s="4">
        <f>-SUMIFS(Tab_99.Trial[DEZEMBRO],Tab_99.Trial[CONTA],$B119)</f>
        <v>0</v>
      </c>
      <c r="E119" s="78">
        <f ca="1">IFERROR($D119/$D$146,0)</f>
        <v>0</v>
      </c>
      <c r="F119" s="4">
        <f ca="1">-SUMIFS(INDIRECT("Tab_00.Trial["&amp;F$4&amp;"]"),Tab_00.Trial[CONTA],$B119)</f>
        <v>31934.04</v>
      </c>
      <c r="G119" s="78">
        <f ca="1">IFERROR($F119/$F$146,0)</f>
        <v>4.0000000000000002E-4</v>
      </c>
      <c r="H119" s="78">
        <f ca="1">IFERROR(($F119-$D119)/ABS($D119),0)</f>
        <v>0</v>
      </c>
      <c r="I119" s="4">
        <f ca="1">-SUMIFS(INDIRECT("Tab_00.Trial["&amp;I$4&amp;"]"),Tab_00.Trial[CONTA],$B119)</f>
        <v>31934.04</v>
      </c>
      <c r="J119" s="78">
        <f ca="1">IFERROR($I119/$I$146,0)</f>
        <v>4.0000000000000002E-4</v>
      </c>
      <c r="K119" s="78">
        <f ca="1">IFERROR(($I119-$F119)/ABS($F119),0)</f>
        <v>0</v>
      </c>
      <c r="L119" s="4">
        <f ca="1">-SUMIFS(INDIRECT("Tab_00.Trial["&amp;L$4&amp;"]"),Tab_00.Trial[CONTA],$B119)</f>
        <v>31934.04</v>
      </c>
      <c r="M119" s="78">
        <f ca="1">IFERROR($L119/$L$146,0)</f>
        <v>4.0000000000000002E-4</v>
      </c>
      <c r="N119" s="78">
        <f ca="1">IFERROR(($L119-$I119)/ABS($I119),0)</f>
        <v>0</v>
      </c>
      <c r="O119" s="4">
        <f ca="1">-SUMIFS(INDIRECT("Tab_00.Trial["&amp;O$4&amp;"]"),Tab_00.Trial[CONTA],$B119)</f>
        <v>31934.04</v>
      </c>
      <c r="P119" s="78">
        <f ca="1">IFERROR($O119/$O$146,0)</f>
        <v>4.0000000000000002E-4</v>
      </c>
      <c r="Q119" s="78">
        <f ca="1">IFERROR(($O119-$L119)/ABS($L119),0)</f>
        <v>0</v>
      </c>
      <c r="R119" s="4">
        <f ca="1">-SUMIFS(INDIRECT("Tab_00.Trial["&amp;R$4&amp;"]"),Tab_00.Trial[CONTA],$B119)</f>
        <v>31934.04</v>
      </c>
      <c r="S119" s="78">
        <f ca="1">IFERROR($R119/$R$146,0)</f>
        <v>4.0000000000000002E-4</v>
      </c>
      <c r="T119" s="78">
        <f ca="1">IFERROR(($R119-$O119)/ABS($O119),0)</f>
        <v>0</v>
      </c>
      <c r="U119" s="4">
        <f ca="1">-SUMIFS(INDIRECT("Tab_00.Trial["&amp;U$4&amp;"]"),Tab_00.Trial[CONTA],$B119)</f>
        <v>31934.04</v>
      </c>
      <c r="V119" s="78">
        <f ca="1">IFERROR($U119/$U$146,0)</f>
        <v>4.0000000000000002E-4</v>
      </c>
      <c r="W119" s="78">
        <f ca="1">IFERROR(($U119-$R119)/ABS($R119),0)</f>
        <v>0</v>
      </c>
      <c r="X119" s="4">
        <f ca="1">-SUMIFS(INDIRECT("Tab_00.Trial["&amp;X$4&amp;"]"),Tab_00.Trial[CONTA],$B119)</f>
        <v>31934.04</v>
      </c>
      <c r="Y119" s="78">
        <f ca="1">IFERROR($X119/$X$146,0)</f>
        <v>4.0000000000000002E-4</v>
      </c>
      <c r="Z119" s="78">
        <f ca="1">IFERROR(($X119-$U119)/ABS($U119),0)</f>
        <v>0</v>
      </c>
      <c r="AA119" s="4">
        <f ca="1">-SUMIFS(INDIRECT("Tab_00.Trial["&amp;AA$4&amp;"]"),Tab_00.Trial[CONTA],$B119)</f>
        <v>31934.04</v>
      </c>
      <c r="AB119" s="78">
        <f ca="1">IFERROR($AA119/$AA$146,0)</f>
        <v>4.0000000000000002E-4</v>
      </c>
      <c r="AC119" s="78">
        <f ca="1">IFERROR(($AA119-$X119)/ABS($X119),0)</f>
        <v>0</v>
      </c>
      <c r="AD119" s="4">
        <f ca="1">-SUMIFS(INDIRECT("Tab_00.Trial["&amp;AD$4&amp;"]"),Tab_00.Trial[CONTA],$B119)</f>
        <v>31934.04</v>
      </c>
      <c r="AE119" s="78">
        <f ca="1">IFERROR($AD119/$AD$146,0)</f>
        <v>4.0000000000000002E-4</v>
      </c>
      <c r="AF119" s="78">
        <f ca="1">IFERROR(($AD119-$AA119)/ABS($AA119),0)</f>
        <v>0</v>
      </c>
      <c r="AG119" s="4">
        <f ca="1">-SUMIFS(INDIRECT("Tab_00.Trial["&amp;AG$4&amp;"]"),Tab_00.Trial[CONTA],$B119)</f>
        <v>31934.04</v>
      </c>
      <c r="AH119" s="78">
        <f ca="1">IFERROR($AG119/$AG$146,0)</f>
        <v>4.0000000000000002E-4</v>
      </c>
      <c r="AI119" s="78">
        <f ca="1">IFERROR(($AG119-$AD119)/ABS($AD119),0)</f>
        <v>0</v>
      </c>
      <c r="AJ119" s="4">
        <f ca="1">-SUMIFS(INDIRECT("Tab_00.Trial["&amp;AJ$4&amp;"]"),Tab_00.Trial[CONTA],$B119)</f>
        <v>31934.04</v>
      </c>
      <c r="AK119" s="78">
        <f ca="1">IFERROR($AJ119/$AJ$146,0)</f>
        <v>4.0000000000000002E-4</v>
      </c>
      <c r="AL119" s="78">
        <f ca="1">IFERROR(($AJ119-$AG119)/ABS($AG119),0)</f>
        <v>0</v>
      </c>
      <c r="AM119" s="4">
        <f ca="1">-SUMIFS(INDIRECT("Tab_00.Trial["&amp;AM$4&amp;"]"),Tab_00.Trial[CONTA],$B119)</f>
        <v>0</v>
      </c>
      <c r="AN119" s="78">
        <f ca="1">IFERROR(AM119/AM$146,0)</f>
        <v>0</v>
      </c>
      <c r="AO119" s="78">
        <f ca="1">IFERROR(($AM119-$AJ119)/ABS($AJ119),0)</f>
        <v>-1</v>
      </c>
    </row>
    <row r="120" spans="2:41" ht="15" hidden="1" customHeight="1" outlineLevel="1" x14ac:dyDescent="0.3">
      <c r="B120" s="14" t="s">
        <v>362</v>
      </c>
      <c r="C120" s="15" t="s">
        <v>363</v>
      </c>
      <c r="D120" s="4">
        <f>-SUMIFS(Tab_99.Trial[DEZEMBRO],Tab_99.Trial[CONTA],$B120)</f>
        <v>0</v>
      </c>
      <c r="E120" s="78">
        <f ca="1">IFERROR($D120/$D$146,0)</f>
        <v>0</v>
      </c>
      <c r="F120" s="4">
        <f ca="1">-SUMIFS(INDIRECT("Tab_00.Trial["&amp;F$4&amp;"]"),Tab_00.Trial[CONTA],$B120)</f>
        <v>15000</v>
      </c>
      <c r="G120" s="78">
        <f ca="1">IFERROR($F120/$F$146,0)</f>
        <v>2.0000000000000001E-4</v>
      </c>
      <c r="H120" s="78">
        <f t="shared" ref="H120" ca="1" si="221">IFERROR(($F120-$D120)/ABS($D120),0)</f>
        <v>0</v>
      </c>
      <c r="I120" s="4">
        <f ca="1">-SUMIFS(INDIRECT("Tab_00.Trial["&amp;I$4&amp;"]"),Tab_00.Trial[CONTA],$B120)</f>
        <v>15000</v>
      </c>
      <c r="J120" s="78">
        <f ca="1">IFERROR($I120/$I$146,0)</f>
        <v>2.0000000000000001E-4</v>
      </c>
      <c r="K120" s="78">
        <f t="shared" ref="K120" ca="1" si="222">IFERROR(($I120-$F120)/ABS($F120),0)</f>
        <v>0</v>
      </c>
      <c r="L120" s="4">
        <f ca="1">-SUMIFS(INDIRECT("Tab_00.Trial["&amp;L$4&amp;"]"),Tab_00.Trial[CONTA],$B120)</f>
        <v>15000</v>
      </c>
      <c r="M120" s="78">
        <f ca="1">IFERROR($L120/$L$146,0)</f>
        <v>2.0000000000000001E-4</v>
      </c>
      <c r="N120" s="78">
        <f t="shared" ref="N120" ca="1" si="223">IFERROR(($L120-$I120)/ABS($I120),0)</f>
        <v>0</v>
      </c>
      <c r="O120" s="4">
        <f ca="1">-SUMIFS(INDIRECT("Tab_00.Trial["&amp;O$4&amp;"]"),Tab_00.Trial[CONTA],$B120)</f>
        <v>15000</v>
      </c>
      <c r="P120" s="78">
        <f ca="1">IFERROR($O120/$O$146,0)</f>
        <v>2.0000000000000001E-4</v>
      </c>
      <c r="Q120" s="78">
        <f t="shared" ref="Q120" ca="1" si="224">IFERROR(($O120-$L120)/ABS($L120),0)</f>
        <v>0</v>
      </c>
      <c r="R120" s="4">
        <f ca="1">-SUMIFS(INDIRECT("Tab_00.Trial["&amp;R$4&amp;"]"),Tab_00.Trial[CONTA],$B120)</f>
        <v>15000</v>
      </c>
      <c r="S120" s="78">
        <f ca="1">IFERROR($R120/$R$146,0)</f>
        <v>2.0000000000000001E-4</v>
      </c>
      <c r="T120" s="78">
        <f t="shared" ref="T120" ca="1" si="225">IFERROR(($R120-$O120)/ABS($O120),0)</f>
        <v>0</v>
      </c>
      <c r="U120" s="4">
        <f ca="1">-SUMIFS(INDIRECT("Tab_00.Trial["&amp;U$4&amp;"]"),Tab_00.Trial[CONTA],$B120)</f>
        <v>15000</v>
      </c>
      <c r="V120" s="78">
        <f ca="1">IFERROR($U120/$U$146,0)</f>
        <v>2.0000000000000001E-4</v>
      </c>
      <c r="W120" s="78">
        <f t="shared" ref="W120" ca="1" si="226">IFERROR(($U120-$R120)/ABS($R120),0)</f>
        <v>0</v>
      </c>
      <c r="X120" s="4">
        <f ca="1">-SUMIFS(INDIRECT("Tab_00.Trial["&amp;X$4&amp;"]"),Tab_00.Trial[CONTA],$B120)</f>
        <v>15000</v>
      </c>
      <c r="Y120" s="78">
        <f ca="1">IFERROR($X120/$X$146,0)</f>
        <v>2.0000000000000001E-4</v>
      </c>
      <c r="Z120" s="78">
        <f t="shared" ref="Z120" ca="1" si="227">IFERROR(($X120-$U120)/ABS($U120),0)</f>
        <v>0</v>
      </c>
      <c r="AA120" s="4">
        <f ca="1">-SUMIFS(INDIRECT("Tab_00.Trial["&amp;AA$4&amp;"]"),Tab_00.Trial[CONTA],$B120)</f>
        <v>15000</v>
      </c>
      <c r="AB120" s="78">
        <f ca="1">IFERROR($AA120/$AA$146,0)</f>
        <v>2.0000000000000001E-4</v>
      </c>
      <c r="AC120" s="78">
        <f t="shared" ref="AC120" ca="1" si="228">IFERROR(($AA120-$X120)/ABS($X120),0)</f>
        <v>0</v>
      </c>
      <c r="AD120" s="4">
        <f ca="1">-SUMIFS(INDIRECT("Tab_00.Trial["&amp;AD$4&amp;"]"),Tab_00.Trial[CONTA],$B120)</f>
        <v>15000</v>
      </c>
      <c r="AE120" s="78">
        <f ca="1">IFERROR($AD120/$AD$146,0)</f>
        <v>2.0000000000000001E-4</v>
      </c>
      <c r="AF120" s="78">
        <f t="shared" ref="AF120" ca="1" si="229">IFERROR(($AD120-$AA120)/ABS($AA120),0)</f>
        <v>0</v>
      </c>
      <c r="AG120" s="4">
        <f ca="1">-SUMIFS(INDIRECT("Tab_00.Trial["&amp;AG$4&amp;"]"),Tab_00.Trial[CONTA],$B120)</f>
        <v>15000</v>
      </c>
      <c r="AH120" s="78">
        <f ca="1">IFERROR($AG120/$AG$146,0)</f>
        <v>2.0000000000000001E-4</v>
      </c>
      <c r="AI120" s="78">
        <f t="shared" ref="AI120" ca="1" si="230">IFERROR(($AG120-$AD120)/ABS($AD120),0)</f>
        <v>0</v>
      </c>
      <c r="AJ120" s="4">
        <f ca="1">-SUMIFS(INDIRECT("Tab_00.Trial["&amp;AJ$4&amp;"]"),Tab_00.Trial[CONTA],$B120)</f>
        <v>15000</v>
      </c>
      <c r="AK120" s="78">
        <f ca="1">IFERROR($AJ120/$AJ$146,0)</f>
        <v>2.0000000000000001E-4</v>
      </c>
      <c r="AL120" s="78">
        <f t="shared" ref="AL120" ca="1" si="231">IFERROR(($AJ120-$AG120)/ABS($AG120),0)</f>
        <v>0</v>
      </c>
      <c r="AM120" s="4">
        <f ca="1">-SUMIFS(INDIRECT("Tab_00.Trial["&amp;AM$4&amp;"]"),Tab_00.Trial[CONTA],$B120)</f>
        <v>0</v>
      </c>
      <c r="AN120" s="78">
        <f ca="1">IFERROR(AM120/AM$146,0)</f>
        <v>0</v>
      </c>
      <c r="AO120" s="78">
        <f t="shared" ref="AO120" ca="1" si="232">IFERROR(($AM120-$AJ120)/ABS($AJ120),0)</f>
        <v>-1</v>
      </c>
    </row>
    <row r="121" spans="2:41" ht="5.0999999999999996" hidden="1" customHeight="1" outlineLevel="1" x14ac:dyDescent="0.3">
      <c r="B121" s="74"/>
      <c r="C121" s="75"/>
      <c r="D121" s="76"/>
      <c r="E121" s="77"/>
      <c r="F121" s="76"/>
      <c r="G121" s="77"/>
      <c r="H121" s="77"/>
      <c r="I121" s="76"/>
      <c r="J121" s="77"/>
      <c r="K121" s="77"/>
      <c r="L121" s="76"/>
      <c r="M121" s="77"/>
      <c r="N121" s="77"/>
      <c r="O121" s="76"/>
      <c r="P121" s="77"/>
      <c r="Q121" s="77"/>
      <c r="R121" s="76"/>
      <c r="S121" s="77"/>
      <c r="T121" s="77"/>
      <c r="U121" s="76"/>
      <c r="V121" s="77"/>
      <c r="W121" s="77"/>
      <c r="X121" s="76"/>
      <c r="Y121" s="77"/>
      <c r="Z121" s="77"/>
      <c r="AA121" s="76"/>
      <c r="AB121" s="77"/>
      <c r="AC121" s="77"/>
      <c r="AD121" s="76"/>
      <c r="AE121" s="77"/>
      <c r="AF121" s="77"/>
      <c r="AG121" s="76"/>
      <c r="AH121" s="77"/>
      <c r="AI121" s="77"/>
      <c r="AJ121" s="76"/>
      <c r="AK121" s="77"/>
      <c r="AL121" s="77"/>
      <c r="AM121" s="76"/>
      <c r="AN121" s="77"/>
      <c r="AO121" s="77"/>
    </row>
    <row r="122" spans="2:41" ht="15" customHeight="1" collapsed="1" x14ac:dyDescent="0.3">
      <c r="C122" s="14"/>
      <c r="D122" s="16">
        <f>SUBTOTAL(9,D$66:D$121)</f>
        <v>0</v>
      </c>
      <c r="E122" s="80">
        <f ca="1">IFERROR($D122/$D$146,0)</f>
        <v>0</v>
      </c>
      <c r="F122" s="16">
        <f ca="1">SUBTOTAL(9,F$66:F$121)</f>
        <v>46934.04</v>
      </c>
      <c r="G122" s="80">
        <f ca="1">IFERROR($F122/$F$146,0)</f>
        <v>5.9999999999999995E-4</v>
      </c>
      <c r="H122" s="80">
        <f t="shared" ref="H122" ca="1" si="233">IFERROR(($F122-$D122)/ABS($D122),0)</f>
        <v>0</v>
      </c>
      <c r="I122" s="16">
        <f ca="1">SUBTOTAL(9,I$66:I$121)</f>
        <v>46934.04</v>
      </c>
      <c r="J122" s="80">
        <f ca="1">IFERROR($I122/$I$146,0)</f>
        <v>5.9999999999999995E-4</v>
      </c>
      <c r="K122" s="80">
        <f t="shared" ref="K122" ca="1" si="234">IFERROR(($I122-$F122)/ABS($F122),0)</f>
        <v>0</v>
      </c>
      <c r="L122" s="16">
        <f ca="1">SUBTOTAL(9,L$66:L$121)</f>
        <v>46934.04</v>
      </c>
      <c r="M122" s="80">
        <f ca="1">IFERROR($L122/$L$146,0)</f>
        <v>5.9999999999999995E-4</v>
      </c>
      <c r="N122" s="80">
        <f t="shared" ref="N122" ca="1" si="235">IFERROR(($L122-$I122)/ABS($I122),0)</f>
        <v>0</v>
      </c>
      <c r="O122" s="16">
        <f ca="1">SUBTOTAL(9,O$66:O$121)</f>
        <v>46934.04</v>
      </c>
      <c r="P122" s="80">
        <f ca="1">IFERROR($O122/$O$146,0)</f>
        <v>5.9999999999999995E-4</v>
      </c>
      <c r="Q122" s="80">
        <f t="shared" ref="Q122" ca="1" si="236">IFERROR(($O122-$L122)/ABS($L122),0)</f>
        <v>0</v>
      </c>
      <c r="R122" s="16">
        <f ca="1">SUBTOTAL(9,R$66:R$121)</f>
        <v>46934.04</v>
      </c>
      <c r="S122" s="80">
        <f ca="1">IFERROR($R122/$R$146,0)</f>
        <v>5.9999999999999995E-4</v>
      </c>
      <c r="T122" s="80">
        <f t="shared" ref="T122" ca="1" si="237">IFERROR(($R122-$O122)/ABS($O122),0)</f>
        <v>0</v>
      </c>
      <c r="U122" s="16">
        <f ca="1">SUBTOTAL(9,U$66:U$121)</f>
        <v>46934.04</v>
      </c>
      <c r="V122" s="80">
        <f ca="1">IFERROR($U122/$U$146,0)</f>
        <v>5.9999999999999995E-4</v>
      </c>
      <c r="W122" s="80">
        <f t="shared" ref="W122" ca="1" si="238">IFERROR(($U122-$R122)/ABS($R122),0)</f>
        <v>0</v>
      </c>
      <c r="X122" s="16">
        <f ca="1">SUBTOTAL(9,X$66:X$121)</f>
        <v>46934.04</v>
      </c>
      <c r="Y122" s="80">
        <f ca="1">IFERROR($X122/$X$146,0)</f>
        <v>5.9999999999999995E-4</v>
      </c>
      <c r="Z122" s="80">
        <f t="shared" ref="Z122" ca="1" si="239">IFERROR(($X122-$U122)/ABS($U122),0)</f>
        <v>0</v>
      </c>
      <c r="AA122" s="16">
        <f ca="1">SUBTOTAL(9,AA$66:AA$121)</f>
        <v>46934.04</v>
      </c>
      <c r="AB122" s="80">
        <f ca="1">IFERROR($AA122/$AA$146,0)</f>
        <v>5.9999999999999995E-4</v>
      </c>
      <c r="AC122" s="80">
        <f t="shared" ref="AC122" ca="1" si="240">IFERROR(($AA122-$X122)/ABS($X122),0)</f>
        <v>0</v>
      </c>
      <c r="AD122" s="16">
        <f ca="1">SUBTOTAL(9,AD$66:AD$121)</f>
        <v>46934.04</v>
      </c>
      <c r="AE122" s="80">
        <f ca="1">IFERROR($AD122/$AD$146,0)</f>
        <v>5.9999999999999995E-4</v>
      </c>
      <c r="AF122" s="80">
        <f t="shared" ref="AF122" ca="1" si="241">IFERROR(($AD122-$AA122)/ABS($AA122),0)</f>
        <v>0</v>
      </c>
      <c r="AG122" s="16">
        <f ca="1">SUBTOTAL(9,AG$66:AG$121)</f>
        <v>46934.04</v>
      </c>
      <c r="AH122" s="80">
        <f ca="1">IFERROR($AG122/$AG$146,0)</f>
        <v>5.9999999999999995E-4</v>
      </c>
      <c r="AI122" s="80">
        <f t="shared" ref="AI122" ca="1" si="242">IFERROR(($AG122-$AD122)/ABS($AD122),0)</f>
        <v>0</v>
      </c>
      <c r="AJ122" s="16">
        <f ca="1">SUBTOTAL(9,AJ$66:AJ$121)</f>
        <v>46934.04</v>
      </c>
      <c r="AK122" s="80">
        <f ca="1">IFERROR($AJ122/$AJ$146,0)</f>
        <v>5.0000000000000001E-4</v>
      </c>
      <c r="AL122" s="80">
        <f t="shared" ref="AL122" ca="1" si="243">IFERROR(($AJ122-$AG122)/ABS($AG122),0)</f>
        <v>0</v>
      </c>
      <c r="AM122" s="16">
        <f ca="1">SUBTOTAL(9,AM$66:AM$121)</f>
        <v>0</v>
      </c>
      <c r="AN122" s="80">
        <f ca="1">IFERROR(AM122/AM$146,0)</f>
        <v>0</v>
      </c>
      <c r="AO122" s="80">
        <f t="shared" ref="AO122" ca="1" si="244">IFERROR(($AM122-$AJ122)/ABS($AJ122),0)</f>
        <v>-1</v>
      </c>
    </row>
    <row r="123" spans="2:41" ht="9.9" customHeight="1" x14ac:dyDescent="0.3">
      <c r="C123" s="14"/>
    </row>
    <row r="124" spans="2:41" ht="15" customHeight="1" x14ac:dyDescent="0.3">
      <c r="C124" s="9" t="s">
        <v>60</v>
      </c>
    </row>
    <row r="125" spans="2:41" ht="15" customHeight="1" collapsed="1" x14ac:dyDescent="0.3">
      <c r="B125" s="3" t="s">
        <v>61</v>
      </c>
      <c r="C125" s="14" t="s">
        <v>59</v>
      </c>
      <c r="D125" s="4">
        <f>SUBTOTAL(9,D$126:D$128)</f>
        <v>0</v>
      </c>
      <c r="E125" s="78">
        <f ca="1">IFERROR($D125/$D$146,0)</f>
        <v>0</v>
      </c>
      <c r="F125" s="4">
        <f ca="1">SUBTOTAL(9,F$126:F$128)</f>
        <v>104784619.59999999</v>
      </c>
      <c r="G125" s="78">
        <f ca="1">IFERROR($F125/$F$146,0)</f>
        <v>1.2533000000000001</v>
      </c>
      <c r="H125" s="78">
        <f ca="1">IFERROR(($F125-$D125)/ABS($D125),0)</f>
        <v>0</v>
      </c>
      <c r="I125" s="4">
        <f ca="1">SUBTOTAL(9,I$126:I$128)</f>
        <v>104784619.59999999</v>
      </c>
      <c r="J125" s="78">
        <f ca="1">IFERROR($I125/$I$146,0)</f>
        <v>1.2647999999999999</v>
      </c>
      <c r="K125" s="78">
        <f ca="1">IFERROR(($I125-$F125)/ABS($F125),0)</f>
        <v>0</v>
      </c>
      <c r="L125" s="4">
        <f ca="1">SUBTOTAL(9,L$126:L$128)</f>
        <v>104784619.59999999</v>
      </c>
      <c r="M125" s="78">
        <f ca="1">IFERROR($L125/$L$146,0)</f>
        <v>1.2619</v>
      </c>
      <c r="N125" s="78">
        <f ca="1">IFERROR(($L125-$I125)/ABS($I125),0)</f>
        <v>0</v>
      </c>
      <c r="O125" s="4">
        <f ca="1">SUBTOTAL(9,O$126:O$128)</f>
        <v>104784619.59999999</v>
      </c>
      <c r="P125" s="78">
        <f ca="1">IFERROR($O125/$O$146,0)</f>
        <v>1.258</v>
      </c>
      <c r="Q125" s="78">
        <f ca="1">IFERROR(($O125-$L125)/ABS($L125),0)</f>
        <v>0</v>
      </c>
      <c r="R125" s="4">
        <f ca="1">SUBTOTAL(9,R$126:R$128)</f>
        <v>104784619.59999999</v>
      </c>
      <c r="S125" s="78">
        <f ca="1">IFERROR($R125/$R$146,0)</f>
        <v>1.2528999999999999</v>
      </c>
      <c r="T125" s="78">
        <f ca="1">IFERROR(($R125-$O125)/ABS($O125),0)</f>
        <v>0</v>
      </c>
      <c r="U125" s="4">
        <f ca="1">SUBTOTAL(9,U$126:U$128)</f>
        <v>104784619.59999999</v>
      </c>
      <c r="V125" s="78">
        <f ca="1">IFERROR($U125/$U$146,0)</f>
        <v>1.2414000000000001</v>
      </c>
      <c r="W125" s="78">
        <f ca="1">IFERROR(($U125-$R125)/ABS($R125),0)</f>
        <v>0</v>
      </c>
      <c r="X125" s="4">
        <f ca="1">SUBTOTAL(9,X$126:X$128)</f>
        <v>104784619.59999999</v>
      </c>
      <c r="Y125" s="78">
        <f ca="1">IFERROR($X125/$X$146,0)</f>
        <v>1.2414000000000001</v>
      </c>
      <c r="Z125" s="78">
        <f ca="1">IFERROR(($X125-$U125)/ABS($U125),0)</f>
        <v>0</v>
      </c>
      <c r="AA125" s="4">
        <f ca="1">SUBTOTAL(9,AA$126:AA$128)</f>
        <v>104784619.59999999</v>
      </c>
      <c r="AB125" s="78">
        <f ca="1">IFERROR($AA125/$AA$146,0)</f>
        <v>1.2414000000000001</v>
      </c>
      <c r="AC125" s="78">
        <f ca="1">IFERROR(($AA125-$X125)/ABS($X125),0)</f>
        <v>0</v>
      </c>
      <c r="AD125" s="4">
        <f ca="1">SUBTOTAL(9,AD$126:AD$128)</f>
        <v>104784619.59999999</v>
      </c>
      <c r="AE125" s="78">
        <f ca="1">IFERROR($AD125/$AD$146,0)</f>
        <v>1.2347999999999999</v>
      </c>
      <c r="AF125" s="78">
        <f ca="1">IFERROR(($AD125-$AA125)/ABS($AA125),0)</f>
        <v>0</v>
      </c>
      <c r="AG125" s="4">
        <f ca="1">SUBTOTAL(9,AG$126:AG$128)</f>
        <v>104784619.59999999</v>
      </c>
      <c r="AH125" s="78">
        <f ca="1">IFERROR($AG125/$AG$146,0)</f>
        <v>1.2315</v>
      </c>
      <c r="AI125" s="78">
        <f ca="1">IFERROR(($AG125-$AD125)/ABS($AD125),0)</f>
        <v>0</v>
      </c>
      <c r="AJ125" s="4">
        <f ca="1">SUBTOTAL(9,AJ$126:AJ$128)</f>
        <v>104784619.59999999</v>
      </c>
      <c r="AK125" s="78">
        <f ca="1">IFERROR($AJ125/$AJ$146,0)</f>
        <v>1.2270000000000001</v>
      </c>
      <c r="AL125" s="78">
        <f ca="1">IFERROR(($AJ125-$AG125)/ABS($AG125),0)</f>
        <v>0</v>
      </c>
      <c r="AM125" s="4">
        <f ca="1">SUBTOTAL(9,AM$126:AM$128)</f>
        <v>104784619.59999999</v>
      </c>
      <c r="AN125" s="78">
        <f ca="1">IFERROR(AM125/AM$146,0)</f>
        <v>1.2284999999999999</v>
      </c>
      <c r="AO125" s="78">
        <f ca="1">IFERROR(($AM125-$AJ125)/ABS($AJ125),0)</f>
        <v>0</v>
      </c>
    </row>
    <row r="126" spans="2:41" ht="15" hidden="1" customHeight="1" outlineLevel="1" x14ac:dyDescent="0.3">
      <c r="B126" s="14" t="s">
        <v>193</v>
      </c>
      <c r="C126" s="15" t="s">
        <v>364</v>
      </c>
      <c r="D126" s="4">
        <f>-SUMIFS(Tab_99.Trial[DEZEMBRO],Tab_99.Trial[CONTA],$B126)</f>
        <v>0</v>
      </c>
      <c r="E126" s="78">
        <f ca="1">IFERROR($D126/$D$146,0)</f>
        <v>0</v>
      </c>
      <c r="F126" s="4">
        <f ca="1">-SUMIFS(INDIRECT("Tab_00.Trial["&amp;F$4&amp;"]"),Tab_00.Trial[CONTA],$B126)</f>
        <v>104784619.59999999</v>
      </c>
      <c r="G126" s="78">
        <f ca="1">IFERROR($F126/$F$146,0)</f>
        <v>1.2533000000000001</v>
      </c>
      <c r="H126" s="78">
        <f t="shared" ref="H126:H127" ca="1" si="245">IFERROR(($F126-$D126)/ABS($D126),0)</f>
        <v>0</v>
      </c>
      <c r="I126" s="4">
        <f ca="1">-SUMIFS(INDIRECT("Tab_00.Trial["&amp;I$4&amp;"]"),Tab_00.Trial[CONTA],$B126)</f>
        <v>104784619.59999999</v>
      </c>
      <c r="J126" s="78">
        <f ca="1">IFERROR($I126/$I$146,0)</f>
        <v>1.2647999999999999</v>
      </c>
      <c r="K126" s="78">
        <f t="shared" ref="K126:K127" ca="1" si="246">IFERROR(($I126-$F126)/ABS($F126),0)</f>
        <v>0</v>
      </c>
      <c r="L126" s="4">
        <f ca="1">-SUMIFS(INDIRECT("Tab_00.Trial["&amp;L$4&amp;"]"),Tab_00.Trial[CONTA],$B126)</f>
        <v>104784619.59999999</v>
      </c>
      <c r="M126" s="78">
        <f ca="1">IFERROR($L126/$L$146,0)</f>
        <v>1.2619</v>
      </c>
      <c r="N126" s="78">
        <f t="shared" ref="N126:N127" ca="1" si="247">IFERROR(($L126-$I126)/ABS($I126),0)</f>
        <v>0</v>
      </c>
      <c r="O126" s="4">
        <f ca="1">-SUMIFS(INDIRECT("Tab_00.Trial["&amp;O$4&amp;"]"),Tab_00.Trial[CONTA],$B126)</f>
        <v>104784619.59999999</v>
      </c>
      <c r="P126" s="78">
        <f ca="1">IFERROR($O126/$O$146,0)</f>
        <v>1.258</v>
      </c>
      <c r="Q126" s="78">
        <f t="shared" ref="Q126:Q127" ca="1" si="248">IFERROR(($O126-$L126)/ABS($L126),0)</f>
        <v>0</v>
      </c>
      <c r="R126" s="4">
        <f ca="1">-SUMIFS(INDIRECT("Tab_00.Trial["&amp;R$4&amp;"]"),Tab_00.Trial[CONTA],$B126)</f>
        <v>104784619.59999999</v>
      </c>
      <c r="S126" s="78">
        <f ca="1">IFERROR($R126/$R$146,0)</f>
        <v>1.2528999999999999</v>
      </c>
      <c r="T126" s="78">
        <f t="shared" ref="T126:T127" ca="1" si="249">IFERROR(($R126-$O126)/ABS($O126),0)</f>
        <v>0</v>
      </c>
      <c r="U126" s="4">
        <f ca="1">-SUMIFS(INDIRECT("Tab_00.Trial["&amp;U$4&amp;"]"),Tab_00.Trial[CONTA],$B126)</f>
        <v>104784619.59999999</v>
      </c>
      <c r="V126" s="78">
        <f ca="1">IFERROR($U126/$U$146,0)</f>
        <v>1.2414000000000001</v>
      </c>
      <c r="W126" s="78">
        <f t="shared" ref="W126:W127" ca="1" si="250">IFERROR(($U126-$R126)/ABS($R126),0)</f>
        <v>0</v>
      </c>
      <c r="X126" s="4">
        <f ca="1">-SUMIFS(INDIRECT("Tab_00.Trial["&amp;X$4&amp;"]"),Tab_00.Trial[CONTA],$B126)</f>
        <v>104784619.59999999</v>
      </c>
      <c r="Y126" s="78">
        <f ca="1">IFERROR($X126/$X$146,0)</f>
        <v>1.2414000000000001</v>
      </c>
      <c r="Z126" s="78">
        <f t="shared" ref="Z126:Z127" ca="1" si="251">IFERROR(($X126-$U126)/ABS($U126),0)</f>
        <v>0</v>
      </c>
      <c r="AA126" s="4">
        <f ca="1">-SUMIFS(INDIRECT("Tab_00.Trial["&amp;AA$4&amp;"]"),Tab_00.Trial[CONTA],$B126)</f>
        <v>104784619.59999999</v>
      </c>
      <c r="AB126" s="78">
        <f ca="1">IFERROR($AA126/$AA$146,0)</f>
        <v>1.2414000000000001</v>
      </c>
      <c r="AC126" s="78">
        <f t="shared" ref="AC126:AC127" ca="1" si="252">IFERROR(($AA126-$X126)/ABS($X126),0)</f>
        <v>0</v>
      </c>
      <c r="AD126" s="4">
        <f ca="1">-SUMIFS(INDIRECT("Tab_00.Trial["&amp;AD$4&amp;"]"),Tab_00.Trial[CONTA],$B126)</f>
        <v>104784619.59999999</v>
      </c>
      <c r="AE126" s="78">
        <f ca="1">IFERROR($AD126/$AD$146,0)</f>
        <v>1.2347999999999999</v>
      </c>
      <c r="AF126" s="78">
        <f t="shared" ref="AF126:AF127" ca="1" si="253">IFERROR(($AD126-$AA126)/ABS($AA126),0)</f>
        <v>0</v>
      </c>
      <c r="AG126" s="4">
        <f ca="1">-SUMIFS(INDIRECT("Tab_00.Trial["&amp;AG$4&amp;"]"),Tab_00.Trial[CONTA],$B126)</f>
        <v>104784619.59999999</v>
      </c>
      <c r="AH126" s="78">
        <f ca="1">IFERROR($AG126/$AG$146,0)</f>
        <v>1.2315</v>
      </c>
      <c r="AI126" s="78">
        <f t="shared" ref="AI126:AI127" ca="1" si="254">IFERROR(($AG126-$AD126)/ABS($AD126),0)</f>
        <v>0</v>
      </c>
      <c r="AJ126" s="4">
        <f ca="1">-SUMIFS(INDIRECT("Tab_00.Trial["&amp;AJ$4&amp;"]"),Tab_00.Trial[CONTA],$B126)</f>
        <v>104784619.59999999</v>
      </c>
      <c r="AK126" s="78">
        <f ca="1">IFERROR($AJ126/$AJ$146,0)</f>
        <v>1.2270000000000001</v>
      </c>
      <c r="AL126" s="78">
        <f t="shared" ref="AL126:AL127" ca="1" si="255">IFERROR(($AJ126-$AG126)/ABS($AG126),0)</f>
        <v>0</v>
      </c>
      <c r="AM126" s="4">
        <f ca="1">-SUMIFS(INDIRECT("Tab_00.Trial["&amp;AM$4&amp;"]"),Tab_00.Trial[CONTA],$B126)</f>
        <v>104784619.59999999</v>
      </c>
      <c r="AN126" s="78">
        <f ca="1">IFERROR(AM126/AM$146,0)</f>
        <v>1.2284999999999999</v>
      </c>
      <c r="AO126" s="78">
        <f t="shared" ref="AO126:AO127" ca="1" si="256">IFERROR(($AM126-$AJ126)/ABS($AJ126),0)</f>
        <v>0</v>
      </c>
    </row>
    <row r="127" spans="2:41" ht="15" hidden="1" customHeight="1" outlineLevel="1" x14ac:dyDescent="0.3">
      <c r="B127" s="14"/>
      <c r="C127" s="15"/>
      <c r="D127" s="4">
        <f>-SUMIFS(Tab_99.Trial[DEZEMBRO],Tab_99.Trial[CONTA],$B127)</f>
        <v>0</v>
      </c>
      <c r="E127" s="78">
        <f ca="1">IFERROR($D127/$D$146,0)</f>
        <v>0</v>
      </c>
      <c r="F127" s="4">
        <f ca="1">-SUMIFS(INDIRECT("Tab_00.Trial["&amp;F$4&amp;"]"),Tab_00.Trial[CONTA],$B127)</f>
        <v>0</v>
      </c>
      <c r="G127" s="78">
        <f ca="1">IFERROR($F127/$F$146,0)</f>
        <v>0</v>
      </c>
      <c r="H127" s="78">
        <f t="shared" ca="1" si="245"/>
        <v>0</v>
      </c>
      <c r="I127" s="4">
        <f ca="1">-SUMIFS(INDIRECT("Tab_00.Trial["&amp;I$4&amp;"]"),Tab_00.Trial[CONTA],$B127)</f>
        <v>0</v>
      </c>
      <c r="J127" s="78">
        <f ca="1">IFERROR($I127/$I$146,0)</f>
        <v>0</v>
      </c>
      <c r="K127" s="78">
        <f t="shared" ca="1" si="246"/>
        <v>0</v>
      </c>
      <c r="L127" s="4">
        <f ca="1">-SUMIFS(INDIRECT("Tab_00.Trial["&amp;L$4&amp;"]"),Tab_00.Trial[CONTA],$B127)</f>
        <v>0</v>
      </c>
      <c r="M127" s="78">
        <f ca="1">IFERROR($L127/$L$146,0)</f>
        <v>0</v>
      </c>
      <c r="N127" s="78">
        <f t="shared" ca="1" si="247"/>
        <v>0</v>
      </c>
      <c r="O127" s="4">
        <f ca="1">-SUMIFS(INDIRECT("Tab_00.Trial["&amp;O$4&amp;"]"),Tab_00.Trial[CONTA],$B127)</f>
        <v>0</v>
      </c>
      <c r="P127" s="78">
        <f ca="1">IFERROR($O127/$O$146,0)</f>
        <v>0</v>
      </c>
      <c r="Q127" s="78">
        <f t="shared" ca="1" si="248"/>
        <v>0</v>
      </c>
      <c r="R127" s="4">
        <f ca="1">-SUMIFS(INDIRECT("Tab_00.Trial["&amp;R$4&amp;"]"),Tab_00.Trial[CONTA],$B127)</f>
        <v>0</v>
      </c>
      <c r="S127" s="78">
        <f ca="1">IFERROR($R127/$R$146,0)</f>
        <v>0</v>
      </c>
      <c r="T127" s="78">
        <f t="shared" ca="1" si="249"/>
        <v>0</v>
      </c>
      <c r="U127" s="4">
        <f ca="1">-SUMIFS(INDIRECT("Tab_00.Trial["&amp;U$4&amp;"]"),Tab_00.Trial[CONTA],$B127)</f>
        <v>0</v>
      </c>
      <c r="V127" s="78">
        <f ca="1">IFERROR($U127/$U$146,0)</f>
        <v>0</v>
      </c>
      <c r="W127" s="78">
        <f t="shared" ca="1" si="250"/>
        <v>0</v>
      </c>
      <c r="X127" s="4">
        <f ca="1">-SUMIFS(INDIRECT("Tab_00.Trial["&amp;X$4&amp;"]"),Tab_00.Trial[CONTA],$B127)</f>
        <v>0</v>
      </c>
      <c r="Y127" s="78">
        <f ca="1">IFERROR($X127/$X$146,0)</f>
        <v>0</v>
      </c>
      <c r="Z127" s="78">
        <f t="shared" ca="1" si="251"/>
        <v>0</v>
      </c>
      <c r="AA127" s="4">
        <f ca="1">-SUMIFS(INDIRECT("Tab_00.Trial["&amp;AA$4&amp;"]"),Tab_00.Trial[CONTA],$B127)</f>
        <v>0</v>
      </c>
      <c r="AB127" s="78">
        <f ca="1">IFERROR($AA127/$AA$146,0)</f>
        <v>0</v>
      </c>
      <c r="AC127" s="78">
        <f t="shared" ca="1" si="252"/>
        <v>0</v>
      </c>
      <c r="AD127" s="4">
        <f ca="1">-SUMIFS(INDIRECT("Tab_00.Trial["&amp;AD$4&amp;"]"),Tab_00.Trial[CONTA],$B127)</f>
        <v>0</v>
      </c>
      <c r="AE127" s="78">
        <f ca="1">IFERROR($AD127/$AD$146,0)</f>
        <v>0</v>
      </c>
      <c r="AF127" s="78">
        <f t="shared" ca="1" si="253"/>
        <v>0</v>
      </c>
      <c r="AG127" s="4">
        <f ca="1">-SUMIFS(INDIRECT("Tab_00.Trial["&amp;AG$4&amp;"]"),Tab_00.Trial[CONTA],$B127)</f>
        <v>0</v>
      </c>
      <c r="AH127" s="78">
        <f ca="1">IFERROR($AG127/$AG$146,0)</f>
        <v>0</v>
      </c>
      <c r="AI127" s="78">
        <f t="shared" ca="1" si="254"/>
        <v>0</v>
      </c>
      <c r="AJ127" s="4">
        <f ca="1">-SUMIFS(INDIRECT("Tab_00.Trial["&amp;AJ$4&amp;"]"),Tab_00.Trial[CONTA],$B127)</f>
        <v>0</v>
      </c>
      <c r="AK127" s="78">
        <f ca="1">IFERROR($AJ127/$AJ$146,0)</f>
        <v>0</v>
      </c>
      <c r="AL127" s="78">
        <f t="shared" ca="1" si="255"/>
        <v>0</v>
      </c>
      <c r="AM127" s="4">
        <f ca="1">-SUMIFS(INDIRECT("Tab_00.Trial["&amp;AM$4&amp;"]"),Tab_00.Trial[CONTA],$B127)</f>
        <v>0</v>
      </c>
      <c r="AN127" s="78">
        <f ca="1">IFERROR(AM127/AM$146,0)</f>
        <v>0</v>
      </c>
      <c r="AO127" s="78">
        <f t="shared" ca="1" si="256"/>
        <v>0</v>
      </c>
    </row>
    <row r="128" spans="2:41" ht="5.0999999999999996" hidden="1" customHeight="1" outlineLevel="1" x14ac:dyDescent="0.3">
      <c r="B128" s="74"/>
      <c r="C128" s="75"/>
      <c r="D128" s="76"/>
      <c r="E128" s="77"/>
      <c r="F128" s="76"/>
      <c r="G128" s="77"/>
      <c r="H128" s="77"/>
      <c r="I128" s="76"/>
      <c r="J128" s="77"/>
      <c r="K128" s="77"/>
      <c r="L128" s="76"/>
      <c r="M128" s="77"/>
      <c r="N128" s="77"/>
      <c r="O128" s="76"/>
      <c r="P128" s="77"/>
      <c r="Q128" s="77"/>
      <c r="R128" s="76"/>
      <c r="S128" s="77"/>
      <c r="T128" s="77"/>
      <c r="U128" s="76"/>
      <c r="V128" s="77"/>
      <c r="W128" s="77"/>
      <c r="X128" s="76"/>
      <c r="Y128" s="77"/>
      <c r="Z128" s="77"/>
      <c r="AA128" s="76"/>
      <c r="AB128" s="77"/>
      <c r="AC128" s="77"/>
      <c r="AD128" s="76"/>
      <c r="AE128" s="77"/>
      <c r="AF128" s="77"/>
      <c r="AG128" s="76"/>
      <c r="AH128" s="77"/>
      <c r="AI128" s="77"/>
      <c r="AJ128" s="76"/>
      <c r="AK128" s="77"/>
      <c r="AL128" s="77"/>
      <c r="AM128" s="76"/>
      <c r="AN128" s="77"/>
      <c r="AO128" s="77"/>
    </row>
    <row r="129" spans="2:43" ht="15" customHeight="1" collapsed="1" x14ac:dyDescent="0.3">
      <c r="B129" s="3" t="s">
        <v>62</v>
      </c>
      <c r="C129" s="14" t="s">
        <v>162</v>
      </c>
      <c r="D129" s="4">
        <f>SUBTOTAL(9,D$130:D$132)</f>
        <v>0</v>
      </c>
      <c r="E129" s="78">
        <f ca="1">IFERROR($D129/$D$146,0)</f>
        <v>0</v>
      </c>
      <c r="F129" s="4">
        <f ca="1">SUBTOTAL(9,F$130:F$132)</f>
        <v>0</v>
      </c>
      <c r="G129" s="78">
        <f ca="1">IFERROR($F129/$F$146,0)</f>
        <v>0</v>
      </c>
      <c r="H129" s="78">
        <f ca="1">IFERROR(($F129-$D129)/ABS($D129),0)</f>
        <v>0</v>
      </c>
      <c r="I129" s="4">
        <f ca="1">SUBTOTAL(9,I$130:I$132)</f>
        <v>0</v>
      </c>
      <c r="J129" s="78">
        <f ca="1">IFERROR($I129/$I$146,0)</f>
        <v>0</v>
      </c>
      <c r="K129" s="78">
        <f ca="1">IFERROR(($I129-$F129)/ABS($F129),0)</f>
        <v>0</v>
      </c>
      <c r="L129" s="4">
        <f ca="1">SUBTOTAL(9,L$130:L$132)</f>
        <v>0</v>
      </c>
      <c r="M129" s="78">
        <f ca="1">IFERROR($L129/$L$146,0)</f>
        <v>0</v>
      </c>
      <c r="N129" s="78">
        <f ca="1">IFERROR(($L129-$I129)/ABS($I129),0)</f>
        <v>0</v>
      </c>
      <c r="O129" s="4">
        <f ca="1">SUBTOTAL(9,O$130:O$132)</f>
        <v>0</v>
      </c>
      <c r="P129" s="78">
        <f ca="1">IFERROR($O129/$O$146,0)</f>
        <v>0</v>
      </c>
      <c r="Q129" s="78">
        <f ca="1">IFERROR(($O129-$L129)/ABS($L129),0)</f>
        <v>0</v>
      </c>
      <c r="R129" s="4">
        <f ca="1">SUBTOTAL(9,R$130:R$132)</f>
        <v>0</v>
      </c>
      <c r="S129" s="78">
        <f ca="1">IFERROR($R129/$R$146,0)</f>
        <v>0</v>
      </c>
      <c r="T129" s="78">
        <f ca="1">IFERROR(($R129-$O129)/ABS($O129),0)</f>
        <v>0</v>
      </c>
      <c r="U129" s="4">
        <f ca="1">SUBTOTAL(9,U$130:U$132)</f>
        <v>0</v>
      </c>
      <c r="V129" s="78">
        <f ca="1">IFERROR($U129/$U$146,0)</f>
        <v>0</v>
      </c>
      <c r="W129" s="78">
        <f ca="1">IFERROR(($U129-$R129)/ABS($R129),0)</f>
        <v>0</v>
      </c>
      <c r="X129" s="4">
        <f ca="1">SUBTOTAL(9,X$130:X$132)</f>
        <v>0</v>
      </c>
      <c r="Y129" s="78">
        <f ca="1">IFERROR($X129/$X$146,0)</f>
        <v>0</v>
      </c>
      <c r="Z129" s="78">
        <f ca="1">IFERROR(($X129-$U129)/ABS($U129),0)</f>
        <v>0</v>
      </c>
      <c r="AA129" s="4">
        <f ca="1">SUBTOTAL(9,AA$130:AA$132)</f>
        <v>0</v>
      </c>
      <c r="AB129" s="78">
        <f ca="1">IFERROR($AA129/$AA$146,0)</f>
        <v>0</v>
      </c>
      <c r="AC129" s="78">
        <f ca="1">IFERROR(($AA129-$X129)/ABS($X129),0)</f>
        <v>0</v>
      </c>
      <c r="AD129" s="4">
        <f ca="1">SUBTOTAL(9,AD$130:AD$132)</f>
        <v>0</v>
      </c>
      <c r="AE129" s="78">
        <f ca="1">IFERROR($AD129/$AD$146,0)</f>
        <v>0</v>
      </c>
      <c r="AF129" s="78">
        <f ca="1">IFERROR(($AD129-$AA129)/ABS($AA129),0)</f>
        <v>0</v>
      </c>
      <c r="AG129" s="4">
        <f ca="1">SUBTOTAL(9,AG$130:AG$132)</f>
        <v>0</v>
      </c>
      <c r="AH129" s="78">
        <f ca="1">IFERROR($AG129/$AG$146,0)</f>
        <v>0</v>
      </c>
      <c r="AI129" s="78">
        <f ca="1">IFERROR(($AG129-$AD129)/ABS($AD129),0)</f>
        <v>0</v>
      </c>
      <c r="AJ129" s="4">
        <f ca="1">SUBTOTAL(9,AJ$130:AJ$132)</f>
        <v>0</v>
      </c>
      <c r="AK129" s="78">
        <f ca="1">IFERROR($AJ129/$AJ$146,0)</f>
        <v>0</v>
      </c>
      <c r="AL129" s="78">
        <f ca="1">IFERROR(($AJ129-$AG129)/ABS($AG129),0)</f>
        <v>0</v>
      </c>
      <c r="AM129" s="4">
        <f ca="1">SUBTOTAL(9,AM$130:AM$132)</f>
        <v>0</v>
      </c>
      <c r="AN129" s="78">
        <f ca="1">IFERROR(AM129/AM$146,0)</f>
        <v>0</v>
      </c>
      <c r="AO129" s="78">
        <f ca="1">IFERROR(($AM129-$AJ129)/ABS($AJ129),0)</f>
        <v>0</v>
      </c>
    </row>
    <row r="130" spans="2:43" ht="15" hidden="1" customHeight="1" outlineLevel="1" x14ac:dyDescent="0.3">
      <c r="B130" s="14"/>
      <c r="C130" s="15"/>
      <c r="D130" s="4">
        <f>-SUMIFS(Tab_99.Trial[DEZEMBRO],Tab_99.Trial[CONTA],$B130)</f>
        <v>0</v>
      </c>
      <c r="E130" s="78">
        <f ca="1">IFERROR($D130/$D$146,0)</f>
        <v>0</v>
      </c>
      <c r="F130" s="4">
        <f ca="1">-SUMIFS(INDIRECT("Tab_00.Trial["&amp;F$4&amp;"]"),Tab_00.Trial[CONTA],$B130)</f>
        <v>0</v>
      </c>
      <c r="G130" s="78">
        <f ca="1">IFERROR($F130/$F$146,0)</f>
        <v>0</v>
      </c>
      <c r="H130" s="78">
        <f ca="1">IFERROR(($F130-$D130)/ABS($D130),0)</f>
        <v>0</v>
      </c>
      <c r="I130" s="4">
        <f ca="1">-SUMIFS(INDIRECT("Tab_00.Trial["&amp;I$4&amp;"]"),Tab_00.Trial[CONTA],$B130)</f>
        <v>0</v>
      </c>
      <c r="J130" s="78">
        <f ca="1">IFERROR($I130/$I$146,0)</f>
        <v>0</v>
      </c>
      <c r="K130" s="78">
        <f ca="1">IFERROR(($I130-$F130)/ABS($F130),0)</f>
        <v>0</v>
      </c>
      <c r="L130" s="4">
        <f ca="1">-SUMIFS(INDIRECT("Tab_00.Trial["&amp;L$4&amp;"]"),Tab_00.Trial[CONTA],$B130)</f>
        <v>0</v>
      </c>
      <c r="M130" s="78">
        <f ca="1">IFERROR($L130/$L$146,0)</f>
        <v>0</v>
      </c>
      <c r="N130" s="78">
        <f ca="1">IFERROR(($L130-$I130)/ABS($I130),0)</f>
        <v>0</v>
      </c>
      <c r="O130" s="4">
        <f ca="1">-SUMIFS(INDIRECT("Tab_00.Trial["&amp;O$4&amp;"]"),Tab_00.Trial[CONTA],$B130)</f>
        <v>0</v>
      </c>
      <c r="P130" s="78">
        <f ca="1">IFERROR($O130/$O$146,0)</f>
        <v>0</v>
      </c>
      <c r="Q130" s="78">
        <f ca="1">IFERROR(($O130-$L130)/ABS($L130),0)</f>
        <v>0</v>
      </c>
      <c r="R130" s="4">
        <f ca="1">-SUMIFS(INDIRECT("Tab_00.Trial["&amp;R$4&amp;"]"),Tab_00.Trial[CONTA],$B130)</f>
        <v>0</v>
      </c>
      <c r="S130" s="78">
        <f ca="1">IFERROR($R130/$R$146,0)</f>
        <v>0</v>
      </c>
      <c r="T130" s="78">
        <f ca="1">IFERROR(($R130-$O130)/ABS($O130),0)</f>
        <v>0</v>
      </c>
      <c r="U130" s="4">
        <f ca="1">-SUMIFS(INDIRECT("Tab_00.Trial["&amp;U$4&amp;"]"),Tab_00.Trial[CONTA],$B130)</f>
        <v>0</v>
      </c>
      <c r="V130" s="78">
        <f ca="1">IFERROR($U130/$U$146,0)</f>
        <v>0</v>
      </c>
      <c r="W130" s="78">
        <f ca="1">IFERROR(($U130-$R130)/ABS($R130),0)</f>
        <v>0</v>
      </c>
      <c r="X130" s="4">
        <f ca="1">-SUMIFS(INDIRECT("Tab_00.Trial["&amp;X$4&amp;"]"),Tab_00.Trial[CONTA],$B130)</f>
        <v>0</v>
      </c>
      <c r="Y130" s="78">
        <f ca="1">IFERROR($X130/$X$146,0)</f>
        <v>0</v>
      </c>
      <c r="Z130" s="78">
        <f ca="1">IFERROR(($X130-$U130)/ABS($U130),0)</f>
        <v>0</v>
      </c>
      <c r="AA130" s="4">
        <f ca="1">-SUMIFS(INDIRECT("Tab_00.Trial["&amp;AA$4&amp;"]"),Tab_00.Trial[CONTA],$B130)</f>
        <v>0</v>
      </c>
      <c r="AB130" s="78">
        <f ca="1">IFERROR($AA130/$AA$146,0)</f>
        <v>0</v>
      </c>
      <c r="AC130" s="78">
        <f ca="1">IFERROR(($AA130-$X130)/ABS($X130),0)</f>
        <v>0</v>
      </c>
      <c r="AD130" s="4">
        <f ca="1">-SUMIFS(INDIRECT("Tab_00.Trial["&amp;AD$4&amp;"]"),Tab_00.Trial[CONTA],$B130)</f>
        <v>0</v>
      </c>
      <c r="AE130" s="78">
        <f ca="1">IFERROR($AD130/$AD$146,0)</f>
        <v>0</v>
      </c>
      <c r="AF130" s="78">
        <f ca="1">IFERROR(($AD130-$AA130)/ABS($AA130),0)</f>
        <v>0</v>
      </c>
      <c r="AG130" s="4">
        <f ca="1">-SUMIFS(INDIRECT("Tab_00.Trial["&amp;AG$4&amp;"]"),Tab_00.Trial[CONTA],$B130)</f>
        <v>0</v>
      </c>
      <c r="AH130" s="78">
        <f ca="1">IFERROR($AG130/$AG$146,0)</f>
        <v>0</v>
      </c>
      <c r="AI130" s="78">
        <f ca="1">IFERROR(($AG130-$AD130)/ABS($AD130),0)</f>
        <v>0</v>
      </c>
      <c r="AJ130" s="4">
        <f ca="1">-SUMIFS(INDIRECT("Tab_00.Trial["&amp;AJ$4&amp;"]"),Tab_00.Trial[CONTA],$B130)</f>
        <v>0</v>
      </c>
      <c r="AK130" s="78">
        <f ca="1">IFERROR($AJ130/$AJ$146,0)</f>
        <v>0</v>
      </c>
      <c r="AL130" s="78">
        <f ca="1">IFERROR(($AJ130-$AG130)/ABS($AG130),0)</f>
        <v>0</v>
      </c>
      <c r="AM130" s="4">
        <f ca="1">-SUMIFS(INDIRECT("Tab_00.Trial["&amp;AM$4&amp;"]"),Tab_00.Trial[CONTA],$B130)</f>
        <v>0</v>
      </c>
      <c r="AN130" s="78">
        <f ca="1">IFERROR(AM130/AM$146,0)</f>
        <v>0</v>
      </c>
      <c r="AO130" s="78">
        <f ca="1">IFERROR(($AM130-$AJ130)/ABS($AJ130),0)</f>
        <v>0</v>
      </c>
    </row>
    <row r="131" spans="2:43" ht="15" hidden="1" customHeight="1" outlineLevel="1" x14ac:dyDescent="0.3">
      <c r="B131" s="14"/>
      <c r="C131" s="15"/>
      <c r="D131" s="4">
        <f>-SUMIFS(Tab_99.Trial[DEZEMBRO],Tab_99.Trial[CONTA],$B131)</f>
        <v>0</v>
      </c>
      <c r="E131" s="78">
        <f ca="1">IFERROR($D131/$D$146,0)</f>
        <v>0</v>
      </c>
      <c r="F131" s="4">
        <f ca="1">-SUMIFS(INDIRECT("Tab_00.Trial["&amp;F$4&amp;"]"),Tab_00.Trial[CONTA],$B131)</f>
        <v>0</v>
      </c>
      <c r="G131" s="78">
        <f ca="1">IFERROR($F131/$F$146,0)</f>
        <v>0</v>
      </c>
      <c r="H131" s="78">
        <f t="shared" ref="H131" ca="1" si="257">IFERROR(($F131-$D131)/ABS($D131),0)</f>
        <v>0</v>
      </c>
      <c r="I131" s="4">
        <f ca="1">-SUMIFS(INDIRECT("Tab_00.Trial["&amp;I$4&amp;"]"),Tab_00.Trial[CONTA],$B131)</f>
        <v>0</v>
      </c>
      <c r="J131" s="78">
        <f ca="1">IFERROR($I131/$I$146,0)</f>
        <v>0</v>
      </c>
      <c r="K131" s="78">
        <f t="shared" ref="K131" ca="1" si="258">IFERROR(($I131-$F131)/ABS($F131),0)</f>
        <v>0</v>
      </c>
      <c r="L131" s="4">
        <f ca="1">-SUMIFS(INDIRECT("Tab_00.Trial["&amp;L$4&amp;"]"),Tab_00.Trial[CONTA],$B131)</f>
        <v>0</v>
      </c>
      <c r="M131" s="78">
        <f ca="1">IFERROR($L131/$L$146,0)</f>
        <v>0</v>
      </c>
      <c r="N131" s="78">
        <f t="shared" ref="N131" ca="1" si="259">IFERROR(($L131-$I131)/ABS($I131),0)</f>
        <v>0</v>
      </c>
      <c r="O131" s="4">
        <f ca="1">-SUMIFS(INDIRECT("Tab_00.Trial["&amp;O$4&amp;"]"),Tab_00.Trial[CONTA],$B131)</f>
        <v>0</v>
      </c>
      <c r="P131" s="78">
        <f ca="1">IFERROR($O131/$O$146,0)</f>
        <v>0</v>
      </c>
      <c r="Q131" s="78">
        <f t="shared" ref="Q131" ca="1" si="260">IFERROR(($O131-$L131)/ABS($L131),0)</f>
        <v>0</v>
      </c>
      <c r="R131" s="4">
        <f ca="1">-SUMIFS(INDIRECT("Tab_00.Trial["&amp;R$4&amp;"]"),Tab_00.Trial[CONTA],$B131)</f>
        <v>0</v>
      </c>
      <c r="S131" s="78">
        <f ca="1">IFERROR($R131/$R$146,0)</f>
        <v>0</v>
      </c>
      <c r="T131" s="78">
        <f t="shared" ref="T131" ca="1" si="261">IFERROR(($R131-$O131)/ABS($O131),0)</f>
        <v>0</v>
      </c>
      <c r="U131" s="4">
        <f ca="1">-SUMIFS(INDIRECT("Tab_00.Trial["&amp;U$4&amp;"]"),Tab_00.Trial[CONTA],$B131)</f>
        <v>0</v>
      </c>
      <c r="V131" s="78">
        <f ca="1">IFERROR($U131/$U$146,0)</f>
        <v>0</v>
      </c>
      <c r="W131" s="78">
        <f t="shared" ref="W131" ca="1" si="262">IFERROR(($U131-$R131)/ABS($R131),0)</f>
        <v>0</v>
      </c>
      <c r="X131" s="4">
        <f ca="1">-SUMIFS(INDIRECT("Tab_00.Trial["&amp;X$4&amp;"]"),Tab_00.Trial[CONTA],$B131)</f>
        <v>0</v>
      </c>
      <c r="Y131" s="78">
        <f ca="1">IFERROR($X131/$X$146,0)</f>
        <v>0</v>
      </c>
      <c r="Z131" s="78">
        <f t="shared" ref="Z131" ca="1" si="263">IFERROR(($X131-$U131)/ABS($U131),0)</f>
        <v>0</v>
      </c>
      <c r="AA131" s="4">
        <f ca="1">-SUMIFS(INDIRECT("Tab_00.Trial["&amp;AA$4&amp;"]"),Tab_00.Trial[CONTA],$B131)</f>
        <v>0</v>
      </c>
      <c r="AB131" s="78">
        <f ca="1">IFERROR($AA131/$AA$146,0)</f>
        <v>0</v>
      </c>
      <c r="AC131" s="78">
        <f t="shared" ref="AC131" ca="1" si="264">IFERROR(($AA131-$X131)/ABS($X131),0)</f>
        <v>0</v>
      </c>
      <c r="AD131" s="4">
        <f ca="1">-SUMIFS(INDIRECT("Tab_00.Trial["&amp;AD$4&amp;"]"),Tab_00.Trial[CONTA],$B131)</f>
        <v>0</v>
      </c>
      <c r="AE131" s="78">
        <f ca="1">IFERROR($AD131/$AD$146,0)</f>
        <v>0</v>
      </c>
      <c r="AF131" s="78">
        <f t="shared" ref="AF131" ca="1" si="265">IFERROR(($AD131-$AA131)/ABS($AA131),0)</f>
        <v>0</v>
      </c>
      <c r="AG131" s="4">
        <f ca="1">-SUMIFS(INDIRECT("Tab_00.Trial["&amp;AG$4&amp;"]"),Tab_00.Trial[CONTA],$B131)</f>
        <v>0</v>
      </c>
      <c r="AH131" s="78">
        <f ca="1">IFERROR($AG131/$AG$146,0)</f>
        <v>0</v>
      </c>
      <c r="AI131" s="78">
        <f t="shared" ref="AI131" ca="1" si="266">IFERROR(($AG131-$AD131)/ABS($AD131),0)</f>
        <v>0</v>
      </c>
      <c r="AJ131" s="4">
        <f ca="1">-SUMIFS(INDIRECT("Tab_00.Trial["&amp;AJ$4&amp;"]"),Tab_00.Trial[CONTA],$B131)</f>
        <v>0</v>
      </c>
      <c r="AK131" s="78">
        <f ca="1">IFERROR($AJ131/$AJ$146,0)</f>
        <v>0</v>
      </c>
      <c r="AL131" s="78">
        <f t="shared" ref="AL131" ca="1" si="267">IFERROR(($AJ131-$AG131)/ABS($AG131),0)</f>
        <v>0</v>
      </c>
      <c r="AM131" s="4">
        <f ca="1">-SUMIFS(INDIRECT("Tab_00.Trial["&amp;AM$4&amp;"]"),Tab_00.Trial[CONTA],$B131)</f>
        <v>0</v>
      </c>
      <c r="AN131" s="78">
        <f ca="1">IFERROR(AM131/AM$146,0)</f>
        <v>0</v>
      </c>
      <c r="AO131" s="78">
        <f t="shared" ref="AO131" ca="1" si="268">IFERROR(($AM131-$AJ131)/ABS($AJ131),0)</f>
        <v>0</v>
      </c>
    </row>
    <row r="132" spans="2:43" ht="5.0999999999999996" hidden="1" customHeight="1" outlineLevel="1" x14ac:dyDescent="0.3">
      <c r="B132" s="74"/>
      <c r="C132" s="75"/>
      <c r="D132" s="76"/>
      <c r="E132" s="77"/>
      <c r="F132" s="76"/>
      <c r="G132" s="77"/>
      <c r="H132" s="77"/>
      <c r="I132" s="76"/>
      <c r="J132" s="77"/>
      <c r="K132" s="77"/>
      <c r="L132" s="76"/>
      <c r="M132" s="77"/>
      <c r="N132" s="77"/>
      <c r="O132" s="76"/>
      <c r="P132" s="77"/>
      <c r="Q132" s="77"/>
      <c r="R132" s="76"/>
      <c r="S132" s="77"/>
      <c r="T132" s="77"/>
      <c r="U132" s="76"/>
      <c r="V132" s="77"/>
      <c r="W132" s="77"/>
      <c r="X132" s="76"/>
      <c r="Y132" s="77"/>
      <c r="Z132" s="77"/>
      <c r="AA132" s="76"/>
      <c r="AB132" s="77"/>
      <c r="AC132" s="77"/>
      <c r="AD132" s="76"/>
      <c r="AE132" s="77"/>
      <c r="AF132" s="77"/>
      <c r="AG132" s="76"/>
      <c r="AH132" s="77"/>
      <c r="AI132" s="77"/>
      <c r="AJ132" s="76"/>
      <c r="AK132" s="77"/>
      <c r="AL132" s="77"/>
      <c r="AM132" s="76"/>
      <c r="AN132" s="77"/>
      <c r="AO132" s="77"/>
    </row>
    <row r="133" spans="2:43" ht="15" customHeight="1" collapsed="1" x14ac:dyDescent="0.3">
      <c r="B133" s="3" t="s">
        <v>163</v>
      </c>
      <c r="C133" s="14" t="s">
        <v>174</v>
      </c>
      <c r="D133" s="4">
        <f>SUBTOTAL(9,D$135:D$139)</f>
        <v>0</v>
      </c>
      <c r="E133" s="78">
        <f ca="1">IFERROR($D133/$D$146,0)</f>
        <v>0</v>
      </c>
      <c r="F133" s="4">
        <f ca="1">SUBTOTAL(9,F$135:F$139)</f>
        <v>10485881.560000001</v>
      </c>
      <c r="G133" s="78">
        <f ca="1">IFERROR($F133/$F$146,0)</f>
        <v>0.12540000000000001</v>
      </c>
      <c r="H133" s="78">
        <f ca="1">IFERROR(($F133-$D133)/ABS($D133),0)</f>
        <v>0</v>
      </c>
      <c r="I133" s="4">
        <f ca="1">SUBTOTAL(9,I$135:I$139)</f>
        <v>10485881.560000001</v>
      </c>
      <c r="J133" s="78">
        <f ca="1">IFERROR($I133/$I$146,0)</f>
        <v>0.12659999999999999</v>
      </c>
      <c r="K133" s="78">
        <f ca="1">IFERROR(($I133-$F133)/ABS($F133),0)</f>
        <v>0</v>
      </c>
      <c r="L133" s="4">
        <f ca="1">SUBTOTAL(9,L$135:L$139)</f>
        <v>10485881.560000001</v>
      </c>
      <c r="M133" s="78">
        <f ca="1">IFERROR($L133/$L$146,0)</f>
        <v>0.1263</v>
      </c>
      <c r="N133" s="78">
        <f ca="1">IFERROR(($L133-$I133)/ABS($I133),0)</f>
        <v>0</v>
      </c>
      <c r="O133" s="4">
        <f ca="1">SUBTOTAL(9,O$135:O$139)</f>
        <v>10485881.560000001</v>
      </c>
      <c r="P133" s="78">
        <f ca="1">IFERROR($O133/$O$146,0)</f>
        <v>0.12590000000000001</v>
      </c>
      <c r="Q133" s="78">
        <f ca="1">IFERROR(($O133-$L133)/ABS($L133),0)</f>
        <v>0</v>
      </c>
      <c r="R133" s="4">
        <f ca="1">SUBTOTAL(9,R$135:R$139)</f>
        <v>10485881.560000001</v>
      </c>
      <c r="S133" s="78">
        <f ca="1">IFERROR($R133/$R$146,0)</f>
        <v>0.12540000000000001</v>
      </c>
      <c r="T133" s="78">
        <f ca="1">IFERROR(($R133-$O133)/ABS($O133),0)</f>
        <v>0</v>
      </c>
      <c r="U133" s="4">
        <f ca="1">SUBTOTAL(9,U$135:U$139)</f>
        <v>10485881.560000001</v>
      </c>
      <c r="V133" s="78">
        <f ca="1">IFERROR($U133/$U$146,0)</f>
        <v>0.1242</v>
      </c>
      <c r="W133" s="78">
        <f ca="1">IFERROR(($U133-$R133)/ABS($R133),0)</f>
        <v>0</v>
      </c>
      <c r="X133" s="4">
        <f ca="1">SUBTOTAL(9,X$135:X$139)</f>
        <v>10485881.560000001</v>
      </c>
      <c r="Y133" s="78">
        <f ca="1">IFERROR($X133/$X$146,0)</f>
        <v>0.1242</v>
      </c>
      <c r="Z133" s="78">
        <f ca="1">IFERROR(($X133-$U133)/ABS($U133),0)</f>
        <v>0</v>
      </c>
      <c r="AA133" s="4">
        <f ca="1">SUBTOTAL(9,AA$135:AA$139)</f>
        <v>10485881.560000001</v>
      </c>
      <c r="AB133" s="78">
        <f ca="1">IFERROR($AA133/$AA$146,0)</f>
        <v>0.1242</v>
      </c>
      <c r="AC133" s="78">
        <f ca="1">IFERROR(($AA133-$X133)/ABS($X133),0)</f>
        <v>0</v>
      </c>
      <c r="AD133" s="4">
        <f ca="1">SUBTOTAL(9,AD$135:AD$139)</f>
        <v>10485881.560000001</v>
      </c>
      <c r="AE133" s="78">
        <f ca="1">IFERROR($AD133/$AD$146,0)</f>
        <v>0.1236</v>
      </c>
      <c r="AF133" s="78">
        <f ca="1">IFERROR(($AD133-$AA133)/ABS($AA133),0)</f>
        <v>0</v>
      </c>
      <c r="AG133" s="4">
        <f ca="1">SUBTOTAL(9,AG$135:AG$139)</f>
        <v>10485881.560000001</v>
      </c>
      <c r="AH133" s="78">
        <f ca="1">IFERROR($AG133/$AG$146,0)</f>
        <v>0.1232</v>
      </c>
      <c r="AI133" s="78">
        <f ca="1">IFERROR(($AG133-$AD133)/ABS($AD133),0)</f>
        <v>0</v>
      </c>
      <c r="AJ133" s="4">
        <f ca="1">SUBTOTAL(9,AJ$134:AJ$139)</f>
        <v>-22929089.109999999</v>
      </c>
      <c r="AK133" s="78">
        <f ca="1">IFERROR($AJ133/$AJ$146,0)</f>
        <v>-0.26850000000000002</v>
      </c>
      <c r="AL133" s="78">
        <f ca="1">IFERROR(($AJ133-$AG133)/ABS($AG133),0)</f>
        <v>-3.1867000000000001</v>
      </c>
      <c r="AM133" s="4">
        <f ca="1">SUBTOTAL(9,AM$134:AM$139)</f>
        <v>-21891257.870000001</v>
      </c>
      <c r="AN133" s="78">
        <f ca="1">IFERROR(AM133/AM$146,0)</f>
        <v>-0.25669999999999998</v>
      </c>
      <c r="AO133" s="78">
        <f ca="1">IFERROR(($AM133-$AJ133)/ABS($AJ133),0)</f>
        <v>4.53E-2</v>
      </c>
    </row>
    <row r="134" spans="2:43" ht="15" hidden="1" customHeight="1" outlineLevel="1" x14ac:dyDescent="0.3">
      <c r="B134" s="14" t="s">
        <v>365</v>
      </c>
      <c r="C134" s="15" t="s">
        <v>366</v>
      </c>
      <c r="D134" s="4">
        <f>-SUMIFS(Tab_99.Trial[DEZEMBRO],Tab_99.Trial[CONTA],$B134)</f>
        <v>0</v>
      </c>
      <c r="E134" s="78">
        <f ca="1">IFERROR($D134/$D$146,0)</f>
        <v>0</v>
      </c>
      <c r="F134" s="4">
        <f ca="1">-SUMIFS(INDIRECT("Tab_00.Trial["&amp;F$4&amp;"]"),Tab_00.Trial[CONTA],$B134)</f>
        <v>-33414970.670000002</v>
      </c>
      <c r="G134" s="78">
        <f ca="1">IFERROR($F134/$F$146,0)</f>
        <v>-0.3997</v>
      </c>
      <c r="H134" s="78">
        <f ca="1">IFERROR(($F134-$D134)/ABS($D134),0)</f>
        <v>0</v>
      </c>
      <c r="I134" s="4">
        <f ca="1">-SUMIFS(INDIRECT("Tab_00.Trial["&amp;I$4&amp;"]"),Tab_00.Trial[CONTA],$B134)</f>
        <v>-33414970.670000002</v>
      </c>
      <c r="J134" s="78">
        <f ca="1">IFERROR($I134/$I$146,0)</f>
        <v>-0.40329999999999999</v>
      </c>
      <c r="K134" s="78">
        <f ca="1">IFERROR(($I134-$F134)/ABS($F134),0)</f>
        <v>0</v>
      </c>
      <c r="L134" s="4">
        <f ca="1">-SUMIFS(INDIRECT("Tab_00.Trial["&amp;L$4&amp;"]"),Tab_00.Trial[CONTA],$B134)</f>
        <v>-33414970.670000002</v>
      </c>
      <c r="M134" s="78">
        <f ca="1">IFERROR($L134/$L$146,0)</f>
        <v>-0.40239999999999998</v>
      </c>
      <c r="N134" s="78">
        <f ca="1">IFERROR(($L134-$I134)/ABS($I134),0)</f>
        <v>0</v>
      </c>
      <c r="O134" s="4">
        <f ca="1">-SUMIFS(INDIRECT("Tab_00.Trial["&amp;O$4&amp;"]"),Tab_00.Trial[CONTA],$B134)</f>
        <v>-33414970.670000002</v>
      </c>
      <c r="P134" s="78">
        <f ca="1">IFERROR($O134/$O$146,0)</f>
        <v>-0.4012</v>
      </c>
      <c r="Q134" s="78">
        <f ca="1">IFERROR(($O134-$L134)/ABS($L134),0)</f>
        <v>0</v>
      </c>
      <c r="R134" s="4">
        <f ca="1">-SUMIFS(INDIRECT("Tab_00.Trial["&amp;R$4&amp;"]"),Tab_00.Trial[CONTA],$B134)</f>
        <v>-33414970.670000002</v>
      </c>
      <c r="S134" s="78">
        <f ca="1">IFERROR($R134/$R$146,0)</f>
        <v>-0.39960000000000001</v>
      </c>
      <c r="T134" s="78">
        <f ca="1">IFERROR(($R134-$O134)/ABS($O134),0)</f>
        <v>0</v>
      </c>
      <c r="U134" s="4">
        <f ca="1">-SUMIFS(INDIRECT("Tab_00.Trial["&amp;U$4&amp;"]"),Tab_00.Trial[CONTA],$B134)</f>
        <v>-33414970.670000002</v>
      </c>
      <c r="V134" s="78">
        <f ca="1">IFERROR($U134/$U$146,0)</f>
        <v>-0.39589999999999997</v>
      </c>
      <c r="W134" s="78">
        <f ca="1">IFERROR(($U134-$R134)/ABS($R134),0)</f>
        <v>0</v>
      </c>
      <c r="X134" s="4">
        <f ca="1">-SUMIFS(INDIRECT("Tab_00.Trial["&amp;X$4&amp;"]"),Tab_00.Trial[CONTA],$B134)</f>
        <v>-33414970.670000002</v>
      </c>
      <c r="Y134" s="78">
        <f ca="1">IFERROR($X134/$X$146,0)</f>
        <v>-0.39589999999999997</v>
      </c>
      <c r="Z134" s="78">
        <f ca="1">IFERROR(($X134-$U134)/ABS($U134),0)</f>
        <v>0</v>
      </c>
      <c r="AA134" s="4">
        <f ca="1">-SUMIFS(INDIRECT("Tab_00.Trial["&amp;AA$4&amp;"]"),Tab_00.Trial[CONTA],$B134)</f>
        <v>-33414970.670000002</v>
      </c>
      <c r="AB134" s="78">
        <f ca="1">IFERROR($AA134/$AA$146,0)</f>
        <v>-0.39589999999999997</v>
      </c>
      <c r="AC134" s="78">
        <f ca="1">IFERROR(($AA134-$X134)/ABS($X134),0)</f>
        <v>0</v>
      </c>
      <c r="AD134" s="4">
        <f ca="1">-SUMIFS(INDIRECT("Tab_00.Trial["&amp;AD$4&amp;"]"),Tab_00.Trial[CONTA],$B134)</f>
        <v>-33414970.670000002</v>
      </c>
      <c r="AE134" s="78">
        <f ca="1">IFERROR($AD134/$AD$146,0)</f>
        <v>-0.39379999999999998</v>
      </c>
      <c r="AF134" s="78">
        <f ca="1">IFERROR(($AD134-$AA134)/ABS($AA134),0)</f>
        <v>0</v>
      </c>
      <c r="AG134" s="4">
        <f ca="1">-SUMIFS(INDIRECT("Tab_00.Trial["&amp;AG$4&amp;"]"),Tab_00.Trial[CONTA],$B134)</f>
        <v>-33414970.670000002</v>
      </c>
      <c r="AH134" s="78">
        <f ca="1">IFERROR($AG134/$AG$146,0)</f>
        <v>-0.39269999999999999</v>
      </c>
      <c r="AI134" s="78">
        <f ca="1">IFERROR(($AG134-$AD134)/ABS($AD134),0)</f>
        <v>0</v>
      </c>
      <c r="AJ134" s="4">
        <f ca="1">-SUMIFS(INDIRECT("Tab_00.Trial["&amp;AJ$4&amp;"]"),Tab_00.Trial[CONTA],$B134)</f>
        <v>-33414970.670000002</v>
      </c>
      <c r="AK134" s="78">
        <f ca="1">IFERROR($AJ134/$AJ$146,0)</f>
        <v>-0.39129999999999998</v>
      </c>
      <c r="AL134" s="78">
        <f ca="1">IFERROR(($AJ134-$AG134)/ABS($AG134),0)</f>
        <v>0</v>
      </c>
      <c r="AM134" s="4">
        <f ca="1">-SUMIFS(INDIRECT("Tab_00.Trial["&amp;AM$4&amp;"]"),Tab_00.Trial[CONTA],$B134)</f>
        <v>-33414970.670000002</v>
      </c>
      <c r="AN134" s="78">
        <f ca="1">IFERROR(AM134/AM$146,0)</f>
        <v>-0.39179999999999998</v>
      </c>
      <c r="AO134" s="78">
        <f ca="1">IFERROR(($AM134-$AJ134)/ABS($AJ134),0)</f>
        <v>0</v>
      </c>
    </row>
    <row r="135" spans="2:43" ht="15" hidden="1" customHeight="1" outlineLevel="1" x14ac:dyDescent="0.3">
      <c r="B135" s="14" t="s">
        <v>743</v>
      </c>
      <c r="C135" s="15" t="s">
        <v>744</v>
      </c>
      <c r="D135" s="4">
        <f>-SUMIFS(Tab_99.Trial[DEZEMBRO],Tab_99.Trial[CONTA],$B135)</f>
        <v>0</v>
      </c>
      <c r="E135" s="78">
        <f ca="1">IFERROR($D135/$D$146,0)</f>
        <v>0</v>
      </c>
      <c r="F135" s="4">
        <f ca="1">-SUMIFS(INDIRECT("Tab_00.Trial["&amp;F$4&amp;"]"),Tab_00.Trial[CONTA],$B135)</f>
        <v>827719.82</v>
      </c>
      <c r="G135" s="78">
        <f ca="1">IFERROR($F135/$F$146,0)</f>
        <v>9.9000000000000008E-3</v>
      </c>
      <c r="H135" s="78">
        <f ca="1">IFERROR(($F135-$D135)/ABS($D135),0)</f>
        <v>0</v>
      </c>
      <c r="I135" s="4">
        <f ca="1">-SUMIFS(INDIRECT("Tab_00.Trial["&amp;I$4&amp;"]"),Tab_00.Trial[CONTA],$B135)</f>
        <v>827719.82</v>
      </c>
      <c r="J135" s="78">
        <f ca="1">IFERROR($I135/$I$146,0)</f>
        <v>0.01</v>
      </c>
      <c r="K135" s="78">
        <f ca="1">IFERROR(($I135-$F135)/ABS($F135),0)</f>
        <v>0</v>
      </c>
      <c r="L135" s="4">
        <f ca="1">-SUMIFS(INDIRECT("Tab_00.Trial["&amp;L$4&amp;"]"),Tab_00.Trial[CONTA],$B135)</f>
        <v>827719.82</v>
      </c>
      <c r="M135" s="78">
        <f ca="1">IFERROR($L135/$L$146,0)</f>
        <v>0.01</v>
      </c>
      <c r="N135" s="78">
        <f ca="1">IFERROR(($L135-$I135)/ABS($I135),0)</f>
        <v>0</v>
      </c>
      <c r="O135" s="4">
        <f ca="1">-SUMIFS(INDIRECT("Tab_00.Trial["&amp;O$4&amp;"]"),Tab_00.Trial[CONTA],$B135)</f>
        <v>827719.82</v>
      </c>
      <c r="P135" s="78">
        <f ca="1">IFERROR($O135/$O$146,0)</f>
        <v>9.9000000000000008E-3</v>
      </c>
      <c r="Q135" s="78">
        <f ca="1">IFERROR(($O135-$L135)/ABS($L135),0)</f>
        <v>0</v>
      </c>
      <c r="R135" s="4">
        <f ca="1">-SUMIFS(INDIRECT("Tab_00.Trial["&amp;R$4&amp;"]"),Tab_00.Trial[CONTA],$B135)</f>
        <v>827719.82</v>
      </c>
      <c r="S135" s="78">
        <f ca="1">IFERROR($R135/$R$146,0)</f>
        <v>9.9000000000000008E-3</v>
      </c>
      <c r="T135" s="78">
        <f ca="1">IFERROR(($R135-$O135)/ABS($O135),0)</f>
        <v>0</v>
      </c>
      <c r="U135" s="4">
        <f ca="1">-SUMIFS(INDIRECT("Tab_00.Trial["&amp;U$4&amp;"]"),Tab_00.Trial[CONTA],$B135)</f>
        <v>827719.82</v>
      </c>
      <c r="V135" s="78">
        <f ca="1">IFERROR($U135/$U$146,0)</f>
        <v>9.7999999999999997E-3</v>
      </c>
      <c r="W135" s="78">
        <f ca="1">IFERROR(($U135-$R135)/ABS($R135),0)</f>
        <v>0</v>
      </c>
      <c r="X135" s="4">
        <f ca="1">-SUMIFS(INDIRECT("Tab_00.Trial["&amp;X$4&amp;"]"),Tab_00.Trial[CONTA],$B135)</f>
        <v>827719.82</v>
      </c>
      <c r="Y135" s="78">
        <f ca="1">IFERROR($X135/$X$146,0)</f>
        <v>9.7999999999999997E-3</v>
      </c>
      <c r="Z135" s="78">
        <f ca="1">IFERROR(($X135-$U135)/ABS($U135),0)</f>
        <v>0</v>
      </c>
      <c r="AA135" s="4">
        <f ca="1">-SUMIFS(INDIRECT("Tab_00.Trial["&amp;AA$4&amp;"]"),Tab_00.Trial[CONTA],$B135)</f>
        <v>827719.82</v>
      </c>
      <c r="AB135" s="78">
        <f ca="1">IFERROR($AA135/$AA$146,0)</f>
        <v>9.7999999999999997E-3</v>
      </c>
      <c r="AC135" s="78">
        <f ca="1">IFERROR(($AA135-$X135)/ABS($X135),0)</f>
        <v>0</v>
      </c>
      <c r="AD135" s="4">
        <f ca="1">-SUMIFS(INDIRECT("Tab_00.Trial["&amp;AD$4&amp;"]"),Tab_00.Trial[CONTA],$B135)</f>
        <v>827719.82</v>
      </c>
      <c r="AE135" s="78">
        <f ca="1">IFERROR($AD135/$AD$146,0)</f>
        <v>9.7999999999999997E-3</v>
      </c>
      <c r="AF135" s="78">
        <f ca="1">IFERROR(($AD135-$AA135)/ABS($AA135),0)</f>
        <v>0</v>
      </c>
      <c r="AG135" s="4">
        <f ca="1">-SUMIFS(INDIRECT("Tab_00.Trial["&amp;AG$4&amp;"]"),Tab_00.Trial[CONTA],$B135)</f>
        <v>827719.82</v>
      </c>
      <c r="AH135" s="78">
        <f ca="1">IFERROR($AG135/$AG$146,0)</f>
        <v>9.7000000000000003E-3</v>
      </c>
      <c r="AI135" s="78">
        <f ca="1">IFERROR(($AG135-$AD135)/ABS($AD135),0)</f>
        <v>0</v>
      </c>
      <c r="AJ135" s="4">
        <f ca="1">-SUMIFS(INDIRECT("Tab_00.Trial["&amp;AJ$4&amp;"]"),Tab_00.Trial[CONTA],$B135)</f>
        <v>827719.82</v>
      </c>
      <c r="AK135" s="78">
        <f ca="1">IFERROR($AJ135/$AJ$146,0)</f>
        <v>9.7000000000000003E-3</v>
      </c>
      <c r="AL135" s="78">
        <f ca="1">IFERROR(($AJ135-$AG135)/ABS($AG135),0)</f>
        <v>0</v>
      </c>
      <c r="AM135" s="4">
        <f ca="1">-SUMIFS(INDIRECT("Tab_00.Trial["&amp;AM$4&amp;"]"),Tab_00.Trial[CONTA],$B135)</f>
        <v>827719.82</v>
      </c>
      <c r="AN135" s="78">
        <f ca="1">IFERROR(AM135/AM$146,0)</f>
        <v>9.7000000000000003E-3</v>
      </c>
      <c r="AO135" s="78">
        <f ca="1">IFERROR(($AM135-$AJ135)/ABS($AJ135),0)</f>
        <v>0</v>
      </c>
    </row>
    <row r="136" spans="2:43" ht="15" hidden="1" customHeight="1" outlineLevel="1" x14ac:dyDescent="0.3">
      <c r="B136" s="14" t="s">
        <v>747</v>
      </c>
      <c r="C136" s="15" t="s">
        <v>746</v>
      </c>
      <c r="D136" s="4">
        <f>-SUMIFS(Tab_99.Trial[DEZEMBRO],Tab_99.Trial[CONTA],$B136)</f>
        <v>0</v>
      </c>
      <c r="E136" s="78">
        <f ca="1">IFERROR($D136/$D$146,0)</f>
        <v>0</v>
      </c>
      <c r="F136" s="4">
        <f ca="1">-SUMIFS(INDIRECT("Tab_00.Trial["&amp;F$4&amp;"]"),Tab_00.Trial[CONTA],$B136)</f>
        <v>9658161.7400000002</v>
      </c>
      <c r="G136" s="78">
        <f ca="1">IFERROR($F136/$F$146,0)</f>
        <v>0.11550000000000001</v>
      </c>
      <c r="H136" s="78">
        <f t="shared" ref="H136:H137" ca="1" si="269">IFERROR(($F136-$D136)/ABS($D136),0)</f>
        <v>0</v>
      </c>
      <c r="I136" s="4">
        <f ca="1">-SUMIFS(INDIRECT("Tab_00.Trial["&amp;I$4&amp;"]"),Tab_00.Trial[CONTA],$B136)</f>
        <v>9658161.7400000002</v>
      </c>
      <c r="J136" s="78">
        <f ca="1">IFERROR($I136/$I$146,0)</f>
        <v>0.1166</v>
      </c>
      <c r="K136" s="78">
        <f t="shared" ref="K136:K137" ca="1" si="270">IFERROR(($I136-$F136)/ABS($F136),0)</f>
        <v>0</v>
      </c>
      <c r="L136" s="4">
        <f ca="1">-SUMIFS(INDIRECT("Tab_00.Trial["&amp;L$4&amp;"]"),Tab_00.Trial[CONTA],$B136)</f>
        <v>9658161.7400000002</v>
      </c>
      <c r="M136" s="78">
        <f ca="1">IFERROR($L136/$L$146,0)</f>
        <v>0.1163</v>
      </c>
      <c r="N136" s="78">
        <f t="shared" ref="N136:N137" ca="1" si="271">IFERROR(($L136-$I136)/ABS($I136),0)</f>
        <v>0</v>
      </c>
      <c r="O136" s="4">
        <f ca="1">-SUMIFS(INDIRECT("Tab_00.Trial["&amp;O$4&amp;"]"),Tab_00.Trial[CONTA],$B136)</f>
        <v>9658161.7400000002</v>
      </c>
      <c r="P136" s="78">
        <f ca="1">IFERROR($O136/$O$146,0)</f>
        <v>0.11600000000000001</v>
      </c>
      <c r="Q136" s="78">
        <f t="shared" ref="Q136:Q137" ca="1" si="272">IFERROR(($O136-$L136)/ABS($L136),0)</f>
        <v>0</v>
      </c>
      <c r="R136" s="4">
        <f ca="1">-SUMIFS(INDIRECT("Tab_00.Trial["&amp;R$4&amp;"]"),Tab_00.Trial[CONTA],$B136)</f>
        <v>9658161.7400000002</v>
      </c>
      <c r="S136" s="78">
        <f ca="1">IFERROR($R136/$R$146,0)</f>
        <v>0.11550000000000001</v>
      </c>
      <c r="T136" s="78">
        <f t="shared" ref="T136:T137" ca="1" si="273">IFERROR(($R136-$O136)/ABS($O136),0)</f>
        <v>0</v>
      </c>
      <c r="U136" s="4">
        <f ca="1">-SUMIFS(INDIRECT("Tab_00.Trial["&amp;U$4&amp;"]"),Tab_00.Trial[CONTA],$B136)</f>
        <v>9658161.7400000002</v>
      </c>
      <c r="V136" s="78">
        <f ca="1">IFERROR($U136/$U$146,0)</f>
        <v>0.1144</v>
      </c>
      <c r="W136" s="78">
        <f t="shared" ref="W136:W137" ca="1" si="274">IFERROR(($U136-$R136)/ABS($R136),0)</f>
        <v>0</v>
      </c>
      <c r="X136" s="4">
        <f ca="1">-SUMIFS(INDIRECT("Tab_00.Trial["&amp;X$4&amp;"]"),Tab_00.Trial[CONTA],$B136)</f>
        <v>9658161.7400000002</v>
      </c>
      <c r="Y136" s="78">
        <f ca="1">IFERROR($X136/$X$146,0)</f>
        <v>0.1144</v>
      </c>
      <c r="Z136" s="78">
        <f t="shared" ref="Z136:Z137" ca="1" si="275">IFERROR(($X136-$U136)/ABS($U136),0)</f>
        <v>0</v>
      </c>
      <c r="AA136" s="4">
        <f ca="1">-SUMIFS(INDIRECT("Tab_00.Trial["&amp;AA$4&amp;"]"),Tab_00.Trial[CONTA],$B136)</f>
        <v>9658161.7400000002</v>
      </c>
      <c r="AB136" s="78">
        <f ca="1">IFERROR($AA136/$AA$146,0)</f>
        <v>0.1144</v>
      </c>
      <c r="AC136" s="78">
        <f t="shared" ref="AC136:AC137" ca="1" si="276">IFERROR(($AA136-$X136)/ABS($X136),0)</f>
        <v>0</v>
      </c>
      <c r="AD136" s="4">
        <f ca="1">-SUMIFS(INDIRECT("Tab_00.Trial["&amp;AD$4&amp;"]"),Tab_00.Trial[CONTA],$B136)</f>
        <v>9658161.7400000002</v>
      </c>
      <c r="AE136" s="78">
        <f ca="1">IFERROR($AD136/$AD$146,0)</f>
        <v>0.1138</v>
      </c>
      <c r="AF136" s="78">
        <f t="shared" ref="AF136:AF137" ca="1" si="277">IFERROR(($AD136-$AA136)/ABS($AA136),0)</f>
        <v>0</v>
      </c>
      <c r="AG136" s="4">
        <f ca="1">-SUMIFS(INDIRECT("Tab_00.Trial["&amp;AG$4&amp;"]"),Tab_00.Trial[CONTA],$B136)</f>
        <v>9658161.7400000002</v>
      </c>
      <c r="AH136" s="78">
        <f ca="1">IFERROR($AG136/$AG$146,0)</f>
        <v>0.1135</v>
      </c>
      <c r="AI136" s="78">
        <f t="shared" ref="AI136:AI137" ca="1" si="278">IFERROR(($AG136-$AD136)/ABS($AD136),0)</f>
        <v>0</v>
      </c>
      <c r="AJ136" s="4">
        <f ca="1">-SUMIFS(INDIRECT("Tab_00.Trial["&amp;AJ$4&amp;"]"),Tab_00.Trial[CONTA],$B136)</f>
        <v>9658161.7400000002</v>
      </c>
      <c r="AK136" s="78">
        <f ca="1">IFERROR($AJ136/$AJ$146,0)</f>
        <v>0.11310000000000001</v>
      </c>
      <c r="AL136" s="78">
        <f t="shared" ref="AL136:AL137" ca="1" si="279">IFERROR(($AJ136-$AG136)/ABS($AG136),0)</f>
        <v>0</v>
      </c>
      <c r="AM136" s="4">
        <f ca="1">-SUMIFS(INDIRECT("Tab_00.Trial["&amp;AM$4&amp;"]"),Tab_00.Trial[CONTA],$B136)</f>
        <v>10695992.98</v>
      </c>
      <c r="AN136" s="78">
        <f ca="1">IFERROR(AM136/AM$146,0)</f>
        <v>0.12540000000000001</v>
      </c>
      <c r="AO136" s="78">
        <f t="shared" ref="AO136:AO137" ca="1" si="280">IFERROR(($AM136-$AJ136)/ABS($AJ136),0)</f>
        <v>0.1075</v>
      </c>
      <c r="AQ136" s="142"/>
    </row>
    <row r="137" spans="2:43" ht="15" hidden="1" customHeight="1" outlineLevel="1" x14ac:dyDescent="0.3">
      <c r="B137" s="14"/>
      <c r="C137" s="15"/>
      <c r="D137" s="4">
        <f>-SUMIFS(Tab_99.Trial[DEZEMBRO],Tab_99.Trial[CONTA],$B137)</f>
        <v>0</v>
      </c>
      <c r="E137" s="78">
        <f ca="1">IFERROR($D137/$D$146,0)</f>
        <v>0</v>
      </c>
      <c r="F137" s="4">
        <f ca="1">-SUMIFS(INDIRECT("Tab_00.Trial["&amp;F$4&amp;"]"),Tab_00.Trial[CONTA],$B137)</f>
        <v>0</v>
      </c>
      <c r="G137" s="78">
        <f ca="1">IFERROR($F137/$F$146,0)</f>
        <v>0</v>
      </c>
      <c r="H137" s="78">
        <f t="shared" ca="1" si="269"/>
        <v>0</v>
      </c>
      <c r="I137" s="4">
        <f ca="1">-SUMIFS(INDIRECT("Tab_00.Trial["&amp;I$4&amp;"]"),Tab_00.Trial[CONTA],$B137)</f>
        <v>0</v>
      </c>
      <c r="J137" s="78">
        <f ca="1">IFERROR($I137/$I$146,0)</f>
        <v>0</v>
      </c>
      <c r="K137" s="78">
        <f t="shared" ca="1" si="270"/>
        <v>0</v>
      </c>
      <c r="L137" s="4">
        <f ca="1">-SUMIFS(INDIRECT("Tab_00.Trial["&amp;L$4&amp;"]"),Tab_00.Trial[CONTA],$B137)</f>
        <v>0</v>
      </c>
      <c r="M137" s="78">
        <f ca="1">IFERROR($L137/$L$146,0)</f>
        <v>0</v>
      </c>
      <c r="N137" s="78">
        <f t="shared" ca="1" si="271"/>
        <v>0</v>
      </c>
      <c r="O137" s="4">
        <f ca="1">-SUMIFS(INDIRECT("Tab_00.Trial["&amp;O$4&amp;"]"),Tab_00.Trial[CONTA],$B137)</f>
        <v>0</v>
      </c>
      <c r="P137" s="78">
        <f ca="1">IFERROR($O137/$O$146,0)</f>
        <v>0</v>
      </c>
      <c r="Q137" s="78">
        <f t="shared" ca="1" si="272"/>
        <v>0</v>
      </c>
      <c r="R137" s="4">
        <f ca="1">-SUMIFS(INDIRECT("Tab_00.Trial["&amp;R$4&amp;"]"),Tab_00.Trial[CONTA],$B137)</f>
        <v>0</v>
      </c>
      <c r="S137" s="78">
        <f ca="1">IFERROR($R137/$R$146,0)</f>
        <v>0</v>
      </c>
      <c r="T137" s="78">
        <f t="shared" ca="1" si="273"/>
        <v>0</v>
      </c>
      <c r="U137" s="4">
        <f ca="1">-SUMIFS(INDIRECT("Tab_00.Trial["&amp;U$4&amp;"]"),Tab_00.Trial[CONTA],$B137)</f>
        <v>0</v>
      </c>
      <c r="V137" s="78">
        <f ca="1">IFERROR($U137/$U$146,0)</f>
        <v>0</v>
      </c>
      <c r="W137" s="78">
        <f t="shared" ca="1" si="274"/>
        <v>0</v>
      </c>
      <c r="X137" s="4">
        <f ca="1">-SUMIFS(INDIRECT("Tab_00.Trial["&amp;X$4&amp;"]"),Tab_00.Trial[CONTA],$B137)</f>
        <v>0</v>
      </c>
      <c r="Y137" s="78">
        <f ca="1">IFERROR($X137/$X$146,0)</f>
        <v>0</v>
      </c>
      <c r="Z137" s="78">
        <f t="shared" ca="1" si="275"/>
        <v>0</v>
      </c>
      <c r="AA137" s="4">
        <f ca="1">-SUMIFS(INDIRECT("Tab_00.Trial["&amp;AA$4&amp;"]"),Tab_00.Trial[CONTA],$B137)</f>
        <v>0</v>
      </c>
      <c r="AB137" s="78">
        <f ca="1">IFERROR($AA137/$AA$146,0)</f>
        <v>0</v>
      </c>
      <c r="AC137" s="78">
        <f t="shared" ca="1" si="276"/>
        <v>0</v>
      </c>
      <c r="AD137" s="4">
        <f ca="1">-SUMIFS(INDIRECT("Tab_00.Trial["&amp;AD$4&amp;"]"),Tab_00.Trial[CONTA],$B137)</f>
        <v>0</v>
      </c>
      <c r="AE137" s="78">
        <f ca="1">IFERROR($AD137/$AD$146,0)</f>
        <v>0</v>
      </c>
      <c r="AF137" s="78">
        <f t="shared" ca="1" si="277"/>
        <v>0</v>
      </c>
      <c r="AG137" s="4">
        <f ca="1">-SUMIFS(INDIRECT("Tab_00.Trial["&amp;AG$4&amp;"]"),Tab_00.Trial[CONTA],$B137)</f>
        <v>0</v>
      </c>
      <c r="AH137" s="78">
        <f ca="1">IFERROR($AG137/$AG$146,0)</f>
        <v>0</v>
      </c>
      <c r="AI137" s="78">
        <f t="shared" ca="1" si="278"/>
        <v>0</v>
      </c>
      <c r="AJ137" s="4">
        <f ca="1">-SUMIFS(INDIRECT("Tab_00.Trial["&amp;AJ$4&amp;"]"),Tab_00.Trial[CONTA],$B137)</f>
        <v>0</v>
      </c>
      <c r="AK137" s="78">
        <f ca="1">IFERROR($AJ137/$AJ$146,0)</f>
        <v>0</v>
      </c>
      <c r="AL137" s="78">
        <f t="shared" ca="1" si="279"/>
        <v>0</v>
      </c>
      <c r="AM137" s="4">
        <f ca="1">-SUMIFS(INDIRECT("Tab_00.Trial["&amp;AM$4&amp;"]"),Tab_00.Trial[CONTA],$B137)</f>
        <v>0</v>
      </c>
      <c r="AN137" s="78">
        <f ca="1">IFERROR(AM137/AM$146,0)</f>
        <v>0</v>
      </c>
      <c r="AO137" s="78">
        <f t="shared" ca="1" si="280"/>
        <v>0</v>
      </c>
      <c r="AQ137" s="142"/>
    </row>
    <row r="138" spans="2:43" ht="15" hidden="1" customHeight="1" outlineLevel="1" x14ac:dyDescent="0.3">
      <c r="B138" s="14"/>
      <c r="C138" s="15"/>
      <c r="AQ138" s="142"/>
    </row>
    <row r="139" spans="2:43" ht="5.0999999999999996" hidden="1" customHeight="1" outlineLevel="1" x14ac:dyDescent="0.3">
      <c r="B139" s="74"/>
      <c r="C139" s="75"/>
      <c r="D139" s="76"/>
      <c r="E139" s="77"/>
      <c r="F139" s="76"/>
      <c r="G139" s="77"/>
      <c r="H139" s="77"/>
      <c r="I139" s="76"/>
      <c r="J139" s="77"/>
      <c r="K139" s="77"/>
      <c r="L139" s="76"/>
      <c r="M139" s="77"/>
      <c r="N139" s="77"/>
      <c r="O139" s="76"/>
      <c r="P139" s="77"/>
      <c r="Q139" s="77"/>
      <c r="R139" s="76"/>
      <c r="S139" s="77"/>
      <c r="T139" s="77"/>
      <c r="U139" s="76"/>
      <c r="V139" s="77"/>
      <c r="W139" s="77"/>
      <c r="X139" s="76"/>
      <c r="Y139" s="77"/>
      <c r="Z139" s="77"/>
      <c r="AA139" s="76"/>
      <c r="AB139" s="77"/>
      <c r="AC139" s="77"/>
      <c r="AD139" s="76"/>
      <c r="AE139" s="77"/>
      <c r="AF139" s="77"/>
      <c r="AG139" s="76"/>
      <c r="AH139" s="77"/>
      <c r="AI139" s="77"/>
      <c r="AJ139" s="76"/>
      <c r="AK139" s="77"/>
      <c r="AL139" s="77"/>
      <c r="AM139" s="76"/>
      <c r="AN139" s="77"/>
      <c r="AO139" s="77"/>
    </row>
    <row r="140" spans="2:43" ht="15" customHeight="1" collapsed="1" x14ac:dyDescent="0.3">
      <c r="C140" s="14" t="s">
        <v>161</v>
      </c>
      <c r="D140" s="4">
        <f ca="1">SUBTOTAL(9,D$141:D$143)</f>
        <v>0</v>
      </c>
      <c r="E140" s="78">
        <f ca="1">IFERROR($D140/$D$146,0)</f>
        <v>0</v>
      </c>
      <c r="F140" s="4">
        <f ca="1">SUBTOTAL(9,F$141:F$143)</f>
        <v>-111264.76</v>
      </c>
      <c r="G140" s="78">
        <f ca="1">IFERROR($F140/$F$146,0)</f>
        <v>-1.2999999999999999E-3</v>
      </c>
      <c r="H140" s="78">
        <f ca="1">IFERROR(($F140-$D140)/ABS($D140),0)</f>
        <v>0</v>
      </c>
      <c r="I140" s="4">
        <f ca="1">SUBTOTAL(9,I$141:I$143)</f>
        <v>-61548.61</v>
      </c>
      <c r="J140" s="78">
        <f ca="1">IFERROR($I140/$I$146,0)</f>
        <v>-6.9999999999999999E-4</v>
      </c>
      <c r="K140" s="78">
        <f ca="1">IFERROR(($I140-$F140)/ABS($F140),0)</f>
        <v>0.44679999999999997</v>
      </c>
      <c r="L140" s="4">
        <f ca="1">SUBTOTAL(9,L$141:L$143)</f>
        <v>-72348.78</v>
      </c>
      <c r="M140" s="78">
        <f ca="1">IFERROR($L140/$L$146,0)</f>
        <v>-8.9999999999999998E-4</v>
      </c>
      <c r="N140" s="78">
        <f ca="1">IFERROR(($L140-$I140)/ABS($I140),0)</f>
        <v>-0.17549999999999999</v>
      </c>
      <c r="O140" s="4">
        <f ca="1">SUBTOTAL(9,O$141:O$143)</f>
        <v>-159595.15</v>
      </c>
      <c r="P140" s="78">
        <f ca="1">IFERROR($O140/$O$146,0)</f>
        <v>-1.9E-3</v>
      </c>
      <c r="Q140" s="78">
        <f ca="1">IFERROR(($O140-$L140)/ABS($L140),0)</f>
        <v>-1.2059</v>
      </c>
      <c r="R140" s="4">
        <f ca="1">SUBTOTAL(9,R$141:R$143)</f>
        <v>302910.74</v>
      </c>
      <c r="S140" s="78">
        <f ca="1">IFERROR($R140/$R$146,0)</f>
        <v>3.5999999999999999E-3</v>
      </c>
      <c r="T140" s="78">
        <f ca="1">IFERROR(($R140-$O140)/ABS($O140),0)</f>
        <v>2.8980000000000001</v>
      </c>
      <c r="U140" s="4">
        <f ca="1">SUBTOTAL(9,U$141:U$143)</f>
        <v>1063570.8600000001</v>
      </c>
      <c r="V140" s="78">
        <f ca="1">IFERROR($U140/$U$146,0)</f>
        <v>1.26E-2</v>
      </c>
      <c r="W140" s="78">
        <f ca="1">IFERROR(($U140-$R140)/ABS($R140),0)</f>
        <v>2.5112000000000001</v>
      </c>
      <c r="X140" s="4">
        <f ca="1">SUBTOTAL(9,X$141:X$143)</f>
        <v>1063570.8600000001</v>
      </c>
      <c r="Y140" s="78">
        <f ca="1">IFERROR($X140/$X$146,0)</f>
        <v>1.26E-2</v>
      </c>
      <c r="Z140" s="78">
        <f ca="1">IFERROR(($X140-$U140)/ABS($U140),0)</f>
        <v>0</v>
      </c>
      <c r="AA140" s="4">
        <f ca="1">SUBTOTAL(9,AA$141:AA$143)</f>
        <v>1063570.8600000001</v>
      </c>
      <c r="AB140" s="78">
        <f ca="1">IFERROR($AA140/$AA$146,0)</f>
        <v>1.26E-2</v>
      </c>
      <c r="AC140" s="78">
        <f ca="1">IFERROR(($AA140-$X140)/ABS($X140),0)</f>
        <v>0</v>
      </c>
      <c r="AD140" s="4">
        <f ca="1">SUBTOTAL(9,AD$141:AD$143)</f>
        <v>1513202.38</v>
      </c>
      <c r="AE140" s="78">
        <f ca="1">IFERROR($AD140/$AD$146,0)</f>
        <v>1.78E-2</v>
      </c>
      <c r="AF140" s="78">
        <f ca="1">IFERROR(($AD140-$AA140)/ABS($AA140),0)</f>
        <v>0.42280000000000001</v>
      </c>
      <c r="AG140" s="4">
        <f ca="1">SUBTOTAL(9,AG$141:AG$143)</f>
        <v>1740149.73</v>
      </c>
      <c r="AH140" s="78">
        <f ca="1">IFERROR($AG140/$AG$146,0)</f>
        <v>2.0500000000000001E-2</v>
      </c>
      <c r="AI140" s="78">
        <f ca="1">IFERROR(($AG140-$AD140)/ABS($AD140),0)</f>
        <v>0.15</v>
      </c>
      <c r="AJ140" s="4">
        <f ca="1">SUBTOTAL(9,AJ$141:AJ$143)</f>
        <v>2241938.8199999998</v>
      </c>
      <c r="AK140" s="78">
        <f ca="1">IFERROR($AJ140/$AJ$146,0)</f>
        <v>2.63E-2</v>
      </c>
      <c r="AL140" s="78">
        <f ca="1">IFERROR(($AJ140-$AG140)/ABS($AG140),0)</f>
        <v>0.28839999999999999</v>
      </c>
      <c r="AM140" s="4">
        <f ca="1">SUBTOTAL(9,AM$141:AM$143)</f>
        <v>1750897.02</v>
      </c>
      <c r="AN140" s="78">
        <f ca="1">IFERROR(AM140/AM$146,0)</f>
        <v>2.0500000000000001E-2</v>
      </c>
      <c r="AO140" s="78">
        <f ca="1">IFERROR(($AM140-$AJ140)/ABS($AJ140),0)</f>
        <v>-0.219</v>
      </c>
    </row>
    <row r="141" spans="2:43" ht="15" hidden="1" customHeight="1" outlineLevel="1" x14ac:dyDescent="0.3">
      <c r="B141" s="14"/>
      <c r="C141" s="15" t="s">
        <v>121</v>
      </c>
      <c r="D141" s="4">
        <f ca="1">-par_99.LL</f>
        <v>0</v>
      </c>
      <c r="E141" s="78">
        <f ca="1">IFERROR($D141/$D$146,0)</f>
        <v>0</v>
      </c>
      <c r="F141" s="4">
        <f ca="1">par_01.LL</f>
        <v>-111264.76</v>
      </c>
      <c r="G141" s="78">
        <f ca="1">IFERROR($F141/$F$146,0)</f>
        <v>-1.2999999999999999E-3</v>
      </c>
      <c r="H141" s="78">
        <f t="shared" ref="H141:H142" ca="1" si="281">IFERROR(($F141-$D141)/ABS($D141),0)</f>
        <v>0</v>
      </c>
      <c r="I141" s="4">
        <f ca="1">par_02.LL</f>
        <v>-61548.61</v>
      </c>
      <c r="J141" s="78">
        <f ca="1">IFERROR($I141/$I$146,0)</f>
        <v>-6.9999999999999999E-4</v>
      </c>
      <c r="K141" s="78">
        <f t="shared" ref="K141:K142" ca="1" si="282">IFERROR(($I141-$F141)/ABS($F141),0)</f>
        <v>0.44679999999999997</v>
      </c>
      <c r="L141" s="4">
        <f ca="1">par_03.LL</f>
        <v>-72348.78</v>
      </c>
      <c r="M141" s="78">
        <f ca="1">IFERROR($L141/$L$146,0)</f>
        <v>-8.9999999999999998E-4</v>
      </c>
      <c r="N141" s="78">
        <f t="shared" ref="N141:N142" ca="1" si="283">IFERROR(($L141-$I141)/ABS($I141),0)</f>
        <v>-0.17549999999999999</v>
      </c>
      <c r="O141" s="4">
        <f ca="1">par_04.LL</f>
        <v>-159595.15</v>
      </c>
      <c r="P141" s="78">
        <f ca="1">IFERROR($O141/$O$146,0)</f>
        <v>-1.9E-3</v>
      </c>
      <c r="Q141" s="78">
        <f t="shared" ref="Q141:Q142" ca="1" si="284">IFERROR(($O141-$L141)/ABS($L141),0)</f>
        <v>-1.2059</v>
      </c>
      <c r="R141" s="4">
        <f ca="1">par_05.LL</f>
        <v>302910.74</v>
      </c>
      <c r="S141" s="78">
        <f ca="1">IFERROR($R141/$R$146,0)</f>
        <v>3.5999999999999999E-3</v>
      </c>
      <c r="T141" s="78">
        <f t="shared" ref="T141:T142" ca="1" si="285">IFERROR(($R141-$O141)/ABS($O141),0)</f>
        <v>2.8980000000000001</v>
      </c>
      <c r="U141" s="4">
        <f ca="1">par_06.LL</f>
        <v>1063570.8600000001</v>
      </c>
      <c r="V141" s="78">
        <f ca="1">IFERROR($U141/$U$146,0)</f>
        <v>1.26E-2</v>
      </c>
      <c r="W141" s="78">
        <f t="shared" ref="W141:W142" ca="1" si="286">IFERROR(($U141-$R141)/ABS($R141),0)</f>
        <v>2.5112000000000001</v>
      </c>
      <c r="X141" s="4">
        <f ca="1">par_07.LL</f>
        <v>1063570.8600000001</v>
      </c>
      <c r="Y141" s="78">
        <f ca="1">IFERROR($X141/$X$146,0)</f>
        <v>1.26E-2</v>
      </c>
      <c r="Z141" s="78">
        <f t="shared" ref="Z141:Z142" ca="1" si="287">IFERROR(($X141-$U141)/ABS($U141),0)</f>
        <v>0</v>
      </c>
      <c r="AA141" s="4">
        <f ca="1">par_08.LL</f>
        <v>1063570.8600000001</v>
      </c>
      <c r="AB141" s="78">
        <f ca="1">IFERROR($AA141/$AA$146,0)</f>
        <v>1.26E-2</v>
      </c>
      <c r="AC141" s="78">
        <f t="shared" ref="AC141:AC142" ca="1" si="288">IFERROR(($AA141-$X141)/ABS($X141),0)</f>
        <v>0</v>
      </c>
      <c r="AD141" s="4">
        <f ca="1">par_09.LL</f>
        <v>1513202.38</v>
      </c>
      <c r="AE141" s="78">
        <f ca="1">IFERROR($AD141/$AD$146,0)</f>
        <v>1.78E-2</v>
      </c>
      <c r="AF141" s="78">
        <f t="shared" ref="AF141:AF142" ca="1" si="289">IFERROR(($AD141-$AA141)/ABS($AA141),0)</f>
        <v>0.42280000000000001</v>
      </c>
      <c r="AG141" s="4">
        <f ca="1">par_10.LL</f>
        <v>1740149.73</v>
      </c>
      <c r="AH141" s="78">
        <f ca="1">IFERROR($AG141/$AG$146,0)</f>
        <v>2.0500000000000001E-2</v>
      </c>
      <c r="AI141" s="78">
        <f t="shared" ref="AI141:AI142" ca="1" si="290">IFERROR(($AG141-$AD141)/ABS($AD141),0)</f>
        <v>0.15</v>
      </c>
      <c r="AJ141" s="4">
        <f ca="1">par_11.LL</f>
        <v>2241938.8199999998</v>
      </c>
      <c r="AK141" s="78">
        <f ca="1">IFERROR($AJ141/$AJ$146,0)</f>
        <v>2.63E-2</v>
      </c>
      <c r="AL141" s="78">
        <f t="shared" ref="AL141:AL142" ca="1" si="291">IFERROR(($AJ141-$AG141)/ABS($AG141),0)</f>
        <v>0.28839999999999999</v>
      </c>
      <c r="AM141" s="4">
        <f ca="1">par_12.LL</f>
        <v>1750897.02</v>
      </c>
      <c r="AN141" s="78">
        <f ca="1">IFERROR(AM141/AM$146,0)</f>
        <v>2.0500000000000001E-2</v>
      </c>
      <c r="AO141" s="78">
        <f t="shared" ref="AO141:AO142" ca="1" si="292">IFERROR(($AM141-$AJ141)/ABS($AJ141),0)</f>
        <v>-0.219</v>
      </c>
    </row>
    <row r="142" spans="2:43" ht="15" hidden="1" customHeight="1" outlineLevel="1" x14ac:dyDescent="0.3">
      <c r="B142" s="14"/>
      <c r="C142" s="15"/>
      <c r="D142" s="4">
        <f>-SUMIFS(Tab_99.Trial[DEZEMBRO],Tab_99.Trial[CONTA],$B142)</f>
        <v>0</v>
      </c>
      <c r="E142" s="78">
        <f ca="1">IFERROR($D142/$D$146,0)</f>
        <v>0</v>
      </c>
      <c r="F142" s="4">
        <f ca="1">-SUMIFS(INDIRECT("Tab_00.Trial["&amp;F$4&amp;"]"),Tab_00.Trial[CONTA],$B142)</f>
        <v>0</v>
      </c>
      <c r="G142" s="78">
        <f ca="1">IFERROR($F142/$F$146,0)</f>
        <v>0</v>
      </c>
      <c r="H142" s="78">
        <f t="shared" ca="1" si="281"/>
        <v>0</v>
      </c>
      <c r="I142" s="4">
        <f ca="1">-SUMIFS(INDIRECT("Tab_00.Trial["&amp;I$4&amp;"]"),Tab_00.Trial[CONTA],$B142)</f>
        <v>0</v>
      </c>
      <c r="J142" s="78">
        <f ca="1">IFERROR($I142/$I$146,0)</f>
        <v>0</v>
      </c>
      <c r="K142" s="78">
        <f t="shared" ca="1" si="282"/>
        <v>0</v>
      </c>
      <c r="L142" s="4">
        <f ca="1">-SUMIFS(INDIRECT("Tab_00.Trial["&amp;L$4&amp;"]"),Tab_00.Trial[CONTA],$B142)</f>
        <v>0</v>
      </c>
      <c r="M142" s="78">
        <f ca="1">IFERROR($L142/$L$146,0)</f>
        <v>0</v>
      </c>
      <c r="N142" s="78">
        <f t="shared" ca="1" si="283"/>
        <v>0</v>
      </c>
      <c r="O142" s="4">
        <f ca="1">-SUMIFS(INDIRECT("Tab_00.Trial["&amp;O$4&amp;"]"),Tab_00.Trial[CONTA],$B142)</f>
        <v>0</v>
      </c>
      <c r="P142" s="78">
        <f ca="1">IFERROR($O142/$O$146,0)</f>
        <v>0</v>
      </c>
      <c r="Q142" s="78">
        <f t="shared" ca="1" si="284"/>
        <v>0</v>
      </c>
      <c r="R142" s="4">
        <f ca="1">-SUMIFS(INDIRECT("Tab_00.Trial["&amp;R$4&amp;"]"),Tab_00.Trial[CONTA],$B142)</f>
        <v>0</v>
      </c>
      <c r="S142" s="78">
        <f ca="1">IFERROR($R142/$R$146,0)</f>
        <v>0</v>
      </c>
      <c r="T142" s="78">
        <f t="shared" ca="1" si="285"/>
        <v>0</v>
      </c>
      <c r="U142" s="4">
        <f ca="1">-SUMIFS(INDIRECT("Tab_00.Trial["&amp;U$4&amp;"]"),Tab_00.Trial[CONTA],$B142)</f>
        <v>0</v>
      </c>
      <c r="V142" s="78">
        <f ca="1">IFERROR($U142/$U$146,0)</f>
        <v>0</v>
      </c>
      <c r="W142" s="78">
        <f t="shared" ca="1" si="286"/>
        <v>0</v>
      </c>
      <c r="X142" s="4">
        <f ca="1">-SUMIFS(INDIRECT("Tab_00.Trial["&amp;X$4&amp;"]"),Tab_00.Trial[CONTA],$B142)</f>
        <v>0</v>
      </c>
      <c r="Y142" s="78">
        <f ca="1">IFERROR($X142/$X$146,0)</f>
        <v>0</v>
      </c>
      <c r="Z142" s="78">
        <f t="shared" ca="1" si="287"/>
        <v>0</v>
      </c>
      <c r="AA142" s="4">
        <f ca="1">-SUMIFS(INDIRECT("Tab_00.Trial["&amp;AA$4&amp;"]"),Tab_00.Trial[CONTA],$B142)</f>
        <v>0</v>
      </c>
      <c r="AB142" s="78">
        <f ca="1">IFERROR($AA142/$AA$146,0)</f>
        <v>0</v>
      </c>
      <c r="AC142" s="78">
        <f t="shared" ca="1" si="288"/>
        <v>0</v>
      </c>
      <c r="AD142" s="4">
        <f ca="1">-SUMIFS(INDIRECT("Tab_00.Trial["&amp;AD$4&amp;"]"),Tab_00.Trial[CONTA],$B142)</f>
        <v>0</v>
      </c>
      <c r="AE142" s="78">
        <f ca="1">IFERROR($AD142/$AD$146,0)</f>
        <v>0</v>
      </c>
      <c r="AF142" s="78">
        <f t="shared" ca="1" si="289"/>
        <v>0</v>
      </c>
      <c r="AG142" s="4">
        <f ca="1">-SUMIFS(INDIRECT("Tab_00.Trial["&amp;AG$4&amp;"]"),Tab_00.Trial[CONTA],$B142)</f>
        <v>0</v>
      </c>
      <c r="AH142" s="78">
        <f ca="1">IFERROR($AG142/$AG$146,0)</f>
        <v>0</v>
      </c>
      <c r="AI142" s="78">
        <f t="shared" ca="1" si="290"/>
        <v>0</v>
      </c>
      <c r="AJ142" s="4">
        <f ca="1">-SUMIFS(INDIRECT("Tab_00.Trial["&amp;AJ$4&amp;"]"),Tab_00.Trial[CONTA],$B142)</f>
        <v>0</v>
      </c>
      <c r="AK142" s="78">
        <f ca="1">IFERROR($AJ142/$AJ$146,0)</f>
        <v>0</v>
      </c>
      <c r="AL142" s="78">
        <f t="shared" ca="1" si="291"/>
        <v>0</v>
      </c>
      <c r="AM142" s="4">
        <f ca="1">-SUMIFS(INDIRECT("Tab_00.Trial["&amp;AM$4&amp;"]"),Tab_00.Trial[CONTA],$B142)</f>
        <v>0</v>
      </c>
      <c r="AN142" s="78">
        <f ca="1">IFERROR(AM142/AM$146,0)</f>
        <v>0</v>
      </c>
      <c r="AO142" s="78">
        <f t="shared" ca="1" si="292"/>
        <v>0</v>
      </c>
    </row>
    <row r="143" spans="2:43" ht="5.0999999999999996" hidden="1" customHeight="1" outlineLevel="1" x14ac:dyDescent="0.3">
      <c r="B143" s="74"/>
      <c r="C143" s="75"/>
      <c r="D143" s="76"/>
      <c r="E143" s="77"/>
      <c r="F143" s="76"/>
      <c r="G143" s="77"/>
      <c r="H143" s="77"/>
      <c r="I143" s="76"/>
      <c r="J143" s="77"/>
      <c r="K143" s="77"/>
      <c r="L143" s="76"/>
      <c r="M143" s="77"/>
      <c r="N143" s="77"/>
      <c r="O143" s="76"/>
      <c r="P143" s="77"/>
      <c r="Q143" s="77"/>
      <c r="R143" s="76"/>
      <c r="S143" s="77"/>
      <c r="T143" s="77"/>
      <c r="U143" s="76"/>
      <c r="V143" s="77"/>
      <c r="W143" s="77"/>
      <c r="X143" s="76"/>
      <c r="Y143" s="77"/>
      <c r="Z143" s="77"/>
      <c r="AA143" s="76"/>
      <c r="AB143" s="77"/>
      <c r="AC143" s="77"/>
      <c r="AD143" s="76"/>
      <c r="AE143" s="77"/>
      <c r="AF143" s="77"/>
      <c r="AG143" s="76"/>
      <c r="AH143" s="77"/>
      <c r="AI143" s="77"/>
      <c r="AJ143" s="76"/>
      <c r="AK143" s="77"/>
      <c r="AL143" s="77"/>
      <c r="AM143" s="76"/>
      <c r="AN143" s="77"/>
      <c r="AO143" s="77"/>
    </row>
    <row r="144" spans="2:43" ht="15" customHeight="1" collapsed="1" x14ac:dyDescent="0.3">
      <c r="D144" s="16">
        <f ca="1">SUBTOTAL(9,D$124:D$143)</f>
        <v>0</v>
      </c>
      <c r="E144" s="80">
        <f ca="1">IFERROR($D144/$D$146,0)</f>
        <v>0</v>
      </c>
      <c r="F144" s="16">
        <f ca="1">SUBTOTAL(9,F$124:F$143)</f>
        <v>81744265.730000004</v>
      </c>
      <c r="G144" s="80">
        <f ca="1">IFERROR($F144/$F$146,0)</f>
        <v>0.97770000000000001</v>
      </c>
      <c r="H144" s="80">
        <f t="shared" ref="H144" ca="1" si="293">IFERROR(($F144-$D144)/ABS($D144),0)</f>
        <v>0</v>
      </c>
      <c r="I144" s="16">
        <f ca="1">SUBTOTAL(9,I$124:I$143)</f>
        <v>81793981.879999995</v>
      </c>
      <c r="J144" s="80">
        <f ca="1">IFERROR($I144/$I$146,0)</f>
        <v>0.98729999999999996</v>
      </c>
      <c r="K144" s="80">
        <f t="shared" ref="K144" ca="1" si="294">IFERROR(($I144-$F144)/ABS($F144),0)</f>
        <v>5.9999999999999995E-4</v>
      </c>
      <c r="L144" s="16">
        <f ca="1">SUBTOTAL(9,L$124:L$143)</f>
        <v>81783181.709999993</v>
      </c>
      <c r="M144" s="80">
        <f ca="1">IFERROR($L144/$L$146,0)</f>
        <v>0.9849</v>
      </c>
      <c r="N144" s="80">
        <f t="shared" ref="N144" ca="1" si="295">IFERROR(($L144-$I144)/ABS($I144),0)</f>
        <v>-1E-4</v>
      </c>
      <c r="O144" s="16">
        <f ca="1">SUBTOTAL(9,O$124:O$143)</f>
        <v>81695935.340000004</v>
      </c>
      <c r="P144" s="80">
        <f ca="1">IFERROR($O144/$O$146,0)</f>
        <v>0.98080000000000001</v>
      </c>
      <c r="Q144" s="80">
        <f t="shared" ref="Q144" ca="1" si="296">IFERROR(($O144-$L144)/ABS($L144),0)</f>
        <v>-1.1000000000000001E-3</v>
      </c>
      <c r="R144" s="16">
        <f ca="1">SUBTOTAL(9,R$124:R$143)</f>
        <v>82158441.230000004</v>
      </c>
      <c r="S144" s="80">
        <f ca="1">IFERROR($R144/$R$146,0)</f>
        <v>0.98240000000000005</v>
      </c>
      <c r="T144" s="80">
        <f t="shared" ref="T144" ca="1" si="297">IFERROR(($R144-$O144)/ABS($O144),0)</f>
        <v>5.7000000000000002E-3</v>
      </c>
      <c r="U144" s="16">
        <f ca="1">SUBTOTAL(9,U$124:U$143)</f>
        <v>82919101.349999994</v>
      </c>
      <c r="V144" s="80">
        <f ca="1">IFERROR($U144/$U$146,0)</f>
        <v>0.98229999999999995</v>
      </c>
      <c r="W144" s="80">
        <f t="shared" ref="W144" ca="1" si="298">IFERROR(($U144-$R144)/ABS($R144),0)</f>
        <v>9.2999999999999992E-3</v>
      </c>
      <c r="X144" s="16">
        <f ca="1">SUBTOTAL(9,X$124:X$143)</f>
        <v>82919101.349999994</v>
      </c>
      <c r="Y144" s="80">
        <f ca="1">IFERROR($X144/$X$146,0)</f>
        <v>0.98229999999999995</v>
      </c>
      <c r="Z144" s="80">
        <f t="shared" ref="Z144" ca="1" si="299">IFERROR(($X144-$U144)/ABS($U144),0)</f>
        <v>0</v>
      </c>
      <c r="AA144" s="16">
        <f ca="1">SUBTOTAL(9,AA$124:AA$143)</f>
        <v>82919101.349999994</v>
      </c>
      <c r="AB144" s="80">
        <f ca="1">IFERROR($AA144/$AA$146,0)</f>
        <v>0.98229999999999995</v>
      </c>
      <c r="AC144" s="80">
        <f t="shared" ref="AC144" ca="1" si="300">IFERROR(($AA144-$X144)/ABS($X144),0)</f>
        <v>0</v>
      </c>
      <c r="AD144" s="16">
        <f ca="1">SUBTOTAL(9,AD$124:AD$143)</f>
        <v>83368732.870000005</v>
      </c>
      <c r="AE144" s="80">
        <f ca="1">IFERROR($AD144/$AD$146,0)</f>
        <v>0.98240000000000005</v>
      </c>
      <c r="AF144" s="80">
        <f t="shared" ref="AF144" ca="1" si="301">IFERROR(($AD144-$AA144)/ABS($AA144),0)</f>
        <v>5.4000000000000003E-3</v>
      </c>
      <c r="AG144" s="16">
        <f ca="1">SUBTOTAL(9,AG$124:AG$143)</f>
        <v>83595680.219999999</v>
      </c>
      <c r="AH144" s="80">
        <f ca="1">IFERROR($AG144/$AG$146,0)</f>
        <v>0.98250000000000004</v>
      </c>
      <c r="AI144" s="80">
        <f t="shared" ref="AI144" ca="1" si="302">IFERROR(($AG144-$AD144)/ABS($AD144),0)</f>
        <v>2.7000000000000001E-3</v>
      </c>
      <c r="AJ144" s="16">
        <f ca="1">SUBTOTAL(9,AJ$124:AJ$143)</f>
        <v>84097469.310000002</v>
      </c>
      <c r="AK144" s="80">
        <f ca="1">IFERROR($AJ144/$AJ$146,0)</f>
        <v>0.98470000000000002</v>
      </c>
      <c r="AL144" s="80">
        <f t="shared" ref="AL144" ca="1" si="303">IFERROR(($AJ144-$AG144)/ABS($AG144),0)</f>
        <v>6.0000000000000001E-3</v>
      </c>
      <c r="AM144" s="16">
        <f ca="1">SUBTOTAL(9,AM$124:AM$143)</f>
        <v>84644258.75</v>
      </c>
      <c r="AN144" s="80">
        <f ca="1">IFERROR(AM144/AM$146,0)</f>
        <v>0.99239999999999995</v>
      </c>
      <c r="AO144" s="80">
        <f t="shared" ref="AO144" ca="1" si="304">IFERROR(($AM144-$AJ144)/ABS($AJ144),0)</f>
        <v>6.4999999999999997E-3</v>
      </c>
    </row>
    <row r="145" spans="3:41" ht="9.9" customHeight="1" x14ac:dyDescent="0.3"/>
    <row r="146" spans="3:41" ht="20.100000000000001" customHeight="1" thickBot="1" x14ac:dyDescent="0.35">
      <c r="C146" s="17" t="s">
        <v>49</v>
      </c>
      <c r="D146" s="18">
        <f ca="1">SUBTOTAL(9,D$5:D$145)</f>
        <v>0</v>
      </c>
      <c r="E146" s="81">
        <f ca="1">IFERROR($D146/$D$146,0)</f>
        <v>0</v>
      </c>
      <c r="F146" s="18">
        <f ca="1">SUBTOTAL(9,F$5:F$145)</f>
        <v>83606494.079999998</v>
      </c>
      <c r="G146" s="81">
        <f ca="1">IFERROR($F146/$F$146,0)</f>
        <v>1</v>
      </c>
      <c r="H146" s="81">
        <f ca="1">IFERROR(($F146-$D146)/ABS($D146),0)</f>
        <v>0</v>
      </c>
      <c r="I146" s="18">
        <f ca="1">SUBTOTAL(9,I$5:I$145)</f>
        <v>82846494.379999995</v>
      </c>
      <c r="J146" s="81">
        <f ca="1">IFERROR($I146/$I$146,0)</f>
        <v>1</v>
      </c>
      <c r="K146" s="81">
        <f ca="1">IFERROR(($I146-$F146)/ABS($F146),0)</f>
        <v>-9.1000000000000004E-3</v>
      </c>
      <c r="L146" s="18">
        <f ca="1">SUBTOTAL(9,L$5:L$145)</f>
        <v>83035451.769999996</v>
      </c>
      <c r="M146" s="81">
        <f ca="1">IFERROR($L146/$L$146,0)</f>
        <v>1</v>
      </c>
      <c r="N146" s="81">
        <f ca="1">IFERROR(($L146-$I146)/ABS($I146),0)</f>
        <v>2.3E-3</v>
      </c>
      <c r="O146" s="18">
        <f ca="1">SUBTOTAL(9,O$5:O$145)</f>
        <v>83295580.560000002</v>
      </c>
      <c r="P146" s="81">
        <f ca="1">IFERROR($O146/$O$146,0)</f>
        <v>1</v>
      </c>
      <c r="Q146" s="81">
        <f ca="1">IFERROR(($O146-$L146)/ABS($L146),0)</f>
        <v>3.0999999999999999E-3</v>
      </c>
      <c r="R146" s="18">
        <f ca="1">SUBTOTAL(9,R$5:R$145)</f>
        <v>83630407.450000003</v>
      </c>
      <c r="S146" s="81">
        <f ca="1">IFERROR($R146/$R$146,0)</f>
        <v>1</v>
      </c>
      <c r="T146" s="81">
        <f ca="1">IFERROR(($R146-$O146)/ABS($O146),0)</f>
        <v>4.0000000000000001E-3</v>
      </c>
      <c r="U146" s="18">
        <f ca="1">SUBTOTAL(9,U$5:U$145)</f>
        <v>84411808.450000003</v>
      </c>
      <c r="V146" s="81">
        <f ca="1">IFERROR($U146/$U$146,0)</f>
        <v>1</v>
      </c>
      <c r="W146" s="81">
        <f ca="1">IFERROR(($U146-$R146)/ABS($R146),0)</f>
        <v>9.2999999999999992E-3</v>
      </c>
      <c r="X146" s="18">
        <f ca="1">SUBTOTAL(9,X$5:X$145)</f>
        <v>84411808.450000003</v>
      </c>
      <c r="Y146" s="81">
        <f ca="1">IFERROR($X146/$X$146,0)</f>
        <v>1</v>
      </c>
      <c r="Z146" s="81">
        <f ca="1">IFERROR(($X146-$U146)/ABS($U146),0)</f>
        <v>0</v>
      </c>
      <c r="AA146" s="18">
        <f ca="1">SUBTOTAL(9,AA$5:AA$145)</f>
        <v>84411808.450000003</v>
      </c>
      <c r="AB146" s="81">
        <f ca="1">IFERROR($AA146/$AA$146,0)</f>
        <v>1</v>
      </c>
      <c r="AC146" s="81">
        <f ca="1">IFERROR(($AA146-$X146)/ABS($X146),0)</f>
        <v>0</v>
      </c>
      <c r="AD146" s="18">
        <f ca="1">SUBTOTAL(9,AD$5:AD$145)</f>
        <v>84858091.040000007</v>
      </c>
      <c r="AE146" s="81">
        <f ca="1">IFERROR($AD146/$AD$146,0)</f>
        <v>1</v>
      </c>
      <c r="AF146" s="81">
        <f ca="1">IFERROR(($AD146-$AA146)/ABS($AA146),0)</f>
        <v>5.3E-3</v>
      </c>
      <c r="AG146" s="18">
        <f ca="1">SUBTOTAL(9,AG$5:AG$145)</f>
        <v>85083864.569999993</v>
      </c>
      <c r="AH146" s="81">
        <f ca="1">IFERROR($AG146/$AG$146,0)</f>
        <v>1</v>
      </c>
      <c r="AI146" s="81">
        <f ca="1">IFERROR(($AG146-$AD146)/ABS($AD146),0)</f>
        <v>2.7000000000000001E-3</v>
      </c>
      <c r="AJ146" s="18">
        <f ca="1">SUBTOTAL(9,AJ$5:AJ$145)</f>
        <v>85400090.269999996</v>
      </c>
      <c r="AK146" s="81">
        <f ca="1">IFERROR($AJ146/$AJ$146,0)</f>
        <v>1</v>
      </c>
      <c r="AL146" s="81">
        <f ca="1">IFERROR(($AJ146-$AG146)/ABS($AG146),0)</f>
        <v>3.7000000000000002E-3</v>
      </c>
      <c r="AM146" s="18">
        <f ca="1">SUBTOTAL(9,AM$5:AM$145)</f>
        <v>85294202.019999996</v>
      </c>
      <c r="AN146" s="81">
        <f ca="1">IFERROR(AM146/AM$146,0)</f>
        <v>1</v>
      </c>
      <c r="AO146" s="81">
        <f ca="1">IFERROR(($AM146-$AJ146)/ABS($AJ146),0)</f>
        <v>-1.1999999999999999E-3</v>
      </c>
    </row>
    <row r="147" spans="3:41" ht="14.4" thickTop="1" x14ac:dyDescent="0.3"/>
    <row r="148" spans="3:41" ht="13.8" x14ac:dyDescent="0.3">
      <c r="C148" s="17" t="s">
        <v>63</v>
      </c>
      <c r="D148" s="11">
        <f ca="1">D$146-ATIVO!D$160</f>
        <v>0</v>
      </c>
      <c r="F148" s="11">
        <f ca="1">F$146-ATIVO!F$160</f>
        <v>4481.74</v>
      </c>
      <c r="I148" s="11">
        <f ca="1">I$146-ATIVO!I$160</f>
        <v>4481.74</v>
      </c>
      <c r="L148" s="11">
        <f ca="1">L$146-ATIVO!L$160</f>
        <v>4481.74</v>
      </c>
      <c r="O148" s="11">
        <f ca="1">O$146-ATIVO!O$160</f>
        <v>-74299.8</v>
      </c>
      <c r="R148" s="11">
        <f ca="1">R$146-ATIVO!R$160</f>
        <v>-74299.8</v>
      </c>
      <c r="U148" s="11">
        <f ca="1">U$146-ATIVO!U$160</f>
        <v>-74310.8</v>
      </c>
      <c r="X148" s="11">
        <f ca="1">X$146-ATIVO!X$160</f>
        <v>-74310.8</v>
      </c>
      <c r="AA148" s="11">
        <f ca="1">AA$146-ATIVO!AA$160</f>
        <v>-74310.8</v>
      </c>
      <c r="AD148" s="11">
        <f ca="1">AD$146-ATIVO!AD$160</f>
        <v>-81510.7</v>
      </c>
      <c r="AG148" s="11">
        <f ca="1">AG$146-ATIVO!AG$160</f>
        <v>-81522.8</v>
      </c>
      <c r="AJ148" s="11">
        <f ca="1">AJ$146-ATIVO!AJ$160</f>
        <v>-83421.8</v>
      </c>
      <c r="AM148" s="11">
        <f ca="1">AM$146-ATIVO!AM$160</f>
        <v>-83687.42</v>
      </c>
    </row>
  </sheetData>
  <sheetProtection autoFilter="0"/>
  <dataValidations disablePrompts="1" count="1">
    <dataValidation type="custom" allowBlank="1" showInputMessage="1" showErrorMessage="1" error="Inserir linhas acima!!!" sqref="B14:AO14 B38:AO38 B53:AO53 B57:AO57 B62:AO62 B117:AO117 B121:AO121 B19:AO19 B143:AO143 B110:AO110 B103:AO103 B128:AO128 B113:AO113 B139:AO139 B132:AO132" xr:uid="{DE6DE784-E736-428D-99AB-8E5626F9EEA3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CAB81-5DED-4C0D-B3F9-0678BA0C9945}">
  <sheetPr codeName="Planilha6">
    <outlinePr summaryBelow="0" summaryRight="0"/>
  </sheetPr>
  <dimension ref="B2:AO241"/>
  <sheetViews>
    <sheetView showGridLines="0" zoomScale="115" zoomScaleNormal="115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activeCell="C24" sqref="C24"/>
    </sheetView>
  </sheetViews>
  <sheetFormatPr defaultColWidth="8.88671875" defaultRowHeight="13.8" outlineLevelRow="1" x14ac:dyDescent="0.3"/>
  <cols>
    <col min="1" max="1" width="2.6640625" style="1" customWidth="1"/>
    <col min="2" max="2" width="20.6640625" style="3" customWidth="1"/>
    <col min="3" max="3" width="50.6640625" style="1" customWidth="1"/>
    <col min="4" max="4" width="15.6640625" style="4" customWidth="1"/>
    <col min="5" max="5" width="8.6640625" style="78" customWidth="1"/>
    <col min="6" max="6" width="15.6640625" style="4" customWidth="1"/>
    <col min="7" max="8" width="8.6640625" style="78" customWidth="1"/>
    <col min="9" max="9" width="15.6640625" style="4" customWidth="1"/>
    <col min="10" max="11" width="8.6640625" style="78" customWidth="1"/>
    <col min="12" max="12" width="15.6640625" style="4" customWidth="1"/>
    <col min="13" max="14" width="8.6640625" style="78" customWidth="1"/>
    <col min="15" max="15" width="15.6640625" style="4" customWidth="1"/>
    <col min="16" max="17" width="8.6640625" style="78" customWidth="1"/>
    <col min="18" max="18" width="15.6640625" style="4" customWidth="1"/>
    <col min="19" max="19" width="8.6640625" style="78" customWidth="1"/>
    <col min="20" max="20" width="10.44140625" style="78" bestFit="1" customWidth="1"/>
    <col min="21" max="21" width="15.6640625" style="4" customWidth="1"/>
    <col min="22" max="23" width="8.6640625" style="78" customWidth="1"/>
    <col min="24" max="24" width="15.6640625" style="4" customWidth="1"/>
    <col min="25" max="26" width="8.6640625" style="78" customWidth="1"/>
    <col min="27" max="27" width="15.6640625" style="4" customWidth="1"/>
    <col min="28" max="29" width="8.6640625" style="78" customWidth="1"/>
    <col min="30" max="30" width="15.6640625" style="4" customWidth="1"/>
    <col min="31" max="32" width="8.6640625" style="78" customWidth="1"/>
    <col min="33" max="33" width="15.6640625" style="4" customWidth="1"/>
    <col min="34" max="35" width="8.6640625" style="78" customWidth="1"/>
    <col min="36" max="36" width="15.6640625" style="4" customWidth="1" collapsed="1"/>
    <col min="37" max="38" width="8.6640625" style="78" customWidth="1"/>
    <col min="39" max="39" width="12.44140625" style="1" bestFit="1" customWidth="1"/>
    <col min="40" max="40" width="11" style="1" bestFit="1" customWidth="1"/>
    <col min="41" max="16384" width="8.88671875" style="1"/>
  </cols>
  <sheetData>
    <row r="2" spans="2:39" x14ac:dyDescent="0.3">
      <c r="C2" s="17" t="s">
        <v>64</v>
      </c>
      <c r="R2" s="4">
        <v>862209.08</v>
      </c>
      <c r="U2" s="4">
        <f ca="1">U122/7</f>
        <v>-3241.31</v>
      </c>
    </row>
    <row r="4" spans="2:39" ht="24.9" customHeight="1" x14ac:dyDescent="0.3">
      <c r="D4" s="20" t="s">
        <v>3</v>
      </c>
      <c r="E4" s="84" t="s">
        <v>47</v>
      </c>
      <c r="F4" s="20" t="s">
        <v>4</v>
      </c>
      <c r="G4" s="84" t="s">
        <v>47</v>
      </c>
      <c r="H4" s="84" t="s">
        <v>48</v>
      </c>
      <c r="I4" s="20" t="s">
        <v>5</v>
      </c>
      <c r="J4" s="84" t="s">
        <v>47</v>
      </c>
      <c r="K4" s="84" t="s">
        <v>48</v>
      </c>
      <c r="L4" s="20" t="s">
        <v>6</v>
      </c>
      <c r="M4" s="84" t="s">
        <v>47</v>
      </c>
      <c r="N4" s="84" t="s">
        <v>48</v>
      </c>
      <c r="O4" s="20" t="s">
        <v>7</v>
      </c>
      <c r="P4" s="84" t="s">
        <v>47</v>
      </c>
      <c r="Q4" s="84" t="s">
        <v>48</v>
      </c>
      <c r="R4" s="20" t="s">
        <v>8</v>
      </c>
      <c r="S4" s="84" t="s">
        <v>47</v>
      </c>
      <c r="T4" s="84" t="s">
        <v>48</v>
      </c>
      <c r="U4" s="20" t="s">
        <v>9</v>
      </c>
      <c r="V4" s="84" t="s">
        <v>47</v>
      </c>
      <c r="W4" s="84" t="s">
        <v>48</v>
      </c>
      <c r="X4" s="20" t="s">
        <v>10</v>
      </c>
      <c r="Y4" s="84" t="s">
        <v>47</v>
      </c>
      <c r="Z4" s="84" t="s">
        <v>48</v>
      </c>
      <c r="AA4" s="20" t="s">
        <v>11</v>
      </c>
      <c r="AB4" s="84" t="s">
        <v>47</v>
      </c>
      <c r="AC4" s="84" t="s">
        <v>48</v>
      </c>
      <c r="AD4" s="20" t="s">
        <v>12</v>
      </c>
      <c r="AE4" s="84" t="s">
        <v>47</v>
      </c>
      <c r="AF4" s="84" t="s">
        <v>48</v>
      </c>
      <c r="AG4" s="20" t="s">
        <v>13</v>
      </c>
      <c r="AH4" s="84" t="s">
        <v>47</v>
      </c>
      <c r="AI4" s="84" t="s">
        <v>48</v>
      </c>
      <c r="AJ4" s="20" t="s">
        <v>14</v>
      </c>
      <c r="AK4" s="84" t="s">
        <v>47</v>
      </c>
      <c r="AL4" s="84" t="s">
        <v>48</v>
      </c>
    </row>
    <row r="5" spans="2:39" ht="9.9" customHeight="1" x14ac:dyDescent="0.3">
      <c r="C5" s="17"/>
      <c r="D5" s="7"/>
      <c r="E5" s="79"/>
      <c r="F5" s="7"/>
      <c r="G5" s="79"/>
      <c r="H5" s="79"/>
      <c r="I5" s="7"/>
      <c r="J5" s="79"/>
      <c r="K5" s="79"/>
      <c r="L5" s="7"/>
      <c r="M5" s="79"/>
      <c r="N5" s="79"/>
      <c r="O5" s="7"/>
      <c r="P5" s="79"/>
      <c r="Q5" s="79"/>
      <c r="R5" s="7"/>
      <c r="S5" s="79"/>
      <c r="T5" s="79"/>
      <c r="U5" s="7"/>
      <c r="V5" s="79"/>
      <c r="W5" s="79"/>
      <c r="X5" s="7"/>
      <c r="Y5" s="79"/>
      <c r="Z5" s="79"/>
      <c r="AA5" s="7"/>
      <c r="AB5" s="79"/>
      <c r="AC5" s="79"/>
      <c r="AD5" s="7"/>
      <c r="AE5" s="79"/>
      <c r="AF5" s="79"/>
      <c r="AG5" s="7"/>
      <c r="AH5" s="79"/>
      <c r="AI5" s="79"/>
      <c r="AJ5" s="7"/>
      <c r="AK5" s="79"/>
      <c r="AL5" s="79"/>
    </row>
    <row r="6" spans="2:39" ht="15" customHeight="1" collapsed="1" x14ac:dyDescent="0.3">
      <c r="B6" s="3" t="s">
        <v>101</v>
      </c>
      <c r="C6" s="1" t="s">
        <v>145</v>
      </c>
      <c r="D6" s="4">
        <f ca="1">SUBTOTAL(9,D$7:D$23)</f>
        <v>933250.2</v>
      </c>
      <c r="E6" s="78">
        <f ca="1">IFERROR($D6/$D$6,0)</f>
        <v>1</v>
      </c>
      <c r="F6" s="4">
        <f ca="1">SUBTOTAL(9,F$7:F$23)</f>
        <v>1457861.04</v>
      </c>
      <c r="G6" s="78">
        <f ca="1">IFERROR($F6/$F$6,0)</f>
        <v>1</v>
      </c>
      <c r="H6" s="78">
        <f ca="1">IFERROR(($F6-$D6)/ABS($D6),0)</f>
        <v>0.56210000000000004</v>
      </c>
      <c r="I6" s="4">
        <f ca="1">SUBTOTAL(9,I$7:I$23)</f>
        <v>2934951.22</v>
      </c>
      <c r="J6" s="78">
        <f ca="1">IFERROR($I6/$I$6,0)</f>
        <v>1</v>
      </c>
      <c r="K6" s="78">
        <f ca="1">IFERROR(($I6-$F6)/ABS($F6),0)</f>
        <v>1.0132000000000001</v>
      </c>
      <c r="L6" s="4">
        <f ca="1">SUBTOTAL(9,L$7:L$23)</f>
        <v>3936120.67</v>
      </c>
      <c r="M6" s="78">
        <f ca="1">IFERROR($L6/$L$6,0)</f>
        <v>1</v>
      </c>
      <c r="N6" s="78">
        <f ca="1">IFERROR(($L6-$I6)/ABS($I6),0)</f>
        <v>0.34110000000000001</v>
      </c>
      <c r="O6" s="4">
        <f ca="1">SUBTOTAL(9,O$7:O$23)</f>
        <v>5137226.34</v>
      </c>
      <c r="P6" s="78">
        <f ca="1">IFERROR($O6/$O$6,0)</f>
        <v>1</v>
      </c>
      <c r="Q6" s="78">
        <f ca="1">IFERROR(($O6-$L6)/ABS($L6),0)</f>
        <v>0.30509999999999998</v>
      </c>
      <c r="R6" s="4">
        <f ca="1">SUBTOTAL(9,R$7:R$23)</f>
        <v>7187446.1500000004</v>
      </c>
      <c r="S6" s="78">
        <f ca="1">IFERROR($R6/$R$6,0)</f>
        <v>1</v>
      </c>
      <c r="T6" s="78">
        <f ca="1">IFERROR(($R6-$O6)/ABS($O6),0)</f>
        <v>0.39910000000000001</v>
      </c>
      <c r="U6" s="4">
        <f ca="1">SUBTOTAL(9,U$7:U$23)</f>
        <v>7187446.1500000004</v>
      </c>
      <c r="V6" s="78">
        <f ca="1">IFERROR($U6/$U$6,0)</f>
        <v>1</v>
      </c>
      <c r="W6" s="78">
        <f ca="1">IFERROR(($U6-$R6)/ABS($R6),0)</f>
        <v>0</v>
      </c>
      <c r="X6" s="4">
        <f ca="1">SUBTOTAL(9,X$7:X$23)</f>
        <v>7187446.1500000004</v>
      </c>
      <c r="Y6" s="78">
        <f ca="1">IFERROR($X6/$X$6,0)</f>
        <v>1</v>
      </c>
      <c r="Z6" s="78">
        <f ca="1">IFERROR(($X6-$U6)/ABS($U6),0)</f>
        <v>0</v>
      </c>
      <c r="AA6" s="4">
        <f ca="1">SUBTOTAL(9,AA$7:AA$23)</f>
        <v>9185721.4800000004</v>
      </c>
      <c r="AB6" s="78">
        <f ca="1">IFERROR($AA6/$AA$6,0)</f>
        <v>1</v>
      </c>
      <c r="AC6" s="78">
        <f ca="1">IFERROR(($AA6-$X6)/ABS($X6),0)</f>
        <v>0.27800000000000002</v>
      </c>
      <c r="AD6" s="4">
        <f ca="1">SUBTOTAL(9,AD$7:AD$23)</f>
        <v>10410546.449999999</v>
      </c>
      <c r="AE6" s="78">
        <f ca="1">IFERROR($AD6/$AD$6,0)</f>
        <v>1</v>
      </c>
      <c r="AF6" s="78">
        <f ca="1">IFERROR(($AD6-$AA6)/ABS($AA6),0)</f>
        <v>0.1333</v>
      </c>
      <c r="AG6" s="4">
        <f ca="1">SUBTOTAL(9,AG$7:AG$23)</f>
        <v>11314149.6</v>
      </c>
      <c r="AH6" s="78">
        <f ca="1">IFERROR($AG6/$AG$6,0)</f>
        <v>1</v>
      </c>
      <c r="AI6" s="78">
        <f ca="1">IFERROR(($AG6-$AD6)/ABS($AD6),0)</f>
        <v>8.6800000000000002E-2</v>
      </c>
      <c r="AJ6" s="4">
        <f ca="1">SUBTOTAL(9,AJ$7:AJ$23)</f>
        <v>12788246.76</v>
      </c>
      <c r="AK6" s="78">
        <f ca="1">IFERROR($AJ6/$AJ$6,0)</f>
        <v>1</v>
      </c>
      <c r="AL6" s="78">
        <f ca="1">IFERROR(($AJ6-$AG6)/ABS($AG6),0)</f>
        <v>0.1303</v>
      </c>
    </row>
    <row r="7" spans="2:39" ht="15" hidden="1" customHeight="1" outlineLevel="1" x14ac:dyDescent="0.3">
      <c r="B7" s="14" t="s">
        <v>194</v>
      </c>
      <c r="C7" s="15" t="s">
        <v>367</v>
      </c>
      <c r="D7" s="4">
        <f ca="1">-SUMIFS(INDIRECT("Tab_00.Trial["&amp;D$4&amp;"]"),Tab_00.Trial[CONTA],$B7)</f>
        <v>122569.24</v>
      </c>
      <c r="E7" s="78">
        <f ca="1">IFERROR($D7/$D$6,0)</f>
        <v>0.1313</v>
      </c>
      <c r="F7" s="4">
        <f ca="1">-SUMIFS(INDIRECT("Tab_00.Trial["&amp;F$4&amp;"]"),Tab_00.Trial[CONTA],$B7)</f>
        <v>122569.24</v>
      </c>
      <c r="G7" s="78">
        <f t="shared" ref="G7:G22" ca="1" si="0">IFERROR($F7/$F$6,0)</f>
        <v>8.4099999999999994E-2</v>
      </c>
      <c r="H7" s="78">
        <f ca="1">IFERROR(($F7-$D7)/ABS($D7),0)</f>
        <v>0</v>
      </c>
      <c r="I7" s="4">
        <f ca="1">-SUMIFS(INDIRECT("Tab_00.Trial["&amp;I$4&amp;"]"),Tab_00.Trial[CONTA],$B7)</f>
        <v>382498.04</v>
      </c>
      <c r="J7" s="78">
        <f t="shared" ref="J7:J22" ca="1" si="1">IFERROR($I7/$I$6,0)</f>
        <v>0.1303</v>
      </c>
      <c r="K7" s="78">
        <f t="shared" ref="K7:K22" ca="1" si="2">IFERROR(($I7-$F7)/ABS($F7),0)</f>
        <v>2.1206999999999998</v>
      </c>
      <c r="L7" s="4">
        <f ca="1">-SUMIFS(INDIRECT("Tab_00.Trial["&amp;L$4&amp;"]"),Tab_00.Trial[CONTA],$B7)</f>
        <v>514787.48</v>
      </c>
      <c r="M7" s="78">
        <f t="shared" ref="M7:M22" ca="1" si="3">IFERROR($L7/$L$6,0)</f>
        <v>0.1308</v>
      </c>
      <c r="N7" s="78">
        <f t="shared" ref="N7:N22" ca="1" si="4">IFERROR(($L7-$I7)/ABS($I7),0)</f>
        <v>0.34589999999999999</v>
      </c>
      <c r="O7" s="4">
        <f ca="1">-SUMIFS(INDIRECT("Tab_00.Trial["&amp;O$4&amp;"]"),Tab_00.Trial[CONTA],$B7)</f>
        <v>652647.16</v>
      </c>
      <c r="P7" s="78">
        <f t="shared" ref="P7:P22" ca="1" si="5">IFERROR($O7/$O$6,0)</f>
        <v>0.127</v>
      </c>
      <c r="Q7" s="78">
        <f t="shared" ref="Q7:Q22" ca="1" si="6">IFERROR(($O7-$L7)/ABS($L7),0)</f>
        <v>0.26779999999999998</v>
      </c>
      <c r="R7" s="4">
        <f ca="1">-SUMIFS(INDIRECT("Tab_00.Trial["&amp;R$4&amp;"]"),Tab_00.Trial[CONTA],$B7)</f>
        <v>916108.28</v>
      </c>
      <c r="S7" s="78">
        <f t="shared" ref="S7:S22" ca="1" si="7">IFERROR($R7/$R$6,0)</f>
        <v>0.1275</v>
      </c>
      <c r="T7" s="78">
        <f t="shared" ref="T7:T22" ca="1" si="8">IFERROR(($R7-$O7)/ABS($O7),0)</f>
        <v>0.4037</v>
      </c>
      <c r="U7" s="4">
        <f ca="1">-SUMIFS(INDIRECT("Tab_00.Trial["&amp;U$4&amp;"]"),Tab_00.Trial[CONTA],$B7)</f>
        <v>916108.28</v>
      </c>
      <c r="V7" s="78">
        <f t="shared" ref="V7:V22" ca="1" si="9">IFERROR($U7/$U$6,0)</f>
        <v>0.1275</v>
      </c>
      <c r="W7" s="78">
        <f t="shared" ref="W7:W22" ca="1" si="10">IFERROR(($U7-$R7)/ABS($R7),0)</f>
        <v>0</v>
      </c>
      <c r="X7" s="4">
        <f ca="1">-SUMIFS(INDIRECT("Tab_00.Trial["&amp;X$4&amp;"]"),Tab_00.Trial[CONTA],$B7)</f>
        <v>916108.28</v>
      </c>
      <c r="Y7" s="78">
        <f ca="1">IFERROR($X7/$X$6,0)</f>
        <v>0.1275</v>
      </c>
      <c r="Z7" s="78">
        <f ca="1">IFERROR(($X7-$U7)/ABS($U7),0)</f>
        <v>0</v>
      </c>
      <c r="AA7" s="4">
        <f ca="1">-SUMIFS(INDIRECT("Tab_00.Trial["&amp;AA$4&amp;"]"),Tab_00.Trial[CONTA],$B7)</f>
        <v>1184785.28</v>
      </c>
      <c r="AB7" s="78">
        <f t="shared" ref="AB7:AB22" ca="1" si="11">IFERROR($AA7/$AA$6,0)</f>
        <v>0.129</v>
      </c>
      <c r="AC7" s="78">
        <f t="shared" ref="AC7:AC22" ca="1" si="12">IFERROR(($AA7-$X7)/ABS($X7),0)</f>
        <v>0.29330000000000001</v>
      </c>
      <c r="AD7" s="4">
        <f ca="1">-SUMIFS(INDIRECT("Tab_00.Trial["&amp;AD$4&amp;"]"),Tab_00.Trial[CONTA],$B7)</f>
        <v>1333697.1200000001</v>
      </c>
      <c r="AE7" s="78">
        <f t="shared" ref="AE7:AE22" ca="1" si="13">IFERROR($AD7/$AD$6,0)</f>
        <v>0.12809999999999999</v>
      </c>
      <c r="AF7" s="78">
        <f t="shared" ref="AF7:AF22" ca="1" si="14">IFERROR(($AD7-$AA7)/ABS($AA7),0)</f>
        <v>0.12570000000000001</v>
      </c>
      <c r="AG7" s="4">
        <f ca="1">-SUMIFS(INDIRECT("Tab_00.Trial["&amp;AG$4&amp;"]"),Tab_00.Trial[CONTA],$B7)</f>
        <v>1443114.24</v>
      </c>
      <c r="AH7" s="78">
        <f t="shared" ref="AH7:AH22" ca="1" si="15">IFERROR($AG7/$AG$6,0)</f>
        <v>0.1275</v>
      </c>
      <c r="AI7" s="78">
        <f t="shared" ref="AI7:AI22" ca="1" si="16">IFERROR(($AG7-$AD7)/ABS($AD7),0)</f>
        <v>8.2000000000000003E-2</v>
      </c>
      <c r="AJ7" s="4">
        <f ca="1">-SUMIFS(INDIRECT("Tab_00.Trial["&amp;AJ$4&amp;"]"),Tab_00.Trial[CONTA],$B7)</f>
        <v>1555909.28</v>
      </c>
      <c r="AK7" s="78">
        <f t="shared" ref="AK7:AK22" ca="1" si="17">IFERROR($AJ7/$AJ$6,0)</f>
        <v>0.1217</v>
      </c>
      <c r="AL7" s="78">
        <f t="shared" ref="AL7:AL22" ca="1" si="18">IFERROR(($AJ7-$AG7)/ABS($AG7),0)</f>
        <v>7.8200000000000006E-2</v>
      </c>
    </row>
    <row r="8" spans="2:39" ht="15" hidden="1" customHeight="1" outlineLevel="1" x14ac:dyDescent="0.3">
      <c r="B8" s="14" t="s">
        <v>368</v>
      </c>
      <c r="C8" s="15" t="s">
        <v>369</v>
      </c>
      <c r="D8" s="4">
        <f ca="1">-SUMIFS(INDIRECT("Tab_00.Trial["&amp;D$4&amp;"]"),Tab_00.Trial[CONTA],$B8)</f>
        <v>52200</v>
      </c>
      <c r="E8" s="78">
        <f ca="1">IFERROR($D8/$D$6,0)</f>
        <v>5.5899999999999998E-2</v>
      </c>
      <c r="F8" s="4">
        <f ca="1">-SUMIFS(INDIRECT("Tab_00.Trial["&amp;F$4&amp;"]"),Tab_00.Trial[CONTA],$B8)</f>
        <v>84500.24</v>
      </c>
      <c r="G8" s="78">
        <f t="shared" ca="1" si="0"/>
        <v>5.8000000000000003E-2</v>
      </c>
      <c r="H8" s="78">
        <f ca="1">IFERROR(($F8-$D8)/ABS($D8),0)</f>
        <v>0.61880000000000002</v>
      </c>
      <c r="I8" s="4">
        <f ca="1">-SUMIFS(INDIRECT("Tab_00.Trial["&amp;I$4&amp;"]"),Tab_00.Trial[CONTA],$B8)</f>
        <v>115763.06</v>
      </c>
      <c r="J8" s="78">
        <f t="shared" ca="1" si="1"/>
        <v>3.9399999999999998E-2</v>
      </c>
      <c r="K8" s="78">
        <f t="shared" ca="1" si="2"/>
        <v>0.37</v>
      </c>
      <c r="L8" s="4">
        <f ca="1">-SUMIFS(INDIRECT("Tab_00.Trial["&amp;L$4&amp;"]"),Tab_00.Trial[CONTA],$B8)</f>
        <v>241930.76</v>
      </c>
      <c r="M8" s="78">
        <f t="shared" ca="1" si="3"/>
        <v>6.1499999999999999E-2</v>
      </c>
      <c r="N8" s="78">
        <f t="shared" ca="1" si="4"/>
        <v>1.0899000000000001</v>
      </c>
      <c r="O8" s="4">
        <f ca="1">-SUMIFS(INDIRECT("Tab_00.Trial["&amp;O$4&amp;"]"),Tab_00.Trial[CONTA],$B8)</f>
        <v>401174.76</v>
      </c>
      <c r="P8" s="78">
        <f t="shared" ca="1" si="5"/>
        <v>7.8100000000000003E-2</v>
      </c>
      <c r="Q8" s="78">
        <f t="shared" ca="1" si="6"/>
        <v>0.65820000000000001</v>
      </c>
      <c r="R8" s="4">
        <f ca="1">-SUMIFS(INDIRECT("Tab_00.Trial["&amp;R$4&amp;"]"),Tab_00.Trial[CONTA],$B8)</f>
        <v>488798.45</v>
      </c>
      <c r="S8" s="78">
        <f t="shared" ca="1" si="7"/>
        <v>6.8000000000000005E-2</v>
      </c>
      <c r="T8" s="78">
        <f t="shared" ca="1" si="8"/>
        <v>0.21840000000000001</v>
      </c>
      <c r="U8" s="4">
        <f ca="1">-SUMIFS(INDIRECT("Tab_00.Trial["&amp;U$4&amp;"]"),Tab_00.Trial[CONTA],$B8)</f>
        <v>488798.45</v>
      </c>
      <c r="V8" s="78">
        <f t="shared" ca="1" si="9"/>
        <v>6.8000000000000005E-2</v>
      </c>
      <c r="W8" s="78">
        <f t="shared" ca="1" si="10"/>
        <v>0</v>
      </c>
      <c r="X8" s="4">
        <f ca="1">-SUMIFS(INDIRECT("Tab_00.Trial["&amp;X$4&amp;"]"),Tab_00.Trial[CONTA],$B8)</f>
        <v>488798.45</v>
      </c>
      <c r="Y8" s="78">
        <f ca="1">IFERROR($X8/$X$6,0)</f>
        <v>6.8000000000000005E-2</v>
      </c>
      <c r="Z8" s="78">
        <f ca="1">IFERROR(($X8-$U8)/ABS($U8),0)</f>
        <v>0</v>
      </c>
      <c r="AA8" s="4">
        <f ca="1">-SUMIFS(INDIRECT("Tab_00.Trial["&amp;AA$4&amp;"]"),Tab_00.Trial[CONTA],$B8)</f>
        <v>496498.45</v>
      </c>
      <c r="AB8" s="78">
        <f t="shared" ca="1" si="11"/>
        <v>5.4100000000000002E-2</v>
      </c>
      <c r="AC8" s="78">
        <f t="shared" ca="1" si="12"/>
        <v>1.5800000000000002E-2</v>
      </c>
      <c r="AD8" s="4">
        <f ca="1">-SUMIFS(INDIRECT("Tab_00.Trial["&amp;AD$4&amp;"]"),Tab_00.Trial[CONTA],$B8)</f>
        <v>500498.45</v>
      </c>
      <c r="AE8" s="78">
        <f t="shared" ca="1" si="13"/>
        <v>4.8099999999999997E-2</v>
      </c>
      <c r="AF8" s="78">
        <f t="shared" ca="1" si="14"/>
        <v>8.0999999999999996E-3</v>
      </c>
      <c r="AG8" s="4">
        <f ca="1">-SUMIFS(INDIRECT("Tab_00.Trial["&amp;AG$4&amp;"]"),Tab_00.Trial[CONTA],$B8)</f>
        <v>504398.45</v>
      </c>
      <c r="AH8" s="78">
        <f t="shared" ca="1" si="15"/>
        <v>4.4600000000000001E-2</v>
      </c>
      <c r="AI8" s="78">
        <f t="shared" ca="1" si="16"/>
        <v>7.7999999999999996E-3</v>
      </c>
      <c r="AJ8" s="4">
        <f ca="1">-SUMIFS(INDIRECT("Tab_00.Trial["&amp;AJ$4&amp;"]"),Tab_00.Trial[CONTA],$B8)</f>
        <v>508298.45</v>
      </c>
      <c r="AK8" s="78">
        <f t="shared" ca="1" si="17"/>
        <v>3.9699999999999999E-2</v>
      </c>
      <c r="AL8" s="78">
        <f t="shared" ca="1" si="18"/>
        <v>7.7000000000000002E-3</v>
      </c>
    </row>
    <row r="9" spans="2:39" ht="15" hidden="1" customHeight="1" outlineLevel="1" x14ac:dyDescent="0.3">
      <c r="B9" s="14" t="s">
        <v>370</v>
      </c>
      <c r="C9" s="15" t="s">
        <v>371</v>
      </c>
      <c r="D9" s="4">
        <f ca="1">-SUMIFS(INDIRECT("Tab_00.Trial["&amp;D$4&amp;"]"),Tab_00.Trial[CONTA],$B9)</f>
        <v>66574.53</v>
      </c>
      <c r="E9" s="78">
        <f t="shared" ref="E9:E22" ca="1" si="19">IFERROR($D9/$D$6,0)</f>
        <v>7.1300000000000002E-2</v>
      </c>
      <c r="F9" s="4">
        <f ca="1">-SUMIFS(INDIRECT("Tab_00.Trial["&amp;F$4&amp;"]"),Tab_00.Trial[CONTA],$B9)</f>
        <v>118457.13</v>
      </c>
      <c r="G9" s="78">
        <f t="shared" ca="1" si="0"/>
        <v>8.1299999999999997E-2</v>
      </c>
      <c r="H9" s="78">
        <f t="shared" ref="H9:H22" ca="1" si="20">IFERROR(($F9-$D9)/ABS($D9),0)</f>
        <v>0.77929999999999999</v>
      </c>
      <c r="I9" s="4">
        <f ca="1">-SUMIFS(INDIRECT("Tab_00.Trial["&amp;I$4&amp;"]"),Tab_00.Trial[CONTA],$B9)</f>
        <v>199421.78</v>
      </c>
      <c r="J9" s="78">
        <f t="shared" ca="1" si="1"/>
        <v>6.7900000000000002E-2</v>
      </c>
      <c r="K9" s="78">
        <f t="shared" ca="1" si="2"/>
        <v>0.6835</v>
      </c>
      <c r="L9" s="4">
        <f ca="1">-SUMIFS(INDIRECT("Tab_00.Trial["&amp;L$4&amp;"]"),Tab_00.Trial[CONTA],$B9)</f>
        <v>236231.01</v>
      </c>
      <c r="M9" s="78">
        <f t="shared" ca="1" si="3"/>
        <v>0.06</v>
      </c>
      <c r="N9" s="78">
        <f t="shared" ca="1" si="4"/>
        <v>0.18459999999999999</v>
      </c>
      <c r="O9" s="4">
        <f ca="1">-SUMIFS(INDIRECT("Tab_00.Trial["&amp;O$4&amp;"]"),Tab_00.Trial[CONTA],$B9)</f>
        <v>271081.68</v>
      </c>
      <c r="P9" s="78">
        <f t="shared" ca="1" si="5"/>
        <v>5.28E-2</v>
      </c>
      <c r="Q9" s="78">
        <f t="shared" ca="1" si="6"/>
        <v>0.14749999999999999</v>
      </c>
      <c r="R9" s="4">
        <f ca="1">-SUMIFS(INDIRECT("Tab_00.Trial["&amp;R$4&amp;"]"),Tab_00.Trial[CONTA],$B9)</f>
        <v>406878.7</v>
      </c>
      <c r="S9" s="78">
        <f t="shared" ca="1" si="7"/>
        <v>5.6599999999999998E-2</v>
      </c>
      <c r="T9" s="78">
        <f t="shared" ca="1" si="8"/>
        <v>0.50090000000000001</v>
      </c>
      <c r="U9" s="4">
        <f ca="1">-SUMIFS(INDIRECT("Tab_00.Trial["&amp;U$4&amp;"]"),Tab_00.Trial[CONTA],$B9)</f>
        <v>406878.7</v>
      </c>
      <c r="V9" s="78">
        <f t="shared" ca="1" si="9"/>
        <v>5.6599999999999998E-2</v>
      </c>
      <c r="W9" s="78">
        <f t="shared" ca="1" si="10"/>
        <v>0</v>
      </c>
      <c r="X9" s="4">
        <f ca="1">-SUMIFS(INDIRECT("Tab_00.Trial["&amp;X$4&amp;"]"),Tab_00.Trial[CONTA],$B9)</f>
        <v>406878.7</v>
      </c>
      <c r="Y9" s="78">
        <f t="shared" ref="Y9:Y22" ca="1" si="21">IFERROR($X9/$X$6,0)</f>
        <v>5.6599999999999998E-2</v>
      </c>
      <c r="Z9" s="78">
        <f t="shared" ref="Z9:Z22" ca="1" si="22">IFERROR(($X9-$U9)/ABS($U9),0)</f>
        <v>0</v>
      </c>
      <c r="AA9" s="4">
        <f ca="1">-SUMIFS(INDIRECT("Tab_00.Trial["&amp;AA$4&amp;"]"),Tab_00.Trial[CONTA],$B9)</f>
        <v>634430.9</v>
      </c>
      <c r="AB9" s="78">
        <f t="shared" ca="1" si="11"/>
        <v>6.9099999999999995E-2</v>
      </c>
      <c r="AC9" s="78">
        <f t="shared" ca="1" si="12"/>
        <v>0.55930000000000002</v>
      </c>
      <c r="AD9" s="4">
        <f ca="1">-SUMIFS(INDIRECT("Tab_00.Trial["&amp;AD$4&amp;"]"),Tab_00.Trial[CONTA],$B9)</f>
        <v>725893.83</v>
      </c>
      <c r="AE9" s="78">
        <f t="shared" ca="1" si="13"/>
        <v>6.9699999999999998E-2</v>
      </c>
      <c r="AF9" s="78">
        <f t="shared" ca="1" si="14"/>
        <v>0.14419999999999999</v>
      </c>
      <c r="AG9" s="4">
        <f ca="1">-SUMIFS(INDIRECT("Tab_00.Trial["&amp;AG$4&amp;"]"),Tab_00.Trial[CONTA],$B9)</f>
        <v>798298.19</v>
      </c>
      <c r="AH9" s="78">
        <f t="shared" ca="1" si="15"/>
        <v>7.0599999999999996E-2</v>
      </c>
      <c r="AI9" s="78">
        <f t="shared" ca="1" si="16"/>
        <v>9.9699999999999997E-2</v>
      </c>
      <c r="AJ9" s="4">
        <f ca="1">-SUMIFS(INDIRECT("Tab_00.Trial["&amp;AJ$4&amp;"]"),Tab_00.Trial[CONTA],$B9)</f>
        <v>1188139.3400000001</v>
      </c>
      <c r="AK9" s="78">
        <f t="shared" ca="1" si="17"/>
        <v>9.2899999999999996E-2</v>
      </c>
      <c r="AL9" s="78">
        <f t="shared" ca="1" si="18"/>
        <v>0.48830000000000001</v>
      </c>
    </row>
    <row r="10" spans="2:39" ht="15" hidden="1" customHeight="1" outlineLevel="1" x14ac:dyDescent="0.3">
      <c r="B10" s="14" t="s">
        <v>372</v>
      </c>
      <c r="C10" s="15" t="s">
        <v>373</v>
      </c>
      <c r="D10" s="4">
        <f ca="1">-SUMIFS(INDIRECT("Tab_00.Trial["&amp;D$4&amp;"]"),Tab_00.Trial[CONTA],$B10)</f>
        <v>0</v>
      </c>
      <c r="E10" s="78">
        <f t="shared" ca="1" si="19"/>
        <v>0</v>
      </c>
      <c r="F10" s="4">
        <f ca="1">-SUMIFS(INDIRECT("Tab_00.Trial["&amp;F$4&amp;"]"),Tab_00.Trial[CONTA],$B10)</f>
        <v>5670.16</v>
      </c>
      <c r="G10" s="78">
        <f t="shared" ca="1" si="0"/>
        <v>3.8999999999999998E-3</v>
      </c>
      <c r="H10" s="78">
        <f t="shared" ca="1" si="20"/>
        <v>0</v>
      </c>
      <c r="I10" s="4">
        <f ca="1">-SUMIFS(INDIRECT("Tab_00.Trial["&amp;I$4&amp;"]"),Tab_00.Trial[CONTA],$B10)</f>
        <v>5670.16</v>
      </c>
      <c r="J10" s="78">
        <f t="shared" ca="1" si="1"/>
        <v>1.9E-3</v>
      </c>
      <c r="K10" s="78">
        <f t="shared" ca="1" si="2"/>
        <v>0</v>
      </c>
      <c r="L10" s="4">
        <f ca="1">-SUMIFS(INDIRECT("Tab_00.Trial["&amp;L$4&amp;"]"),Tab_00.Trial[CONTA],$B10)</f>
        <v>5670.16</v>
      </c>
      <c r="M10" s="78">
        <f t="shared" ca="1" si="3"/>
        <v>1.4E-3</v>
      </c>
      <c r="N10" s="78">
        <f t="shared" ca="1" si="4"/>
        <v>0</v>
      </c>
      <c r="O10" s="4">
        <f ca="1">-SUMIFS(INDIRECT("Tab_00.Trial["&amp;O$4&amp;"]"),Tab_00.Trial[CONTA],$B10)</f>
        <v>5670.16</v>
      </c>
      <c r="P10" s="78">
        <f t="shared" ca="1" si="5"/>
        <v>1.1000000000000001E-3</v>
      </c>
      <c r="Q10" s="78">
        <f t="shared" ca="1" si="6"/>
        <v>0</v>
      </c>
      <c r="R10" s="4">
        <f ca="1">-SUMIFS(INDIRECT("Tab_00.Trial["&amp;R$4&amp;"]"),Tab_00.Trial[CONTA],$B10)</f>
        <v>6547.36</v>
      </c>
      <c r="S10" s="78">
        <f t="shared" ca="1" si="7"/>
        <v>8.9999999999999998E-4</v>
      </c>
      <c r="T10" s="78">
        <f t="shared" ca="1" si="8"/>
        <v>0.1547</v>
      </c>
      <c r="U10" s="4">
        <f ca="1">-SUMIFS(INDIRECT("Tab_00.Trial["&amp;U$4&amp;"]"),Tab_00.Trial[CONTA],$B10)</f>
        <v>6547.36</v>
      </c>
      <c r="V10" s="78">
        <f t="shared" ca="1" si="9"/>
        <v>8.9999999999999998E-4</v>
      </c>
      <c r="W10" s="78">
        <f t="shared" ca="1" si="10"/>
        <v>0</v>
      </c>
      <c r="X10" s="4">
        <f ca="1">-SUMIFS(INDIRECT("Tab_00.Trial["&amp;X$4&amp;"]"),Tab_00.Trial[CONTA],$B10)</f>
        <v>6547.36</v>
      </c>
      <c r="Y10" s="78">
        <f t="shared" ca="1" si="21"/>
        <v>8.9999999999999998E-4</v>
      </c>
      <c r="Z10" s="78">
        <f t="shared" ca="1" si="22"/>
        <v>0</v>
      </c>
      <c r="AA10" s="4">
        <f ca="1">-SUMIFS(INDIRECT("Tab_00.Trial["&amp;AA$4&amp;"]"),Tab_00.Trial[CONTA],$B10)</f>
        <v>6547.36</v>
      </c>
      <c r="AB10" s="78">
        <f t="shared" ca="1" si="11"/>
        <v>6.9999999999999999E-4</v>
      </c>
      <c r="AC10" s="78">
        <f t="shared" ca="1" si="12"/>
        <v>0</v>
      </c>
      <c r="AD10" s="4">
        <f ca="1">-SUMIFS(INDIRECT("Tab_00.Trial["&amp;AD$4&amp;"]"),Tab_00.Trial[CONTA],$B10)</f>
        <v>6547.36</v>
      </c>
      <c r="AE10" s="78">
        <f t="shared" ca="1" si="13"/>
        <v>5.9999999999999995E-4</v>
      </c>
      <c r="AF10" s="78">
        <f t="shared" ca="1" si="14"/>
        <v>0</v>
      </c>
      <c r="AG10" s="4">
        <f ca="1">-SUMIFS(INDIRECT("Tab_00.Trial["&amp;AG$4&amp;"]"),Tab_00.Trial[CONTA],$B10)</f>
        <v>6547.36</v>
      </c>
      <c r="AH10" s="78">
        <f t="shared" ca="1" si="15"/>
        <v>5.9999999999999995E-4</v>
      </c>
      <c r="AI10" s="78">
        <f t="shared" ca="1" si="16"/>
        <v>0</v>
      </c>
      <c r="AJ10" s="4">
        <f ca="1">-SUMIFS(INDIRECT("Tab_00.Trial["&amp;AJ$4&amp;"]"),Tab_00.Trial[CONTA],$B10)</f>
        <v>6547.36</v>
      </c>
      <c r="AK10" s="78">
        <f t="shared" ca="1" si="17"/>
        <v>5.0000000000000001E-4</v>
      </c>
      <c r="AL10" s="78">
        <f t="shared" ca="1" si="18"/>
        <v>0</v>
      </c>
    </row>
    <row r="11" spans="2:39" ht="15" hidden="1" customHeight="1" outlineLevel="1" x14ac:dyDescent="0.3">
      <c r="B11" s="14" t="s">
        <v>374</v>
      </c>
      <c r="C11" s="15" t="s">
        <v>375</v>
      </c>
      <c r="D11" s="4">
        <f ca="1">-SUMIFS(INDIRECT("Tab_00.Trial["&amp;D$4&amp;"]"),Tab_00.Trial[CONTA],$B11)</f>
        <v>0</v>
      </c>
      <c r="E11" s="78">
        <f t="shared" ca="1" si="19"/>
        <v>0</v>
      </c>
      <c r="F11" s="4">
        <f ca="1">-SUMIFS(INDIRECT("Tab_00.Trial["&amp;F$4&amp;"]"),Tab_00.Trial[CONTA],$B11)</f>
        <v>0</v>
      </c>
      <c r="G11" s="78">
        <f t="shared" ca="1" si="0"/>
        <v>0</v>
      </c>
      <c r="H11" s="78">
        <f t="shared" ca="1" si="20"/>
        <v>0</v>
      </c>
      <c r="I11" s="4">
        <f ca="1">-SUMIFS(INDIRECT("Tab_00.Trial["&amp;I$4&amp;"]"),Tab_00.Trial[CONTA],$B11)</f>
        <v>0</v>
      </c>
      <c r="J11" s="78">
        <f t="shared" ca="1" si="1"/>
        <v>0</v>
      </c>
      <c r="K11" s="78">
        <f t="shared" ca="1" si="2"/>
        <v>0</v>
      </c>
      <c r="L11" s="4">
        <f ca="1">-SUMIFS(INDIRECT("Tab_00.Trial["&amp;L$4&amp;"]"),Tab_00.Trial[CONTA],$B11)</f>
        <v>0</v>
      </c>
      <c r="M11" s="78">
        <f t="shared" ca="1" si="3"/>
        <v>0</v>
      </c>
      <c r="N11" s="78">
        <f t="shared" ca="1" si="4"/>
        <v>0</v>
      </c>
      <c r="O11" s="4">
        <f ca="1">-SUMIFS(INDIRECT("Tab_00.Trial["&amp;O$4&amp;"]"),Tab_00.Trial[CONTA],$B11)</f>
        <v>0</v>
      </c>
      <c r="P11" s="78">
        <f t="shared" ca="1" si="5"/>
        <v>0</v>
      </c>
      <c r="Q11" s="78">
        <f t="shared" ca="1" si="6"/>
        <v>0</v>
      </c>
      <c r="R11" s="4">
        <f ca="1">-SUMIFS(INDIRECT("Tab_00.Trial["&amp;R$4&amp;"]"),Tab_00.Trial[CONTA],$B11)</f>
        <v>0</v>
      </c>
      <c r="S11" s="78">
        <f t="shared" ca="1" si="7"/>
        <v>0</v>
      </c>
      <c r="T11" s="78">
        <f t="shared" ca="1" si="8"/>
        <v>0</v>
      </c>
      <c r="U11" s="4">
        <f ca="1">-SUMIFS(INDIRECT("Tab_00.Trial["&amp;U$4&amp;"]"),Tab_00.Trial[CONTA],$B11)</f>
        <v>0</v>
      </c>
      <c r="V11" s="78">
        <f t="shared" ca="1" si="9"/>
        <v>0</v>
      </c>
      <c r="W11" s="78">
        <f t="shared" ca="1" si="10"/>
        <v>0</v>
      </c>
      <c r="X11" s="4">
        <f ca="1">-SUMIFS(INDIRECT("Tab_00.Trial["&amp;X$4&amp;"]"),Tab_00.Trial[CONTA],$B11)</f>
        <v>0</v>
      </c>
      <c r="Y11" s="78">
        <f t="shared" ca="1" si="21"/>
        <v>0</v>
      </c>
      <c r="Z11" s="78">
        <f t="shared" ca="1" si="22"/>
        <v>0</v>
      </c>
      <c r="AA11" s="4">
        <f ca="1">-SUMIFS(INDIRECT("Tab_00.Trial["&amp;AA$4&amp;"]"),Tab_00.Trial[CONTA],$B11)</f>
        <v>0</v>
      </c>
      <c r="AB11" s="78">
        <f t="shared" ca="1" si="11"/>
        <v>0</v>
      </c>
      <c r="AC11" s="78">
        <f t="shared" ca="1" si="12"/>
        <v>0</v>
      </c>
      <c r="AD11" s="4">
        <f ca="1">-SUMIFS(INDIRECT("Tab_00.Trial["&amp;AD$4&amp;"]"),Tab_00.Trial[CONTA],$B11)</f>
        <v>0</v>
      </c>
      <c r="AE11" s="78">
        <f t="shared" ca="1" si="13"/>
        <v>0</v>
      </c>
      <c r="AF11" s="78">
        <f t="shared" ca="1" si="14"/>
        <v>0</v>
      </c>
      <c r="AG11" s="4">
        <f ca="1">-SUMIFS(INDIRECT("Tab_00.Trial["&amp;AG$4&amp;"]"),Tab_00.Trial[CONTA],$B11)</f>
        <v>0</v>
      </c>
      <c r="AH11" s="78">
        <f t="shared" ca="1" si="15"/>
        <v>0</v>
      </c>
      <c r="AI11" s="78">
        <f t="shared" ca="1" si="16"/>
        <v>0</v>
      </c>
      <c r="AJ11" s="4">
        <f ca="1">-SUMIFS(INDIRECT("Tab_00.Trial["&amp;AJ$4&amp;"]"),Tab_00.Trial[CONTA],$B11)</f>
        <v>0</v>
      </c>
      <c r="AK11" s="78">
        <f t="shared" ca="1" si="17"/>
        <v>0</v>
      </c>
      <c r="AL11" s="78">
        <f t="shared" ca="1" si="18"/>
        <v>0</v>
      </c>
    </row>
    <row r="12" spans="2:39" ht="15" hidden="1" customHeight="1" outlineLevel="1" x14ac:dyDescent="0.3">
      <c r="B12" s="14" t="s">
        <v>376</v>
      </c>
      <c r="C12" s="15" t="s">
        <v>377</v>
      </c>
      <c r="D12" s="4">
        <f ca="1">-SUMIFS(INDIRECT("Tab_00.Trial["&amp;D$4&amp;"]"),Tab_00.Trial[CONTA],$B12)</f>
        <v>82966.080000000002</v>
      </c>
      <c r="E12" s="78">
        <f t="shared" ca="1" si="19"/>
        <v>8.8900000000000007E-2</v>
      </c>
      <c r="F12" s="4">
        <f ca="1">-SUMIFS(INDIRECT("Tab_00.Trial["&amp;F$4&amp;"]"),Tab_00.Trial[CONTA],$B12)</f>
        <v>82966.080000000002</v>
      </c>
      <c r="G12" s="78">
        <f t="shared" ca="1" si="0"/>
        <v>5.6899999999999999E-2</v>
      </c>
      <c r="H12" s="78">
        <f t="shared" ca="1" si="20"/>
        <v>0</v>
      </c>
      <c r="I12" s="4">
        <f ca="1">-SUMIFS(INDIRECT("Tab_00.Trial["&amp;I$4&amp;"]"),Tab_00.Trial[CONTA],$B12)</f>
        <v>248898.24</v>
      </c>
      <c r="J12" s="78">
        <f t="shared" ca="1" si="1"/>
        <v>8.48E-2</v>
      </c>
      <c r="K12" s="78">
        <f t="shared" ca="1" si="2"/>
        <v>2</v>
      </c>
      <c r="L12" s="4">
        <f ca="1">-SUMIFS(INDIRECT("Tab_00.Trial["&amp;L$4&amp;"]"),Tab_00.Trial[CONTA],$B12)</f>
        <v>331864.32000000001</v>
      </c>
      <c r="M12" s="78">
        <f t="shared" ca="1" si="3"/>
        <v>8.43E-2</v>
      </c>
      <c r="N12" s="78">
        <f t="shared" ca="1" si="4"/>
        <v>0.33329999999999999</v>
      </c>
      <c r="O12" s="4">
        <f ca="1">-SUMIFS(INDIRECT("Tab_00.Trial["&amp;O$4&amp;"]"),Tab_00.Trial[CONTA],$B12)</f>
        <v>414830.4</v>
      </c>
      <c r="P12" s="78">
        <f t="shared" ca="1" si="5"/>
        <v>8.0699999999999994E-2</v>
      </c>
      <c r="Q12" s="78">
        <f t="shared" ca="1" si="6"/>
        <v>0.25</v>
      </c>
      <c r="R12" s="4">
        <f ca="1">-SUMIFS(INDIRECT("Tab_00.Trial["&amp;R$4&amp;"]"),Tab_00.Trial[CONTA],$B12)</f>
        <v>580762.56000000006</v>
      </c>
      <c r="S12" s="78">
        <f t="shared" ca="1" si="7"/>
        <v>8.0799999999999997E-2</v>
      </c>
      <c r="T12" s="78">
        <f t="shared" ca="1" si="8"/>
        <v>0.4</v>
      </c>
      <c r="U12" s="4">
        <f ca="1">-SUMIFS(INDIRECT("Tab_00.Trial["&amp;U$4&amp;"]"),Tab_00.Trial[CONTA],$B12)</f>
        <v>580762.56000000006</v>
      </c>
      <c r="V12" s="78">
        <f t="shared" ca="1" si="9"/>
        <v>8.0799999999999997E-2</v>
      </c>
      <c r="W12" s="78">
        <f t="shared" ca="1" si="10"/>
        <v>0</v>
      </c>
      <c r="X12" s="4">
        <f ca="1">-SUMIFS(INDIRECT("Tab_00.Trial["&amp;X$4&amp;"]"),Tab_00.Trial[CONTA],$B12)</f>
        <v>580762.56000000006</v>
      </c>
      <c r="Y12" s="78">
        <f t="shared" ca="1" si="21"/>
        <v>8.0799999999999997E-2</v>
      </c>
      <c r="Z12" s="78">
        <f t="shared" ca="1" si="22"/>
        <v>0</v>
      </c>
      <c r="AA12" s="4">
        <f ca="1">-SUMIFS(INDIRECT("Tab_00.Trial["&amp;AA$4&amp;"]"),Tab_00.Trial[CONTA],$B12)</f>
        <v>746694.73</v>
      </c>
      <c r="AB12" s="78">
        <f t="shared" ca="1" si="11"/>
        <v>8.1299999999999997E-2</v>
      </c>
      <c r="AC12" s="78">
        <f t="shared" ca="1" si="12"/>
        <v>0.28570000000000001</v>
      </c>
      <c r="AD12" s="4">
        <f ca="1">-SUMIFS(INDIRECT("Tab_00.Trial["&amp;AD$4&amp;"]"),Tab_00.Trial[CONTA],$B12)</f>
        <v>829660.81</v>
      </c>
      <c r="AE12" s="78">
        <f t="shared" ca="1" si="13"/>
        <v>7.9699999999999993E-2</v>
      </c>
      <c r="AF12" s="78">
        <f t="shared" ca="1" si="14"/>
        <v>0.1111</v>
      </c>
      <c r="AG12" s="4">
        <f ca="1">-SUMIFS(INDIRECT("Tab_00.Trial["&amp;AG$4&amp;"]"),Tab_00.Trial[CONTA],$B12)</f>
        <v>912626.89</v>
      </c>
      <c r="AH12" s="78">
        <f t="shared" ca="1" si="15"/>
        <v>8.0699999999999994E-2</v>
      </c>
      <c r="AI12" s="78">
        <f t="shared" ca="1" si="16"/>
        <v>0.1</v>
      </c>
      <c r="AJ12" s="4">
        <f ca="1">-SUMIFS(INDIRECT("Tab_00.Trial["&amp;AJ$4&amp;"]"),Tab_00.Trial[CONTA],$B12)</f>
        <v>995592.97</v>
      </c>
      <c r="AK12" s="78">
        <f t="shared" ca="1" si="17"/>
        <v>7.7899999999999997E-2</v>
      </c>
      <c r="AL12" s="78">
        <f t="shared" ca="1" si="18"/>
        <v>9.0899999999999995E-2</v>
      </c>
    </row>
    <row r="13" spans="2:39" ht="15" hidden="1" customHeight="1" outlineLevel="1" x14ac:dyDescent="0.3">
      <c r="B13" s="14" t="s">
        <v>378</v>
      </c>
      <c r="C13" s="15" t="s">
        <v>379</v>
      </c>
      <c r="D13" s="4">
        <f ca="1">-SUMIFS(INDIRECT("Tab_00.Trial["&amp;D$4&amp;"]"),Tab_00.Trial[CONTA],$B13)</f>
        <v>0</v>
      </c>
      <c r="E13" s="78">
        <f t="shared" ca="1" si="19"/>
        <v>0</v>
      </c>
      <c r="F13" s="4">
        <f ca="1">-SUMIFS(INDIRECT("Tab_00.Trial["&amp;F$4&amp;"]"),Tab_00.Trial[CONTA],$B13)</f>
        <v>0</v>
      </c>
      <c r="G13" s="78">
        <f t="shared" ca="1" si="0"/>
        <v>0</v>
      </c>
      <c r="H13" s="78">
        <f t="shared" ca="1" si="20"/>
        <v>0</v>
      </c>
      <c r="I13" s="4">
        <f ca="1">-SUMIFS(INDIRECT("Tab_00.Trial["&amp;I$4&amp;"]"),Tab_00.Trial[CONTA],$B13)</f>
        <v>0</v>
      </c>
      <c r="J13" s="78">
        <f t="shared" ca="1" si="1"/>
        <v>0</v>
      </c>
      <c r="K13" s="78">
        <f t="shared" ca="1" si="2"/>
        <v>0</v>
      </c>
      <c r="L13" s="4">
        <f ca="1">-SUMIFS(INDIRECT("Tab_00.Trial["&amp;L$4&amp;"]"),Tab_00.Trial[CONTA],$B13)</f>
        <v>0</v>
      </c>
      <c r="M13" s="78">
        <f t="shared" ca="1" si="3"/>
        <v>0</v>
      </c>
      <c r="N13" s="78">
        <f t="shared" ca="1" si="4"/>
        <v>0</v>
      </c>
      <c r="O13" s="4">
        <f ca="1">-SUMIFS(INDIRECT("Tab_00.Trial["&amp;O$4&amp;"]"),Tab_00.Trial[CONTA],$B13)</f>
        <v>0</v>
      </c>
      <c r="P13" s="78">
        <f t="shared" ca="1" si="5"/>
        <v>0</v>
      </c>
      <c r="Q13" s="78">
        <f t="shared" ca="1" si="6"/>
        <v>0</v>
      </c>
      <c r="R13" s="4">
        <f ca="1">-SUMIFS(INDIRECT("Tab_00.Trial["&amp;R$4&amp;"]"),Tab_00.Trial[CONTA],$B13)</f>
        <v>0</v>
      </c>
      <c r="S13" s="78">
        <f t="shared" ca="1" si="7"/>
        <v>0</v>
      </c>
      <c r="T13" s="78">
        <f t="shared" ca="1" si="8"/>
        <v>0</v>
      </c>
      <c r="U13" s="4">
        <f ca="1">-SUMIFS(INDIRECT("Tab_00.Trial["&amp;U$4&amp;"]"),Tab_00.Trial[CONTA],$B13)</f>
        <v>0</v>
      </c>
      <c r="V13" s="78">
        <f t="shared" ca="1" si="9"/>
        <v>0</v>
      </c>
      <c r="W13" s="78">
        <f t="shared" ca="1" si="10"/>
        <v>0</v>
      </c>
      <c r="X13" s="4">
        <f ca="1">-SUMIFS(INDIRECT("Tab_00.Trial["&amp;X$4&amp;"]"),Tab_00.Trial[CONTA],$B13)</f>
        <v>0</v>
      </c>
      <c r="Y13" s="78">
        <f t="shared" ca="1" si="21"/>
        <v>0</v>
      </c>
      <c r="Z13" s="78">
        <f t="shared" ca="1" si="22"/>
        <v>0</v>
      </c>
      <c r="AA13" s="4">
        <f ca="1">-SUMIFS(INDIRECT("Tab_00.Trial["&amp;AA$4&amp;"]"),Tab_00.Trial[CONTA],$B13)</f>
        <v>0</v>
      </c>
      <c r="AB13" s="78">
        <f t="shared" ca="1" si="11"/>
        <v>0</v>
      </c>
      <c r="AC13" s="78">
        <f t="shared" ca="1" si="12"/>
        <v>0</v>
      </c>
      <c r="AD13" s="4">
        <f ca="1">-SUMIFS(INDIRECT("Tab_00.Trial["&amp;AD$4&amp;"]"),Tab_00.Trial[CONTA],$B13)</f>
        <v>0</v>
      </c>
      <c r="AE13" s="78">
        <f t="shared" ca="1" si="13"/>
        <v>0</v>
      </c>
      <c r="AF13" s="78">
        <f t="shared" ca="1" si="14"/>
        <v>0</v>
      </c>
      <c r="AG13" s="4">
        <f ca="1">-SUMIFS(INDIRECT("Tab_00.Trial["&amp;AG$4&amp;"]"),Tab_00.Trial[CONTA],$B13)</f>
        <v>0</v>
      </c>
      <c r="AH13" s="78">
        <f t="shared" ca="1" si="15"/>
        <v>0</v>
      </c>
      <c r="AI13" s="78">
        <f t="shared" ca="1" si="16"/>
        <v>0</v>
      </c>
      <c r="AJ13" s="4">
        <f ca="1">-SUMIFS(INDIRECT("Tab_00.Trial["&amp;AJ$4&amp;"]"),Tab_00.Trial[CONTA],$B13)</f>
        <v>0</v>
      </c>
      <c r="AK13" s="78">
        <f t="shared" ca="1" si="17"/>
        <v>0</v>
      </c>
      <c r="AL13" s="78">
        <f t="shared" ca="1" si="18"/>
        <v>0</v>
      </c>
      <c r="AM13" s="1" t="s">
        <v>763</v>
      </c>
    </row>
    <row r="14" spans="2:39" ht="15" hidden="1" customHeight="1" outlineLevel="1" x14ac:dyDescent="0.3">
      <c r="B14" s="14" t="s">
        <v>380</v>
      </c>
      <c r="C14" s="15" t="s">
        <v>381</v>
      </c>
      <c r="D14" s="4">
        <f ca="1">-SUMIFS(INDIRECT("Tab_00.Trial["&amp;D$4&amp;"]"),Tab_00.Trial[CONTA],$B14)</f>
        <v>0</v>
      </c>
      <c r="E14" s="78">
        <f t="shared" ca="1" si="19"/>
        <v>0</v>
      </c>
      <c r="F14" s="4">
        <f ca="1">-SUMIFS(INDIRECT("Tab_00.Trial["&amp;F$4&amp;"]"),Tab_00.Trial[CONTA],$B14)</f>
        <v>0</v>
      </c>
      <c r="G14" s="78">
        <f t="shared" ca="1" si="0"/>
        <v>0</v>
      </c>
      <c r="H14" s="78">
        <f t="shared" ca="1" si="20"/>
        <v>0</v>
      </c>
      <c r="I14" s="4">
        <f ca="1">-SUMIFS(INDIRECT("Tab_00.Trial["&amp;I$4&amp;"]"),Tab_00.Trial[CONTA],$B14)</f>
        <v>0</v>
      </c>
      <c r="J14" s="78">
        <f t="shared" ca="1" si="1"/>
        <v>0</v>
      </c>
      <c r="K14" s="78">
        <f t="shared" ca="1" si="2"/>
        <v>0</v>
      </c>
      <c r="L14" s="4">
        <f ca="1">-SUMIFS(INDIRECT("Tab_00.Trial["&amp;L$4&amp;"]"),Tab_00.Trial[CONTA],$B14)</f>
        <v>0</v>
      </c>
      <c r="M14" s="78">
        <f t="shared" ca="1" si="3"/>
        <v>0</v>
      </c>
      <c r="N14" s="78">
        <f t="shared" ca="1" si="4"/>
        <v>0</v>
      </c>
      <c r="O14" s="4">
        <f ca="1">-SUMIFS(INDIRECT("Tab_00.Trial["&amp;O$4&amp;"]"),Tab_00.Trial[CONTA],$B14)</f>
        <v>0</v>
      </c>
      <c r="P14" s="78">
        <f t="shared" ca="1" si="5"/>
        <v>0</v>
      </c>
      <c r="Q14" s="78">
        <f t="shared" ca="1" si="6"/>
        <v>0</v>
      </c>
      <c r="R14" s="4">
        <f ca="1">-SUMIFS(INDIRECT("Tab_00.Trial["&amp;R$4&amp;"]"),Tab_00.Trial[CONTA],$B14)</f>
        <v>0</v>
      </c>
      <c r="S14" s="78">
        <f t="shared" ca="1" si="7"/>
        <v>0</v>
      </c>
      <c r="T14" s="78">
        <f t="shared" ca="1" si="8"/>
        <v>0</v>
      </c>
      <c r="U14" s="4">
        <f ca="1">-SUMIFS(INDIRECT("Tab_00.Trial["&amp;U$4&amp;"]"),Tab_00.Trial[CONTA],$B14)</f>
        <v>0</v>
      </c>
      <c r="V14" s="78">
        <f t="shared" ca="1" si="9"/>
        <v>0</v>
      </c>
      <c r="W14" s="78">
        <f t="shared" ca="1" si="10"/>
        <v>0</v>
      </c>
      <c r="X14" s="4">
        <f ca="1">-SUMIFS(INDIRECT("Tab_00.Trial["&amp;X$4&amp;"]"),Tab_00.Trial[CONTA],$B14)</f>
        <v>0</v>
      </c>
      <c r="Y14" s="78">
        <f t="shared" ca="1" si="21"/>
        <v>0</v>
      </c>
      <c r="Z14" s="78">
        <f t="shared" ca="1" si="22"/>
        <v>0</v>
      </c>
      <c r="AA14" s="4">
        <f ca="1">-SUMIFS(INDIRECT("Tab_00.Trial["&amp;AA$4&amp;"]"),Tab_00.Trial[CONTA],$B14)</f>
        <v>0</v>
      </c>
      <c r="AB14" s="78">
        <f t="shared" ca="1" si="11"/>
        <v>0</v>
      </c>
      <c r="AC14" s="78">
        <f t="shared" ca="1" si="12"/>
        <v>0</v>
      </c>
      <c r="AD14" s="4">
        <f ca="1">-SUMIFS(INDIRECT("Tab_00.Trial["&amp;AD$4&amp;"]"),Tab_00.Trial[CONTA],$B14)</f>
        <v>0</v>
      </c>
      <c r="AE14" s="78">
        <f t="shared" ca="1" si="13"/>
        <v>0</v>
      </c>
      <c r="AF14" s="78">
        <f t="shared" ca="1" si="14"/>
        <v>0</v>
      </c>
      <c r="AG14" s="4">
        <f ca="1">-SUMIFS(INDIRECT("Tab_00.Trial["&amp;AG$4&amp;"]"),Tab_00.Trial[CONTA],$B14)</f>
        <v>0</v>
      </c>
      <c r="AH14" s="78">
        <f t="shared" ca="1" si="15"/>
        <v>0</v>
      </c>
      <c r="AI14" s="78">
        <f t="shared" ca="1" si="16"/>
        <v>0</v>
      </c>
      <c r="AJ14" s="4">
        <f ca="1">-SUMIFS(INDIRECT("Tab_00.Trial["&amp;AJ$4&amp;"]"),Tab_00.Trial[CONTA],$B14)</f>
        <v>0</v>
      </c>
      <c r="AK14" s="78">
        <f t="shared" ca="1" si="17"/>
        <v>0</v>
      </c>
      <c r="AL14" s="78">
        <f t="shared" ca="1" si="18"/>
        <v>0</v>
      </c>
    </row>
    <row r="15" spans="2:39" ht="15" hidden="1" customHeight="1" outlineLevel="1" x14ac:dyDescent="0.3">
      <c r="B15" s="14" t="s">
        <v>382</v>
      </c>
      <c r="C15" s="15" t="s">
        <v>292</v>
      </c>
      <c r="D15" s="4">
        <f ca="1">-SUMIFS(INDIRECT("Tab_00.Trial["&amp;D$4&amp;"]"),Tab_00.Trial[CONTA],$B15)</f>
        <v>0</v>
      </c>
      <c r="E15" s="78">
        <f t="shared" ca="1" si="19"/>
        <v>0</v>
      </c>
      <c r="F15" s="4">
        <f ca="1">-SUMIFS(INDIRECT("Tab_00.Trial["&amp;F$4&amp;"]"),Tab_00.Trial[CONTA],$B15)</f>
        <v>0</v>
      </c>
      <c r="G15" s="78">
        <f t="shared" ca="1" si="0"/>
        <v>0</v>
      </c>
      <c r="H15" s="78">
        <f t="shared" ca="1" si="20"/>
        <v>0</v>
      </c>
      <c r="I15" s="4">
        <f ca="1">-SUMIFS(INDIRECT("Tab_00.Trial["&amp;I$4&amp;"]"),Tab_00.Trial[CONTA],$B15)</f>
        <v>0</v>
      </c>
      <c r="J15" s="78">
        <f t="shared" ca="1" si="1"/>
        <v>0</v>
      </c>
      <c r="K15" s="78">
        <f t="shared" ca="1" si="2"/>
        <v>0</v>
      </c>
      <c r="L15" s="4">
        <f ca="1">-SUMIFS(INDIRECT("Tab_00.Trial["&amp;L$4&amp;"]"),Tab_00.Trial[CONTA],$B15)</f>
        <v>0</v>
      </c>
      <c r="M15" s="78">
        <f t="shared" ca="1" si="3"/>
        <v>0</v>
      </c>
      <c r="N15" s="78">
        <f t="shared" ca="1" si="4"/>
        <v>0</v>
      </c>
      <c r="O15" s="4">
        <f ca="1">-SUMIFS(INDIRECT("Tab_00.Trial["&amp;O$4&amp;"]"),Tab_00.Trial[CONTA],$B15)</f>
        <v>0</v>
      </c>
      <c r="P15" s="78">
        <f t="shared" ca="1" si="5"/>
        <v>0</v>
      </c>
      <c r="Q15" s="78">
        <f t="shared" ca="1" si="6"/>
        <v>0</v>
      </c>
      <c r="R15" s="4">
        <f ca="1">-SUMIFS(INDIRECT("Tab_00.Trial["&amp;R$4&amp;"]"),Tab_00.Trial[CONTA],$B15)</f>
        <v>50</v>
      </c>
      <c r="S15" s="78">
        <f t="shared" ca="1" si="7"/>
        <v>0</v>
      </c>
      <c r="T15" s="78">
        <f t="shared" ca="1" si="8"/>
        <v>0</v>
      </c>
      <c r="U15" s="4">
        <f ca="1">-SUMIFS(INDIRECT("Tab_00.Trial["&amp;U$4&amp;"]"),Tab_00.Trial[CONTA],$B15)</f>
        <v>50</v>
      </c>
      <c r="V15" s="78">
        <f t="shared" ca="1" si="9"/>
        <v>0</v>
      </c>
      <c r="W15" s="78">
        <f t="shared" ca="1" si="10"/>
        <v>0</v>
      </c>
      <c r="X15" s="4">
        <f ca="1">-SUMIFS(INDIRECT("Tab_00.Trial["&amp;X$4&amp;"]"),Tab_00.Trial[CONTA],$B15)</f>
        <v>50</v>
      </c>
      <c r="Y15" s="78">
        <f t="shared" ca="1" si="21"/>
        <v>0</v>
      </c>
      <c r="Z15" s="78">
        <f t="shared" ca="1" si="22"/>
        <v>0</v>
      </c>
      <c r="AA15" s="4">
        <f ca="1">-SUMIFS(INDIRECT("Tab_00.Trial["&amp;AA$4&amp;"]"),Tab_00.Trial[CONTA],$B15)</f>
        <v>5050</v>
      </c>
      <c r="AB15" s="78">
        <f t="shared" ca="1" si="11"/>
        <v>5.0000000000000001E-4</v>
      </c>
      <c r="AC15" s="78">
        <f t="shared" ca="1" si="12"/>
        <v>100</v>
      </c>
      <c r="AD15" s="4">
        <f ca="1">-SUMIFS(INDIRECT("Tab_00.Trial["&amp;AD$4&amp;"]"),Tab_00.Trial[CONTA],$B15)</f>
        <v>7313.46</v>
      </c>
      <c r="AE15" s="78">
        <f t="shared" ca="1" si="13"/>
        <v>6.9999999999999999E-4</v>
      </c>
      <c r="AF15" s="78">
        <f t="shared" ca="1" si="14"/>
        <v>0.44819999999999999</v>
      </c>
      <c r="AG15" s="4">
        <f ca="1">-SUMIFS(INDIRECT("Tab_00.Trial["&amp;AG$4&amp;"]"),Tab_00.Trial[CONTA],$B15)</f>
        <v>13734.16</v>
      </c>
      <c r="AH15" s="78">
        <f t="shared" ca="1" si="15"/>
        <v>1.1999999999999999E-3</v>
      </c>
      <c r="AI15" s="78">
        <f t="shared" ca="1" si="16"/>
        <v>0.87790000000000001</v>
      </c>
      <c r="AJ15" s="4">
        <f ca="1">-SUMIFS(INDIRECT("Tab_00.Trial["&amp;AJ$4&amp;"]"),Tab_00.Trial[CONTA],$B15)</f>
        <v>15055.61</v>
      </c>
      <c r="AK15" s="78">
        <f t="shared" ca="1" si="17"/>
        <v>1.1999999999999999E-3</v>
      </c>
      <c r="AL15" s="78">
        <f t="shared" ca="1" si="18"/>
        <v>9.6199999999999994E-2</v>
      </c>
    </row>
    <row r="16" spans="2:39" ht="15" hidden="1" customHeight="1" outlineLevel="1" x14ac:dyDescent="0.3">
      <c r="B16" s="14" t="s">
        <v>387</v>
      </c>
      <c r="C16" s="15" t="s">
        <v>388</v>
      </c>
      <c r="D16" s="4">
        <f ca="1">-SUMIFS(INDIRECT("Tab_00.Trial["&amp;D$4&amp;"]"),Tab_00.Trial[CONTA],$B16)</f>
        <v>421470.98</v>
      </c>
      <c r="E16" s="78">
        <f t="shared" ca="1" si="19"/>
        <v>0.4516</v>
      </c>
      <c r="F16" s="4">
        <f ca="1">-SUMIFS(INDIRECT("Tab_00.Trial["&amp;F$4&amp;"]"),Tab_00.Trial[CONTA],$B16)</f>
        <v>842941.96</v>
      </c>
      <c r="G16" s="78">
        <f t="shared" ca="1" si="0"/>
        <v>0.57820000000000005</v>
      </c>
      <c r="H16" s="78">
        <f t="shared" ca="1" si="20"/>
        <v>1</v>
      </c>
      <c r="I16" s="4">
        <f ca="1">-SUMIFS(INDIRECT("Tab_00.Trial["&amp;I$4&amp;"]"),Tab_00.Trial[CONTA],$B16)</f>
        <v>1264412.94</v>
      </c>
      <c r="J16" s="78">
        <f t="shared" ca="1" si="1"/>
        <v>0.43080000000000002</v>
      </c>
      <c r="K16" s="78">
        <f t="shared" ca="1" si="2"/>
        <v>0.5</v>
      </c>
      <c r="L16" s="4">
        <f ca="1">-SUMIFS(INDIRECT("Tab_00.Trial["&amp;L$4&amp;"]"),Tab_00.Trial[CONTA],$B16)</f>
        <v>1704834.52</v>
      </c>
      <c r="M16" s="78">
        <f t="shared" ca="1" si="3"/>
        <v>0.43309999999999998</v>
      </c>
      <c r="N16" s="78">
        <f t="shared" ca="1" si="4"/>
        <v>0.3483</v>
      </c>
      <c r="O16" s="4">
        <f ca="1">-SUMIFS(INDIRECT("Tab_00.Trial["&amp;O$4&amp;"]"),Tab_00.Trial[CONTA],$B16)</f>
        <v>2145256.1</v>
      </c>
      <c r="P16" s="78">
        <f t="shared" ca="1" si="5"/>
        <v>0.41760000000000003</v>
      </c>
      <c r="Q16" s="78">
        <f t="shared" ca="1" si="6"/>
        <v>0.25829999999999997</v>
      </c>
      <c r="R16" s="4">
        <f ca="1">-SUMIFS(INDIRECT("Tab_00.Trial["&amp;R$4&amp;"]"),Tab_00.Trial[CONTA],$B16)</f>
        <v>3026099.26</v>
      </c>
      <c r="S16" s="78">
        <f t="shared" ca="1" si="7"/>
        <v>0.42099999999999999</v>
      </c>
      <c r="T16" s="78">
        <f t="shared" ca="1" si="8"/>
        <v>0.41060000000000002</v>
      </c>
      <c r="U16" s="4">
        <f ca="1">-SUMIFS(INDIRECT("Tab_00.Trial["&amp;U$4&amp;"]"),Tab_00.Trial[CONTA],$B16)</f>
        <v>3026099.26</v>
      </c>
      <c r="V16" s="78">
        <f t="shared" ca="1" si="9"/>
        <v>0.42099999999999999</v>
      </c>
      <c r="W16" s="78">
        <f t="shared" ca="1" si="10"/>
        <v>0</v>
      </c>
      <c r="X16" s="4">
        <f ca="1">-SUMIFS(INDIRECT("Tab_00.Trial["&amp;X$4&amp;"]"),Tab_00.Trial[CONTA],$B16)</f>
        <v>3026099.26</v>
      </c>
      <c r="Y16" s="78">
        <f t="shared" ca="1" si="21"/>
        <v>0.42099999999999999</v>
      </c>
      <c r="Z16" s="78">
        <f t="shared" ca="1" si="22"/>
        <v>0</v>
      </c>
      <c r="AA16" s="4">
        <f ca="1">-SUMIFS(INDIRECT("Tab_00.Trial["&amp;AA$4&amp;"]"),Tab_00.Trial[CONTA],$B16)</f>
        <v>3906942.42</v>
      </c>
      <c r="AB16" s="78">
        <f t="shared" ca="1" si="11"/>
        <v>0.42530000000000001</v>
      </c>
      <c r="AC16" s="78">
        <f t="shared" ca="1" si="12"/>
        <v>0.29110000000000003</v>
      </c>
      <c r="AD16" s="4">
        <f ca="1">-SUMIFS(INDIRECT("Tab_00.Trial["&amp;AD$4&amp;"]"),Tab_00.Trial[CONTA],$B16)</f>
        <v>4347364</v>
      </c>
      <c r="AE16" s="78">
        <f t="shared" ca="1" si="13"/>
        <v>0.41760000000000003</v>
      </c>
      <c r="AF16" s="78">
        <f t="shared" ca="1" si="14"/>
        <v>0.11269999999999999</v>
      </c>
      <c r="AG16" s="4">
        <f ca="1">-SUMIFS(INDIRECT("Tab_00.Trial["&amp;AG$4&amp;"]"),Tab_00.Trial[CONTA],$B16)</f>
        <v>4787785.58</v>
      </c>
      <c r="AH16" s="78">
        <f t="shared" ca="1" si="15"/>
        <v>0.42320000000000002</v>
      </c>
      <c r="AI16" s="78">
        <f t="shared" ca="1" si="16"/>
        <v>0.1013</v>
      </c>
      <c r="AJ16" s="4">
        <f ca="1">-SUMIFS(INDIRECT("Tab_00.Trial["&amp;AJ$4&amp;"]"),Tab_00.Trial[CONTA],$B16)</f>
        <v>5228207.16</v>
      </c>
      <c r="AK16" s="78">
        <f t="shared" ca="1" si="17"/>
        <v>0.4088</v>
      </c>
      <c r="AL16" s="78">
        <f t="shared" ca="1" si="18"/>
        <v>9.1999999999999998E-2</v>
      </c>
    </row>
    <row r="17" spans="2:40" ht="15" hidden="1" customHeight="1" outlineLevel="1" x14ac:dyDescent="0.3">
      <c r="B17" s="14" t="s">
        <v>389</v>
      </c>
      <c r="C17" s="15" t="s">
        <v>390</v>
      </c>
      <c r="D17" s="4">
        <f ca="1">-SUMIFS(INDIRECT("Tab_00.Trial["&amp;D$4&amp;"]"),Tab_00.Trial[CONTA],$B17)</f>
        <v>0</v>
      </c>
      <c r="E17" s="78">
        <f t="shared" ca="1" si="19"/>
        <v>0</v>
      </c>
      <c r="F17" s="4">
        <f ca="1">-SUMIFS(INDIRECT("Tab_00.Trial["&amp;F$4&amp;"]"),Tab_00.Trial[CONTA],$B17)</f>
        <v>12636.86</v>
      </c>
      <c r="G17" s="78">
        <f t="shared" ca="1" si="0"/>
        <v>8.6999999999999994E-3</v>
      </c>
      <c r="H17" s="78">
        <f t="shared" ca="1" si="20"/>
        <v>0</v>
      </c>
      <c r="I17" s="4">
        <f ca="1">-SUMIFS(INDIRECT("Tab_00.Trial["&amp;I$4&amp;"]"),Tab_00.Trial[CONTA],$B17)</f>
        <v>33218.14</v>
      </c>
      <c r="J17" s="78">
        <f t="shared" ca="1" si="1"/>
        <v>1.1299999999999999E-2</v>
      </c>
      <c r="K17" s="78">
        <f t="shared" ca="1" si="2"/>
        <v>1.6287</v>
      </c>
      <c r="L17" s="4">
        <f ca="1">-SUMIFS(INDIRECT("Tab_00.Trial["&amp;L$4&amp;"]"),Tab_00.Trial[CONTA],$B17)</f>
        <v>33218.14</v>
      </c>
      <c r="M17" s="78">
        <f t="shared" ca="1" si="3"/>
        <v>8.3999999999999995E-3</v>
      </c>
      <c r="N17" s="78">
        <f t="shared" ca="1" si="4"/>
        <v>0</v>
      </c>
      <c r="O17" s="4">
        <f ca="1">-SUMIFS(INDIRECT("Tab_00.Trial["&amp;O$4&amp;"]"),Tab_00.Trial[CONTA],$B17)</f>
        <v>45800.98</v>
      </c>
      <c r="P17" s="78">
        <f t="shared" ca="1" si="5"/>
        <v>8.8999999999999999E-3</v>
      </c>
      <c r="Q17" s="78">
        <f t="shared" ca="1" si="6"/>
        <v>0.37880000000000003</v>
      </c>
      <c r="R17" s="4">
        <f ca="1">-SUMIFS(INDIRECT("Tab_00.Trial["&amp;R$4&amp;"]"),Tab_00.Trial[CONTA],$B17)</f>
        <v>52315.24</v>
      </c>
      <c r="S17" s="78">
        <f t="shared" ca="1" si="7"/>
        <v>7.3000000000000001E-3</v>
      </c>
      <c r="T17" s="78">
        <f t="shared" ca="1" si="8"/>
        <v>0.14219999999999999</v>
      </c>
      <c r="U17" s="4">
        <f ca="1">-SUMIFS(INDIRECT("Tab_00.Trial["&amp;U$4&amp;"]"),Tab_00.Trial[CONTA],$B17)</f>
        <v>52315.24</v>
      </c>
      <c r="V17" s="78">
        <f t="shared" ca="1" si="9"/>
        <v>7.3000000000000001E-3</v>
      </c>
      <c r="W17" s="78">
        <f t="shared" ca="1" si="10"/>
        <v>0</v>
      </c>
      <c r="X17" s="4">
        <f ca="1">-SUMIFS(INDIRECT("Tab_00.Trial["&amp;X$4&amp;"]"),Tab_00.Trial[CONTA],$B17)</f>
        <v>52315.24</v>
      </c>
      <c r="Y17" s="78">
        <f t="shared" ca="1" si="21"/>
        <v>7.3000000000000001E-3</v>
      </c>
      <c r="Z17" s="78">
        <f t="shared" ca="1" si="22"/>
        <v>0</v>
      </c>
      <c r="AA17" s="4">
        <f ca="1">-SUMIFS(INDIRECT("Tab_00.Trial["&amp;AA$4&amp;"]"),Tab_00.Trial[CONTA],$B17)</f>
        <v>71858.02</v>
      </c>
      <c r="AB17" s="78">
        <f t="shared" ca="1" si="11"/>
        <v>7.7999999999999996E-3</v>
      </c>
      <c r="AC17" s="78">
        <f t="shared" ca="1" si="12"/>
        <v>0.37359999999999999</v>
      </c>
      <c r="AD17" s="4">
        <f ca="1">-SUMIFS(INDIRECT("Tab_00.Trial["&amp;AD$4&amp;"]"),Tab_00.Trial[CONTA],$B17)</f>
        <v>96875.26</v>
      </c>
      <c r="AE17" s="78">
        <f t="shared" ca="1" si="13"/>
        <v>9.2999999999999992E-3</v>
      </c>
      <c r="AF17" s="78">
        <f t="shared" ca="1" si="14"/>
        <v>0.34810000000000002</v>
      </c>
      <c r="AG17" s="4">
        <f ca="1">-SUMIFS(INDIRECT("Tab_00.Trial["&amp;AG$4&amp;"]"),Tab_00.Trial[CONTA],$B17)</f>
        <v>96875.26</v>
      </c>
      <c r="AH17" s="78">
        <f t="shared" ca="1" si="15"/>
        <v>8.6E-3</v>
      </c>
      <c r="AI17" s="78">
        <f t="shared" ca="1" si="16"/>
        <v>0</v>
      </c>
      <c r="AJ17" s="4">
        <f ca="1">-SUMIFS(INDIRECT("Tab_00.Trial["&amp;AJ$4&amp;"]"),Tab_00.Trial[CONTA],$B17)</f>
        <v>97098.1</v>
      </c>
      <c r="AK17" s="78">
        <f t="shared" ca="1" si="17"/>
        <v>7.6E-3</v>
      </c>
      <c r="AL17" s="78">
        <f t="shared" ca="1" si="18"/>
        <v>2.3E-3</v>
      </c>
    </row>
    <row r="18" spans="2:40" ht="15" hidden="1" customHeight="1" outlineLevel="1" x14ac:dyDescent="0.3">
      <c r="B18" s="14" t="s">
        <v>395</v>
      </c>
      <c r="C18" s="15" t="s">
        <v>396</v>
      </c>
      <c r="D18" s="4">
        <f ca="1">-SUMIFS(INDIRECT("Tab_00.Trial["&amp;D$4&amp;"]"),Tab_00.Trial[CONTA],$B18)</f>
        <v>50</v>
      </c>
      <c r="E18" s="78">
        <f t="shared" ca="1" si="19"/>
        <v>1E-4</v>
      </c>
      <c r="F18" s="4">
        <f ca="1">-SUMIFS(INDIRECT("Tab_00.Trial["&amp;F$4&amp;"]"),Tab_00.Trial[CONTA],$B18)</f>
        <v>700</v>
      </c>
      <c r="G18" s="78">
        <f t="shared" ca="1" si="0"/>
        <v>5.0000000000000001E-4</v>
      </c>
      <c r="H18" s="78">
        <f t="shared" ca="1" si="20"/>
        <v>13</v>
      </c>
      <c r="I18" s="4">
        <f ca="1">-SUMIFS(INDIRECT("Tab_00.Trial["&amp;I$4&amp;"]"),Tab_00.Trial[CONTA],$B18)</f>
        <v>2700</v>
      </c>
      <c r="J18" s="78">
        <f t="shared" ca="1" si="1"/>
        <v>8.9999999999999998E-4</v>
      </c>
      <c r="K18" s="78">
        <f t="shared" ca="1" si="2"/>
        <v>2.8571</v>
      </c>
      <c r="L18" s="4">
        <f ca="1">-SUMIFS(INDIRECT("Tab_00.Trial["&amp;L$4&amp;"]"),Tab_00.Trial[CONTA],$B18)</f>
        <v>5000</v>
      </c>
      <c r="M18" s="78">
        <f t="shared" ca="1" si="3"/>
        <v>1.2999999999999999E-3</v>
      </c>
      <c r="N18" s="78">
        <f t="shared" ca="1" si="4"/>
        <v>0.85189999999999999</v>
      </c>
      <c r="O18" s="4">
        <f ca="1">-SUMIFS(INDIRECT("Tab_00.Trial["&amp;O$4&amp;"]"),Tab_00.Trial[CONTA],$B18)</f>
        <v>5500</v>
      </c>
      <c r="P18" s="78">
        <f t="shared" ca="1" si="5"/>
        <v>1.1000000000000001E-3</v>
      </c>
      <c r="Q18" s="78">
        <f t="shared" ca="1" si="6"/>
        <v>0.1</v>
      </c>
      <c r="R18" s="4">
        <f ca="1">-SUMIFS(INDIRECT("Tab_00.Trial["&amp;R$4&amp;"]"),Tab_00.Trial[CONTA],$B18)</f>
        <v>7450</v>
      </c>
      <c r="S18" s="78">
        <f t="shared" ca="1" si="7"/>
        <v>1E-3</v>
      </c>
      <c r="T18" s="78">
        <f t="shared" ca="1" si="8"/>
        <v>0.35449999999999998</v>
      </c>
      <c r="U18" s="4">
        <f ca="1">-SUMIFS(INDIRECT("Tab_00.Trial["&amp;U$4&amp;"]"),Tab_00.Trial[CONTA],$B18)</f>
        <v>7450</v>
      </c>
      <c r="V18" s="78">
        <f t="shared" ca="1" si="9"/>
        <v>1E-3</v>
      </c>
      <c r="W18" s="78">
        <f t="shared" ca="1" si="10"/>
        <v>0</v>
      </c>
      <c r="X18" s="4">
        <f ca="1">-SUMIFS(INDIRECT("Tab_00.Trial["&amp;X$4&amp;"]"),Tab_00.Trial[CONTA],$B18)</f>
        <v>7450</v>
      </c>
      <c r="Y18" s="78">
        <f t="shared" ca="1" si="21"/>
        <v>1E-3</v>
      </c>
      <c r="Z18" s="78">
        <f t="shared" ca="1" si="22"/>
        <v>0</v>
      </c>
      <c r="AA18" s="4">
        <f ca="1">-SUMIFS(INDIRECT("Tab_00.Trial["&amp;AA$4&amp;"]"),Tab_00.Trial[CONTA],$B18)</f>
        <v>7450</v>
      </c>
      <c r="AB18" s="78">
        <f t="shared" ca="1" si="11"/>
        <v>8.0000000000000004E-4</v>
      </c>
      <c r="AC18" s="78">
        <f t="shared" ca="1" si="12"/>
        <v>0</v>
      </c>
      <c r="AD18" s="4">
        <f ca="1">-SUMIFS(INDIRECT("Tab_00.Trial["&amp;AD$4&amp;"]"),Tab_00.Trial[CONTA],$B18)</f>
        <v>7450</v>
      </c>
      <c r="AE18" s="78">
        <f t="shared" ca="1" si="13"/>
        <v>6.9999999999999999E-4</v>
      </c>
      <c r="AF18" s="78">
        <f t="shared" ca="1" si="14"/>
        <v>0</v>
      </c>
      <c r="AG18" s="4">
        <f ca="1">-SUMIFS(INDIRECT("Tab_00.Trial["&amp;AG$4&amp;"]"),Tab_00.Trial[CONTA],$B18)</f>
        <v>7450</v>
      </c>
      <c r="AH18" s="78">
        <f t="shared" ca="1" si="15"/>
        <v>6.9999999999999999E-4</v>
      </c>
      <c r="AI18" s="78">
        <f t="shared" ca="1" si="16"/>
        <v>0</v>
      </c>
      <c r="AJ18" s="4">
        <f ca="1">-SUMIFS(INDIRECT("Tab_00.Trial["&amp;AJ$4&amp;"]"),Tab_00.Trial[CONTA],$B18)</f>
        <v>7450</v>
      </c>
      <c r="AK18" s="78">
        <f t="shared" ca="1" si="17"/>
        <v>5.9999999999999995E-4</v>
      </c>
      <c r="AL18" s="78">
        <f t="shared" ca="1" si="18"/>
        <v>0</v>
      </c>
    </row>
    <row r="19" spans="2:40" ht="15" hidden="1" customHeight="1" outlineLevel="1" x14ac:dyDescent="0.3">
      <c r="B19" s="14" t="s">
        <v>383</v>
      </c>
      <c r="C19" s="14" t="s">
        <v>384</v>
      </c>
      <c r="D19" s="4">
        <f ca="1">-SUMIFS(INDIRECT("Tab_00.Trial["&amp;D$4&amp;"]"),Tab_00.Trial[CONTA],$B19)</f>
        <v>0</v>
      </c>
      <c r="E19" s="78">
        <f t="shared" ca="1" si="19"/>
        <v>0</v>
      </c>
      <c r="F19" s="4">
        <f ca="1">-SUMIFS(INDIRECT("Tab_00.Trial["&amp;F$4&amp;"]"),Tab_00.Trial[CONTA],$B19)</f>
        <v>0</v>
      </c>
      <c r="G19" s="78">
        <f t="shared" ca="1" si="0"/>
        <v>0</v>
      </c>
      <c r="H19" s="78">
        <f t="shared" ca="1" si="20"/>
        <v>0</v>
      </c>
      <c r="I19" s="4">
        <f ca="1">-SUMIFS(INDIRECT("Tab_00.Trial["&amp;I$4&amp;"]"),Tab_00.Trial[CONTA],$B19)</f>
        <v>0</v>
      </c>
      <c r="J19" s="78">
        <f t="shared" ca="1" si="1"/>
        <v>0</v>
      </c>
      <c r="K19" s="78">
        <f t="shared" ca="1" si="2"/>
        <v>0</v>
      </c>
      <c r="L19" s="4">
        <f ca="1">-SUMIFS(INDIRECT("Tab_00.Trial["&amp;L$4&amp;"]"),Tab_00.Trial[CONTA],$B19)</f>
        <v>0</v>
      </c>
      <c r="M19" s="78">
        <f t="shared" ca="1" si="3"/>
        <v>0</v>
      </c>
      <c r="N19" s="78">
        <f t="shared" ca="1" si="4"/>
        <v>0</v>
      </c>
      <c r="O19" s="4">
        <f ca="1">-SUMIFS(INDIRECT("Tab_00.Trial["&amp;O$4&amp;"]"),Tab_00.Trial[CONTA],$B19)</f>
        <v>0</v>
      </c>
      <c r="P19" s="78">
        <f t="shared" ca="1" si="5"/>
        <v>0</v>
      </c>
      <c r="Q19" s="78">
        <f t="shared" ca="1" si="6"/>
        <v>0</v>
      </c>
      <c r="R19" s="4">
        <f ca="1">-SUMIFS(INDIRECT("Tab_00.Trial["&amp;R$4&amp;"]"),Tab_00.Trial[CONTA],$B19)</f>
        <v>0</v>
      </c>
      <c r="S19" s="78">
        <f t="shared" ca="1" si="7"/>
        <v>0</v>
      </c>
      <c r="T19" s="78">
        <f t="shared" ca="1" si="8"/>
        <v>0</v>
      </c>
      <c r="U19" s="4">
        <f ca="1">-SUMIFS(INDIRECT("Tab_00.Trial["&amp;U$4&amp;"]"),Tab_00.Trial[CONTA],$B19)</f>
        <v>0</v>
      </c>
      <c r="V19" s="78">
        <f t="shared" ca="1" si="9"/>
        <v>0</v>
      </c>
      <c r="W19" s="78">
        <f t="shared" ca="1" si="10"/>
        <v>0</v>
      </c>
      <c r="X19" s="4">
        <f ca="1">-SUMIFS(INDIRECT("Tab_00.Trial["&amp;X$4&amp;"]"),Tab_00.Trial[CONTA],$B19)</f>
        <v>0</v>
      </c>
      <c r="Y19" s="78">
        <f t="shared" ca="1" si="21"/>
        <v>0</v>
      </c>
      <c r="Z19" s="78">
        <f t="shared" ca="1" si="22"/>
        <v>0</v>
      </c>
      <c r="AA19" s="4">
        <f ca="1">-SUMIFS(INDIRECT("Tab_00.Trial["&amp;AA$4&amp;"]"),Tab_00.Trial[CONTA],$B19)</f>
        <v>0</v>
      </c>
      <c r="AB19" s="78">
        <f t="shared" ca="1" si="11"/>
        <v>0</v>
      </c>
      <c r="AC19" s="78">
        <f t="shared" ca="1" si="12"/>
        <v>0</v>
      </c>
      <c r="AD19" s="4">
        <f ca="1">-SUMIFS(INDIRECT("Tab_00.Trial["&amp;AD$4&amp;"]"),Tab_00.Trial[CONTA],$B19)</f>
        <v>0</v>
      </c>
      <c r="AE19" s="78">
        <f t="shared" ca="1" si="13"/>
        <v>0</v>
      </c>
      <c r="AF19" s="78">
        <f t="shared" ca="1" si="14"/>
        <v>0</v>
      </c>
      <c r="AG19" s="4">
        <f ca="1">-SUMIFS(INDIRECT("Tab_00.Trial["&amp;AG$4&amp;"]"),Tab_00.Trial[CONTA],$B19)</f>
        <v>0</v>
      </c>
      <c r="AH19" s="78">
        <f t="shared" ca="1" si="15"/>
        <v>0</v>
      </c>
      <c r="AI19" s="78">
        <f t="shared" ca="1" si="16"/>
        <v>0</v>
      </c>
      <c r="AJ19" s="4">
        <f ca="1">-SUMIFS(INDIRECT("Tab_00.Trial["&amp;AJ$4&amp;"]"),Tab_00.Trial[CONTA],$B19)</f>
        <v>0</v>
      </c>
      <c r="AK19" s="78">
        <f t="shared" ca="1" si="17"/>
        <v>0</v>
      </c>
      <c r="AL19" s="78">
        <f t="shared" ca="1" si="18"/>
        <v>0</v>
      </c>
    </row>
    <row r="20" spans="2:40" ht="15" hidden="1" customHeight="1" outlineLevel="1" x14ac:dyDescent="0.3">
      <c r="B20" s="14" t="s">
        <v>385</v>
      </c>
      <c r="C20" s="14" t="s">
        <v>386</v>
      </c>
      <c r="D20" s="4">
        <f ca="1">-SUMIFS(INDIRECT("Tab_00.Trial["&amp;D$4&amp;"]"),Tab_00.Trial[CONTA],$B20)</f>
        <v>0</v>
      </c>
      <c r="E20" s="78">
        <f t="shared" ca="1" si="19"/>
        <v>0</v>
      </c>
      <c r="F20" s="4">
        <f ca="1">-SUMIFS(INDIRECT("Tab_00.Trial["&amp;F$4&amp;"]"),Tab_00.Trial[CONTA],$B20)</f>
        <v>0</v>
      </c>
      <c r="G20" s="78">
        <f t="shared" ca="1" si="0"/>
        <v>0</v>
      </c>
      <c r="H20" s="78">
        <f t="shared" ca="1" si="20"/>
        <v>0</v>
      </c>
      <c r="I20" s="4">
        <f ca="1">-SUMIFS(INDIRECT("Tab_00.Trial["&amp;I$4&amp;"]"),Tab_00.Trial[CONTA],$B20)</f>
        <v>0</v>
      </c>
      <c r="J20" s="78">
        <f t="shared" ca="1" si="1"/>
        <v>0</v>
      </c>
      <c r="K20" s="78">
        <f t="shared" ca="1" si="2"/>
        <v>0</v>
      </c>
      <c r="L20" s="4">
        <f ca="1">-SUMIFS(INDIRECT("Tab_00.Trial["&amp;L$4&amp;"]"),Tab_00.Trial[CONTA],$B20)</f>
        <v>0</v>
      </c>
      <c r="M20" s="78">
        <f t="shared" ca="1" si="3"/>
        <v>0</v>
      </c>
      <c r="N20" s="78">
        <f t="shared" ca="1" si="4"/>
        <v>0</v>
      </c>
      <c r="O20" s="4">
        <f ca="1">-SUMIFS(INDIRECT("Tab_00.Trial["&amp;O$4&amp;"]"),Tab_00.Trial[CONTA],$B20)</f>
        <v>0</v>
      </c>
      <c r="P20" s="78">
        <f t="shared" ca="1" si="5"/>
        <v>0</v>
      </c>
      <c r="Q20" s="78">
        <f t="shared" ca="1" si="6"/>
        <v>0</v>
      </c>
      <c r="R20" s="4">
        <f ca="1">-SUMIFS(INDIRECT("Tab_00.Trial["&amp;R$4&amp;"]"),Tab_00.Trial[CONTA],$B20)</f>
        <v>0</v>
      </c>
      <c r="S20" s="78">
        <f t="shared" ca="1" si="7"/>
        <v>0</v>
      </c>
      <c r="T20" s="78">
        <f t="shared" ca="1" si="8"/>
        <v>0</v>
      </c>
      <c r="U20" s="4">
        <f ca="1">-SUMIFS(INDIRECT("Tab_00.Trial["&amp;U$4&amp;"]"),Tab_00.Trial[CONTA],$B20)</f>
        <v>0</v>
      </c>
      <c r="V20" s="78">
        <f t="shared" ca="1" si="9"/>
        <v>0</v>
      </c>
      <c r="W20" s="78">
        <f t="shared" ca="1" si="10"/>
        <v>0</v>
      </c>
      <c r="X20" s="4">
        <f ca="1">-SUMIFS(INDIRECT("Tab_00.Trial["&amp;X$4&amp;"]"),Tab_00.Trial[CONTA],$B20)</f>
        <v>0</v>
      </c>
      <c r="Y20" s="78">
        <f t="shared" ca="1" si="21"/>
        <v>0</v>
      </c>
      <c r="Z20" s="78">
        <f t="shared" ca="1" si="22"/>
        <v>0</v>
      </c>
      <c r="AA20" s="4">
        <f ca="1">-SUMIFS(INDIRECT("Tab_00.Trial["&amp;AA$4&amp;"]"),Tab_00.Trial[CONTA],$B20)</f>
        <v>0</v>
      </c>
      <c r="AB20" s="78">
        <f t="shared" ca="1" si="11"/>
        <v>0</v>
      </c>
      <c r="AC20" s="78">
        <f t="shared" ca="1" si="12"/>
        <v>0</v>
      </c>
      <c r="AD20" s="4">
        <f ca="1">-SUMIFS(INDIRECT("Tab_00.Trial["&amp;AD$4&amp;"]"),Tab_00.Trial[CONTA],$B20)</f>
        <v>0</v>
      </c>
      <c r="AE20" s="78">
        <f t="shared" ca="1" si="13"/>
        <v>0</v>
      </c>
      <c r="AF20" s="78">
        <f t="shared" ca="1" si="14"/>
        <v>0</v>
      </c>
      <c r="AG20" s="4">
        <f ca="1">-SUMIFS(INDIRECT("Tab_00.Trial["&amp;AG$4&amp;"]"),Tab_00.Trial[CONTA],$B20)</f>
        <v>0</v>
      </c>
      <c r="AH20" s="78">
        <f t="shared" ca="1" si="15"/>
        <v>0</v>
      </c>
      <c r="AI20" s="78">
        <f t="shared" ca="1" si="16"/>
        <v>0</v>
      </c>
      <c r="AJ20" s="4">
        <f ca="1">-SUMIFS(INDIRECT("Tab_00.Trial["&amp;AJ$4&amp;"]"),Tab_00.Trial[CONTA],$B20)</f>
        <v>0</v>
      </c>
      <c r="AK20" s="78">
        <f t="shared" ca="1" si="17"/>
        <v>0</v>
      </c>
      <c r="AL20" s="78">
        <f t="shared" ca="1" si="18"/>
        <v>0</v>
      </c>
    </row>
    <row r="21" spans="2:40" ht="15" hidden="1" customHeight="1" outlineLevel="1" x14ac:dyDescent="0.3">
      <c r="B21" s="14" t="s">
        <v>737</v>
      </c>
      <c r="C21" s="14" t="s">
        <v>422</v>
      </c>
      <c r="D21" s="4">
        <f ca="1">-SUMIFS(INDIRECT("Tab_00.Trial["&amp;D$4&amp;"]"),Tab_00.Trial[CONTA],$B21)</f>
        <v>187419.37</v>
      </c>
      <c r="E21" s="78">
        <f t="shared" ca="1" si="19"/>
        <v>0.20080000000000001</v>
      </c>
      <c r="F21" s="4">
        <f ca="1">-SUMIFS(INDIRECT("Tab_00.Trial["&amp;F$4&amp;"]"),Tab_00.Trial[CONTA],$B21)</f>
        <v>187419.37</v>
      </c>
      <c r="G21" s="78">
        <f t="shared" ca="1" si="0"/>
        <v>0.12859999999999999</v>
      </c>
      <c r="H21" s="78">
        <f t="shared" ca="1" si="20"/>
        <v>0</v>
      </c>
      <c r="I21" s="4">
        <f ca="1">-SUMIFS(INDIRECT("Tab_00.Trial["&amp;I$4&amp;"]"),Tab_00.Trial[CONTA],$B21)</f>
        <v>682368.86</v>
      </c>
      <c r="J21" s="78">
        <f t="shared" ca="1" si="1"/>
        <v>0.23250000000000001</v>
      </c>
      <c r="K21" s="78">
        <f t="shared" ca="1" si="2"/>
        <v>2.6408999999999998</v>
      </c>
      <c r="L21" s="4">
        <f ca="1">-SUMIFS(INDIRECT("Tab_00.Trial["&amp;L$4&amp;"]"),Tab_00.Trial[CONTA],$B21)</f>
        <v>862584.28</v>
      </c>
      <c r="M21" s="78">
        <f t="shared" ca="1" si="3"/>
        <v>0.21909999999999999</v>
      </c>
      <c r="N21" s="78">
        <f t="shared" ca="1" si="4"/>
        <v>0.2641</v>
      </c>
      <c r="O21" s="4">
        <f ca="1">-SUMIFS(INDIRECT("Tab_00.Trial["&amp;O$4&amp;"]"),Tab_00.Trial[CONTA],$B21)</f>
        <v>1195265.1000000001</v>
      </c>
      <c r="P21" s="78">
        <f t="shared" ca="1" si="5"/>
        <v>0.23269999999999999</v>
      </c>
      <c r="Q21" s="78">
        <f t="shared" ca="1" si="6"/>
        <v>0.38569999999999999</v>
      </c>
      <c r="R21" s="4">
        <f ca="1">-SUMIFS(INDIRECT("Tab_00.Trial["&amp;R$4&amp;"]"),Tab_00.Trial[CONTA],$B21)</f>
        <v>1702436.3</v>
      </c>
      <c r="S21" s="78">
        <f t="shared" ca="1" si="7"/>
        <v>0.2369</v>
      </c>
      <c r="T21" s="78">
        <f t="shared" ca="1" si="8"/>
        <v>0.42430000000000001</v>
      </c>
      <c r="U21" s="4">
        <f ca="1">-SUMIFS(INDIRECT("Tab_00.Trial["&amp;U$4&amp;"]"),Tab_00.Trial[CONTA],$B21)</f>
        <v>1702436.3</v>
      </c>
      <c r="V21" s="78">
        <f t="shared" ca="1" si="9"/>
        <v>0.2369</v>
      </c>
      <c r="W21" s="78">
        <f t="shared" ca="1" si="10"/>
        <v>0</v>
      </c>
      <c r="X21" s="4">
        <f ca="1">-SUMIFS(INDIRECT("Tab_00.Trial["&amp;X$4&amp;"]"),Tab_00.Trial[CONTA],$B21)</f>
        <v>1702436.3</v>
      </c>
      <c r="Y21" s="78">
        <f t="shared" ca="1" si="21"/>
        <v>0.2369</v>
      </c>
      <c r="Z21" s="78">
        <f t="shared" ca="1" si="22"/>
        <v>0</v>
      </c>
      <c r="AA21" s="4">
        <f ca="1">-SUMIFS(INDIRECT("Tab_00.Trial["&amp;AA$4&amp;"]"),Tab_00.Trial[CONTA],$B21)</f>
        <v>2125464.3199999998</v>
      </c>
      <c r="AB21" s="78">
        <f t="shared" ca="1" si="11"/>
        <v>0.23139999999999999</v>
      </c>
      <c r="AC21" s="78">
        <f t="shared" ca="1" si="12"/>
        <v>0.2485</v>
      </c>
      <c r="AD21" s="4">
        <f ca="1">-SUMIFS(INDIRECT("Tab_00.Trial["&amp;AD$4&amp;"]"),Tab_00.Trial[CONTA],$B21)</f>
        <v>2555246.16</v>
      </c>
      <c r="AE21" s="78">
        <f t="shared" ca="1" si="13"/>
        <v>0.24540000000000001</v>
      </c>
      <c r="AF21" s="78">
        <f t="shared" ca="1" si="14"/>
        <v>0.20219999999999999</v>
      </c>
      <c r="AG21" s="4">
        <f ca="1">-SUMIFS(INDIRECT("Tab_00.Trial["&amp;AG$4&amp;"]"),Tab_00.Trial[CONTA],$B21)</f>
        <v>2743319.47</v>
      </c>
      <c r="AH21" s="78">
        <f t="shared" ca="1" si="15"/>
        <v>0.24249999999999999</v>
      </c>
      <c r="AI21" s="78">
        <f t="shared" ca="1" si="16"/>
        <v>7.3599999999999999E-2</v>
      </c>
      <c r="AJ21" s="4">
        <f ca="1">-SUMIFS(INDIRECT("Tab_00.Trial["&amp;AJ$4&amp;"]"),Tab_00.Trial[CONTA],$B21)</f>
        <v>3185948.49</v>
      </c>
      <c r="AK21" s="78">
        <f t="shared" ca="1" si="17"/>
        <v>0.24909999999999999</v>
      </c>
      <c r="AL21" s="78">
        <f t="shared" ca="1" si="18"/>
        <v>0.1613</v>
      </c>
    </row>
    <row r="22" spans="2:40" ht="15" hidden="1" customHeight="1" outlineLevel="1" x14ac:dyDescent="0.3">
      <c r="B22" s="14"/>
      <c r="C22" s="14"/>
      <c r="D22" s="4">
        <f ca="1">-SUMIFS(INDIRECT("Tab_00.Trial["&amp;D$4&amp;"]"),Tab_00.Trial[CONTA],$B22)</f>
        <v>0</v>
      </c>
      <c r="E22" s="78">
        <f t="shared" ca="1" si="19"/>
        <v>0</v>
      </c>
      <c r="F22" s="4">
        <f ca="1">-SUMIFS(INDIRECT("Tab_00.Trial["&amp;F$4&amp;"]"),Tab_00.Trial[CONTA],$B22)</f>
        <v>0</v>
      </c>
      <c r="G22" s="78">
        <f t="shared" ca="1" si="0"/>
        <v>0</v>
      </c>
      <c r="H22" s="78">
        <f t="shared" ca="1" si="20"/>
        <v>0</v>
      </c>
      <c r="I22" s="4">
        <f ca="1">-SUMIFS(INDIRECT("Tab_00.Trial["&amp;I$4&amp;"]"),Tab_00.Trial[CONTA],$B22)</f>
        <v>0</v>
      </c>
      <c r="J22" s="78">
        <f t="shared" ca="1" si="1"/>
        <v>0</v>
      </c>
      <c r="K22" s="78">
        <f t="shared" ca="1" si="2"/>
        <v>0</v>
      </c>
      <c r="L22" s="4">
        <f ca="1">-SUMIFS(INDIRECT("Tab_00.Trial["&amp;L$4&amp;"]"),Tab_00.Trial[CONTA],$B22)</f>
        <v>0</v>
      </c>
      <c r="M22" s="78">
        <f t="shared" ca="1" si="3"/>
        <v>0</v>
      </c>
      <c r="N22" s="78">
        <f t="shared" ca="1" si="4"/>
        <v>0</v>
      </c>
      <c r="O22" s="4">
        <f ca="1">-SUMIFS(INDIRECT("Tab_00.Trial["&amp;O$4&amp;"]"),Tab_00.Trial[CONTA],$B22)</f>
        <v>0</v>
      </c>
      <c r="P22" s="78">
        <f t="shared" ca="1" si="5"/>
        <v>0</v>
      </c>
      <c r="Q22" s="78">
        <f t="shared" ca="1" si="6"/>
        <v>0</v>
      </c>
      <c r="R22" s="4">
        <f ca="1">-SUMIFS(INDIRECT("Tab_00.Trial["&amp;R$4&amp;"]"),Tab_00.Trial[CONTA],$B22)</f>
        <v>0</v>
      </c>
      <c r="S22" s="78">
        <f t="shared" ca="1" si="7"/>
        <v>0</v>
      </c>
      <c r="T22" s="78">
        <f t="shared" ca="1" si="8"/>
        <v>0</v>
      </c>
      <c r="U22" s="4">
        <f ca="1">-SUMIFS(INDIRECT("Tab_00.Trial["&amp;U$4&amp;"]"),Tab_00.Trial[CONTA],$B22)</f>
        <v>0</v>
      </c>
      <c r="V22" s="78">
        <f t="shared" ca="1" si="9"/>
        <v>0</v>
      </c>
      <c r="W22" s="78">
        <f t="shared" ca="1" si="10"/>
        <v>0</v>
      </c>
      <c r="X22" s="4">
        <f ca="1">-SUMIFS(INDIRECT("Tab_00.Trial["&amp;X$4&amp;"]"),Tab_00.Trial[CONTA],$B22)</f>
        <v>0</v>
      </c>
      <c r="Y22" s="78">
        <f t="shared" ca="1" si="21"/>
        <v>0</v>
      </c>
      <c r="Z22" s="78">
        <f t="shared" ca="1" si="22"/>
        <v>0</v>
      </c>
      <c r="AA22" s="4">
        <f ca="1">-SUMIFS(INDIRECT("Tab_00.Trial["&amp;AA$4&amp;"]"),Tab_00.Trial[CONTA],$B22)</f>
        <v>0</v>
      </c>
      <c r="AB22" s="78">
        <f t="shared" ca="1" si="11"/>
        <v>0</v>
      </c>
      <c r="AC22" s="78">
        <f t="shared" ca="1" si="12"/>
        <v>0</v>
      </c>
      <c r="AD22" s="4">
        <f ca="1">-SUMIFS(INDIRECT("Tab_00.Trial["&amp;AD$4&amp;"]"),Tab_00.Trial[CONTA],$B22)</f>
        <v>0</v>
      </c>
      <c r="AE22" s="78">
        <f t="shared" ca="1" si="13"/>
        <v>0</v>
      </c>
      <c r="AF22" s="78">
        <f t="shared" ca="1" si="14"/>
        <v>0</v>
      </c>
      <c r="AG22" s="4">
        <f ca="1">-SUMIFS(INDIRECT("Tab_00.Trial["&amp;AG$4&amp;"]"),Tab_00.Trial[CONTA],$B22)</f>
        <v>0</v>
      </c>
      <c r="AH22" s="78">
        <f t="shared" ca="1" si="15"/>
        <v>0</v>
      </c>
      <c r="AI22" s="78">
        <f t="shared" ca="1" si="16"/>
        <v>0</v>
      </c>
      <c r="AJ22" s="4">
        <f ca="1">-SUMIFS(INDIRECT("Tab_00.Trial["&amp;AJ$4&amp;"]"),Tab_00.Trial[CONTA],$B22)</f>
        <v>0</v>
      </c>
      <c r="AK22" s="78">
        <f t="shared" ca="1" si="17"/>
        <v>0</v>
      </c>
      <c r="AL22" s="78">
        <f t="shared" ca="1" si="18"/>
        <v>0</v>
      </c>
    </row>
    <row r="23" spans="2:40" ht="5.0999999999999996" hidden="1" customHeight="1" outlineLevel="1" x14ac:dyDescent="0.3">
      <c r="B23" s="74"/>
      <c r="C23" s="75"/>
      <c r="D23" s="76"/>
      <c r="E23" s="77"/>
      <c r="F23" s="76"/>
      <c r="G23" s="77"/>
      <c r="H23" s="77"/>
      <c r="I23" s="76"/>
      <c r="J23" s="77"/>
      <c r="K23" s="77"/>
      <c r="L23" s="76"/>
      <c r="M23" s="77"/>
      <c r="N23" s="77"/>
      <c r="O23" s="76"/>
      <c r="P23" s="77"/>
      <c r="Q23" s="77"/>
      <c r="R23" s="76"/>
      <c r="S23" s="77"/>
      <c r="T23" s="77"/>
      <c r="U23" s="76"/>
      <c r="V23" s="77"/>
      <c r="W23" s="77"/>
      <c r="X23" s="76"/>
      <c r="Y23" s="77"/>
      <c r="Z23" s="77"/>
      <c r="AA23" s="76"/>
      <c r="AB23" s="77"/>
      <c r="AC23" s="77"/>
      <c r="AD23" s="76"/>
      <c r="AE23" s="77"/>
      <c r="AF23" s="77"/>
      <c r="AG23" s="76"/>
      <c r="AH23" s="77"/>
      <c r="AI23" s="77"/>
      <c r="AJ23" s="76"/>
      <c r="AK23" s="77"/>
      <c r="AL23" s="77"/>
    </row>
    <row r="24" spans="2:40" ht="15" customHeight="1" x14ac:dyDescent="0.3">
      <c r="B24" s="3" t="s">
        <v>102</v>
      </c>
      <c r="C24" s="1" t="s">
        <v>155</v>
      </c>
      <c r="D24" s="4">
        <f ca="1">SUBTOTAL(9,D$25:D$33)</f>
        <v>0</v>
      </c>
      <c r="E24" s="78">
        <f t="shared" ref="E24:E32" ca="1" si="23">IFERROR($D24/$D$6,0)</f>
        <v>0</v>
      </c>
      <c r="F24" s="4">
        <f ca="1">SUBTOTAL(9,F$25:F$33)</f>
        <v>0</v>
      </c>
      <c r="G24" s="78">
        <f ca="1">IFERROR($F24/$F$6,0)</f>
        <v>0</v>
      </c>
      <c r="H24" s="78">
        <f t="shared" ref="H24:H32" ca="1" si="24">IFERROR(($F24-$D24)/ABS($D24),0)</f>
        <v>0</v>
      </c>
      <c r="I24" s="4">
        <f ca="1">SUBTOTAL(9,I$25:I$33)</f>
        <v>0</v>
      </c>
      <c r="J24" s="78">
        <f ca="1">IFERROR($I24/$I$6,0)</f>
        <v>0</v>
      </c>
      <c r="K24" s="78">
        <f ca="1">IFERROR(($I24-$F24)/ABS($F24),0)</f>
        <v>0</v>
      </c>
      <c r="L24" s="4">
        <f ca="1">SUBTOTAL(9,L$25:L$33)</f>
        <v>0</v>
      </c>
      <c r="M24" s="78">
        <f ca="1">IFERROR($L24/$L$6,0)</f>
        <v>0</v>
      </c>
      <c r="N24" s="78">
        <f ca="1">IFERROR(($L24-$I24)/ABS($I24),0)</f>
        <v>0</v>
      </c>
      <c r="O24" s="4">
        <f ca="1">SUBTOTAL(9,O$25:O$33)</f>
        <v>0</v>
      </c>
      <c r="P24" s="78">
        <f ca="1">IFERROR($O24/$O$6,0)</f>
        <v>0</v>
      </c>
      <c r="Q24" s="78">
        <f ca="1">IFERROR(($O24-$L24)/ABS($L24),0)</f>
        <v>0</v>
      </c>
      <c r="R24" s="4">
        <f ca="1">SUBTOTAL(9,R$25:R$33)</f>
        <v>-11</v>
      </c>
      <c r="S24" s="78">
        <f ca="1">IFERROR($R24/$R$6,0)</f>
        <v>0</v>
      </c>
      <c r="T24" s="78">
        <f ca="1">IFERROR(($R24-$O24)/ABS($O24),0)</f>
        <v>0</v>
      </c>
      <c r="U24" s="4">
        <f ca="1">SUBTOTAL(9,U$25:U$33)</f>
        <v>-11</v>
      </c>
      <c r="V24" s="78">
        <f ca="1">IFERROR($U24/$U$6,0)</f>
        <v>0</v>
      </c>
      <c r="W24" s="78">
        <f ca="1">IFERROR(($U24-$R24)/ABS($R24),0)</f>
        <v>0</v>
      </c>
      <c r="X24" s="4">
        <f ca="1">SUBTOTAL(9,X$25:X$33)</f>
        <v>-11</v>
      </c>
      <c r="Y24" s="78">
        <f t="shared" ref="Y24:Y32" ca="1" si="25">IFERROR($X24/$X$6,0)</f>
        <v>0</v>
      </c>
      <c r="Z24" s="78">
        <f t="shared" ref="Z24:Z32" ca="1" si="26">IFERROR(($X24-$U24)/ABS($U24),0)</f>
        <v>0</v>
      </c>
      <c r="AA24" s="4">
        <f ca="1">SUBTOTAL(9,AA$25:AA$33)</f>
        <v>-12127.06</v>
      </c>
      <c r="AB24" s="78">
        <f ca="1">IFERROR($AA24/$AA$6,0)</f>
        <v>-1.2999999999999999E-3</v>
      </c>
      <c r="AC24" s="78">
        <f ca="1">IFERROR(($AA24-$X24)/ABS($X24),0)</f>
        <v>-1101.46</v>
      </c>
      <c r="AD24" s="4">
        <f ca="1">SUBTOTAL(9,AD$25:AD$33)</f>
        <v>-12139.16</v>
      </c>
      <c r="AE24" s="78">
        <f ca="1">IFERROR($AD24/$AD$6,0)</f>
        <v>-1.1999999999999999E-3</v>
      </c>
      <c r="AF24" s="78">
        <f ca="1">IFERROR(($AD24-$AA24)/ABS($AA24),0)</f>
        <v>-1E-3</v>
      </c>
      <c r="AG24" s="4">
        <f ca="1">SUBTOTAL(9,AG$25:AG$33)</f>
        <v>-14038.16</v>
      </c>
      <c r="AH24" s="78">
        <f ca="1">IFERROR($AG24/$AG$6,0)</f>
        <v>-1.1999999999999999E-3</v>
      </c>
      <c r="AI24" s="78">
        <f ca="1">IFERROR(($AG24-$AD24)/ABS($AD24),0)</f>
        <v>-0.15640000000000001</v>
      </c>
      <c r="AJ24" s="4">
        <f ca="1">SUBTOTAL(9,AJ$25:AJ$33)</f>
        <v>-14303.78</v>
      </c>
      <c r="AK24" s="78">
        <f ca="1">IFERROR($AJ24/$AJ$6,0)</f>
        <v>-1.1000000000000001E-3</v>
      </c>
      <c r="AL24" s="78">
        <f ca="1">IFERROR(($AJ24-$AG24)/ABS($AG24),0)</f>
        <v>-1.89E-2</v>
      </c>
    </row>
    <row r="25" spans="2:40" ht="15" customHeight="1" outlineLevel="1" x14ac:dyDescent="0.3">
      <c r="B25" s="183" t="s">
        <v>855</v>
      </c>
      <c r="C25" s="183" t="s">
        <v>856</v>
      </c>
      <c r="D25" s="4">
        <f ca="1">-SUMIFS(INDIRECT("Tab_00.Trial["&amp;D$4&amp;"]"),Tab_00.Trial[CONTA],$B25)</f>
        <v>0</v>
      </c>
      <c r="E25" s="78">
        <f t="shared" ca="1" si="23"/>
        <v>0</v>
      </c>
      <c r="F25" s="4">
        <f ca="1">-SUMIFS(INDIRECT("Tab_00.Trial["&amp;F$4&amp;"]"),Tab_00.Trial[CONTA],$B25)</f>
        <v>0</v>
      </c>
      <c r="G25" s="78">
        <f t="shared" ref="G25:G32" ca="1" si="27">IFERROR($F25/$F$6,0)</f>
        <v>0</v>
      </c>
      <c r="H25" s="78">
        <f t="shared" ca="1" si="24"/>
        <v>0</v>
      </c>
      <c r="I25" s="4">
        <f ca="1">-SUMIFS(INDIRECT("Tab_00.Trial["&amp;I$4&amp;"]"),Tab_00.Trial[CONTA],$B25)</f>
        <v>0</v>
      </c>
      <c r="J25" s="78">
        <f t="shared" ref="J25:J32" ca="1" si="28">IFERROR($I25/$I$6,0)</f>
        <v>0</v>
      </c>
      <c r="K25" s="78">
        <f t="shared" ref="K25:K32" ca="1" si="29">IFERROR(($I25-$F25)/ABS($F25),0)</f>
        <v>0</v>
      </c>
      <c r="L25" s="4">
        <f ca="1">-SUMIFS(INDIRECT("Tab_00.Trial["&amp;L$4&amp;"]"),Tab_00.Trial[CONTA],$B25)</f>
        <v>0</v>
      </c>
      <c r="M25" s="78">
        <f t="shared" ref="M25:M32" ca="1" si="30">IFERROR($L25/$L$6,0)</f>
        <v>0</v>
      </c>
      <c r="N25" s="78">
        <f t="shared" ref="N25:N32" ca="1" si="31">IFERROR(($L25-$I25)/ABS($I25),0)</f>
        <v>0</v>
      </c>
      <c r="O25" s="4">
        <f ca="1">-SUMIFS(INDIRECT("Tab_00.Trial["&amp;O$4&amp;"]"),Tab_00.Trial[CONTA],$B25)</f>
        <v>0</v>
      </c>
      <c r="P25" s="78">
        <f t="shared" ref="P25:P32" ca="1" si="32">IFERROR($O25/$O$6,0)</f>
        <v>0</v>
      </c>
      <c r="Q25" s="78">
        <f t="shared" ref="Q25:Q32" ca="1" si="33">IFERROR(($O25-$L25)/ABS($L25),0)</f>
        <v>0</v>
      </c>
      <c r="R25" s="4">
        <f ca="1">-SUMIFS(INDIRECT("Tab_00.Trial["&amp;R$4&amp;"]"),Tab_00.Trial[CONTA],$B25)</f>
        <v>-11</v>
      </c>
      <c r="S25" s="78">
        <f t="shared" ref="S25:S32" ca="1" si="34">IFERROR($R25/$R$6,0)</f>
        <v>0</v>
      </c>
      <c r="T25" s="78">
        <f t="shared" ref="T25:T32" ca="1" si="35">IFERROR(($R25-$O25)/ABS($O25),0)</f>
        <v>0</v>
      </c>
      <c r="U25" s="4">
        <f ca="1">-SUMIFS(INDIRECT("Tab_00.Trial["&amp;U$4&amp;"]"),Tab_00.Trial[CONTA],$B25)</f>
        <v>-11</v>
      </c>
      <c r="V25" s="78">
        <f t="shared" ref="V25:V32" ca="1" si="36">IFERROR($U25/$U$6,0)</f>
        <v>0</v>
      </c>
      <c r="W25" s="78">
        <f t="shared" ref="W25:W32" ca="1" si="37">IFERROR(($U25-$R25)/ABS($R25),0)</f>
        <v>0</v>
      </c>
      <c r="X25" s="4">
        <f ca="1">-SUMIFS(INDIRECT("Tab_00.Trial["&amp;X$4&amp;"]"),Tab_00.Trial[CONTA],$B25)</f>
        <v>-11</v>
      </c>
      <c r="Y25" s="78">
        <f t="shared" ca="1" si="25"/>
        <v>0</v>
      </c>
      <c r="Z25" s="78">
        <f t="shared" ca="1" si="26"/>
        <v>0</v>
      </c>
      <c r="AA25" s="4">
        <f ca="1">-SUMIFS(INDIRECT("Tab_00.Trial["&amp;AA$4&amp;"]"),Tab_00.Trial[CONTA],$B25)</f>
        <v>-12127.06</v>
      </c>
      <c r="AB25" s="78">
        <f t="shared" ref="AB25:AB32" ca="1" si="38">IFERROR($AA25/$AA$6,0)</f>
        <v>-1.2999999999999999E-3</v>
      </c>
      <c r="AC25" s="78">
        <f t="shared" ref="AC25:AC32" ca="1" si="39">IFERROR(($AA25-$X25)/ABS($X25),0)</f>
        <v>-1101.46</v>
      </c>
      <c r="AD25" s="4">
        <f ca="1">-SUMIFS(INDIRECT("Tab_00.Trial["&amp;AD$4&amp;"]"),Tab_00.Trial[CONTA],$B25)</f>
        <v>-12139.16</v>
      </c>
      <c r="AE25" s="78">
        <f t="shared" ref="AE25:AE32" ca="1" si="40">IFERROR($AD25/$AD$6,0)</f>
        <v>-1.1999999999999999E-3</v>
      </c>
      <c r="AF25" s="78">
        <f t="shared" ref="AF25:AF32" ca="1" si="41">IFERROR(($AD25-$AA25)/ABS($AA25),0)</f>
        <v>-1E-3</v>
      </c>
      <c r="AG25" s="4">
        <f ca="1">-SUMIFS(INDIRECT("Tab_00.Trial["&amp;AG$4&amp;"]"),Tab_00.Trial[CONTA],$B25)</f>
        <v>-14038.16</v>
      </c>
      <c r="AH25" s="78">
        <f t="shared" ref="AH25:AH32" ca="1" si="42">IFERROR($AG25/$AG$6,0)</f>
        <v>-1.1999999999999999E-3</v>
      </c>
      <c r="AI25" s="78">
        <f t="shared" ref="AI25:AI32" ca="1" si="43">IFERROR(($AG25-$AD25)/ABS($AD25),0)</f>
        <v>-0.15640000000000001</v>
      </c>
      <c r="AJ25" s="4">
        <f ca="1">-SUMIFS(INDIRECT("Tab_00.Trial["&amp;AJ$4&amp;"]"),Tab_00.Trial[CONTA],$B25)</f>
        <v>-14303.78</v>
      </c>
      <c r="AK25" s="78">
        <f ca="1">IFERROR($AJ25/$AJ$6,0)</f>
        <v>-1.1000000000000001E-3</v>
      </c>
      <c r="AL25" s="78">
        <f t="shared" ref="AL25:AL32" ca="1" si="44">IFERROR(($AJ25-$AG25)/ABS($AG25),0)</f>
        <v>-1.89E-2</v>
      </c>
      <c r="AN25" s="141">
        <v>700000</v>
      </c>
    </row>
    <row r="26" spans="2:40" ht="15" customHeight="1" outlineLevel="1" x14ac:dyDescent="0.3">
      <c r="B26" s="14"/>
      <c r="C26" s="14"/>
      <c r="D26" s="4">
        <f ca="1">-SUMIFS(INDIRECT("Tab_00.Trial["&amp;D$4&amp;"]"),Tab_00.Trial[CONTA],$B26)</f>
        <v>0</v>
      </c>
      <c r="E26" s="78">
        <f t="shared" ca="1" si="23"/>
        <v>0</v>
      </c>
      <c r="F26" s="4">
        <f ca="1">-SUMIFS(INDIRECT("Tab_00.Trial["&amp;F$4&amp;"]"),Tab_00.Trial[CONTA],$B26)</f>
        <v>0</v>
      </c>
      <c r="G26" s="78">
        <f t="shared" ca="1" si="27"/>
        <v>0</v>
      </c>
      <c r="H26" s="78">
        <f t="shared" ca="1" si="24"/>
        <v>0</v>
      </c>
      <c r="I26" s="4">
        <f ca="1">-SUMIFS(INDIRECT("Tab_00.Trial["&amp;I$4&amp;"]"),Tab_00.Trial[CONTA],$B26)</f>
        <v>0</v>
      </c>
      <c r="J26" s="78">
        <f t="shared" ca="1" si="28"/>
        <v>0</v>
      </c>
      <c r="K26" s="78">
        <f t="shared" ca="1" si="29"/>
        <v>0</v>
      </c>
      <c r="L26" s="4">
        <f ca="1">-SUMIFS(INDIRECT("Tab_00.Trial["&amp;L$4&amp;"]"),Tab_00.Trial[CONTA],$B26)</f>
        <v>0</v>
      </c>
      <c r="M26" s="78">
        <f t="shared" ca="1" si="30"/>
        <v>0</v>
      </c>
      <c r="N26" s="78">
        <f t="shared" ca="1" si="31"/>
        <v>0</v>
      </c>
      <c r="O26" s="4">
        <f ca="1">-SUMIFS(INDIRECT("Tab_00.Trial["&amp;O$4&amp;"]"),Tab_00.Trial[CONTA],$B26)</f>
        <v>0</v>
      </c>
      <c r="P26" s="78">
        <f t="shared" ca="1" si="32"/>
        <v>0</v>
      </c>
      <c r="Q26" s="78">
        <f t="shared" ca="1" si="33"/>
        <v>0</v>
      </c>
      <c r="R26" s="4">
        <f ca="1">-SUMIFS(INDIRECT("Tab_00.Trial["&amp;R$4&amp;"]"),Tab_00.Trial[CONTA],$B26)</f>
        <v>0</v>
      </c>
      <c r="S26" s="78">
        <f t="shared" ca="1" si="34"/>
        <v>0</v>
      </c>
      <c r="T26" s="78">
        <f t="shared" ca="1" si="35"/>
        <v>0</v>
      </c>
      <c r="U26" s="4">
        <f ca="1">-SUMIFS(INDIRECT("Tab_00.Trial["&amp;U$4&amp;"]"),Tab_00.Trial[CONTA],$B26)</f>
        <v>0</v>
      </c>
      <c r="V26" s="78">
        <f t="shared" ca="1" si="36"/>
        <v>0</v>
      </c>
      <c r="W26" s="78">
        <f t="shared" ca="1" si="37"/>
        <v>0</v>
      </c>
      <c r="X26" s="4">
        <f ca="1">-SUMIFS(INDIRECT("Tab_00.Trial["&amp;X$4&amp;"]"),Tab_00.Trial[CONTA],$B26)</f>
        <v>0</v>
      </c>
      <c r="Y26" s="78">
        <f t="shared" ca="1" si="25"/>
        <v>0</v>
      </c>
      <c r="Z26" s="78">
        <f t="shared" ca="1" si="26"/>
        <v>0</v>
      </c>
      <c r="AA26" s="4">
        <f ca="1">-SUMIFS(INDIRECT("Tab_00.Trial["&amp;AA$4&amp;"]"),Tab_00.Trial[CONTA],$B26)</f>
        <v>0</v>
      </c>
      <c r="AB26" s="78">
        <f t="shared" ca="1" si="38"/>
        <v>0</v>
      </c>
      <c r="AC26" s="78">
        <f t="shared" ca="1" si="39"/>
        <v>0</v>
      </c>
      <c r="AD26" s="4">
        <f ca="1">-SUMIFS(INDIRECT("Tab_00.Trial["&amp;AD$4&amp;"]"),Tab_00.Trial[CONTA],$B26)</f>
        <v>0</v>
      </c>
      <c r="AE26" s="78">
        <f t="shared" ca="1" si="40"/>
        <v>0</v>
      </c>
      <c r="AF26" s="78">
        <f t="shared" ca="1" si="41"/>
        <v>0</v>
      </c>
      <c r="AG26" s="4">
        <f ca="1">-SUMIFS(INDIRECT("Tab_00.Trial["&amp;AG$4&amp;"]"),Tab_00.Trial[CONTA],$B26)</f>
        <v>0</v>
      </c>
      <c r="AH26" s="78">
        <f t="shared" ca="1" si="42"/>
        <v>0</v>
      </c>
      <c r="AI26" s="78">
        <f t="shared" ca="1" si="43"/>
        <v>0</v>
      </c>
      <c r="AJ26" s="4">
        <f ca="1">-SUMIFS(INDIRECT("Tab_00.Trial["&amp;AJ$4&amp;"]"),Tab_00.Trial[CONTA],$B26)</f>
        <v>0</v>
      </c>
      <c r="AK26" s="78">
        <f t="shared" ref="AK26:AK32" ca="1" si="45">IFERROR($AJ26/$AJ$6,0)</f>
        <v>0</v>
      </c>
      <c r="AL26" s="78">
        <f t="shared" ca="1" si="44"/>
        <v>0</v>
      </c>
    </row>
    <row r="27" spans="2:40" ht="15" customHeight="1" outlineLevel="1" x14ac:dyDescent="0.3">
      <c r="B27" s="14"/>
      <c r="C27" s="14"/>
      <c r="D27" s="4">
        <f ca="1">-SUMIFS(INDIRECT("Tab_00.Trial["&amp;D$4&amp;"]"),Tab_00.Trial[CONTA],$B27)</f>
        <v>0</v>
      </c>
      <c r="E27" s="78">
        <f t="shared" ca="1" si="23"/>
        <v>0</v>
      </c>
      <c r="F27" s="4">
        <f ca="1">-SUMIFS(INDIRECT("Tab_00.Trial["&amp;F$4&amp;"]"),Tab_00.Trial[CONTA],$B27)</f>
        <v>0</v>
      </c>
      <c r="G27" s="78">
        <f t="shared" ca="1" si="27"/>
        <v>0</v>
      </c>
      <c r="H27" s="78">
        <f t="shared" ca="1" si="24"/>
        <v>0</v>
      </c>
      <c r="I27" s="4">
        <f ca="1">-SUMIFS(INDIRECT("Tab_00.Trial["&amp;I$4&amp;"]"),Tab_00.Trial[CONTA],$B27)</f>
        <v>0</v>
      </c>
      <c r="J27" s="78">
        <f t="shared" ca="1" si="28"/>
        <v>0</v>
      </c>
      <c r="K27" s="78">
        <f t="shared" ca="1" si="29"/>
        <v>0</v>
      </c>
      <c r="L27" s="4">
        <f ca="1">-SUMIFS(INDIRECT("Tab_00.Trial["&amp;L$4&amp;"]"),Tab_00.Trial[CONTA],$B27)</f>
        <v>0</v>
      </c>
      <c r="M27" s="78">
        <f t="shared" ca="1" si="30"/>
        <v>0</v>
      </c>
      <c r="N27" s="78">
        <f t="shared" ca="1" si="31"/>
        <v>0</v>
      </c>
      <c r="O27" s="4">
        <f ca="1">-SUMIFS(INDIRECT("Tab_00.Trial["&amp;O$4&amp;"]"),Tab_00.Trial[CONTA],$B27)</f>
        <v>0</v>
      </c>
      <c r="P27" s="78">
        <f t="shared" ca="1" si="32"/>
        <v>0</v>
      </c>
      <c r="Q27" s="78">
        <f t="shared" ca="1" si="33"/>
        <v>0</v>
      </c>
      <c r="R27" s="4">
        <f ca="1">-SUMIFS(INDIRECT("Tab_00.Trial["&amp;R$4&amp;"]"),Tab_00.Trial[CONTA],$B27)</f>
        <v>0</v>
      </c>
      <c r="S27" s="78">
        <f t="shared" ca="1" si="34"/>
        <v>0</v>
      </c>
      <c r="T27" s="78">
        <f t="shared" ca="1" si="35"/>
        <v>0</v>
      </c>
      <c r="U27" s="4">
        <f ca="1">-SUMIFS(INDIRECT("Tab_00.Trial["&amp;U$4&amp;"]"),Tab_00.Trial[CONTA],$B27)</f>
        <v>0</v>
      </c>
      <c r="V27" s="78">
        <f t="shared" ca="1" si="36"/>
        <v>0</v>
      </c>
      <c r="W27" s="78">
        <f t="shared" ca="1" si="37"/>
        <v>0</v>
      </c>
      <c r="X27" s="4">
        <f ca="1">-SUMIFS(INDIRECT("Tab_00.Trial["&amp;X$4&amp;"]"),Tab_00.Trial[CONTA],$B27)</f>
        <v>0</v>
      </c>
      <c r="Y27" s="78">
        <f t="shared" ca="1" si="25"/>
        <v>0</v>
      </c>
      <c r="Z27" s="78">
        <f t="shared" ca="1" si="26"/>
        <v>0</v>
      </c>
      <c r="AA27" s="4">
        <f ca="1">-SUMIFS(INDIRECT("Tab_00.Trial["&amp;AA$4&amp;"]"),Tab_00.Trial[CONTA],$B27)</f>
        <v>0</v>
      </c>
      <c r="AB27" s="78">
        <f t="shared" ca="1" si="38"/>
        <v>0</v>
      </c>
      <c r="AC27" s="78">
        <f t="shared" ca="1" si="39"/>
        <v>0</v>
      </c>
      <c r="AD27" s="4">
        <f ca="1">-SUMIFS(INDIRECT("Tab_00.Trial["&amp;AD$4&amp;"]"),Tab_00.Trial[CONTA],$B27)</f>
        <v>0</v>
      </c>
      <c r="AE27" s="78">
        <f t="shared" ca="1" si="40"/>
        <v>0</v>
      </c>
      <c r="AF27" s="78">
        <f t="shared" ca="1" si="41"/>
        <v>0</v>
      </c>
      <c r="AG27" s="4">
        <f ca="1">-SUMIFS(INDIRECT("Tab_00.Trial["&amp;AG$4&amp;"]"),Tab_00.Trial[CONTA],$B27)</f>
        <v>0</v>
      </c>
      <c r="AH27" s="78">
        <f t="shared" ca="1" si="42"/>
        <v>0</v>
      </c>
      <c r="AI27" s="78">
        <f t="shared" ca="1" si="43"/>
        <v>0</v>
      </c>
      <c r="AJ27" s="4">
        <f ca="1">-SUMIFS(INDIRECT("Tab_00.Trial["&amp;AJ$4&amp;"]"),Tab_00.Trial[CONTA],$B27)</f>
        <v>0</v>
      </c>
      <c r="AK27" s="78">
        <f t="shared" ca="1" si="45"/>
        <v>0</v>
      </c>
      <c r="AL27" s="78">
        <f t="shared" ca="1" si="44"/>
        <v>0</v>
      </c>
    </row>
    <row r="28" spans="2:40" ht="15" customHeight="1" outlineLevel="1" x14ac:dyDescent="0.3">
      <c r="B28" s="14"/>
      <c r="C28" s="14"/>
      <c r="D28" s="4">
        <f ca="1">-SUMIFS(INDIRECT("Tab_00.Trial["&amp;D$4&amp;"]"),Tab_00.Trial[CONTA],$B28)</f>
        <v>0</v>
      </c>
      <c r="E28" s="78">
        <f t="shared" ca="1" si="23"/>
        <v>0</v>
      </c>
      <c r="F28" s="4">
        <f ca="1">-SUMIFS(INDIRECT("Tab_00.Trial["&amp;F$4&amp;"]"),Tab_00.Trial[CONTA],$B28)</f>
        <v>0</v>
      </c>
      <c r="G28" s="78">
        <f t="shared" ca="1" si="27"/>
        <v>0</v>
      </c>
      <c r="H28" s="78">
        <f t="shared" ca="1" si="24"/>
        <v>0</v>
      </c>
      <c r="I28" s="4">
        <f ca="1">-SUMIFS(INDIRECT("Tab_00.Trial["&amp;I$4&amp;"]"),Tab_00.Trial[CONTA],$B28)</f>
        <v>0</v>
      </c>
      <c r="J28" s="78">
        <f t="shared" ca="1" si="28"/>
        <v>0</v>
      </c>
      <c r="K28" s="78">
        <f t="shared" ca="1" si="29"/>
        <v>0</v>
      </c>
      <c r="L28" s="4">
        <f ca="1">-SUMIFS(INDIRECT("Tab_00.Trial["&amp;L$4&amp;"]"),Tab_00.Trial[CONTA],$B28)</f>
        <v>0</v>
      </c>
      <c r="M28" s="78">
        <f t="shared" ca="1" si="30"/>
        <v>0</v>
      </c>
      <c r="N28" s="78">
        <f t="shared" ca="1" si="31"/>
        <v>0</v>
      </c>
      <c r="O28" s="4">
        <f ca="1">-SUMIFS(INDIRECT("Tab_00.Trial["&amp;O$4&amp;"]"),Tab_00.Trial[CONTA],$B28)</f>
        <v>0</v>
      </c>
      <c r="P28" s="78">
        <f t="shared" ca="1" si="32"/>
        <v>0</v>
      </c>
      <c r="Q28" s="78">
        <f t="shared" ca="1" si="33"/>
        <v>0</v>
      </c>
      <c r="R28" s="4">
        <f ca="1">-SUMIFS(INDIRECT("Tab_00.Trial["&amp;R$4&amp;"]"),Tab_00.Trial[CONTA],$B28)</f>
        <v>0</v>
      </c>
      <c r="S28" s="78">
        <f t="shared" ca="1" si="34"/>
        <v>0</v>
      </c>
      <c r="T28" s="78">
        <f t="shared" ca="1" si="35"/>
        <v>0</v>
      </c>
      <c r="U28" s="4">
        <f ca="1">-SUMIFS(INDIRECT("Tab_00.Trial["&amp;U$4&amp;"]"),Tab_00.Trial[CONTA],$B28)</f>
        <v>0</v>
      </c>
      <c r="V28" s="78">
        <f t="shared" ca="1" si="36"/>
        <v>0</v>
      </c>
      <c r="W28" s="78">
        <f t="shared" ca="1" si="37"/>
        <v>0</v>
      </c>
      <c r="X28" s="4">
        <f ca="1">-SUMIFS(INDIRECT("Tab_00.Trial["&amp;X$4&amp;"]"),Tab_00.Trial[CONTA],$B28)</f>
        <v>0</v>
      </c>
      <c r="Y28" s="78">
        <f t="shared" ca="1" si="25"/>
        <v>0</v>
      </c>
      <c r="Z28" s="78">
        <f t="shared" ca="1" si="26"/>
        <v>0</v>
      </c>
      <c r="AA28" s="4">
        <f ca="1">-SUMIFS(INDIRECT("Tab_00.Trial["&amp;AA$4&amp;"]"),Tab_00.Trial[CONTA],$B28)</f>
        <v>0</v>
      </c>
      <c r="AB28" s="78">
        <f t="shared" ca="1" si="38"/>
        <v>0</v>
      </c>
      <c r="AC28" s="78">
        <f t="shared" ca="1" si="39"/>
        <v>0</v>
      </c>
      <c r="AD28" s="4">
        <f ca="1">-SUMIFS(INDIRECT("Tab_00.Trial["&amp;AD$4&amp;"]"),Tab_00.Trial[CONTA],$B28)</f>
        <v>0</v>
      </c>
      <c r="AE28" s="78">
        <f t="shared" ca="1" si="40"/>
        <v>0</v>
      </c>
      <c r="AF28" s="78">
        <f t="shared" ca="1" si="41"/>
        <v>0</v>
      </c>
      <c r="AG28" s="4">
        <f ca="1">-SUMIFS(INDIRECT("Tab_00.Trial["&amp;AG$4&amp;"]"),Tab_00.Trial[CONTA],$B28)</f>
        <v>0</v>
      </c>
      <c r="AH28" s="78">
        <f t="shared" ca="1" si="42"/>
        <v>0</v>
      </c>
      <c r="AI28" s="78">
        <f t="shared" ca="1" si="43"/>
        <v>0</v>
      </c>
      <c r="AJ28" s="4">
        <f ca="1">-SUMIFS(INDIRECT("Tab_00.Trial["&amp;AJ$4&amp;"]"),Tab_00.Trial[CONTA],$B28)</f>
        <v>0</v>
      </c>
      <c r="AK28" s="78">
        <f t="shared" ca="1" si="45"/>
        <v>0</v>
      </c>
      <c r="AL28" s="78">
        <f t="shared" ca="1" si="44"/>
        <v>0</v>
      </c>
    </row>
    <row r="29" spans="2:40" ht="15" customHeight="1" outlineLevel="1" x14ac:dyDescent="0.3">
      <c r="B29" s="14"/>
      <c r="C29" s="14"/>
      <c r="D29" s="4">
        <f ca="1">-SUMIFS(INDIRECT("Tab_00.Trial["&amp;D$4&amp;"]"),Tab_00.Trial[CONTA],$B29)</f>
        <v>0</v>
      </c>
      <c r="E29" s="78">
        <f t="shared" ca="1" si="23"/>
        <v>0</v>
      </c>
      <c r="F29" s="4">
        <f ca="1">-SUMIFS(INDIRECT("Tab_00.Trial["&amp;F$4&amp;"]"),Tab_00.Trial[CONTA],$B29)</f>
        <v>0</v>
      </c>
      <c r="G29" s="78">
        <f t="shared" ca="1" si="27"/>
        <v>0</v>
      </c>
      <c r="H29" s="78">
        <f t="shared" ca="1" si="24"/>
        <v>0</v>
      </c>
      <c r="I29" s="4">
        <f ca="1">-SUMIFS(INDIRECT("Tab_00.Trial["&amp;I$4&amp;"]"),Tab_00.Trial[CONTA],$B29)</f>
        <v>0</v>
      </c>
      <c r="J29" s="78">
        <f t="shared" ca="1" si="28"/>
        <v>0</v>
      </c>
      <c r="K29" s="78">
        <f t="shared" ca="1" si="29"/>
        <v>0</v>
      </c>
      <c r="L29" s="4">
        <f ca="1">-SUMIFS(INDIRECT("Tab_00.Trial["&amp;L$4&amp;"]"),Tab_00.Trial[CONTA],$B29)</f>
        <v>0</v>
      </c>
      <c r="M29" s="78">
        <f t="shared" ca="1" si="30"/>
        <v>0</v>
      </c>
      <c r="N29" s="78">
        <f t="shared" ca="1" si="31"/>
        <v>0</v>
      </c>
      <c r="O29" s="4">
        <f ca="1">-SUMIFS(INDIRECT("Tab_00.Trial["&amp;O$4&amp;"]"),Tab_00.Trial[CONTA],$B29)</f>
        <v>0</v>
      </c>
      <c r="P29" s="78">
        <f t="shared" ca="1" si="32"/>
        <v>0</v>
      </c>
      <c r="Q29" s="78">
        <f t="shared" ca="1" si="33"/>
        <v>0</v>
      </c>
      <c r="R29" s="4">
        <f ca="1">-SUMIFS(INDIRECT("Tab_00.Trial["&amp;R$4&amp;"]"),Tab_00.Trial[CONTA],$B29)</f>
        <v>0</v>
      </c>
      <c r="S29" s="78">
        <f t="shared" ca="1" si="34"/>
        <v>0</v>
      </c>
      <c r="T29" s="78">
        <f t="shared" ca="1" si="35"/>
        <v>0</v>
      </c>
      <c r="U29" s="4">
        <f ca="1">-SUMIFS(INDIRECT("Tab_00.Trial["&amp;U$4&amp;"]"),Tab_00.Trial[CONTA],$B29)</f>
        <v>0</v>
      </c>
      <c r="V29" s="78">
        <f t="shared" ca="1" si="36"/>
        <v>0</v>
      </c>
      <c r="W29" s="78">
        <f t="shared" ca="1" si="37"/>
        <v>0</v>
      </c>
      <c r="X29" s="4">
        <f ca="1">-SUMIFS(INDIRECT("Tab_00.Trial["&amp;X$4&amp;"]"),Tab_00.Trial[CONTA],$B29)</f>
        <v>0</v>
      </c>
      <c r="Y29" s="78">
        <f t="shared" ca="1" si="25"/>
        <v>0</v>
      </c>
      <c r="Z29" s="78">
        <f t="shared" ca="1" si="26"/>
        <v>0</v>
      </c>
      <c r="AA29" s="4">
        <f ca="1">-SUMIFS(INDIRECT("Tab_00.Trial["&amp;AA$4&amp;"]"),Tab_00.Trial[CONTA],$B29)</f>
        <v>0</v>
      </c>
      <c r="AB29" s="78">
        <f t="shared" ca="1" si="38"/>
        <v>0</v>
      </c>
      <c r="AC29" s="78">
        <f t="shared" ca="1" si="39"/>
        <v>0</v>
      </c>
      <c r="AD29" s="4">
        <f ca="1">-SUMIFS(INDIRECT("Tab_00.Trial["&amp;AD$4&amp;"]"),Tab_00.Trial[CONTA],$B29)</f>
        <v>0</v>
      </c>
      <c r="AE29" s="78">
        <f t="shared" ca="1" si="40"/>
        <v>0</v>
      </c>
      <c r="AF29" s="78">
        <f t="shared" ca="1" si="41"/>
        <v>0</v>
      </c>
      <c r="AG29" s="4">
        <f ca="1">-SUMIFS(INDIRECT("Tab_00.Trial["&amp;AG$4&amp;"]"),Tab_00.Trial[CONTA],$B29)</f>
        <v>0</v>
      </c>
      <c r="AH29" s="78">
        <f t="shared" ca="1" si="42"/>
        <v>0</v>
      </c>
      <c r="AI29" s="78">
        <f t="shared" ca="1" si="43"/>
        <v>0</v>
      </c>
      <c r="AJ29" s="4">
        <f ca="1">-SUMIFS(INDIRECT("Tab_00.Trial["&amp;AJ$4&amp;"]"),Tab_00.Trial[CONTA],$B29)</f>
        <v>0</v>
      </c>
      <c r="AK29" s="78">
        <f t="shared" ca="1" si="45"/>
        <v>0</v>
      </c>
      <c r="AL29" s="78">
        <f t="shared" ca="1" si="44"/>
        <v>0</v>
      </c>
    </row>
    <row r="30" spans="2:40" ht="15" customHeight="1" outlineLevel="1" x14ac:dyDescent="0.3">
      <c r="B30" s="14"/>
      <c r="C30" s="14"/>
      <c r="D30" s="4">
        <f ca="1">-SUMIFS(INDIRECT("Tab_00.Trial["&amp;D$4&amp;"]"),Tab_00.Trial[CONTA],$B30)</f>
        <v>0</v>
      </c>
      <c r="E30" s="78">
        <f t="shared" ca="1" si="23"/>
        <v>0</v>
      </c>
      <c r="F30" s="4">
        <f ca="1">-SUMIFS(INDIRECT("Tab_00.Trial["&amp;F$4&amp;"]"),Tab_00.Trial[CONTA],$B30)</f>
        <v>0</v>
      </c>
      <c r="G30" s="78">
        <f t="shared" ca="1" si="27"/>
        <v>0</v>
      </c>
      <c r="H30" s="78">
        <f t="shared" ca="1" si="24"/>
        <v>0</v>
      </c>
      <c r="I30" s="4">
        <f ca="1">-SUMIFS(INDIRECT("Tab_00.Trial["&amp;I$4&amp;"]"),Tab_00.Trial[CONTA],$B30)</f>
        <v>0</v>
      </c>
      <c r="J30" s="78">
        <f t="shared" ca="1" si="28"/>
        <v>0</v>
      </c>
      <c r="K30" s="78">
        <f t="shared" ca="1" si="29"/>
        <v>0</v>
      </c>
      <c r="L30" s="4">
        <f ca="1">-SUMIFS(INDIRECT("Tab_00.Trial["&amp;L$4&amp;"]"),Tab_00.Trial[CONTA],$B30)</f>
        <v>0</v>
      </c>
      <c r="M30" s="78">
        <f t="shared" ca="1" si="30"/>
        <v>0</v>
      </c>
      <c r="N30" s="78">
        <f t="shared" ca="1" si="31"/>
        <v>0</v>
      </c>
      <c r="O30" s="4">
        <f ca="1">-SUMIFS(INDIRECT("Tab_00.Trial["&amp;O$4&amp;"]"),Tab_00.Trial[CONTA],$B30)</f>
        <v>0</v>
      </c>
      <c r="P30" s="78">
        <f t="shared" ca="1" si="32"/>
        <v>0</v>
      </c>
      <c r="Q30" s="78">
        <f t="shared" ca="1" si="33"/>
        <v>0</v>
      </c>
      <c r="R30" s="4">
        <f ca="1">-SUMIFS(INDIRECT("Tab_00.Trial["&amp;R$4&amp;"]"),Tab_00.Trial[CONTA],$B30)</f>
        <v>0</v>
      </c>
      <c r="S30" s="78">
        <f t="shared" ca="1" si="34"/>
        <v>0</v>
      </c>
      <c r="T30" s="78">
        <f t="shared" ca="1" si="35"/>
        <v>0</v>
      </c>
      <c r="U30" s="4">
        <f ca="1">-SUMIFS(INDIRECT("Tab_00.Trial["&amp;U$4&amp;"]"),Tab_00.Trial[CONTA],$B30)</f>
        <v>0</v>
      </c>
      <c r="V30" s="78">
        <f t="shared" ca="1" si="36"/>
        <v>0</v>
      </c>
      <c r="W30" s="78">
        <f t="shared" ca="1" si="37"/>
        <v>0</v>
      </c>
      <c r="X30" s="4">
        <f ca="1">-SUMIFS(INDIRECT("Tab_00.Trial["&amp;X$4&amp;"]"),Tab_00.Trial[CONTA],$B30)</f>
        <v>0</v>
      </c>
      <c r="Y30" s="78">
        <f t="shared" ca="1" si="25"/>
        <v>0</v>
      </c>
      <c r="Z30" s="78">
        <f t="shared" ca="1" si="26"/>
        <v>0</v>
      </c>
      <c r="AA30" s="4">
        <f ca="1">-SUMIFS(INDIRECT("Tab_00.Trial["&amp;AA$4&amp;"]"),Tab_00.Trial[CONTA],$B30)</f>
        <v>0</v>
      </c>
      <c r="AB30" s="78">
        <f t="shared" ca="1" si="38"/>
        <v>0</v>
      </c>
      <c r="AC30" s="78">
        <f t="shared" ca="1" si="39"/>
        <v>0</v>
      </c>
      <c r="AD30" s="4">
        <f ca="1">-SUMIFS(INDIRECT("Tab_00.Trial["&amp;AD$4&amp;"]"),Tab_00.Trial[CONTA],$B30)</f>
        <v>0</v>
      </c>
      <c r="AE30" s="78">
        <f t="shared" ca="1" si="40"/>
        <v>0</v>
      </c>
      <c r="AF30" s="78">
        <f t="shared" ca="1" si="41"/>
        <v>0</v>
      </c>
      <c r="AG30" s="4">
        <f ca="1">-SUMIFS(INDIRECT("Tab_00.Trial["&amp;AG$4&amp;"]"),Tab_00.Trial[CONTA],$B30)</f>
        <v>0</v>
      </c>
      <c r="AH30" s="78">
        <f t="shared" ca="1" si="42"/>
        <v>0</v>
      </c>
      <c r="AI30" s="78">
        <f t="shared" ca="1" si="43"/>
        <v>0</v>
      </c>
      <c r="AJ30" s="4">
        <f ca="1">-SUMIFS(INDIRECT("Tab_00.Trial["&amp;AJ$4&amp;"]"),Tab_00.Trial[CONTA],$B30)</f>
        <v>0</v>
      </c>
      <c r="AK30" s="78">
        <f t="shared" ca="1" si="45"/>
        <v>0</v>
      </c>
      <c r="AL30" s="78">
        <f t="shared" ca="1" si="44"/>
        <v>0</v>
      </c>
    </row>
    <row r="31" spans="2:40" ht="15" customHeight="1" outlineLevel="1" x14ac:dyDescent="0.3">
      <c r="B31" s="14"/>
      <c r="C31" s="14"/>
      <c r="D31" s="4">
        <f ca="1">-SUMIFS(INDIRECT("Tab_00.Trial["&amp;D$4&amp;"]"),Tab_00.Trial[CONTA],$B31)</f>
        <v>0</v>
      </c>
      <c r="E31" s="78">
        <f t="shared" ca="1" si="23"/>
        <v>0</v>
      </c>
      <c r="F31" s="4">
        <f ca="1">-SUMIFS(INDIRECT("Tab_00.Trial["&amp;F$4&amp;"]"),Tab_00.Trial[CONTA],$B31)</f>
        <v>0</v>
      </c>
      <c r="G31" s="78">
        <f t="shared" ca="1" si="27"/>
        <v>0</v>
      </c>
      <c r="H31" s="78">
        <f t="shared" ca="1" si="24"/>
        <v>0</v>
      </c>
      <c r="I31" s="4">
        <f ca="1">-SUMIFS(INDIRECT("Tab_00.Trial["&amp;I$4&amp;"]"),Tab_00.Trial[CONTA],$B31)</f>
        <v>0</v>
      </c>
      <c r="J31" s="78">
        <f t="shared" ca="1" si="28"/>
        <v>0</v>
      </c>
      <c r="K31" s="78">
        <f t="shared" ca="1" si="29"/>
        <v>0</v>
      </c>
      <c r="L31" s="4">
        <f ca="1">-SUMIFS(INDIRECT("Tab_00.Trial["&amp;L$4&amp;"]"),Tab_00.Trial[CONTA],$B31)</f>
        <v>0</v>
      </c>
      <c r="M31" s="78">
        <f t="shared" ca="1" si="30"/>
        <v>0</v>
      </c>
      <c r="N31" s="78">
        <f t="shared" ca="1" si="31"/>
        <v>0</v>
      </c>
      <c r="O31" s="4">
        <f ca="1">-SUMIFS(INDIRECT("Tab_00.Trial["&amp;O$4&amp;"]"),Tab_00.Trial[CONTA],$B31)</f>
        <v>0</v>
      </c>
      <c r="P31" s="78">
        <f t="shared" ca="1" si="32"/>
        <v>0</v>
      </c>
      <c r="Q31" s="78">
        <f t="shared" ca="1" si="33"/>
        <v>0</v>
      </c>
      <c r="R31" s="4">
        <f ca="1">-SUMIFS(INDIRECT("Tab_00.Trial["&amp;R$4&amp;"]"),Tab_00.Trial[CONTA],$B31)</f>
        <v>0</v>
      </c>
      <c r="S31" s="78">
        <f t="shared" ca="1" si="34"/>
        <v>0</v>
      </c>
      <c r="T31" s="78">
        <f t="shared" ca="1" si="35"/>
        <v>0</v>
      </c>
      <c r="U31" s="4">
        <f ca="1">-SUMIFS(INDIRECT("Tab_00.Trial["&amp;U$4&amp;"]"),Tab_00.Trial[CONTA],$B31)</f>
        <v>0</v>
      </c>
      <c r="V31" s="78">
        <f t="shared" ca="1" si="36"/>
        <v>0</v>
      </c>
      <c r="W31" s="78">
        <f t="shared" ca="1" si="37"/>
        <v>0</v>
      </c>
      <c r="X31" s="4">
        <f ca="1">-SUMIFS(INDIRECT("Tab_00.Trial["&amp;X$4&amp;"]"),Tab_00.Trial[CONTA],$B31)</f>
        <v>0</v>
      </c>
      <c r="Y31" s="78">
        <f t="shared" ca="1" si="25"/>
        <v>0</v>
      </c>
      <c r="Z31" s="78">
        <f t="shared" ca="1" si="26"/>
        <v>0</v>
      </c>
      <c r="AA31" s="4">
        <f ca="1">-SUMIFS(INDIRECT("Tab_00.Trial["&amp;AA$4&amp;"]"),Tab_00.Trial[CONTA],$B31)</f>
        <v>0</v>
      </c>
      <c r="AB31" s="78">
        <f t="shared" ca="1" si="38"/>
        <v>0</v>
      </c>
      <c r="AC31" s="78">
        <f t="shared" ca="1" si="39"/>
        <v>0</v>
      </c>
      <c r="AD31" s="4">
        <f ca="1">-SUMIFS(INDIRECT("Tab_00.Trial["&amp;AD$4&amp;"]"),Tab_00.Trial[CONTA],$B31)</f>
        <v>0</v>
      </c>
      <c r="AE31" s="78">
        <f t="shared" ca="1" si="40"/>
        <v>0</v>
      </c>
      <c r="AF31" s="78">
        <f t="shared" ca="1" si="41"/>
        <v>0</v>
      </c>
      <c r="AG31" s="4">
        <f ca="1">-SUMIFS(INDIRECT("Tab_00.Trial["&amp;AG$4&amp;"]"),Tab_00.Trial[CONTA],$B31)</f>
        <v>0</v>
      </c>
      <c r="AH31" s="78">
        <f t="shared" ca="1" si="42"/>
        <v>0</v>
      </c>
      <c r="AI31" s="78">
        <f t="shared" ca="1" si="43"/>
        <v>0</v>
      </c>
      <c r="AJ31" s="4">
        <f ca="1">-SUMIFS(INDIRECT("Tab_00.Trial["&amp;AJ$4&amp;"]"),Tab_00.Trial[CONTA],$B31)</f>
        <v>0</v>
      </c>
      <c r="AK31" s="78">
        <f t="shared" ca="1" si="45"/>
        <v>0</v>
      </c>
      <c r="AL31" s="78">
        <f t="shared" ca="1" si="44"/>
        <v>0</v>
      </c>
    </row>
    <row r="32" spans="2:40" ht="15" customHeight="1" outlineLevel="1" x14ac:dyDescent="0.3">
      <c r="B32" s="14"/>
      <c r="C32" s="14"/>
      <c r="D32" s="4">
        <f ca="1">-SUMIFS(INDIRECT("Tab_00.Trial["&amp;D$4&amp;"]"),Tab_00.Trial[CONTA],$B32)</f>
        <v>0</v>
      </c>
      <c r="E32" s="78">
        <f t="shared" ca="1" si="23"/>
        <v>0</v>
      </c>
      <c r="F32" s="4">
        <f ca="1">-SUMIFS(INDIRECT("Tab_00.Trial["&amp;F$4&amp;"]"),Tab_00.Trial[CONTA],$B32)</f>
        <v>0</v>
      </c>
      <c r="G32" s="78">
        <f t="shared" ca="1" si="27"/>
        <v>0</v>
      </c>
      <c r="H32" s="78">
        <f t="shared" ca="1" si="24"/>
        <v>0</v>
      </c>
      <c r="I32" s="4">
        <f ca="1">-SUMIFS(INDIRECT("Tab_00.Trial["&amp;I$4&amp;"]"),Tab_00.Trial[CONTA],$B32)</f>
        <v>0</v>
      </c>
      <c r="J32" s="78">
        <f t="shared" ca="1" si="28"/>
        <v>0</v>
      </c>
      <c r="K32" s="78">
        <f t="shared" ca="1" si="29"/>
        <v>0</v>
      </c>
      <c r="L32" s="4">
        <f ca="1">-SUMIFS(INDIRECT("Tab_00.Trial["&amp;L$4&amp;"]"),Tab_00.Trial[CONTA],$B32)</f>
        <v>0</v>
      </c>
      <c r="M32" s="78">
        <f t="shared" ca="1" si="30"/>
        <v>0</v>
      </c>
      <c r="N32" s="78">
        <f t="shared" ca="1" si="31"/>
        <v>0</v>
      </c>
      <c r="O32" s="4">
        <f ca="1">-SUMIFS(INDIRECT("Tab_00.Trial["&amp;O$4&amp;"]"),Tab_00.Trial[CONTA],$B32)</f>
        <v>0</v>
      </c>
      <c r="P32" s="78">
        <f t="shared" ca="1" si="32"/>
        <v>0</v>
      </c>
      <c r="Q32" s="78">
        <f t="shared" ca="1" si="33"/>
        <v>0</v>
      </c>
      <c r="R32" s="4">
        <f ca="1">-SUMIFS(INDIRECT("Tab_00.Trial["&amp;R$4&amp;"]"),Tab_00.Trial[CONTA],$B32)</f>
        <v>0</v>
      </c>
      <c r="S32" s="78">
        <f t="shared" ca="1" si="34"/>
        <v>0</v>
      </c>
      <c r="T32" s="78">
        <f t="shared" ca="1" si="35"/>
        <v>0</v>
      </c>
      <c r="U32" s="4">
        <f ca="1">-SUMIFS(INDIRECT("Tab_00.Trial["&amp;U$4&amp;"]"),Tab_00.Trial[CONTA],$B32)</f>
        <v>0</v>
      </c>
      <c r="V32" s="78">
        <f t="shared" ca="1" si="36"/>
        <v>0</v>
      </c>
      <c r="W32" s="78">
        <f t="shared" ca="1" si="37"/>
        <v>0</v>
      </c>
      <c r="X32" s="4">
        <f ca="1">-SUMIFS(INDIRECT("Tab_00.Trial["&amp;X$4&amp;"]"),Tab_00.Trial[CONTA],$B32)</f>
        <v>0</v>
      </c>
      <c r="Y32" s="78">
        <f t="shared" ca="1" si="25"/>
        <v>0</v>
      </c>
      <c r="Z32" s="78">
        <f t="shared" ca="1" si="26"/>
        <v>0</v>
      </c>
      <c r="AA32" s="4">
        <f ca="1">-SUMIFS(INDIRECT("Tab_00.Trial["&amp;AA$4&amp;"]"),Tab_00.Trial[CONTA],$B32)</f>
        <v>0</v>
      </c>
      <c r="AB32" s="78">
        <f t="shared" ca="1" si="38"/>
        <v>0</v>
      </c>
      <c r="AC32" s="78">
        <f t="shared" ca="1" si="39"/>
        <v>0</v>
      </c>
      <c r="AD32" s="4">
        <f ca="1">-SUMIFS(INDIRECT("Tab_00.Trial["&amp;AD$4&amp;"]"),Tab_00.Trial[CONTA],$B32)</f>
        <v>0</v>
      </c>
      <c r="AE32" s="78">
        <f t="shared" ca="1" si="40"/>
        <v>0</v>
      </c>
      <c r="AF32" s="78">
        <f t="shared" ca="1" si="41"/>
        <v>0</v>
      </c>
      <c r="AG32" s="4">
        <f ca="1">-SUMIFS(INDIRECT("Tab_00.Trial["&amp;AG$4&amp;"]"),Tab_00.Trial[CONTA],$B32)</f>
        <v>0</v>
      </c>
      <c r="AH32" s="78">
        <f t="shared" ca="1" si="42"/>
        <v>0</v>
      </c>
      <c r="AI32" s="78">
        <f t="shared" ca="1" si="43"/>
        <v>0</v>
      </c>
      <c r="AJ32" s="4">
        <f ca="1">-SUMIFS(INDIRECT("Tab_00.Trial["&amp;AJ$4&amp;"]"),Tab_00.Trial[CONTA],$B32)</f>
        <v>0</v>
      </c>
      <c r="AK32" s="78">
        <f t="shared" ca="1" si="45"/>
        <v>0</v>
      </c>
      <c r="AL32" s="78">
        <f t="shared" ca="1" si="44"/>
        <v>0</v>
      </c>
    </row>
    <row r="33" spans="2:41" ht="5.0999999999999996" customHeight="1" outlineLevel="1" x14ac:dyDescent="0.3">
      <c r="B33" s="74"/>
      <c r="C33" s="75"/>
      <c r="D33" s="76"/>
      <c r="E33" s="77"/>
      <c r="F33" s="76"/>
      <c r="G33" s="77"/>
      <c r="H33" s="77"/>
      <c r="I33" s="76"/>
      <c r="J33" s="77"/>
      <c r="K33" s="77"/>
      <c r="L33" s="76"/>
      <c r="M33" s="77"/>
      <c r="N33" s="77"/>
      <c r="O33" s="76"/>
      <c r="P33" s="77"/>
      <c r="Q33" s="77"/>
      <c r="R33" s="76"/>
      <c r="S33" s="77"/>
      <c r="T33" s="77"/>
      <c r="U33" s="76"/>
      <c r="V33" s="77"/>
      <c r="W33" s="77"/>
      <c r="X33" s="76"/>
      <c r="Y33" s="77"/>
      <c r="Z33" s="77"/>
      <c r="AA33" s="76"/>
      <c r="AB33" s="77"/>
      <c r="AC33" s="77"/>
      <c r="AD33" s="76"/>
      <c r="AE33" s="77"/>
      <c r="AF33" s="77"/>
      <c r="AG33" s="76"/>
      <c r="AH33" s="77"/>
      <c r="AI33" s="77"/>
      <c r="AJ33" s="76"/>
      <c r="AK33" s="77"/>
      <c r="AL33" s="77"/>
    </row>
    <row r="34" spans="2:41" ht="5.0999999999999996" customHeight="1" x14ac:dyDescent="0.3"/>
    <row r="35" spans="2:41" ht="15" customHeight="1" x14ac:dyDescent="0.3">
      <c r="C35" s="17" t="s">
        <v>151</v>
      </c>
      <c r="D35" s="16">
        <f ca="1">SUBTOTAL(9,D$5:D$34)</f>
        <v>933250.2</v>
      </c>
      <c r="E35" s="80">
        <f ca="1">IFERROR($D35/$D$6,0)</f>
        <v>1</v>
      </c>
      <c r="F35" s="16">
        <f ca="1">SUBTOTAL(9,F$5:F$34)</f>
        <v>1457861.04</v>
      </c>
      <c r="G35" s="80">
        <f ca="1">IFERROR($F35/$F$6,0)</f>
        <v>1</v>
      </c>
      <c r="H35" s="80">
        <f ca="1">IFERROR(($F35-$D35)/ABS($D35),0)</f>
        <v>0.56210000000000004</v>
      </c>
      <c r="I35" s="16">
        <f ca="1">SUBTOTAL(9,I$5:I$34)</f>
        <v>2934951.22</v>
      </c>
      <c r="J35" s="80">
        <f ca="1">IFERROR($I35/$I$6,0)</f>
        <v>1</v>
      </c>
      <c r="K35" s="80">
        <f t="shared" ref="K35" ca="1" si="46">IFERROR(($I35-$F35)/ABS($F35),0)</f>
        <v>1.0132000000000001</v>
      </c>
      <c r="L35" s="16">
        <f ca="1">SUBTOTAL(9,L$5:L$34)</f>
        <v>3936120.67</v>
      </c>
      <c r="M35" s="80">
        <f ca="1">IFERROR($L35/$L$6,0)</f>
        <v>1</v>
      </c>
      <c r="N35" s="80">
        <f t="shared" ref="N35" ca="1" si="47">IFERROR(($L35-$I35)/ABS($I35),0)</f>
        <v>0.34110000000000001</v>
      </c>
      <c r="O35" s="16">
        <f ca="1">SUBTOTAL(9,O$5:O$34)</f>
        <v>5137226.34</v>
      </c>
      <c r="P35" s="80">
        <f ca="1">IFERROR($O35/$O$6,0)</f>
        <v>1</v>
      </c>
      <c r="Q35" s="80">
        <f t="shared" ref="Q35" ca="1" si="48">IFERROR(($O35-$L35)/ABS($L35),0)</f>
        <v>0.30509999999999998</v>
      </c>
      <c r="R35" s="16">
        <f ca="1">SUBTOTAL(9,R$5:R$34)</f>
        <v>7187435.1500000004</v>
      </c>
      <c r="S35" s="80">
        <f ca="1">IFERROR($R35/$R$6,0)</f>
        <v>1</v>
      </c>
      <c r="T35" s="80">
        <f t="shared" ref="T35" ca="1" si="49">IFERROR(($R35-$O35)/ABS($O35),0)</f>
        <v>0.39910000000000001</v>
      </c>
      <c r="U35" s="16">
        <f ca="1">SUBTOTAL(9,U$5:U$34)</f>
        <v>7187435.1500000004</v>
      </c>
      <c r="V35" s="80">
        <f ca="1">IFERROR($U35/$U$6,0)</f>
        <v>1</v>
      </c>
      <c r="W35" s="80">
        <f t="shared" ref="W35" ca="1" si="50">IFERROR(($U35-$R35)/ABS($R35),0)</f>
        <v>0</v>
      </c>
      <c r="X35" s="16">
        <f ca="1">SUBTOTAL(9,X$5:X$34)</f>
        <v>7187435.1500000004</v>
      </c>
      <c r="Y35" s="80">
        <f ca="1">IFERROR($X35/$X$6,0)</f>
        <v>1</v>
      </c>
      <c r="Z35" s="80">
        <f t="shared" ref="Z35" ca="1" si="51">IFERROR(($X35-$U35)/ABS($U35),0)</f>
        <v>0</v>
      </c>
      <c r="AA35" s="16">
        <f ca="1">SUBTOTAL(9,AA$5:AA$34)</f>
        <v>9173594.4199999999</v>
      </c>
      <c r="AB35" s="80">
        <f ca="1">IFERROR($AA35/$AA$6,0)</f>
        <v>0.99870000000000003</v>
      </c>
      <c r="AC35" s="80">
        <f t="shared" ref="AC35" ca="1" si="52">IFERROR(($AA35-$X35)/ABS($X35),0)</f>
        <v>0.27629999999999999</v>
      </c>
      <c r="AD35" s="16">
        <f ca="1">SUBTOTAL(9,AD$5:AD$34)</f>
        <v>10398407.289999999</v>
      </c>
      <c r="AE35" s="80">
        <f ca="1">IFERROR($AD35/$AD$6,0)</f>
        <v>0.99880000000000002</v>
      </c>
      <c r="AF35" s="80">
        <f t="shared" ref="AF35" ca="1" si="53">IFERROR(($AD35-$AA35)/ABS($AA35),0)</f>
        <v>0.13350000000000001</v>
      </c>
      <c r="AG35" s="16">
        <f ca="1">SUBTOTAL(9,AG$5:AG$34)</f>
        <v>11300111.439999999</v>
      </c>
      <c r="AH35" s="80">
        <f ca="1">IFERROR($AG35/$AG$6,0)</f>
        <v>0.99880000000000002</v>
      </c>
      <c r="AI35" s="80">
        <f t="shared" ref="AI35" ca="1" si="54">IFERROR(($AG35-$AD35)/ABS($AD35),0)</f>
        <v>8.6699999999999999E-2</v>
      </c>
      <c r="AJ35" s="16">
        <f ca="1">SUBTOTAL(9,AJ$5:AJ$34)</f>
        <v>12773942.98</v>
      </c>
      <c r="AK35" s="80">
        <f ca="1">IFERROR($AJ35/$AJ$6,0)</f>
        <v>0.99890000000000001</v>
      </c>
      <c r="AL35" s="80">
        <f t="shared" ref="AL35" ca="1" si="55">IFERROR(($AJ35-$AG35)/ABS($AG35),0)</f>
        <v>0.13039999999999999</v>
      </c>
    </row>
    <row r="36" spans="2:41" ht="5.0999999999999996" customHeight="1" x14ac:dyDescent="0.3"/>
    <row r="37" spans="2:41" ht="9.9" customHeight="1" x14ac:dyDescent="0.3">
      <c r="C37" s="17" t="s">
        <v>152</v>
      </c>
    </row>
    <row r="38" spans="2:41" ht="15" customHeight="1" x14ac:dyDescent="0.3">
      <c r="B38" s="3" t="s">
        <v>103</v>
      </c>
      <c r="C38" s="1" t="s">
        <v>153</v>
      </c>
      <c r="D38" s="4">
        <f ca="1">SUBTOTAL(9,D$39:D$57)</f>
        <v>-890872.91</v>
      </c>
      <c r="E38" s="78">
        <f t="shared" ref="E38:E56" ca="1" si="56">IFERROR($D38/$D$6,0)</f>
        <v>-0.9546</v>
      </c>
      <c r="F38" s="4">
        <f ca="1">SUBTOTAL(9,F$39:F$57)</f>
        <v>-1098155.19</v>
      </c>
      <c r="G38" s="78">
        <f ca="1">IFERROR($F38/$F$6,0)</f>
        <v>-0.75329999999999997</v>
      </c>
      <c r="H38" s="78">
        <f t="shared" ref="H38:H56" ca="1" si="57">IFERROR(($F38-$D38)/ABS($D38),0)</f>
        <v>-0.23269999999999999</v>
      </c>
      <c r="I38" s="4">
        <f ca="1">SUBTOTAL(9,I$39:I$57)</f>
        <v>-2382317.73</v>
      </c>
      <c r="J38" s="78">
        <f ca="1">IFERROR($I38/$I$6,0)</f>
        <v>-0.81169999999999998</v>
      </c>
      <c r="K38" s="78">
        <f ca="1">IFERROR(($I38-$F38)/ABS($F38),0)</f>
        <v>-1.1694</v>
      </c>
      <c r="L38" s="4">
        <f ca="1">SUBTOTAL(9,L$39:L$57)</f>
        <v>-3081461.88</v>
      </c>
      <c r="M38" s="78">
        <f ca="1">IFERROR($L38/$L$6,0)</f>
        <v>-0.78290000000000004</v>
      </c>
      <c r="N38" s="78">
        <f ca="1">IFERROR(($L38-$I38)/ABS($I38),0)</f>
        <v>-0.29349999999999998</v>
      </c>
      <c r="O38" s="4">
        <f ca="1">SUBTOTAL(9,O$39:O$57)</f>
        <v>-3802561.31</v>
      </c>
      <c r="P38" s="78">
        <f ca="1">IFERROR($O38/$O$6,0)</f>
        <v>-0.74019999999999997</v>
      </c>
      <c r="Q38" s="78">
        <f ca="1">IFERROR(($O38-$L38)/ABS($L38),0)</f>
        <v>-0.23400000000000001</v>
      </c>
      <c r="R38" s="4">
        <f ca="1">SUBTOTAL(9,R$39:R$57)</f>
        <v>-4954743.9800000004</v>
      </c>
      <c r="S38" s="78">
        <f ca="1">IFERROR($R38/$R$6,0)</f>
        <v>-0.68940000000000001</v>
      </c>
      <c r="T38" s="78">
        <f ca="1">IFERROR(($R38-$O38)/ABS($O38),0)</f>
        <v>-0.30299999999999999</v>
      </c>
      <c r="U38" s="4">
        <f ca="1">SUBTOTAL(9,U$39:U$57)</f>
        <v>-4954743.9800000004</v>
      </c>
      <c r="V38" s="78">
        <f ca="1">IFERROR($U38/$U$6,0)</f>
        <v>-0.68940000000000001</v>
      </c>
      <c r="W38" s="78">
        <f ca="1">IFERROR(($U38-$R38)/ABS($R38),0)</f>
        <v>0</v>
      </c>
      <c r="X38" s="4">
        <f ca="1">SUBTOTAL(9,X$39:X$57)</f>
        <v>-4954743.9800000004</v>
      </c>
      <c r="Y38" s="78">
        <f t="shared" ref="Y38:Y56" ca="1" si="58">IFERROR($X38/$X$6,0)</f>
        <v>-0.68940000000000001</v>
      </c>
      <c r="Z38" s="78">
        <f t="shared" ref="Z38:Z56" ca="1" si="59">IFERROR(($X38-$U38)/ABS($U38),0)</f>
        <v>0</v>
      </c>
      <c r="AA38" s="4">
        <f ca="1">SUBTOTAL(9,AA$39:AA$57)</f>
        <v>-6257525.4000000004</v>
      </c>
      <c r="AB38" s="78">
        <f ca="1">IFERROR($AA38/$AA$6,0)</f>
        <v>-0.68120000000000003</v>
      </c>
      <c r="AC38" s="78">
        <f ca="1">IFERROR(($AA38-$X38)/ABS($X38),0)</f>
        <v>-0.26290000000000002</v>
      </c>
      <c r="AD38" s="4">
        <f ca="1">SUBTOTAL(9,AD$39:AD$57)</f>
        <v>-7097600.2400000002</v>
      </c>
      <c r="AE38" s="78">
        <f ca="1">IFERROR($AD38/$AD$6,0)</f>
        <v>-0.68179999999999996</v>
      </c>
      <c r="AF38" s="78">
        <f ca="1">IFERROR(($AD38-$AA38)/ABS($AA38),0)</f>
        <v>-0.1343</v>
      </c>
      <c r="AG38" s="4">
        <f ca="1">SUBTOTAL(9,AG$39:AG$57)</f>
        <v>-7441302.1399999997</v>
      </c>
      <c r="AH38" s="78">
        <f ca="1">IFERROR($AG38/$AG$6,0)</f>
        <v>-0.65769999999999995</v>
      </c>
      <c r="AI38" s="78">
        <f ca="1">IFERROR(($AG38-$AD38)/ABS($AD38),0)</f>
        <v>-4.8399999999999999E-2</v>
      </c>
      <c r="AJ38" s="4">
        <f ca="1">SUBTOTAL(9,AJ$39:AJ$57)</f>
        <v>-8925977.7200000007</v>
      </c>
      <c r="AK38" s="78">
        <f ca="1">IFERROR($AJ38/$AJ$6,0)</f>
        <v>-0.69799999999999995</v>
      </c>
      <c r="AL38" s="78">
        <f ca="1">IFERROR(($AJ38-$AG38)/ABS($AG38),0)</f>
        <v>-0.19950000000000001</v>
      </c>
    </row>
    <row r="39" spans="2:41" ht="15" customHeight="1" outlineLevel="1" x14ac:dyDescent="0.3">
      <c r="B39" s="14" t="s">
        <v>397</v>
      </c>
      <c r="C39" s="14" t="s">
        <v>398</v>
      </c>
      <c r="D39" s="4">
        <f ca="1">-SUMIFS(INDIRECT("Tab_00.Trial["&amp;D$4&amp;"]"),Tab_00.Trial[CONTA],$B39)</f>
        <v>-2235.4699999999998</v>
      </c>
      <c r="E39" s="78">
        <f t="shared" ca="1" si="56"/>
        <v>-2.3999999999999998E-3</v>
      </c>
      <c r="F39" s="4">
        <f ca="1">-SUMIFS(INDIRECT("Tab_00.Trial["&amp;F$4&amp;"]"),Tab_00.Trial[CONTA],$B39)</f>
        <v>-2235.4699999999998</v>
      </c>
      <c r="G39" s="78">
        <f t="shared" ref="G39:G56" ca="1" si="60">IFERROR($F39/$F$6,0)</f>
        <v>-1.5E-3</v>
      </c>
      <c r="H39" s="78">
        <f t="shared" ca="1" si="57"/>
        <v>0</v>
      </c>
      <c r="I39" s="4">
        <f ca="1">-SUMIFS(INDIRECT("Tab_00.Trial["&amp;I$4&amp;"]"),Tab_00.Trial[CONTA],$B39)</f>
        <v>-5788.26</v>
      </c>
      <c r="J39" s="78">
        <f t="shared" ref="J39:J56" ca="1" si="61">IFERROR($I39/$I$6,0)</f>
        <v>-2E-3</v>
      </c>
      <c r="K39" s="78">
        <f t="shared" ref="K39:K56" ca="1" si="62">IFERROR(($I39-$F39)/ABS($F39),0)</f>
        <v>-1.5892999999999999</v>
      </c>
      <c r="L39" s="4">
        <f ca="1">-SUMIFS(INDIRECT("Tab_00.Trial["&amp;L$4&amp;"]"),Tab_00.Trial[CONTA],$B39)</f>
        <v>-6378.77</v>
      </c>
      <c r="M39" s="78">
        <f t="shared" ref="M39:M56" ca="1" si="63">IFERROR($L39/$L$6,0)</f>
        <v>-1.6000000000000001E-3</v>
      </c>
      <c r="N39" s="78">
        <f t="shared" ref="N39:N56" ca="1" si="64">IFERROR(($L39-$I39)/ABS($I39),0)</f>
        <v>-0.10199999999999999</v>
      </c>
      <c r="O39" s="4">
        <f ca="1">-SUMIFS(INDIRECT("Tab_00.Trial["&amp;O$4&amp;"]"),Tab_00.Trial[CONTA],$B39)</f>
        <v>-6378.77</v>
      </c>
      <c r="P39" s="78">
        <f t="shared" ref="P39:P56" ca="1" si="65">IFERROR($O39/$O$6,0)</f>
        <v>-1.1999999999999999E-3</v>
      </c>
      <c r="Q39" s="78">
        <f t="shared" ref="Q39:Q56" ca="1" si="66">IFERROR(($O39-$L39)/ABS($L39),0)</f>
        <v>0</v>
      </c>
      <c r="R39" s="4">
        <f ca="1">-SUMIFS(INDIRECT("Tab_00.Trial["&amp;R$4&amp;"]"),Tab_00.Trial[CONTA],$B39)</f>
        <v>-9743.5</v>
      </c>
      <c r="S39" s="78">
        <f t="shared" ref="S39:S56" ca="1" si="67">IFERROR($R39/$R$6,0)</f>
        <v>-1.4E-3</v>
      </c>
      <c r="T39" s="78">
        <f t="shared" ref="T39:T56" ca="1" si="68">IFERROR(($R39-$O39)/ABS($O39),0)</f>
        <v>-0.52749999999999997</v>
      </c>
      <c r="U39" s="4">
        <f ca="1">-SUMIFS(INDIRECT("Tab_00.Trial["&amp;U$4&amp;"]"),Tab_00.Trial[CONTA],$B39)</f>
        <v>-9743.5</v>
      </c>
      <c r="V39" s="78">
        <f t="shared" ref="V39:V56" ca="1" si="69">IFERROR($U39/$U$6,0)</f>
        <v>-1.4E-3</v>
      </c>
      <c r="W39" s="78">
        <f t="shared" ref="W39:W56" ca="1" si="70">IFERROR(($U39-$R39)/ABS($R39),0)</f>
        <v>0</v>
      </c>
      <c r="X39" s="4">
        <f ca="1">-SUMIFS(INDIRECT("Tab_00.Trial["&amp;X$4&amp;"]"),Tab_00.Trial[CONTA],$B39)</f>
        <v>-9743.5</v>
      </c>
      <c r="Y39" s="78">
        <f t="shared" ca="1" si="58"/>
        <v>-1.4E-3</v>
      </c>
      <c r="Z39" s="78">
        <f t="shared" ca="1" si="59"/>
        <v>0</v>
      </c>
      <c r="AA39" s="4">
        <f ca="1">-SUMIFS(INDIRECT("Tab_00.Trial["&amp;AA$4&amp;"]"),Tab_00.Trial[CONTA],$B39)</f>
        <v>-9768.99</v>
      </c>
      <c r="AB39" s="78">
        <f t="shared" ref="AB39:AB56" ca="1" si="71">IFERROR($AA39/$AA$6,0)</f>
        <v>-1.1000000000000001E-3</v>
      </c>
      <c r="AC39" s="78">
        <f t="shared" ref="AC39:AC56" ca="1" si="72">IFERROR(($AA39-$X39)/ABS($X39),0)</f>
        <v>-2.5999999999999999E-3</v>
      </c>
      <c r="AD39" s="4">
        <f ca="1">-SUMIFS(INDIRECT("Tab_00.Trial["&amp;AD$4&amp;"]"),Tab_00.Trial[CONTA],$B39)</f>
        <v>-10917.24</v>
      </c>
      <c r="AE39" s="78">
        <f t="shared" ref="AE39:AE56" ca="1" si="73">IFERROR($AD39/$AD$6,0)</f>
        <v>-1E-3</v>
      </c>
      <c r="AF39" s="78">
        <f t="shared" ref="AF39:AF56" ca="1" si="74">IFERROR(($AD39-$AA39)/ABS($AA39),0)</f>
        <v>-0.11749999999999999</v>
      </c>
      <c r="AG39" s="4">
        <f ca="1">-SUMIFS(INDIRECT("Tab_00.Trial["&amp;AG$4&amp;"]"),Tab_00.Trial[CONTA],$B39)</f>
        <v>-10917.24</v>
      </c>
      <c r="AH39" s="78">
        <f t="shared" ref="AH39:AH56" ca="1" si="75">IFERROR($AG39/$AG$6,0)</f>
        <v>-1E-3</v>
      </c>
      <c r="AI39" s="78">
        <f t="shared" ref="AI39:AI56" ca="1" si="76">IFERROR(($AG39-$AD39)/ABS($AD39),0)</f>
        <v>0</v>
      </c>
      <c r="AJ39" s="4">
        <f ca="1">-SUMIFS(INDIRECT("Tab_00.Trial["&amp;AJ$4&amp;"]"),Tab_00.Trial[CONTA],$B39)</f>
        <v>-12276.76</v>
      </c>
      <c r="AK39" s="78">
        <f t="shared" ref="AK39:AK56" ca="1" si="77">IFERROR($AJ39/$AJ$6,0)</f>
        <v>-1E-3</v>
      </c>
      <c r="AL39" s="78">
        <f t="shared" ref="AL39:AL56" ca="1" si="78">IFERROR(($AJ39-$AG39)/ABS($AG39),0)</f>
        <v>-0.1245</v>
      </c>
      <c r="AM39" s="141"/>
    </row>
    <row r="40" spans="2:41" ht="15" customHeight="1" outlineLevel="1" x14ac:dyDescent="0.3">
      <c r="B40" s="14" t="s">
        <v>399</v>
      </c>
      <c r="C40" s="14" t="s">
        <v>400</v>
      </c>
      <c r="D40" s="4">
        <f ca="1">-SUMIFS(INDIRECT("Tab_00.Trial["&amp;D$4&amp;"]"),Tab_00.Trial[CONTA],$B40)</f>
        <v>0</v>
      </c>
      <c r="E40" s="78">
        <f t="shared" ca="1" si="56"/>
        <v>0</v>
      </c>
      <c r="F40" s="4">
        <f ca="1">-SUMIFS(INDIRECT("Tab_00.Trial["&amp;F$4&amp;"]"),Tab_00.Trial[CONTA],$B40)</f>
        <v>0</v>
      </c>
      <c r="G40" s="78">
        <f t="shared" ca="1" si="60"/>
        <v>0</v>
      </c>
      <c r="H40" s="78">
        <f t="shared" ca="1" si="57"/>
        <v>0</v>
      </c>
      <c r="I40" s="4">
        <f ca="1">-SUMIFS(INDIRECT("Tab_00.Trial["&amp;I$4&amp;"]"),Tab_00.Trial[CONTA],$B40)</f>
        <v>0</v>
      </c>
      <c r="J40" s="78">
        <f t="shared" ca="1" si="61"/>
        <v>0</v>
      </c>
      <c r="K40" s="78">
        <f t="shared" ca="1" si="62"/>
        <v>0</v>
      </c>
      <c r="L40" s="4">
        <f ca="1">-SUMIFS(INDIRECT("Tab_00.Trial["&amp;L$4&amp;"]"),Tab_00.Trial[CONTA],$B40)</f>
        <v>0</v>
      </c>
      <c r="M40" s="78">
        <f t="shared" ca="1" si="63"/>
        <v>0</v>
      </c>
      <c r="N40" s="78">
        <f t="shared" ca="1" si="64"/>
        <v>0</v>
      </c>
      <c r="O40" s="4">
        <f ca="1">-SUMIFS(INDIRECT("Tab_00.Trial["&amp;O$4&amp;"]"),Tab_00.Trial[CONTA],$B40)</f>
        <v>0</v>
      </c>
      <c r="P40" s="78">
        <f t="shared" ca="1" si="65"/>
        <v>0</v>
      </c>
      <c r="Q40" s="78">
        <f t="shared" ca="1" si="66"/>
        <v>0</v>
      </c>
      <c r="R40" s="4">
        <f ca="1">-SUMIFS(INDIRECT("Tab_00.Trial["&amp;R$4&amp;"]"),Tab_00.Trial[CONTA],$B40)</f>
        <v>0</v>
      </c>
      <c r="S40" s="78">
        <f t="shared" ca="1" si="67"/>
        <v>0</v>
      </c>
      <c r="T40" s="78">
        <f t="shared" ca="1" si="68"/>
        <v>0</v>
      </c>
      <c r="U40" s="4">
        <f ca="1">-SUMIFS(INDIRECT("Tab_00.Trial["&amp;U$4&amp;"]"),Tab_00.Trial[CONTA],$B40)</f>
        <v>0</v>
      </c>
      <c r="V40" s="78">
        <f t="shared" ca="1" si="69"/>
        <v>0</v>
      </c>
      <c r="W40" s="78">
        <f t="shared" ca="1" si="70"/>
        <v>0</v>
      </c>
      <c r="X40" s="4">
        <f ca="1">-SUMIFS(INDIRECT("Tab_00.Trial["&amp;X$4&amp;"]"),Tab_00.Trial[CONTA],$B40)</f>
        <v>0</v>
      </c>
      <c r="Y40" s="78">
        <f t="shared" ca="1" si="58"/>
        <v>0</v>
      </c>
      <c r="Z40" s="78">
        <f t="shared" ca="1" si="59"/>
        <v>0</v>
      </c>
      <c r="AA40" s="4">
        <f ca="1">-SUMIFS(INDIRECT("Tab_00.Trial["&amp;AA$4&amp;"]"),Tab_00.Trial[CONTA],$B40)</f>
        <v>-593.83000000000004</v>
      </c>
      <c r="AB40" s="78">
        <f t="shared" ca="1" si="71"/>
        <v>-1E-4</v>
      </c>
      <c r="AC40" s="78">
        <f t="shared" ca="1" si="72"/>
        <v>0</v>
      </c>
      <c r="AD40" s="4">
        <f ca="1">-SUMIFS(INDIRECT("Tab_00.Trial["&amp;AD$4&amp;"]"),Tab_00.Trial[CONTA],$B40)</f>
        <v>-1631.63</v>
      </c>
      <c r="AE40" s="78">
        <f t="shared" ca="1" si="73"/>
        <v>-2.0000000000000001E-4</v>
      </c>
      <c r="AF40" s="78">
        <f t="shared" ca="1" si="74"/>
        <v>-1.7476</v>
      </c>
      <c r="AG40" s="4">
        <f ca="1">-SUMIFS(INDIRECT("Tab_00.Trial["&amp;AG$4&amp;"]"),Tab_00.Trial[CONTA],$B40)</f>
        <v>-1631.63</v>
      </c>
      <c r="AH40" s="78">
        <f t="shared" ca="1" si="75"/>
        <v>-1E-4</v>
      </c>
      <c r="AI40" s="78">
        <f t="shared" ca="1" si="76"/>
        <v>0</v>
      </c>
      <c r="AJ40" s="4">
        <f ca="1">-SUMIFS(INDIRECT("Tab_00.Trial["&amp;AJ$4&amp;"]"),Tab_00.Trial[CONTA],$B40)</f>
        <v>-1631.63</v>
      </c>
      <c r="AK40" s="78">
        <f t="shared" ca="1" si="77"/>
        <v>-1E-4</v>
      </c>
      <c r="AL40" s="78">
        <f t="shared" ca="1" si="78"/>
        <v>0</v>
      </c>
    </row>
    <row r="41" spans="2:41" ht="15" customHeight="1" outlineLevel="1" x14ac:dyDescent="0.3">
      <c r="B41" s="14" t="s">
        <v>401</v>
      </c>
      <c r="C41" s="14" t="s">
        <v>402</v>
      </c>
      <c r="D41" s="4">
        <f ca="1">-SUMIFS(INDIRECT("Tab_00.Trial["&amp;D$4&amp;"]"),Tab_00.Trial[CONTA],$B41)</f>
        <v>0</v>
      </c>
      <c r="E41" s="78">
        <f t="shared" ca="1" si="56"/>
        <v>0</v>
      </c>
      <c r="F41" s="4">
        <f ca="1">-SUMIFS(INDIRECT("Tab_00.Trial["&amp;F$4&amp;"]"),Tab_00.Trial[CONTA],$B41)</f>
        <v>0</v>
      </c>
      <c r="G41" s="78">
        <f t="shared" ca="1" si="60"/>
        <v>0</v>
      </c>
      <c r="H41" s="78">
        <f t="shared" ca="1" si="57"/>
        <v>0</v>
      </c>
      <c r="I41" s="4">
        <f ca="1">-SUMIFS(INDIRECT("Tab_00.Trial["&amp;I$4&amp;"]"),Tab_00.Trial[CONTA],$B41)</f>
        <v>0</v>
      </c>
      <c r="J41" s="78">
        <f t="shared" ca="1" si="61"/>
        <v>0</v>
      </c>
      <c r="K41" s="78">
        <f t="shared" ca="1" si="62"/>
        <v>0</v>
      </c>
      <c r="L41" s="4">
        <f ca="1">-SUMIFS(INDIRECT("Tab_00.Trial["&amp;L$4&amp;"]"),Tab_00.Trial[CONTA],$B41)</f>
        <v>0</v>
      </c>
      <c r="M41" s="78">
        <f t="shared" ca="1" si="63"/>
        <v>0</v>
      </c>
      <c r="N41" s="78">
        <f t="shared" ca="1" si="64"/>
        <v>0</v>
      </c>
      <c r="O41" s="4">
        <f ca="1">-SUMIFS(INDIRECT("Tab_00.Trial["&amp;O$4&amp;"]"),Tab_00.Trial[CONTA],$B41)</f>
        <v>0</v>
      </c>
      <c r="P41" s="78">
        <f t="shared" ca="1" si="65"/>
        <v>0</v>
      </c>
      <c r="Q41" s="78">
        <f t="shared" ca="1" si="66"/>
        <v>0</v>
      </c>
      <c r="R41" s="4">
        <f ca="1">-SUMIFS(INDIRECT("Tab_00.Trial["&amp;R$4&amp;"]"),Tab_00.Trial[CONTA],$B41)</f>
        <v>0</v>
      </c>
      <c r="S41" s="78">
        <f t="shared" ca="1" si="67"/>
        <v>0</v>
      </c>
      <c r="T41" s="78">
        <f t="shared" ca="1" si="68"/>
        <v>0</v>
      </c>
      <c r="U41" s="4">
        <f ca="1">-SUMIFS(INDIRECT("Tab_00.Trial["&amp;U$4&amp;"]"),Tab_00.Trial[CONTA],$B41)</f>
        <v>0</v>
      </c>
      <c r="V41" s="78">
        <f t="shared" ca="1" si="69"/>
        <v>0</v>
      </c>
      <c r="W41" s="78">
        <f t="shared" ca="1" si="70"/>
        <v>0</v>
      </c>
      <c r="X41" s="4">
        <f ca="1">-SUMIFS(INDIRECT("Tab_00.Trial["&amp;X$4&amp;"]"),Tab_00.Trial[CONTA],$B41)</f>
        <v>0</v>
      </c>
      <c r="Y41" s="78">
        <f t="shared" ca="1" si="58"/>
        <v>0</v>
      </c>
      <c r="Z41" s="78">
        <f t="shared" ca="1" si="59"/>
        <v>0</v>
      </c>
      <c r="AA41" s="4">
        <f ca="1">-SUMIFS(INDIRECT("Tab_00.Trial["&amp;AA$4&amp;"]"),Tab_00.Trial[CONTA],$B41)</f>
        <v>0</v>
      </c>
      <c r="AB41" s="78">
        <f t="shared" ca="1" si="71"/>
        <v>0</v>
      </c>
      <c r="AC41" s="78">
        <f t="shared" ca="1" si="72"/>
        <v>0</v>
      </c>
      <c r="AD41" s="4">
        <f ca="1">-SUMIFS(INDIRECT("Tab_00.Trial["&amp;AD$4&amp;"]"),Tab_00.Trial[CONTA],$B41)</f>
        <v>0</v>
      </c>
      <c r="AE41" s="78">
        <f t="shared" ca="1" si="73"/>
        <v>0</v>
      </c>
      <c r="AF41" s="78">
        <f t="shared" ca="1" si="74"/>
        <v>0</v>
      </c>
      <c r="AG41" s="4">
        <f ca="1">-SUMIFS(INDIRECT("Tab_00.Trial["&amp;AG$4&amp;"]"),Tab_00.Trial[CONTA],$B41)</f>
        <v>0</v>
      </c>
      <c r="AH41" s="78">
        <f t="shared" ca="1" si="75"/>
        <v>0</v>
      </c>
      <c r="AI41" s="78">
        <f t="shared" ca="1" si="76"/>
        <v>0</v>
      </c>
      <c r="AJ41" s="4">
        <f ca="1">-SUMIFS(INDIRECT("Tab_00.Trial["&amp;AJ$4&amp;"]"),Tab_00.Trial[CONTA],$B41)</f>
        <v>0</v>
      </c>
      <c r="AK41" s="78">
        <f t="shared" ca="1" si="77"/>
        <v>0</v>
      </c>
      <c r="AL41" s="78">
        <f t="shared" ca="1" si="78"/>
        <v>0</v>
      </c>
    </row>
    <row r="42" spans="2:41" ht="15" customHeight="1" outlineLevel="1" x14ac:dyDescent="0.3">
      <c r="B42" s="14" t="s">
        <v>403</v>
      </c>
      <c r="C42" s="14" t="s">
        <v>404</v>
      </c>
      <c r="D42" s="4">
        <f ca="1">-SUMIFS(INDIRECT("Tab_00.Trial["&amp;D$4&amp;"]"),Tab_00.Trial[CONTA],$B42)</f>
        <v>-4135.96</v>
      </c>
      <c r="E42" s="78">
        <f t="shared" ca="1" si="56"/>
        <v>-4.4000000000000003E-3</v>
      </c>
      <c r="F42" s="4">
        <f ca="1">-SUMIFS(INDIRECT("Tab_00.Trial["&amp;F$4&amp;"]"),Tab_00.Trial[CONTA],$B42)</f>
        <v>-8271.92</v>
      </c>
      <c r="G42" s="78">
        <f t="shared" ca="1" si="60"/>
        <v>-5.7000000000000002E-3</v>
      </c>
      <c r="H42" s="78">
        <f t="shared" ca="1" si="57"/>
        <v>-1</v>
      </c>
      <c r="I42" s="4">
        <f ca="1">-SUMIFS(INDIRECT("Tab_00.Trial["&amp;I$4&amp;"]"),Tab_00.Trial[CONTA],$B42)</f>
        <v>-12407.88</v>
      </c>
      <c r="J42" s="78">
        <f t="shared" ca="1" si="61"/>
        <v>-4.1999999999999997E-3</v>
      </c>
      <c r="K42" s="78">
        <f t="shared" ca="1" si="62"/>
        <v>-0.5</v>
      </c>
      <c r="L42" s="4">
        <f ca="1">-SUMIFS(INDIRECT("Tab_00.Trial["&amp;L$4&amp;"]"),Tab_00.Trial[CONTA],$B42)</f>
        <v>-16543.84</v>
      </c>
      <c r="M42" s="78">
        <f t="shared" ca="1" si="63"/>
        <v>-4.1999999999999997E-3</v>
      </c>
      <c r="N42" s="78">
        <f t="shared" ca="1" si="64"/>
        <v>-0.33329999999999999</v>
      </c>
      <c r="O42" s="4">
        <f ca="1">-SUMIFS(INDIRECT("Tab_00.Trial["&amp;O$4&amp;"]"),Tab_00.Trial[CONTA],$B42)</f>
        <v>-20679.8</v>
      </c>
      <c r="P42" s="78">
        <f t="shared" ca="1" si="65"/>
        <v>-4.0000000000000001E-3</v>
      </c>
      <c r="Q42" s="78">
        <f t="shared" ca="1" si="66"/>
        <v>-0.25</v>
      </c>
      <c r="R42" s="4">
        <f ca="1">-SUMIFS(INDIRECT("Tab_00.Trial["&amp;R$4&amp;"]"),Tab_00.Trial[CONTA],$B42)</f>
        <v>-28951.72</v>
      </c>
      <c r="S42" s="78">
        <f t="shared" ca="1" si="67"/>
        <v>-4.0000000000000001E-3</v>
      </c>
      <c r="T42" s="78">
        <f t="shared" ca="1" si="68"/>
        <v>-0.4</v>
      </c>
      <c r="U42" s="4">
        <f ca="1">-SUMIFS(INDIRECT("Tab_00.Trial["&amp;U$4&amp;"]"),Tab_00.Trial[CONTA],$B42)</f>
        <v>-28951.72</v>
      </c>
      <c r="V42" s="78">
        <f t="shared" ca="1" si="69"/>
        <v>-4.0000000000000001E-3</v>
      </c>
      <c r="W42" s="78">
        <f t="shared" ca="1" si="70"/>
        <v>0</v>
      </c>
      <c r="X42" s="4">
        <f ca="1">-SUMIFS(INDIRECT("Tab_00.Trial["&amp;X$4&amp;"]"),Tab_00.Trial[CONTA],$B42)</f>
        <v>-28951.72</v>
      </c>
      <c r="Y42" s="78">
        <f t="shared" ca="1" si="58"/>
        <v>-4.0000000000000001E-3</v>
      </c>
      <c r="Z42" s="78">
        <f t="shared" ca="1" si="59"/>
        <v>0</v>
      </c>
      <c r="AA42" s="4">
        <f ca="1">-SUMIFS(INDIRECT("Tab_00.Trial["&amp;AA$4&amp;"]"),Tab_00.Trial[CONTA],$B42)</f>
        <v>-39293.440000000002</v>
      </c>
      <c r="AB42" s="78">
        <f t="shared" ca="1" si="71"/>
        <v>-4.3E-3</v>
      </c>
      <c r="AC42" s="78">
        <f t="shared" ca="1" si="72"/>
        <v>-0.35720000000000002</v>
      </c>
      <c r="AD42" s="4">
        <f ca="1">-SUMIFS(INDIRECT("Tab_00.Trial["&amp;AD$4&amp;"]"),Tab_00.Trial[CONTA],$B42)</f>
        <v>-43709.4</v>
      </c>
      <c r="AE42" s="78">
        <f t="shared" ca="1" si="73"/>
        <v>-4.1999999999999997E-3</v>
      </c>
      <c r="AF42" s="78">
        <f t="shared" ca="1" si="74"/>
        <v>-0.1124</v>
      </c>
      <c r="AG42" s="4">
        <f ca="1">-SUMIFS(INDIRECT("Tab_00.Trial["&amp;AG$4&amp;"]"),Tab_00.Trial[CONTA],$B42)</f>
        <v>-48374.95</v>
      </c>
      <c r="AH42" s="78">
        <f t="shared" ca="1" si="75"/>
        <v>-4.3E-3</v>
      </c>
      <c r="AI42" s="78">
        <f t="shared" ca="1" si="76"/>
        <v>-0.1067</v>
      </c>
      <c r="AJ42" s="4">
        <f ca="1">-SUMIFS(INDIRECT("Tab_00.Trial["&amp;AJ$4&amp;"]"),Tab_00.Trial[CONTA],$B42)</f>
        <v>-52960.91</v>
      </c>
      <c r="AK42" s="78">
        <f t="shared" ca="1" si="77"/>
        <v>-4.1000000000000003E-3</v>
      </c>
      <c r="AL42" s="78">
        <f t="shared" ca="1" si="78"/>
        <v>-9.4799999999999995E-2</v>
      </c>
    </row>
    <row r="43" spans="2:41" ht="15" customHeight="1" outlineLevel="1" x14ac:dyDescent="0.3">
      <c r="B43" s="14" t="s">
        <v>405</v>
      </c>
      <c r="C43" s="14" t="s">
        <v>406</v>
      </c>
      <c r="D43" s="4">
        <f ca="1">-SUMIFS(INDIRECT("Tab_00.Trial["&amp;D$4&amp;"]"),Tab_00.Trial[CONTA],$B43)</f>
        <v>-27797</v>
      </c>
      <c r="E43" s="78">
        <f t="shared" ca="1" si="56"/>
        <v>-2.98E-2</v>
      </c>
      <c r="F43" s="4">
        <f ca="1">-SUMIFS(INDIRECT("Tab_00.Trial["&amp;F$4&amp;"]"),Tab_00.Trial[CONTA],$B43)</f>
        <v>-53137</v>
      </c>
      <c r="G43" s="78">
        <f t="shared" ca="1" si="60"/>
        <v>-3.6400000000000002E-2</v>
      </c>
      <c r="H43" s="78">
        <f t="shared" ca="1" si="57"/>
        <v>-0.91159999999999997</v>
      </c>
      <c r="I43" s="4">
        <f ca="1">-SUMIFS(INDIRECT("Tab_00.Trial["&amp;I$4&amp;"]"),Tab_00.Trial[CONTA],$B43)</f>
        <v>-76447</v>
      </c>
      <c r="J43" s="78">
        <f t="shared" ca="1" si="61"/>
        <v>-2.5999999999999999E-2</v>
      </c>
      <c r="K43" s="78">
        <f t="shared" ca="1" si="62"/>
        <v>-0.43869999999999998</v>
      </c>
      <c r="L43" s="4">
        <f ca="1">-SUMIFS(INDIRECT("Tab_00.Trial["&amp;L$4&amp;"]"),Tab_00.Trial[CONTA],$B43)</f>
        <v>-107817</v>
      </c>
      <c r="M43" s="78">
        <f t="shared" ca="1" si="63"/>
        <v>-2.7400000000000001E-2</v>
      </c>
      <c r="N43" s="78">
        <f t="shared" ca="1" si="64"/>
        <v>-0.4103</v>
      </c>
      <c r="O43" s="4">
        <f ca="1">-SUMIFS(INDIRECT("Tab_00.Trial["&amp;O$4&amp;"]"),Tab_00.Trial[CONTA],$B43)</f>
        <v>-139137</v>
      </c>
      <c r="P43" s="78">
        <f t="shared" ca="1" si="65"/>
        <v>-2.7099999999999999E-2</v>
      </c>
      <c r="Q43" s="78">
        <f t="shared" ca="1" si="66"/>
        <v>-0.29049999999999998</v>
      </c>
      <c r="R43" s="4">
        <f ca="1">-SUMIFS(INDIRECT("Tab_00.Trial["&amp;R$4&amp;"]"),Tab_00.Trial[CONTA],$B43)</f>
        <v>-196382</v>
      </c>
      <c r="S43" s="78">
        <f t="shared" ca="1" si="67"/>
        <v>-2.7300000000000001E-2</v>
      </c>
      <c r="T43" s="78">
        <f t="shared" ca="1" si="68"/>
        <v>-0.41139999999999999</v>
      </c>
      <c r="U43" s="4">
        <f ca="1">-SUMIFS(INDIRECT("Tab_00.Trial["&amp;U$4&amp;"]"),Tab_00.Trial[CONTA],$B43)</f>
        <v>-196382</v>
      </c>
      <c r="V43" s="78">
        <f t="shared" ca="1" si="69"/>
        <v>-2.7300000000000001E-2</v>
      </c>
      <c r="W43" s="78">
        <f t="shared" ca="1" si="70"/>
        <v>0</v>
      </c>
      <c r="X43" s="4">
        <f ca="1">-SUMIFS(INDIRECT("Tab_00.Trial["&amp;X$4&amp;"]"),Tab_00.Trial[CONTA],$B43)</f>
        <v>-196382</v>
      </c>
      <c r="Y43" s="78">
        <f t="shared" ca="1" si="58"/>
        <v>-2.7300000000000001E-2</v>
      </c>
      <c r="Z43" s="78">
        <f t="shared" ca="1" si="59"/>
        <v>0</v>
      </c>
      <c r="AA43" s="4">
        <f ca="1">-SUMIFS(INDIRECT("Tab_00.Trial["&amp;AA$4&amp;"]"),Tab_00.Trial[CONTA],$B43)</f>
        <v>-261562</v>
      </c>
      <c r="AB43" s="78">
        <f t="shared" ca="1" si="71"/>
        <v>-2.8500000000000001E-2</v>
      </c>
      <c r="AC43" s="78">
        <f t="shared" ca="1" si="72"/>
        <v>-0.33189999999999997</v>
      </c>
      <c r="AD43" s="4">
        <f ca="1">-SUMIFS(INDIRECT("Tab_00.Trial["&amp;AD$4&amp;"]"),Tab_00.Trial[CONTA],$B43)</f>
        <v>-289312</v>
      </c>
      <c r="AE43" s="78">
        <f t="shared" ca="1" si="73"/>
        <v>-2.7799999999999998E-2</v>
      </c>
      <c r="AF43" s="78">
        <f t="shared" ca="1" si="74"/>
        <v>-0.1061</v>
      </c>
      <c r="AG43" s="4">
        <f ca="1">-SUMIFS(INDIRECT("Tab_00.Trial["&amp;AG$4&amp;"]"),Tab_00.Trial[CONTA],$B43)</f>
        <v>-329522</v>
      </c>
      <c r="AH43" s="78">
        <f t="shared" ca="1" si="75"/>
        <v>-2.9100000000000001E-2</v>
      </c>
      <c r="AI43" s="78">
        <f t="shared" ca="1" si="76"/>
        <v>-0.13900000000000001</v>
      </c>
      <c r="AJ43" s="4">
        <f ca="1">-SUMIFS(INDIRECT("Tab_00.Trial["&amp;AJ$4&amp;"]"),Tab_00.Trial[CONTA],$B43)</f>
        <v>-352242</v>
      </c>
      <c r="AK43" s="78">
        <f t="shared" ca="1" si="77"/>
        <v>-2.75E-2</v>
      </c>
      <c r="AL43" s="78">
        <f t="shared" ca="1" si="78"/>
        <v>-6.8900000000000003E-2</v>
      </c>
    </row>
    <row r="44" spans="2:41" ht="15" customHeight="1" outlineLevel="1" x14ac:dyDescent="0.3">
      <c r="B44" s="14" t="s">
        <v>407</v>
      </c>
      <c r="C44" s="14" t="s">
        <v>408</v>
      </c>
      <c r="D44" s="4">
        <f ca="1">-SUMIFS(INDIRECT("Tab_00.Trial["&amp;D$4&amp;"]"),Tab_00.Trial[CONTA],$B44)</f>
        <v>-2247.19</v>
      </c>
      <c r="E44" s="78">
        <f t="shared" ca="1" si="56"/>
        <v>-2.3999999999999998E-3</v>
      </c>
      <c r="F44" s="4">
        <f ca="1">-SUMIFS(INDIRECT("Tab_00.Trial["&amp;F$4&amp;"]"),Tab_00.Trial[CONTA],$B44)</f>
        <v>-2247.19</v>
      </c>
      <c r="G44" s="78">
        <f t="shared" ca="1" si="60"/>
        <v>-1.5E-3</v>
      </c>
      <c r="H44" s="78">
        <f t="shared" ca="1" si="57"/>
        <v>0</v>
      </c>
      <c r="I44" s="4">
        <f ca="1">-SUMIFS(INDIRECT("Tab_00.Trial["&amp;I$4&amp;"]"),Tab_00.Trial[CONTA],$B44)</f>
        <v>-6352.05</v>
      </c>
      <c r="J44" s="78">
        <f t="shared" ca="1" si="61"/>
        <v>-2.2000000000000001E-3</v>
      </c>
      <c r="K44" s="78">
        <f t="shared" ca="1" si="62"/>
        <v>-1.8267</v>
      </c>
      <c r="L44" s="4">
        <f ca="1">-SUMIFS(INDIRECT("Tab_00.Trial["&amp;L$4&amp;"]"),Tab_00.Trial[CONTA],$B44)</f>
        <v>-9352.0499999999993</v>
      </c>
      <c r="M44" s="78">
        <f t="shared" ca="1" si="63"/>
        <v>-2.3999999999999998E-3</v>
      </c>
      <c r="N44" s="78">
        <f t="shared" ca="1" si="64"/>
        <v>-0.4723</v>
      </c>
      <c r="O44" s="4">
        <f ca="1">-SUMIFS(INDIRECT("Tab_00.Trial["&amp;O$4&amp;"]"),Tab_00.Trial[CONTA],$B44)</f>
        <v>-15352.05</v>
      </c>
      <c r="P44" s="78">
        <f t="shared" ca="1" si="65"/>
        <v>-3.0000000000000001E-3</v>
      </c>
      <c r="Q44" s="78">
        <f t="shared" ca="1" si="66"/>
        <v>-0.64159999999999995</v>
      </c>
      <c r="R44" s="4">
        <f ca="1">-SUMIFS(INDIRECT("Tab_00.Trial["&amp;R$4&amp;"]"),Tab_00.Trial[CONTA],$B44)</f>
        <v>-20365.25</v>
      </c>
      <c r="S44" s="78">
        <f t="shared" ca="1" si="67"/>
        <v>-2.8E-3</v>
      </c>
      <c r="T44" s="78">
        <f t="shared" ca="1" si="68"/>
        <v>-0.32650000000000001</v>
      </c>
      <c r="U44" s="4">
        <f ca="1">-SUMIFS(INDIRECT("Tab_00.Trial["&amp;U$4&amp;"]"),Tab_00.Trial[CONTA],$B44)</f>
        <v>-20365.25</v>
      </c>
      <c r="V44" s="78">
        <f t="shared" ca="1" si="69"/>
        <v>-2.8E-3</v>
      </c>
      <c r="W44" s="78">
        <f t="shared" ca="1" si="70"/>
        <v>0</v>
      </c>
      <c r="X44" s="4">
        <f ca="1">-SUMIFS(INDIRECT("Tab_00.Trial["&amp;X$4&amp;"]"),Tab_00.Trial[CONTA],$B44)</f>
        <v>-20365.25</v>
      </c>
      <c r="Y44" s="78">
        <f t="shared" ca="1" si="58"/>
        <v>-2.8E-3</v>
      </c>
      <c r="Z44" s="78">
        <f t="shared" ca="1" si="59"/>
        <v>0</v>
      </c>
      <c r="AA44" s="4">
        <f ca="1">-SUMIFS(INDIRECT("Tab_00.Trial["&amp;AA$4&amp;"]"),Tab_00.Trial[CONTA],$B44)</f>
        <v>-20365.25</v>
      </c>
      <c r="AB44" s="78">
        <f t="shared" ca="1" si="71"/>
        <v>-2.2000000000000001E-3</v>
      </c>
      <c r="AC44" s="78">
        <f t="shared" ca="1" si="72"/>
        <v>0</v>
      </c>
      <c r="AD44" s="4">
        <f ca="1">-SUMIFS(INDIRECT("Tab_00.Trial["&amp;AD$4&amp;"]"),Tab_00.Trial[CONTA],$B44)</f>
        <v>-20365.25</v>
      </c>
      <c r="AE44" s="78">
        <f t="shared" ca="1" si="73"/>
        <v>-2E-3</v>
      </c>
      <c r="AF44" s="78">
        <f t="shared" ca="1" si="74"/>
        <v>0</v>
      </c>
      <c r="AG44" s="4">
        <f ca="1">-SUMIFS(INDIRECT("Tab_00.Trial["&amp;AG$4&amp;"]"),Tab_00.Trial[CONTA],$B44)</f>
        <v>-20365.25</v>
      </c>
      <c r="AH44" s="78">
        <f t="shared" ca="1" si="75"/>
        <v>-1.8E-3</v>
      </c>
      <c r="AI44" s="78">
        <f t="shared" ca="1" si="76"/>
        <v>0</v>
      </c>
      <c r="AJ44" s="4">
        <f ca="1">-SUMIFS(INDIRECT("Tab_00.Trial["&amp;AJ$4&amp;"]"),Tab_00.Trial[CONTA],$B44)</f>
        <v>-20365.25</v>
      </c>
      <c r="AK44" s="78">
        <f t="shared" ca="1" si="77"/>
        <v>-1.6000000000000001E-3</v>
      </c>
      <c r="AL44" s="78">
        <f t="shared" ca="1" si="78"/>
        <v>0</v>
      </c>
    </row>
    <row r="45" spans="2:41" ht="15" customHeight="1" outlineLevel="1" x14ac:dyDescent="0.3">
      <c r="B45" s="14" t="s">
        <v>409</v>
      </c>
      <c r="C45" s="14" t="s">
        <v>410</v>
      </c>
      <c r="D45" s="4">
        <f ca="1">-SUMIFS(INDIRECT("Tab_00.Trial["&amp;D$4&amp;"]"),Tab_00.Trial[CONTA],$B45)</f>
        <v>0</v>
      </c>
      <c r="E45" s="78">
        <f t="shared" ca="1" si="56"/>
        <v>0</v>
      </c>
      <c r="F45" s="4">
        <f ca="1">-SUMIFS(INDIRECT("Tab_00.Trial["&amp;F$4&amp;"]"),Tab_00.Trial[CONTA],$B45)</f>
        <v>0</v>
      </c>
      <c r="G45" s="78">
        <f t="shared" ca="1" si="60"/>
        <v>0</v>
      </c>
      <c r="H45" s="78">
        <f t="shared" ca="1" si="57"/>
        <v>0</v>
      </c>
      <c r="I45" s="4">
        <f ca="1">-SUMIFS(INDIRECT("Tab_00.Trial["&amp;I$4&amp;"]"),Tab_00.Trial[CONTA],$B45)</f>
        <v>0</v>
      </c>
      <c r="J45" s="78">
        <f t="shared" ca="1" si="61"/>
        <v>0</v>
      </c>
      <c r="K45" s="78">
        <f t="shared" ca="1" si="62"/>
        <v>0</v>
      </c>
      <c r="L45" s="4">
        <f ca="1">-SUMIFS(INDIRECT("Tab_00.Trial["&amp;L$4&amp;"]"),Tab_00.Trial[CONTA],$B45)</f>
        <v>0</v>
      </c>
      <c r="M45" s="78">
        <f t="shared" ca="1" si="63"/>
        <v>0</v>
      </c>
      <c r="N45" s="78">
        <f t="shared" ca="1" si="64"/>
        <v>0</v>
      </c>
      <c r="O45" s="4">
        <f ca="1">-SUMIFS(INDIRECT("Tab_00.Trial["&amp;O$4&amp;"]"),Tab_00.Trial[CONTA],$B45)</f>
        <v>0</v>
      </c>
      <c r="P45" s="78">
        <f t="shared" ca="1" si="65"/>
        <v>0</v>
      </c>
      <c r="Q45" s="78">
        <f t="shared" ca="1" si="66"/>
        <v>0</v>
      </c>
      <c r="R45" s="4">
        <f ca="1">-SUMIFS(INDIRECT("Tab_00.Trial["&amp;R$4&amp;"]"),Tab_00.Trial[CONTA],$B45)</f>
        <v>0</v>
      </c>
      <c r="S45" s="78">
        <f t="shared" ca="1" si="67"/>
        <v>0</v>
      </c>
      <c r="T45" s="78">
        <f t="shared" ca="1" si="68"/>
        <v>0</v>
      </c>
      <c r="U45" s="4">
        <f ca="1">-SUMIFS(INDIRECT("Tab_00.Trial["&amp;U$4&amp;"]"),Tab_00.Trial[CONTA],$B45)</f>
        <v>0</v>
      </c>
      <c r="V45" s="78">
        <f t="shared" ca="1" si="69"/>
        <v>0</v>
      </c>
      <c r="W45" s="78">
        <f t="shared" ca="1" si="70"/>
        <v>0</v>
      </c>
      <c r="X45" s="4">
        <f ca="1">-SUMIFS(INDIRECT("Tab_00.Trial["&amp;X$4&amp;"]"),Tab_00.Trial[CONTA],$B45)</f>
        <v>0</v>
      </c>
      <c r="Y45" s="78">
        <f t="shared" ca="1" si="58"/>
        <v>0</v>
      </c>
      <c r="Z45" s="78">
        <f t="shared" ca="1" si="59"/>
        <v>0</v>
      </c>
      <c r="AA45" s="4">
        <f ca="1">-SUMIFS(INDIRECT("Tab_00.Trial["&amp;AA$4&amp;"]"),Tab_00.Trial[CONTA],$B45)</f>
        <v>0</v>
      </c>
      <c r="AB45" s="78">
        <f t="shared" ca="1" si="71"/>
        <v>0</v>
      </c>
      <c r="AC45" s="78">
        <f t="shared" ca="1" si="72"/>
        <v>0</v>
      </c>
      <c r="AD45" s="4">
        <f ca="1">-SUMIFS(INDIRECT("Tab_00.Trial["&amp;AD$4&amp;"]"),Tab_00.Trial[CONTA],$B45)</f>
        <v>0</v>
      </c>
      <c r="AE45" s="78">
        <f t="shared" ca="1" si="73"/>
        <v>0</v>
      </c>
      <c r="AF45" s="78">
        <f t="shared" ca="1" si="74"/>
        <v>0</v>
      </c>
      <c r="AG45" s="4">
        <f ca="1">-SUMIFS(INDIRECT("Tab_00.Trial["&amp;AG$4&amp;"]"),Tab_00.Trial[CONTA],$B45)</f>
        <v>0</v>
      </c>
      <c r="AH45" s="78">
        <f t="shared" ca="1" si="75"/>
        <v>0</v>
      </c>
      <c r="AI45" s="78">
        <f t="shared" ca="1" si="76"/>
        <v>0</v>
      </c>
      <c r="AJ45" s="4">
        <f ca="1">-SUMIFS(INDIRECT("Tab_00.Trial["&amp;AJ$4&amp;"]"),Tab_00.Trial[CONTA],$B45)</f>
        <v>0</v>
      </c>
      <c r="AK45" s="78">
        <f t="shared" ca="1" si="77"/>
        <v>0</v>
      </c>
      <c r="AL45" s="78">
        <f t="shared" ca="1" si="78"/>
        <v>0</v>
      </c>
    </row>
    <row r="46" spans="2:41" ht="15" customHeight="1" outlineLevel="1" x14ac:dyDescent="0.3">
      <c r="B46" s="14" t="s">
        <v>411</v>
      </c>
      <c r="C46" s="14" t="s">
        <v>412</v>
      </c>
      <c r="D46" s="4">
        <f ca="1">-SUMIFS(INDIRECT("Tab_00.Trial["&amp;D$4&amp;"]"),Tab_00.Trial[CONTA],$B46)</f>
        <v>-300</v>
      </c>
      <c r="E46" s="78">
        <f t="shared" ca="1" si="56"/>
        <v>-2.9999999999999997E-4</v>
      </c>
      <c r="F46" s="4">
        <f ca="1">-SUMIFS(INDIRECT("Tab_00.Trial["&amp;F$4&amp;"]"),Tab_00.Trial[CONTA],$B46)</f>
        <v>-300</v>
      </c>
      <c r="G46" s="78">
        <f t="shared" ca="1" si="60"/>
        <v>-2.0000000000000001E-4</v>
      </c>
      <c r="H46" s="78">
        <f t="shared" ca="1" si="57"/>
        <v>0</v>
      </c>
      <c r="I46" s="4">
        <f ca="1">-SUMIFS(INDIRECT("Tab_00.Trial["&amp;I$4&amp;"]"),Tab_00.Trial[CONTA],$B46)</f>
        <v>-300</v>
      </c>
      <c r="J46" s="78">
        <f t="shared" ca="1" si="61"/>
        <v>-1E-4</v>
      </c>
      <c r="K46" s="78">
        <f t="shared" ca="1" si="62"/>
        <v>0</v>
      </c>
      <c r="L46" s="4">
        <f ca="1">-SUMIFS(INDIRECT("Tab_00.Trial["&amp;L$4&amp;"]"),Tab_00.Trial[CONTA],$B46)</f>
        <v>-300</v>
      </c>
      <c r="M46" s="78">
        <f t="shared" ca="1" si="63"/>
        <v>-1E-4</v>
      </c>
      <c r="N46" s="78">
        <f t="shared" ca="1" si="64"/>
        <v>0</v>
      </c>
      <c r="O46" s="4">
        <f ca="1">-SUMIFS(INDIRECT("Tab_00.Trial["&amp;O$4&amp;"]"),Tab_00.Trial[CONTA],$B46)</f>
        <v>-300</v>
      </c>
      <c r="P46" s="78">
        <f t="shared" ca="1" si="65"/>
        <v>-1E-4</v>
      </c>
      <c r="Q46" s="78">
        <f t="shared" ca="1" si="66"/>
        <v>0</v>
      </c>
      <c r="R46" s="4">
        <f ca="1">-SUMIFS(INDIRECT("Tab_00.Trial["&amp;R$4&amp;"]"),Tab_00.Trial[CONTA],$B46)</f>
        <v>-300</v>
      </c>
      <c r="S46" s="78">
        <f t="shared" ca="1" si="67"/>
        <v>0</v>
      </c>
      <c r="T46" s="78">
        <f t="shared" ca="1" si="68"/>
        <v>0</v>
      </c>
      <c r="U46" s="4">
        <f ca="1">-SUMIFS(INDIRECT("Tab_00.Trial["&amp;U$4&amp;"]"),Tab_00.Trial[CONTA],$B46)</f>
        <v>-300</v>
      </c>
      <c r="V46" s="78">
        <f t="shared" ca="1" si="69"/>
        <v>0</v>
      </c>
      <c r="W46" s="78">
        <f t="shared" ca="1" si="70"/>
        <v>0</v>
      </c>
      <c r="X46" s="4">
        <f ca="1">-SUMIFS(INDIRECT("Tab_00.Trial["&amp;X$4&amp;"]"),Tab_00.Trial[CONTA],$B46)</f>
        <v>-300</v>
      </c>
      <c r="Y46" s="78">
        <f t="shared" ca="1" si="58"/>
        <v>0</v>
      </c>
      <c r="Z46" s="78">
        <f t="shared" ca="1" si="59"/>
        <v>0</v>
      </c>
      <c r="AA46" s="4">
        <f ca="1">-SUMIFS(INDIRECT("Tab_00.Trial["&amp;AA$4&amp;"]"),Tab_00.Trial[CONTA],$B46)</f>
        <v>-300</v>
      </c>
      <c r="AB46" s="78">
        <f t="shared" ca="1" si="71"/>
        <v>0</v>
      </c>
      <c r="AC46" s="78">
        <f t="shared" ca="1" si="72"/>
        <v>0</v>
      </c>
      <c r="AD46" s="4">
        <f ca="1">-SUMIFS(INDIRECT("Tab_00.Trial["&amp;AD$4&amp;"]"),Tab_00.Trial[CONTA],$B46)</f>
        <v>-300</v>
      </c>
      <c r="AE46" s="78">
        <f t="shared" ca="1" si="73"/>
        <v>0</v>
      </c>
      <c r="AF46" s="78">
        <f t="shared" ca="1" si="74"/>
        <v>0</v>
      </c>
      <c r="AG46" s="4">
        <f ca="1">-SUMIFS(INDIRECT("Tab_00.Trial["&amp;AG$4&amp;"]"),Tab_00.Trial[CONTA],$B46)</f>
        <v>-300</v>
      </c>
      <c r="AH46" s="78">
        <f t="shared" ca="1" si="75"/>
        <v>0</v>
      </c>
      <c r="AI46" s="78">
        <f t="shared" ca="1" si="76"/>
        <v>0</v>
      </c>
      <c r="AJ46" s="4">
        <f ca="1">-SUMIFS(INDIRECT("Tab_00.Trial["&amp;AJ$4&amp;"]"),Tab_00.Trial[CONTA],$B46)</f>
        <v>-300</v>
      </c>
      <c r="AK46" s="78">
        <f t="shared" ca="1" si="77"/>
        <v>0</v>
      </c>
      <c r="AL46" s="78">
        <f t="shared" ca="1" si="78"/>
        <v>0</v>
      </c>
    </row>
    <row r="47" spans="2:41" ht="15" customHeight="1" outlineLevel="1" x14ac:dyDescent="0.3">
      <c r="B47" s="14" t="s">
        <v>413</v>
      </c>
      <c r="C47" s="14" t="s">
        <v>414</v>
      </c>
      <c r="D47" s="4">
        <f ca="1">-SUMIFS(INDIRECT("Tab_00.Trial["&amp;D$4&amp;"]"),Tab_00.Trial[CONTA],$B47)</f>
        <v>-1290.8399999999999</v>
      </c>
      <c r="E47" s="78">
        <f t="shared" ca="1" si="56"/>
        <v>-1.4E-3</v>
      </c>
      <c r="F47" s="4">
        <f ca="1">-SUMIFS(INDIRECT("Tab_00.Trial["&amp;F$4&amp;"]"),Tab_00.Trial[CONTA],$B47)</f>
        <v>-1290.8399999999999</v>
      </c>
      <c r="G47" s="78">
        <f t="shared" ca="1" si="60"/>
        <v>-8.9999999999999998E-4</v>
      </c>
      <c r="H47" s="78">
        <f t="shared" ca="1" si="57"/>
        <v>0</v>
      </c>
      <c r="I47" s="4">
        <f ca="1">-SUMIFS(INDIRECT("Tab_00.Trial["&amp;I$4&amp;"]"),Tab_00.Trial[CONTA],$B47)</f>
        <v>-2122.88</v>
      </c>
      <c r="J47" s="78">
        <f t="shared" ca="1" si="61"/>
        <v>-6.9999999999999999E-4</v>
      </c>
      <c r="K47" s="78">
        <f t="shared" ca="1" si="62"/>
        <v>-0.64459999999999995</v>
      </c>
      <c r="L47" s="4">
        <f ca="1">-SUMIFS(INDIRECT("Tab_00.Trial["&amp;L$4&amp;"]"),Tab_00.Trial[CONTA],$B47)</f>
        <v>-2706.33</v>
      </c>
      <c r="M47" s="78">
        <f t="shared" ca="1" si="63"/>
        <v>-6.9999999999999999E-4</v>
      </c>
      <c r="N47" s="78">
        <f t="shared" ca="1" si="64"/>
        <v>-0.27479999999999999</v>
      </c>
      <c r="O47" s="4">
        <f ca="1">-SUMIFS(INDIRECT("Tab_00.Trial["&amp;O$4&amp;"]"),Tab_00.Trial[CONTA],$B47)</f>
        <v>-3594.7</v>
      </c>
      <c r="P47" s="78">
        <f t="shared" ca="1" si="65"/>
        <v>-6.9999999999999999E-4</v>
      </c>
      <c r="Q47" s="78">
        <f t="shared" ca="1" si="66"/>
        <v>-0.32829999999999998</v>
      </c>
      <c r="R47" s="4">
        <f ca="1">-SUMIFS(INDIRECT("Tab_00.Trial["&amp;R$4&amp;"]"),Tab_00.Trial[CONTA],$B47)</f>
        <v>-5438.17</v>
      </c>
      <c r="S47" s="78">
        <f t="shared" ca="1" si="67"/>
        <v>-8.0000000000000004E-4</v>
      </c>
      <c r="T47" s="78">
        <f t="shared" ca="1" si="68"/>
        <v>-0.51280000000000003</v>
      </c>
      <c r="U47" s="4">
        <f ca="1">-SUMIFS(INDIRECT("Tab_00.Trial["&amp;U$4&amp;"]"),Tab_00.Trial[CONTA],$B47)</f>
        <v>-5438.17</v>
      </c>
      <c r="V47" s="78">
        <f t="shared" ca="1" si="69"/>
        <v>-8.0000000000000004E-4</v>
      </c>
      <c r="W47" s="78">
        <f t="shared" ca="1" si="70"/>
        <v>0</v>
      </c>
      <c r="X47" s="4">
        <f ca="1">-SUMIFS(INDIRECT("Tab_00.Trial["&amp;X$4&amp;"]"),Tab_00.Trial[CONTA],$B47)</f>
        <v>-5438.17</v>
      </c>
      <c r="Y47" s="78">
        <f t="shared" ca="1" si="58"/>
        <v>-8.0000000000000004E-4</v>
      </c>
      <c r="Z47" s="78">
        <f t="shared" ca="1" si="59"/>
        <v>0</v>
      </c>
      <c r="AA47" s="4">
        <f ca="1">-SUMIFS(INDIRECT("Tab_00.Trial["&amp;AA$4&amp;"]"),Tab_00.Trial[CONTA],$B47)</f>
        <v>-6773.05</v>
      </c>
      <c r="AB47" s="78">
        <f t="shared" ca="1" si="71"/>
        <v>-6.9999999999999999E-4</v>
      </c>
      <c r="AC47" s="78">
        <f t="shared" ca="1" si="72"/>
        <v>-0.2455</v>
      </c>
      <c r="AD47" s="4">
        <f ca="1">-SUMIFS(INDIRECT("Tab_00.Trial["&amp;AD$4&amp;"]"),Tab_00.Trial[CONTA],$B47)</f>
        <v>-7903.66</v>
      </c>
      <c r="AE47" s="78">
        <f t="shared" ca="1" si="73"/>
        <v>-8.0000000000000004E-4</v>
      </c>
      <c r="AF47" s="78">
        <f t="shared" ca="1" si="74"/>
        <v>-0.16689999999999999</v>
      </c>
      <c r="AG47" s="4">
        <f ca="1">-SUMIFS(INDIRECT("Tab_00.Trial["&amp;AG$4&amp;"]"),Tab_00.Trial[CONTA],$B47)</f>
        <v>-8812.32</v>
      </c>
      <c r="AH47" s="78">
        <f t="shared" ca="1" si="75"/>
        <v>-8.0000000000000004E-4</v>
      </c>
      <c r="AI47" s="78">
        <f t="shared" ca="1" si="76"/>
        <v>-0.115</v>
      </c>
      <c r="AJ47" s="4">
        <f ca="1">-SUMIFS(INDIRECT("Tab_00.Trial["&amp;AJ$4&amp;"]"),Tab_00.Trial[CONTA],$B47)</f>
        <v>-9763.77</v>
      </c>
      <c r="AK47" s="78">
        <f t="shared" ca="1" si="77"/>
        <v>-8.0000000000000004E-4</v>
      </c>
      <c r="AL47" s="78">
        <f t="shared" ca="1" si="78"/>
        <v>-0.108</v>
      </c>
      <c r="AM47" s="1" t="s">
        <v>768</v>
      </c>
      <c r="AN47" s="1" t="s">
        <v>769</v>
      </c>
      <c r="AO47" s="1" t="s">
        <v>770</v>
      </c>
    </row>
    <row r="48" spans="2:41" ht="15" customHeight="1" outlineLevel="1" x14ac:dyDescent="0.3">
      <c r="B48" s="14" t="s">
        <v>415</v>
      </c>
      <c r="C48" s="14" t="s">
        <v>416</v>
      </c>
      <c r="D48" s="4">
        <f ca="1">-SUMIFS(INDIRECT("Tab_00.Trial["&amp;D$4&amp;"]"),Tab_00.Trial[CONTA],$B48)</f>
        <v>0</v>
      </c>
      <c r="E48" s="78">
        <f t="shared" ca="1" si="56"/>
        <v>0</v>
      </c>
      <c r="F48" s="4">
        <f ca="1">-SUMIFS(INDIRECT("Tab_00.Trial["&amp;F$4&amp;"]"),Tab_00.Trial[CONTA],$B48)</f>
        <v>0</v>
      </c>
      <c r="G48" s="78">
        <f t="shared" ca="1" si="60"/>
        <v>0</v>
      </c>
      <c r="H48" s="78">
        <f t="shared" ca="1" si="57"/>
        <v>0</v>
      </c>
      <c r="I48" s="4">
        <f ca="1">-SUMIFS(INDIRECT("Tab_00.Trial["&amp;I$4&amp;"]"),Tab_00.Trial[CONTA],$B48)</f>
        <v>0</v>
      </c>
      <c r="J48" s="78">
        <f t="shared" ca="1" si="61"/>
        <v>0</v>
      </c>
      <c r="K48" s="78">
        <f t="shared" ca="1" si="62"/>
        <v>0</v>
      </c>
      <c r="L48" s="4">
        <f ca="1">-SUMIFS(INDIRECT("Tab_00.Trial["&amp;L$4&amp;"]"),Tab_00.Trial[CONTA],$B48)</f>
        <v>0</v>
      </c>
      <c r="M48" s="78">
        <f t="shared" ca="1" si="63"/>
        <v>0</v>
      </c>
      <c r="N48" s="78">
        <f t="shared" ca="1" si="64"/>
        <v>0</v>
      </c>
      <c r="O48" s="4">
        <f ca="1">-SUMIFS(INDIRECT("Tab_00.Trial["&amp;O$4&amp;"]"),Tab_00.Trial[CONTA],$B48)</f>
        <v>0</v>
      </c>
      <c r="P48" s="78">
        <f t="shared" ca="1" si="65"/>
        <v>0</v>
      </c>
      <c r="Q48" s="78">
        <f t="shared" ca="1" si="66"/>
        <v>0</v>
      </c>
      <c r="R48" s="4">
        <f ca="1">-SUMIFS(INDIRECT("Tab_00.Trial["&amp;R$4&amp;"]"),Tab_00.Trial[CONTA],$B48)</f>
        <v>0</v>
      </c>
      <c r="S48" s="78">
        <f t="shared" ca="1" si="67"/>
        <v>0</v>
      </c>
      <c r="T48" s="78">
        <f t="shared" ca="1" si="68"/>
        <v>0</v>
      </c>
      <c r="U48" s="4">
        <f ca="1">-SUMIFS(INDIRECT("Tab_00.Trial["&amp;U$4&amp;"]"),Tab_00.Trial[CONTA],$B48)</f>
        <v>0</v>
      </c>
      <c r="V48" s="78">
        <f t="shared" ca="1" si="69"/>
        <v>0</v>
      </c>
      <c r="W48" s="78">
        <f t="shared" ca="1" si="70"/>
        <v>0</v>
      </c>
      <c r="X48" s="4">
        <f ca="1">-SUMIFS(INDIRECT("Tab_00.Trial["&amp;X$4&amp;"]"),Tab_00.Trial[CONTA],$B48)</f>
        <v>0</v>
      </c>
      <c r="Y48" s="78">
        <f t="shared" ca="1" si="58"/>
        <v>0</v>
      </c>
      <c r="Z48" s="78">
        <f t="shared" ca="1" si="59"/>
        <v>0</v>
      </c>
      <c r="AA48" s="4">
        <f ca="1">-SUMIFS(INDIRECT("Tab_00.Trial["&amp;AA$4&amp;"]"),Tab_00.Trial[CONTA],$B48)</f>
        <v>0</v>
      </c>
      <c r="AB48" s="78">
        <f t="shared" ca="1" si="71"/>
        <v>0</v>
      </c>
      <c r="AC48" s="78">
        <f t="shared" ca="1" si="72"/>
        <v>0</v>
      </c>
      <c r="AD48" s="4">
        <f ca="1">-SUMIFS(INDIRECT("Tab_00.Trial["&amp;AD$4&amp;"]"),Tab_00.Trial[CONTA],$B48)</f>
        <v>0</v>
      </c>
      <c r="AE48" s="78">
        <f t="shared" ca="1" si="73"/>
        <v>0</v>
      </c>
      <c r="AF48" s="78">
        <f t="shared" ca="1" si="74"/>
        <v>0</v>
      </c>
      <c r="AG48" s="4">
        <f ca="1">-SUMIFS(INDIRECT("Tab_00.Trial["&amp;AG$4&amp;"]"),Tab_00.Trial[CONTA],$B48)</f>
        <v>0</v>
      </c>
      <c r="AH48" s="78">
        <f t="shared" ca="1" si="75"/>
        <v>0</v>
      </c>
      <c r="AI48" s="78">
        <f t="shared" ca="1" si="76"/>
        <v>0</v>
      </c>
      <c r="AJ48" s="4">
        <f ca="1">-SUMIFS(INDIRECT("Tab_00.Trial["&amp;AJ$4&amp;"]"),Tab_00.Trial[CONTA],$B48)</f>
        <v>0</v>
      </c>
      <c r="AK48" s="78">
        <f t="shared" ca="1" si="77"/>
        <v>0</v>
      </c>
      <c r="AL48" s="78">
        <f t="shared" ca="1" si="78"/>
        <v>0</v>
      </c>
    </row>
    <row r="49" spans="2:38" ht="15" customHeight="1" outlineLevel="1" x14ac:dyDescent="0.3">
      <c r="B49" s="14" t="s">
        <v>417</v>
      </c>
      <c r="C49" s="14" t="s">
        <v>418</v>
      </c>
      <c r="D49" s="4">
        <f ca="1">-SUMIFS(INDIRECT("Tab_00.Trial["&amp;D$4&amp;"]"),Tab_00.Trial[CONTA],$B49)</f>
        <v>0</v>
      </c>
      <c r="E49" s="78">
        <f t="shared" ca="1" si="56"/>
        <v>0</v>
      </c>
      <c r="F49" s="4">
        <f ca="1">-SUMIFS(INDIRECT("Tab_00.Trial["&amp;F$4&amp;"]"),Tab_00.Trial[CONTA],$B49)</f>
        <v>0</v>
      </c>
      <c r="G49" s="78">
        <f t="shared" ca="1" si="60"/>
        <v>0</v>
      </c>
      <c r="H49" s="78">
        <f t="shared" ca="1" si="57"/>
        <v>0</v>
      </c>
      <c r="I49" s="4">
        <f ca="1">-SUMIFS(INDIRECT("Tab_00.Trial["&amp;I$4&amp;"]"),Tab_00.Trial[CONTA],$B49)</f>
        <v>0</v>
      </c>
      <c r="J49" s="78">
        <f t="shared" ca="1" si="61"/>
        <v>0</v>
      </c>
      <c r="K49" s="78">
        <f t="shared" ca="1" si="62"/>
        <v>0</v>
      </c>
      <c r="L49" s="4">
        <f ca="1">-SUMIFS(INDIRECT("Tab_00.Trial["&amp;L$4&amp;"]"),Tab_00.Trial[CONTA],$B49)</f>
        <v>0</v>
      </c>
      <c r="M49" s="78">
        <f t="shared" ca="1" si="63"/>
        <v>0</v>
      </c>
      <c r="N49" s="78">
        <f t="shared" ca="1" si="64"/>
        <v>0</v>
      </c>
      <c r="O49" s="4">
        <f ca="1">-SUMIFS(INDIRECT("Tab_00.Trial["&amp;O$4&amp;"]"),Tab_00.Trial[CONTA],$B49)</f>
        <v>0</v>
      </c>
      <c r="P49" s="78">
        <f t="shared" ca="1" si="65"/>
        <v>0</v>
      </c>
      <c r="Q49" s="78">
        <f t="shared" ca="1" si="66"/>
        <v>0</v>
      </c>
      <c r="R49" s="4">
        <f ca="1">-SUMIFS(INDIRECT("Tab_00.Trial["&amp;R$4&amp;"]"),Tab_00.Trial[CONTA],$B49)</f>
        <v>0</v>
      </c>
      <c r="S49" s="78">
        <f t="shared" ca="1" si="67"/>
        <v>0</v>
      </c>
      <c r="T49" s="78">
        <f t="shared" ca="1" si="68"/>
        <v>0</v>
      </c>
      <c r="U49" s="4">
        <f ca="1">-SUMIFS(INDIRECT("Tab_00.Trial["&amp;U$4&amp;"]"),Tab_00.Trial[CONTA],$B49)</f>
        <v>0</v>
      </c>
      <c r="V49" s="78">
        <f t="shared" ca="1" si="69"/>
        <v>0</v>
      </c>
      <c r="W49" s="78">
        <f t="shared" ca="1" si="70"/>
        <v>0</v>
      </c>
      <c r="X49" s="4">
        <f ca="1">-SUMIFS(INDIRECT("Tab_00.Trial["&amp;X$4&amp;"]"),Tab_00.Trial[CONTA],$B49)</f>
        <v>0</v>
      </c>
      <c r="Y49" s="78">
        <f t="shared" ca="1" si="58"/>
        <v>0</v>
      </c>
      <c r="Z49" s="78">
        <f t="shared" ca="1" si="59"/>
        <v>0</v>
      </c>
      <c r="AA49" s="4">
        <f ca="1">-SUMIFS(INDIRECT("Tab_00.Trial["&amp;AA$4&amp;"]"),Tab_00.Trial[CONTA],$B49)</f>
        <v>-52.46</v>
      </c>
      <c r="AB49" s="78">
        <f t="shared" ca="1" si="71"/>
        <v>0</v>
      </c>
      <c r="AC49" s="78">
        <f t="shared" ca="1" si="72"/>
        <v>0</v>
      </c>
      <c r="AD49" s="4">
        <f ca="1">-SUMIFS(INDIRECT("Tab_00.Trial["&amp;AD$4&amp;"]"),Tab_00.Trial[CONTA],$B49)</f>
        <v>-52.46</v>
      </c>
      <c r="AE49" s="78">
        <f t="shared" ca="1" si="73"/>
        <v>0</v>
      </c>
      <c r="AF49" s="78">
        <f t="shared" ca="1" si="74"/>
        <v>0</v>
      </c>
      <c r="AG49" s="4">
        <f ca="1">-SUMIFS(INDIRECT("Tab_00.Trial["&amp;AG$4&amp;"]"),Tab_00.Trial[CONTA],$B49)</f>
        <v>-52.46</v>
      </c>
      <c r="AH49" s="78">
        <f t="shared" ca="1" si="75"/>
        <v>0</v>
      </c>
      <c r="AI49" s="78">
        <f t="shared" ca="1" si="76"/>
        <v>0</v>
      </c>
      <c r="AJ49" s="4">
        <f ca="1">-SUMIFS(INDIRECT("Tab_00.Trial["&amp;AJ$4&amp;"]"),Tab_00.Trial[CONTA],$B49)</f>
        <v>-52.46</v>
      </c>
      <c r="AK49" s="78">
        <f t="shared" ca="1" si="77"/>
        <v>0</v>
      </c>
      <c r="AL49" s="78">
        <f t="shared" ca="1" si="78"/>
        <v>0</v>
      </c>
    </row>
    <row r="50" spans="2:38" ht="15" customHeight="1" outlineLevel="1" x14ac:dyDescent="0.3">
      <c r="B50" s="14" t="s">
        <v>419</v>
      </c>
      <c r="C50" s="14" t="s">
        <v>420</v>
      </c>
      <c r="D50" s="4">
        <f ca="1">-SUMIFS(INDIRECT("Tab_00.Trial["&amp;D$4&amp;"]"),Tab_00.Trial[CONTA],$B50)</f>
        <v>-427.26</v>
      </c>
      <c r="E50" s="78">
        <f t="shared" ca="1" si="56"/>
        <v>-5.0000000000000001E-4</v>
      </c>
      <c r="F50" s="4">
        <f ca="1">-SUMIFS(INDIRECT("Tab_00.Trial["&amp;F$4&amp;"]"),Tab_00.Trial[CONTA],$B50)</f>
        <v>-854.52</v>
      </c>
      <c r="G50" s="78">
        <f t="shared" ca="1" si="60"/>
        <v>-5.9999999999999995E-4</v>
      </c>
      <c r="H50" s="78">
        <f t="shared" ca="1" si="57"/>
        <v>-1</v>
      </c>
      <c r="I50" s="4">
        <f ca="1">-SUMIFS(INDIRECT("Tab_00.Trial["&amp;I$4&amp;"]"),Tab_00.Trial[CONTA],$B50)</f>
        <v>-1281.78</v>
      </c>
      <c r="J50" s="78">
        <f t="shared" ca="1" si="61"/>
        <v>-4.0000000000000002E-4</v>
      </c>
      <c r="K50" s="78">
        <f t="shared" ca="1" si="62"/>
        <v>-0.5</v>
      </c>
      <c r="L50" s="4">
        <f ca="1">-SUMIFS(INDIRECT("Tab_00.Trial["&amp;L$4&amp;"]"),Tab_00.Trial[CONTA],$B50)</f>
        <v>-1709.04</v>
      </c>
      <c r="M50" s="78">
        <f t="shared" ca="1" si="63"/>
        <v>-4.0000000000000002E-4</v>
      </c>
      <c r="N50" s="78">
        <f t="shared" ca="1" si="64"/>
        <v>-0.33329999999999999</v>
      </c>
      <c r="O50" s="4">
        <f ca="1">-SUMIFS(INDIRECT("Tab_00.Trial["&amp;O$4&amp;"]"),Tab_00.Trial[CONTA],$B50)</f>
        <v>-2975.62</v>
      </c>
      <c r="P50" s="78">
        <f t="shared" ca="1" si="65"/>
        <v>-5.9999999999999995E-4</v>
      </c>
      <c r="Q50" s="78">
        <f t="shared" ca="1" si="66"/>
        <v>-0.74109999999999998</v>
      </c>
      <c r="R50" s="4">
        <f ca="1">-SUMIFS(INDIRECT("Tab_00.Trial["&amp;R$4&amp;"]"),Tab_00.Trial[CONTA],$B50)</f>
        <v>-4130.1400000000003</v>
      </c>
      <c r="S50" s="78">
        <f t="shared" ca="1" si="67"/>
        <v>-5.9999999999999995E-4</v>
      </c>
      <c r="T50" s="78">
        <f t="shared" ca="1" si="68"/>
        <v>-0.38800000000000001</v>
      </c>
      <c r="U50" s="4">
        <f ca="1">-SUMIFS(INDIRECT("Tab_00.Trial["&amp;U$4&amp;"]"),Tab_00.Trial[CONTA],$B50)</f>
        <v>-4130.1400000000003</v>
      </c>
      <c r="V50" s="78">
        <f t="shared" ca="1" si="69"/>
        <v>-5.9999999999999995E-4</v>
      </c>
      <c r="W50" s="78">
        <f t="shared" ca="1" si="70"/>
        <v>0</v>
      </c>
      <c r="X50" s="4">
        <f ca="1">-SUMIFS(INDIRECT("Tab_00.Trial["&amp;X$4&amp;"]"),Tab_00.Trial[CONTA],$B50)</f>
        <v>-4130.1400000000003</v>
      </c>
      <c r="Y50" s="78">
        <f t="shared" ca="1" si="58"/>
        <v>-5.9999999999999995E-4</v>
      </c>
      <c r="Z50" s="78">
        <f t="shared" ca="1" si="59"/>
        <v>0</v>
      </c>
      <c r="AA50" s="4">
        <f ca="1">-SUMIFS(INDIRECT("Tab_00.Trial["&amp;AA$4&amp;"]"),Tab_00.Trial[CONTA],$B50)</f>
        <v>-6240.61</v>
      </c>
      <c r="AB50" s="78">
        <f t="shared" ca="1" si="71"/>
        <v>-6.9999999999999999E-4</v>
      </c>
      <c r="AC50" s="78">
        <f t="shared" ca="1" si="72"/>
        <v>-0.51100000000000001</v>
      </c>
      <c r="AD50" s="4">
        <f ca="1">-SUMIFS(INDIRECT("Tab_00.Trial["&amp;AD$4&amp;"]"),Tab_00.Trial[CONTA],$B50)</f>
        <v>-6667.87</v>
      </c>
      <c r="AE50" s="78">
        <f t="shared" ca="1" si="73"/>
        <v>-5.9999999999999995E-4</v>
      </c>
      <c r="AF50" s="78">
        <f t="shared" ca="1" si="74"/>
        <v>-6.8500000000000005E-2</v>
      </c>
      <c r="AG50" s="4">
        <f ca="1">-SUMIFS(INDIRECT("Tab_00.Trial["&amp;AG$4&amp;"]"),Tab_00.Trial[CONTA],$B50)</f>
        <v>-7095.13</v>
      </c>
      <c r="AH50" s="78">
        <f t="shared" ca="1" si="75"/>
        <v>-5.9999999999999995E-4</v>
      </c>
      <c r="AI50" s="78">
        <f t="shared" ca="1" si="76"/>
        <v>-6.4100000000000004E-2</v>
      </c>
      <c r="AJ50" s="4">
        <f ca="1">-SUMIFS(INDIRECT("Tab_00.Trial["&amp;AJ$4&amp;"]"),Tab_00.Trial[CONTA],$B50)</f>
        <v>-7522.39</v>
      </c>
      <c r="AK50" s="78">
        <f t="shared" ca="1" si="77"/>
        <v>-5.9999999999999995E-4</v>
      </c>
      <c r="AL50" s="78">
        <f t="shared" ca="1" si="78"/>
        <v>-6.0199999999999997E-2</v>
      </c>
    </row>
    <row r="51" spans="2:38" ht="15" customHeight="1" outlineLevel="1" x14ac:dyDescent="0.3">
      <c r="B51" s="14" t="s">
        <v>421</v>
      </c>
      <c r="C51" s="14" t="s">
        <v>422</v>
      </c>
      <c r="D51" s="4">
        <f ca="1">-SUMIFS(INDIRECT("Tab_00.Trial["&amp;D$4&amp;"]"),Tab_00.Trial[CONTA],$B51)</f>
        <v>-187419.37</v>
      </c>
      <c r="E51" s="78">
        <f t="shared" ca="1" si="56"/>
        <v>-0.20080000000000001</v>
      </c>
      <c r="F51" s="4">
        <f ca="1">-SUMIFS(INDIRECT("Tab_00.Trial["&amp;F$4&amp;"]"),Tab_00.Trial[CONTA],$B51)</f>
        <v>-187419.37</v>
      </c>
      <c r="G51" s="78">
        <f t="shared" ca="1" si="60"/>
        <v>-0.12859999999999999</v>
      </c>
      <c r="H51" s="78">
        <f t="shared" ca="1" si="57"/>
        <v>0</v>
      </c>
      <c r="I51" s="4">
        <f ca="1">-SUMIFS(INDIRECT("Tab_00.Trial["&amp;I$4&amp;"]"),Tab_00.Trial[CONTA],$B51)</f>
        <v>-682368.86</v>
      </c>
      <c r="J51" s="78">
        <f t="shared" ca="1" si="61"/>
        <v>-0.23250000000000001</v>
      </c>
      <c r="K51" s="78">
        <f t="shared" ca="1" si="62"/>
        <v>-2.6408999999999998</v>
      </c>
      <c r="L51" s="4">
        <f ca="1">-SUMIFS(INDIRECT("Tab_00.Trial["&amp;L$4&amp;"]"),Tab_00.Trial[CONTA],$B51)</f>
        <v>-862584.28</v>
      </c>
      <c r="M51" s="78">
        <f t="shared" ca="1" si="63"/>
        <v>-0.21909999999999999</v>
      </c>
      <c r="N51" s="78">
        <f t="shared" ca="1" si="64"/>
        <v>-0.2641</v>
      </c>
      <c r="O51" s="4">
        <f ca="1">-SUMIFS(INDIRECT("Tab_00.Trial["&amp;O$4&amp;"]"),Tab_00.Trial[CONTA],$B51)</f>
        <v>-1195265.1000000001</v>
      </c>
      <c r="P51" s="78">
        <f t="shared" ca="1" si="65"/>
        <v>-0.23269999999999999</v>
      </c>
      <c r="Q51" s="78">
        <f t="shared" ca="1" si="66"/>
        <v>-0.38569999999999999</v>
      </c>
      <c r="R51" s="4">
        <f ca="1">-SUMIFS(INDIRECT("Tab_00.Trial["&amp;R$4&amp;"]"),Tab_00.Trial[CONTA],$B51)</f>
        <v>-1702436.3</v>
      </c>
      <c r="S51" s="78">
        <f t="shared" ca="1" si="67"/>
        <v>-0.2369</v>
      </c>
      <c r="T51" s="78">
        <f t="shared" ca="1" si="68"/>
        <v>-0.42430000000000001</v>
      </c>
      <c r="U51" s="4">
        <f ca="1">-SUMIFS(INDIRECT("Tab_00.Trial["&amp;U$4&amp;"]"),Tab_00.Trial[CONTA],$B51)</f>
        <v>-1702436.3</v>
      </c>
      <c r="V51" s="78">
        <f t="shared" ca="1" si="69"/>
        <v>-0.2369</v>
      </c>
      <c r="W51" s="78">
        <f t="shared" ca="1" si="70"/>
        <v>0</v>
      </c>
      <c r="X51" s="4">
        <f ca="1">-SUMIFS(INDIRECT("Tab_00.Trial["&amp;X$4&amp;"]"),Tab_00.Trial[CONTA],$B51)</f>
        <v>-1702436.3</v>
      </c>
      <c r="Y51" s="78">
        <f t="shared" ca="1" si="58"/>
        <v>-0.2369</v>
      </c>
      <c r="Z51" s="78">
        <f t="shared" ca="1" si="59"/>
        <v>0</v>
      </c>
      <c r="AA51" s="4">
        <f ca="1">-SUMIFS(INDIRECT("Tab_00.Trial["&amp;AA$4&amp;"]"),Tab_00.Trial[CONTA],$B51)</f>
        <v>-2125464.3199999998</v>
      </c>
      <c r="AB51" s="78">
        <f t="shared" ca="1" si="71"/>
        <v>-0.23139999999999999</v>
      </c>
      <c r="AC51" s="78">
        <f t="shared" ca="1" si="72"/>
        <v>-0.2485</v>
      </c>
      <c r="AD51" s="4">
        <f ca="1">-SUMIFS(INDIRECT("Tab_00.Trial["&amp;AD$4&amp;"]"),Tab_00.Trial[CONTA],$B51)</f>
        <v>-2555246.16</v>
      </c>
      <c r="AE51" s="78">
        <f t="shared" ca="1" si="73"/>
        <v>-0.24540000000000001</v>
      </c>
      <c r="AF51" s="78">
        <f t="shared" ca="1" si="74"/>
        <v>-0.20219999999999999</v>
      </c>
      <c r="AG51" s="4">
        <f ca="1">-SUMIFS(INDIRECT("Tab_00.Trial["&amp;AG$4&amp;"]"),Tab_00.Trial[CONTA],$B51)</f>
        <v>-2743319.47</v>
      </c>
      <c r="AH51" s="78">
        <f t="shared" ca="1" si="75"/>
        <v>-0.24249999999999999</v>
      </c>
      <c r="AI51" s="78">
        <f t="shared" ca="1" si="76"/>
        <v>-7.3599999999999999E-2</v>
      </c>
      <c r="AJ51" s="4">
        <f ca="1">-SUMIFS(INDIRECT("Tab_00.Trial["&amp;AJ$4&amp;"]"),Tab_00.Trial[CONTA],$B51)</f>
        <v>-3185948.49</v>
      </c>
      <c r="AK51" s="78">
        <f t="shared" ca="1" si="77"/>
        <v>-0.24909999999999999</v>
      </c>
      <c r="AL51" s="78">
        <f t="shared" ca="1" si="78"/>
        <v>-0.1613</v>
      </c>
    </row>
    <row r="52" spans="2:38" ht="15" customHeight="1" outlineLevel="1" x14ac:dyDescent="0.3">
      <c r="B52" s="14" t="s">
        <v>423</v>
      </c>
      <c r="C52" s="14" t="s">
        <v>424</v>
      </c>
      <c r="D52" s="4">
        <f ca="1">-SUMIFS(INDIRECT("Tab_00.Trial["&amp;D$4&amp;"]"),Tab_00.Trial[CONTA],$B52)</f>
        <v>-542450.57999999996</v>
      </c>
      <c r="E52" s="78">
        <f t="shared" ca="1" si="56"/>
        <v>-0.58120000000000005</v>
      </c>
      <c r="F52" s="4">
        <f ca="1">-SUMIFS(INDIRECT("Tab_00.Trial["&amp;F$4&amp;"]"),Tab_00.Trial[CONTA],$B52)</f>
        <v>-719829.64</v>
      </c>
      <c r="G52" s="78">
        <f t="shared" ca="1" si="60"/>
        <v>-0.49380000000000002</v>
      </c>
      <c r="H52" s="78">
        <f t="shared" ca="1" si="57"/>
        <v>-0.32700000000000001</v>
      </c>
      <c r="I52" s="4">
        <f ca="1">-SUMIFS(INDIRECT("Tab_00.Trial["&amp;I$4&amp;"]"),Tab_00.Trial[CONTA],$B52)</f>
        <v>-1212750.98</v>
      </c>
      <c r="J52" s="78">
        <f t="shared" ca="1" si="61"/>
        <v>-0.41320000000000001</v>
      </c>
      <c r="K52" s="78">
        <f t="shared" ca="1" si="62"/>
        <v>-0.68479999999999996</v>
      </c>
      <c r="L52" s="4">
        <f ca="1">-SUMIFS(INDIRECT("Tab_00.Trial["&amp;L$4&amp;"]"),Tab_00.Trial[CONTA],$B52)</f>
        <v>-1559283.09</v>
      </c>
      <c r="M52" s="78">
        <f t="shared" ca="1" si="63"/>
        <v>-0.39610000000000001</v>
      </c>
      <c r="N52" s="78">
        <f t="shared" ca="1" si="64"/>
        <v>-0.28570000000000001</v>
      </c>
      <c r="O52" s="4">
        <f ca="1">-SUMIFS(INDIRECT("Tab_00.Trial["&amp;O$4&amp;"]"),Tab_00.Trial[CONTA],$B52)</f>
        <v>-1766231.11</v>
      </c>
      <c r="P52" s="78">
        <f t="shared" ca="1" si="65"/>
        <v>-0.34379999999999999</v>
      </c>
      <c r="Q52" s="78">
        <f t="shared" ca="1" si="66"/>
        <v>-0.13270000000000001</v>
      </c>
      <c r="R52" s="4">
        <f ca="1">-SUMIFS(INDIRECT("Tab_00.Trial["&amp;R$4&amp;"]"),Tab_00.Trial[CONTA],$B52)</f>
        <v>-2070888.62</v>
      </c>
      <c r="S52" s="78">
        <f t="shared" ca="1" si="67"/>
        <v>-0.28810000000000002</v>
      </c>
      <c r="T52" s="78">
        <f t="shared" ca="1" si="68"/>
        <v>-0.17249999999999999</v>
      </c>
      <c r="U52" s="4">
        <f ca="1">-SUMIFS(INDIRECT("Tab_00.Trial["&amp;U$4&amp;"]"),Tab_00.Trial[CONTA],$B52)</f>
        <v>-2070888.62</v>
      </c>
      <c r="V52" s="78">
        <f t="shared" ca="1" si="69"/>
        <v>-0.28810000000000002</v>
      </c>
      <c r="W52" s="78">
        <f t="shared" ca="1" si="70"/>
        <v>0</v>
      </c>
      <c r="X52" s="4">
        <f ca="1">-SUMIFS(INDIRECT("Tab_00.Trial["&amp;X$4&amp;"]"),Tab_00.Trial[CONTA],$B52)</f>
        <v>-2070888.62</v>
      </c>
      <c r="Y52" s="78">
        <f t="shared" ca="1" si="58"/>
        <v>-0.28810000000000002</v>
      </c>
      <c r="Z52" s="78">
        <f t="shared" ca="1" si="59"/>
        <v>0</v>
      </c>
      <c r="AA52" s="4">
        <f ca="1">-SUMIFS(INDIRECT("Tab_00.Trial["&amp;AA$4&amp;"]"),Tab_00.Trial[CONTA],$B52)</f>
        <v>-2602326.17</v>
      </c>
      <c r="AB52" s="78">
        <f t="shared" ca="1" si="71"/>
        <v>-0.2833</v>
      </c>
      <c r="AC52" s="78">
        <f t="shared" ca="1" si="72"/>
        <v>-0.25659999999999999</v>
      </c>
      <c r="AD52" s="4">
        <f ca="1">-SUMIFS(INDIRECT("Tab_00.Trial["&amp;AD$4&amp;"]"),Tab_00.Trial[CONTA],$B52)</f>
        <v>-2827797.45</v>
      </c>
      <c r="AE52" s="78">
        <f t="shared" ca="1" si="73"/>
        <v>-0.27160000000000001</v>
      </c>
      <c r="AF52" s="78">
        <f t="shared" ca="1" si="74"/>
        <v>-8.6599999999999996E-2</v>
      </c>
      <c r="AG52" s="4">
        <f ca="1">-SUMIFS(INDIRECT("Tab_00.Trial["&amp;AG$4&amp;"]"),Tab_00.Trial[CONTA],$B52)</f>
        <v>-2827797.45</v>
      </c>
      <c r="AH52" s="78">
        <f t="shared" ca="1" si="75"/>
        <v>-0.24990000000000001</v>
      </c>
      <c r="AI52" s="78">
        <f t="shared" ca="1" si="76"/>
        <v>0</v>
      </c>
      <c r="AJ52" s="4">
        <f ca="1">-SUMIFS(INDIRECT("Tab_00.Trial["&amp;AJ$4&amp;"]"),Tab_00.Trial[CONTA],$B52)</f>
        <v>-3727004.78</v>
      </c>
      <c r="AK52" s="78">
        <f t="shared" ca="1" si="77"/>
        <v>-0.29139999999999999</v>
      </c>
      <c r="AL52" s="78">
        <f t="shared" ca="1" si="78"/>
        <v>-0.318</v>
      </c>
    </row>
    <row r="53" spans="2:38" ht="15" customHeight="1" outlineLevel="1" x14ac:dyDescent="0.3">
      <c r="B53" s="14" t="s">
        <v>425</v>
      </c>
      <c r="C53" s="14" t="s">
        <v>426</v>
      </c>
      <c r="D53" s="4">
        <f ca="1">-SUMIFS(INDIRECT("Tab_00.Trial["&amp;D$4&amp;"]"),Tab_00.Trial[CONTA],$B53)</f>
        <v>0</v>
      </c>
      <c r="E53" s="78">
        <f t="shared" ca="1" si="56"/>
        <v>0</v>
      </c>
      <c r="F53" s="4">
        <f ca="1">-SUMIFS(INDIRECT("Tab_00.Trial["&amp;F$4&amp;"]"),Tab_00.Trial[CONTA],$B53)</f>
        <v>0</v>
      </c>
      <c r="G53" s="78">
        <f t="shared" ca="1" si="60"/>
        <v>0</v>
      </c>
      <c r="H53" s="78">
        <f t="shared" ca="1" si="57"/>
        <v>0</v>
      </c>
      <c r="I53" s="4">
        <f ca="1">-SUMIFS(INDIRECT("Tab_00.Trial["&amp;I$4&amp;"]"),Tab_00.Trial[CONTA],$B53)</f>
        <v>0</v>
      </c>
      <c r="J53" s="78">
        <f t="shared" ca="1" si="61"/>
        <v>0</v>
      </c>
      <c r="K53" s="78">
        <f t="shared" ca="1" si="62"/>
        <v>0</v>
      </c>
      <c r="L53" s="4">
        <f ca="1">-SUMIFS(INDIRECT("Tab_00.Trial["&amp;L$4&amp;"]"),Tab_00.Trial[CONTA],$B53)</f>
        <v>0</v>
      </c>
      <c r="M53" s="78">
        <f t="shared" ca="1" si="63"/>
        <v>0</v>
      </c>
      <c r="N53" s="78">
        <f t="shared" ca="1" si="64"/>
        <v>0</v>
      </c>
      <c r="O53" s="4">
        <f ca="1">-SUMIFS(INDIRECT("Tab_00.Trial["&amp;O$4&amp;"]"),Tab_00.Trial[CONTA],$B53)</f>
        <v>0</v>
      </c>
      <c r="P53" s="78">
        <f t="shared" ca="1" si="65"/>
        <v>0</v>
      </c>
      <c r="Q53" s="78">
        <f t="shared" ca="1" si="66"/>
        <v>0</v>
      </c>
      <c r="R53" s="4">
        <f ca="1">-SUMIFS(INDIRECT("Tab_00.Trial["&amp;R$4&amp;"]"),Tab_00.Trial[CONTA],$B53)</f>
        <v>0</v>
      </c>
      <c r="S53" s="78">
        <f t="shared" ca="1" si="67"/>
        <v>0</v>
      </c>
      <c r="T53" s="78">
        <f t="shared" ca="1" si="68"/>
        <v>0</v>
      </c>
      <c r="U53" s="4">
        <f ca="1">-SUMIFS(INDIRECT("Tab_00.Trial["&amp;U$4&amp;"]"),Tab_00.Trial[CONTA],$B53)</f>
        <v>0</v>
      </c>
      <c r="V53" s="78">
        <f t="shared" ca="1" si="69"/>
        <v>0</v>
      </c>
      <c r="W53" s="78">
        <f t="shared" ca="1" si="70"/>
        <v>0</v>
      </c>
      <c r="X53" s="4">
        <f ca="1">-SUMIFS(INDIRECT("Tab_00.Trial["&amp;X$4&amp;"]"),Tab_00.Trial[CONTA],$B53)</f>
        <v>0</v>
      </c>
      <c r="Y53" s="78">
        <f t="shared" ca="1" si="58"/>
        <v>0</v>
      </c>
      <c r="Z53" s="78">
        <f t="shared" ca="1" si="59"/>
        <v>0</v>
      </c>
      <c r="AA53" s="4">
        <f ca="1">-SUMIFS(INDIRECT("Tab_00.Trial["&amp;AA$4&amp;"]"),Tab_00.Trial[CONTA],$B53)</f>
        <v>0</v>
      </c>
      <c r="AB53" s="78">
        <f t="shared" ca="1" si="71"/>
        <v>0</v>
      </c>
      <c r="AC53" s="78">
        <f t="shared" ca="1" si="72"/>
        <v>0</v>
      </c>
      <c r="AD53" s="4">
        <f ca="1">-SUMIFS(INDIRECT("Tab_00.Trial["&amp;AD$4&amp;"]"),Tab_00.Trial[CONTA],$B53)</f>
        <v>0</v>
      </c>
      <c r="AE53" s="78">
        <f t="shared" ca="1" si="73"/>
        <v>0</v>
      </c>
      <c r="AF53" s="78">
        <f t="shared" ca="1" si="74"/>
        <v>0</v>
      </c>
      <c r="AG53" s="4">
        <f ca="1">-SUMIFS(INDIRECT("Tab_00.Trial["&amp;AG$4&amp;"]"),Tab_00.Trial[CONTA],$B53)</f>
        <v>0</v>
      </c>
      <c r="AH53" s="78">
        <f t="shared" ca="1" si="75"/>
        <v>0</v>
      </c>
      <c r="AI53" s="78">
        <f t="shared" ca="1" si="76"/>
        <v>0</v>
      </c>
      <c r="AJ53" s="4">
        <f ca="1">-SUMIFS(INDIRECT("Tab_00.Trial["&amp;AJ$4&amp;"]"),Tab_00.Trial[CONTA],$B53)</f>
        <v>0</v>
      </c>
      <c r="AK53" s="78">
        <f t="shared" ca="1" si="77"/>
        <v>0</v>
      </c>
      <c r="AL53" s="78">
        <f t="shared" ca="1" si="78"/>
        <v>0</v>
      </c>
    </row>
    <row r="54" spans="2:38" ht="15" customHeight="1" outlineLevel="1" x14ac:dyDescent="0.3">
      <c r="B54" s="14" t="s">
        <v>738</v>
      </c>
      <c r="C54" s="14" t="s">
        <v>367</v>
      </c>
      <c r="D54" s="4">
        <f ca="1">-SUMIFS(INDIRECT("Tab_00.Trial["&amp;D$4&amp;"]"),Tab_00.Trial[CONTA],$B54)</f>
        <v>-122569.24</v>
      </c>
      <c r="E54" s="78">
        <f t="shared" ca="1" si="56"/>
        <v>-0.1313</v>
      </c>
      <c r="F54" s="4">
        <f ca="1">-SUMIFS(INDIRECT("Tab_00.Trial["&amp;F$4&amp;"]"),Tab_00.Trial[CONTA],$B54)</f>
        <v>-122569.24</v>
      </c>
      <c r="G54" s="78">
        <f t="shared" ca="1" si="60"/>
        <v>-8.4099999999999994E-2</v>
      </c>
      <c r="H54" s="78">
        <f t="shared" ca="1" si="57"/>
        <v>0</v>
      </c>
      <c r="I54" s="4">
        <f ca="1">-SUMIFS(INDIRECT("Tab_00.Trial["&amp;I$4&amp;"]"),Tab_00.Trial[CONTA],$B54)</f>
        <v>-382498.04</v>
      </c>
      <c r="J54" s="78">
        <f t="shared" ca="1" si="61"/>
        <v>-0.1303</v>
      </c>
      <c r="K54" s="78">
        <f t="shared" ca="1" si="62"/>
        <v>-2.1206999999999998</v>
      </c>
      <c r="L54" s="4">
        <f ca="1">-SUMIFS(INDIRECT("Tab_00.Trial["&amp;L$4&amp;"]"),Tab_00.Trial[CONTA],$B54)</f>
        <v>-514787.48</v>
      </c>
      <c r="M54" s="78">
        <f t="shared" ca="1" si="63"/>
        <v>-0.1308</v>
      </c>
      <c r="N54" s="78">
        <f t="shared" ca="1" si="64"/>
        <v>-0.34589999999999999</v>
      </c>
      <c r="O54" s="4">
        <f ca="1">-SUMIFS(INDIRECT("Tab_00.Trial["&amp;O$4&amp;"]"),Tab_00.Trial[CONTA],$B54)</f>
        <v>-652647.16</v>
      </c>
      <c r="P54" s="78">
        <f t="shared" ca="1" si="65"/>
        <v>-0.127</v>
      </c>
      <c r="Q54" s="78">
        <f t="shared" ca="1" si="66"/>
        <v>-0.26779999999999998</v>
      </c>
      <c r="R54" s="4">
        <f ca="1">-SUMIFS(INDIRECT("Tab_00.Trial["&amp;R$4&amp;"]"),Tab_00.Trial[CONTA],$B54)</f>
        <v>-916108.28</v>
      </c>
      <c r="S54" s="78">
        <f t="shared" ca="1" si="67"/>
        <v>-0.1275</v>
      </c>
      <c r="T54" s="78">
        <f t="shared" ca="1" si="68"/>
        <v>-0.4037</v>
      </c>
      <c r="U54" s="4">
        <f ca="1">-SUMIFS(INDIRECT("Tab_00.Trial["&amp;U$4&amp;"]"),Tab_00.Trial[CONTA],$B54)</f>
        <v>-916108.28</v>
      </c>
      <c r="V54" s="78">
        <f t="shared" ca="1" si="69"/>
        <v>-0.1275</v>
      </c>
      <c r="W54" s="78">
        <f t="shared" ca="1" si="70"/>
        <v>0</v>
      </c>
      <c r="X54" s="4">
        <f ca="1">-SUMIFS(INDIRECT("Tab_00.Trial["&amp;X$4&amp;"]"),Tab_00.Trial[CONTA],$B54)</f>
        <v>-916108.28</v>
      </c>
      <c r="Y54" s="78">
        <f t="shared" ca="1" si="58"/>
        <v>-0.1275</v>
      </c>
      <c r="Z54" s="78">
        <f t="shared" ca="1" si="59"/>
        <v>0</v>
      </c>
      <c r="AA54" s="4">
        <f ca="1">-SUMIFS(INDIRECT("Tab_00.Trial["&amp;AA$4&amp;"]"),Tab_00.Trial[CONTA],$B54)</f>
        <v>-1184785.28</v>
      </c>
      <c r="AB54" s="78">
        <f t="shared" ca="1" si="71"/>
        <v>-0.129</v>
      </c>
      <c r="AC54" s="78">
        <f t="shared" ca="1" si="72"/>
        <v>-0.29330000000000001</v>
      </c>
      <c r="AD54" s="4">
        <f ca="1">-SUMIFS(INDIRECT("Tab_00.Trial["&amp;AD$4&amp;"]"),Tab_00.Trial[CONTA],$B54)</f>
        <v>-1333697.1200000001</v>
      </c>
      <c r="AE54" s="78">
        <f t="shared" ca="1" si="73"/>
        <v>-0.12809999999999999</v>
      </c>
      <c r="AF54" s="78">
        <f t="shared" ca="1" si="74"/>
        <v>-0.12570000000000001</v>
      </c>
      <c r="AG54" s="4">
        <f ca="1">-SUMIFS(INDIRECT("Tab_00.Trial["&amp;AG$4&amp;"]"),Tab_00.Trial[CONTA],$B54)</f>
        <v>-1443114.24</v>
      </c>
      <c r="AH54" s="78">
        <f t="shared" ca="1" si="75"/>
        <v>-0.1275</v>
      </c>
      <c r="AI54" s="78">
        <f t="shared" ca="1" si="76"/>
        <v>-8.2000000000000003E-2</v>
      </c>
      <c r="AJ54" s="4">
        <f ca="1">-SUMIFS(INDIRECT("Tab_00.Trial["&amp;AJ$4&amp;"]"),Tab_00.Trial[CONTA],$B54)</f>
        <v>-1555909.28</v>
      </c>
      <c r="AK54" s="78">
        <f t="shared" ca="1" si="77"/>
        <v>-0.1217</v>
      </c>
      <c r="AL54" s="78">
        <f t="shared" ca="1" si="78"/>
        <v>-7.8200000000000006E-2</v>
      </c>
    </row>
    <row r="55" spans="2:38" ht="15" customHeight="1" outlineLevel="1" x14ac:dyDescent="0.3">
      <c r="B55" s="14"/>
      <c r="C55" s="14"/>
      <c r="D55" s="4">
        <f ca="1">-SUMIFS(INDIRECT("Tab_00.Trial["&amp;D$4&amp;"]"),Tab_00.Trial[CONTA],$B55)</f>
        <v>0</v>
      </c>
      <c r="E55" s="78">
        <f t="shared" ca="1" si="56"/>
        <v>0</v>
      </c>
      <c r="F55" s="4">
        <f ca="1">-SUMIFS(INDIRECT("Tab_00.Trial["&amp;F$4&amp;"]"),Tab_00.Trial[CONTA],$B55)</f>
        <v>0</v>
      </c>
      <c r="G55" s="78">
        <f t="shared" ca="1" si="60"/>
        <v>0</v>
      </c>
      <c r="H55" s="78">
        <f t="shared" ca="1" si="57"/>
        <v>0</v>
      </c>
      <c r="I55" s="4">
        <f ca="1">-SUMIFS(INDIRECT("Tab_00.Trial["&amp;I$4&amp;"]"),Tab_00.Trial[CONTA],$B55)</f>
        <v>0</v>
      </c>
      <c r="J55" s="78">
        <f t="shared" ca="1" si="61"/>
        <v>0</v>
      </c>
      <c r="K55" s="78">
        <f t="shared" ca="1" si="62"/>
        <v>0</v>
      </c>
      <c r="L55" s="4">
        <f ca="1">-SUMIFS(INDIRECT("Tab_00.Trial["&amp;L$4&amp;"]"),Tab_00.Trial[CONTA],$B55)</f>
        <v>0</v>
      </c>
      <c r="M55" s="78">
        <f t="shared" ca="1" si="63"/>
        <v>0</v>
      </c>
      <c r="N55" s="78">
        <f t="shared" ca="1" si="64"/>
        <v>0</v>
      </c>
      <c r="O55" s="4">
        <f ca="1">-SUMIFS(INDIRECT("Tab_00.Trial["&amp;O$4&amp;"]"),Tab_00.Trial[CONTA],$B55)</f>
        <v>0</v>
      </c>
      <c r="P55" s="78">
        <f t="shared" ca="1" si="65"/>
        <v>0</v>
      </c>
      <c r="Q55" s="78">
        <f t="shared" ca="1" si="66"/>
        <v>0</v>
      </c>
      <c r="R55" s="4">
        <f ca="1">-SUMIFS(INDIRECT("Tab_00.Trial["&amp;R$4&amp;"]"),Tab_00.Trial[CONTA],$B55)</f>
        <v>0</v>
      </c>
      <c r="S55" s="78">
        <f t="shared" ca="1" si="67"/>
        <v>0</v>
      </c>
      <c r="T55" s="78">
        <f t="shared" ca="1" si="68"/>
        <v>0</v>
      </c>
      <c r="U55" s="4">
        <f ca="1">-SUMIFS(INDIRECT("Tab_00.Trial["&amp;U$4&amp;"]"),Tab_00.Trial[CONTA],$B55)</f>
        <v>0</v>
      </c>
      <c r="V55" s="78">
        <f t="shared" ca="1" si="69"/>
        <v>0</v>
      </c>
      <c r="W55" s="78">
        <f t="shared" ca="1" si="70"/>
        <v>0</v>
      </c>
      <c r="X55" s="4">
        <f ca="1">-SUMIFS(INDIRECT("Tab_00.Trial["&amp;X$4&amp;"]"),Tab_00.Trial[CONTA],$B55)</f>
        <v>0</v>
      </c>
      <c r="Y55" s="78">
        <f t="shared" ca="1" si="58"/>
        <v>0</v>
      </c>
      <c r="Z55" s="78">
        <f t="shared" ca="1" si="59"/>
        <v>0</v>
      </c>
      <c r="AA55" s="4">
        <f ca="1">-SUMIFS(INDIRECT("Tab_00.Trial["&amp;AA$4&amp;"]"),Tab_00.Trial[CONTA],$B55)</f>
        <v>0</v>
      </c>
      <c r="AB55" s="78">
        <f t="shared" ca="1" si="71"/>
        <v>0</v>
      </c>
      <c r="AC55" s="78">
        <f t="shared" ca="1" si="72"/>
        <v>0</v>
      </c>
      <c r="AD55" s="4">
        <f ca="1">-SUMIFS(INDIRECT("Tab_00.Trial["&amp;AD$4&amp;"]"),Tab_00.Trial[CONTA],$B55)</f>
        <v>0</v>
      </c>
      <c r="AE55" s="78">
        <f t="shared" ca="1" si="73"/>
        <v>0</v>
      </c>
      <c r="AF55" s="78">
        <f t="shared" ca="1" si="74"/>
        <v>0</v>
      </c>
      <c r="AG55" s="4">
        <f ca="1">-SUMIFS(INDIRECT("Tab_00.Trial["&amp;AG$4&amp;"]"),Tab_00.Trial[CONTA],$B55)</f>
        <v>0</v>
      </c>
      <c r="AH55" s="78">
        <f t="shared" ca="1" si="75"/>
        <v>0</v>
      </c>
      <c r="AI55" s="78">
        <f t="shared" ca="1" si="76"/>
        <v>0</v>
      </c>
      <c r="AJ55" s="4">
        <f ca="1">-SUMIFS(INDIRECT("Tab_00.Trial["&amp;AJ$4&amp;"]"),Tab_00.Trial[CONTA],$B55)</f>
        <v>0</v>
      </c>
      <c r="AK55" s="78">
        <f t="shared" ca="1" si="77"/>
        <v>0</v>
      </c>
      <c r="AL55" s="78">
        <f t="shared" ca="1" si="78"/>
        <v>0</v>
      </c>
    </row>
    <row r="56" spans="2:38" ht="15" customHeight="1" outlineLevel="1" x14ac:dyDescent="0.3">
      <c r="B56" s="14"/>
      <c r="C56" s="14"/>
      <c r="D56" s="4">
        <f ca="1">-SUMIFS(INDIRECT("Tab_00.Trial["&amp;D$4&amp;"]"),Tab_00.Trial[CONTA],$B56)</f>
        <v>0</v>
      </c>
      <c r="E56" s="78">
        <f t="shared" ca="1" si="56"/>
        <v>0</v>
      </c>
      <c r="F56" s="4">
        <f ca="1">-SUMIFS(INDIRECT("Tab_00.Trial["&amp;F$4&amp;"]"),Tab_00.Trial[CONTA],$B56)</f>
        <v>0</v>
      </c>
      <c r="G56" s="78">
        <f t="shared" ca="1" si="60"/>
        <v>0</v>
      </c>
      <c r="H56" s="78">
        <f t="shared" ca="1" si="57"/>
        <v>0</v>
      </c>
      <c r="I56" s="4">
        <f ca="1">-SUMIFS(INDIRECT("Tab_00.Trial["&amp;I$4&amp;"]"),Tab_00.Trial[CONTA],$B56)</f>
        <v>0</v>
      </c>
      <c r="J56" s="78">
        <f t="shared" ca="1" si="61"/>
        <v>0</v>
      </c>
      <c r="K56" s="78">
        <f t="shared" ca="1" si="62"/>
        <v>0</v>
      </c>
      <c r="L56" s="4">
        <f ca="1">-SUMIFS(INDIRECT("Tab_00.Trial["&amp;L$4&amp;"]"),Tab_00.Trial[CONTA],$B56)</f>
        <v>0</v>
      </c>
      <c r="M56" s="78">
        <f t="shared" ca="1" si="63"/>
        <v>0</v>
      </c>
      <c r="N56" s="78">
        <f t="shared" ca="1" si="64"/>
        <v>0</v>
      </c>
      <c r="O56" s="4">
        <f ca="1">-SUMIFS(INDIRECT("Tab_00.Trial["&amp;O$4&amp;"]"),Tab_00.Trial[CONTA],$B56)</f>
        <v>0</v>
      </c>
      <c r="P56" s="78">
        <f t="shared" ca="1" si="65"/>
        <v>0</v>
      </c>
      <c r="Q56" s="78">
        <f t="shared" ca="1" si="66"/>
        <v>0</v>
      </c>
      <c r="R56" s="4">
        <f ca="1">-SUMIFS(INDIRECT("Tab_00.Trial["&amp;R$4&amp;"]"),Tab_00.Trial[CONTA],$B56)</f>
        <v>0</v>
      </c>
      <c r="S56" s="78">
        <f t="shared" ca="1" si="67"/>
        <v>0</v>
      </c>
      <c r="T56" s="78">
        <f t="shared" ca="1" si="68"/>
        <v>0</v>
      </c>
      <c r="U56" s="4">
        <f ca="1">-SUMIFS(INDIRECT("Tab_00.Trial["&amp;U$4&amp;"]"),Tab_00.Trial[CONTA],$B56)</f>
        <v>0</v>
      </c>
      <c r="V56" s="78">
        <f t="shared" ca="1" si="69"/>
        <v>0</v>
      </c>
      <c r="W56" s="78">
        <f t="shared" ca="1" si="70"/>
        <v>0</v>
      </c>
      <c r="X56" s="4">
        <f ca="1">-SUMIFS(INDIRECT("Tab_00.Trial["&amp;X$4&amp;"]"),Tab_00.Trial[CONTA],$B56)</f>
        <v>0</v>
      </c>
      <c r="Y56" s="78">
        <f t="shared" ca="1" si="58"/>
        <v>0</v>
      </c>
      <c r="Z56" s="78">
        <f t="shared" ca="1" si="59"/>
        <v>0</v>
      </c>
      <c r="AA56" s="4">
        <f ca="1">-SUMIFS(INDIRECT("Tab_00.Trial["&amp;AA$4&amp;"]"),Tab_00.Trial[CONTA],$B56)</f>
        <v>0</v>
      </c>
      <c r="AB56" s="78">
        <f t="shared" ca="1" si="71"/>
        <v>0</v>
      </c>
      <c r="AC56" s="78">
        <f t="shared" ca="1" si="72"/>
        <v>0</v>
      </c>
      <c r="AD56" s="4">
        <f ca="1">-SUMIFS(INDIRECT("Tab_00.Trial["&amp;AD$4&amp;"]"),Tab_00.Trial[CONTA],$B56)</f>
        <v>0</v>
      </c>
      <c r="AE56" s="78">
        <f t="shared" ca="1" si="73"/>
        <v>0</v>
      </c>
      <c r="AF56" s="78">
        <f t="shared" ca="1" si="74"/>
        <v>0</v>
      </c>
      <c r="AG56" s="4">
        <f ca="1">-SUMIFS(INDIRECT("Tab_00.Trial["&amp;AG$4&amp;"]"),Tab_00.Trial[CONTA],$B56)</f>
        <v>0</v>
      </c>
      <c r="AH56" s="78">
        <f t="shared" ca="1" si="75"/>
        <v>0</v>
      </c>
      <c r="AI56" s="78">
        <f t="shared" ca="1" si="76"/>
        <v>0</v>
      </c>
      <c r="AJ56" s="4">
        <f ca="1">-SUMIFS(INDIRECT("Tab_00.Trial["&amp;AJ$4&amp;"]"),Tab_00.Trial[CONTA],$B56)</f>
        <v>0</v>
      </c>
      <c r="AK56" s="78">
        <f t="shared" ca="1" si="77"/>
        <v>0</v>
      </c>
      <c r="AL56" s="78">
        <f t="shared" ca="1" si="78"/>
        <v>0</v>
      </c>
    </row>
    <row r="57" spans="2:38" ht="5.0999999999999996" customHeight="1" outlineLevel="1" x14ac:dyDescent="0.3">
      <c r="B57" s="74"/>
      <c r="C57" s="75"/>
      <c r="D57" s="76"/>
      <c r="E57" s="77"/>
      <c r="F57" s="76"/>
      <c r="G57" s="77"/>
      <c r="H57" s="77"/>
      <c r="I57" s="76"/>
      <c r="J57" s="77"/>
      <c r="K57" s="77"/>
      <c r="L57" s="76"/>
      <c r="M57" s="77"/>
      <c r="N57" s="77"/>
      <c r="O57" s="76"/>
      <c r="P57" s="77"/>
      <c r="Q57" s="77"/>
      <c r="R57" s="76"/>
      <c r="S57" s="77"/>
      <c r="T57" s="77"/>
      <c r="U57" s="76"/>
      <c r="V57" s="77"/>
      <c r="W57" s="77"/>
      <c r="X57" s="76"/>
      <c r="Y57" s="77"/>
      <c r="Z57" s="77"/>
      <c r="AA57" s="76"/>
      <c r="AB57" s="77"/>
      <c r="AC57" s="77"/>
      <c r="AD57" s="76"/>
      <c r="AE57" s="77"/>
      <c r="AF57" s="77"/>
      <c r="AG57" s="76"/>
      <c r="AH57" s="77"/>
      <c r="AI57" s="77"/>
      <c r="AJ57" s="76"/>
      <c r="AK57" s="77"/>
      <c r="AL57" s="77"/>
    </row>
    <row r="58" spans="2:38" ht="5.0999999999999996" customHeight="1" x14ac:dyDescent="0.3"/>
    <row r="59" spans="2:38" ht="15" customHeight="1" x14ac:dyDescent="0.3">
      <c r="C59" s="17" t="s">
        <v>65</v>
      </c>
      <c r="D59" s="16">
        <f ca="1">SUBTOTAL(9,D$5:D$58)</f>
        <v>42377.29</v>
      </c>
      <c r="E59" s="80">
        <f ca="1">IFERROR($D59/$D$6,0)</f>
        <v>4.5400000000000003E-2</v>
      </c>
      <c r="F59" s="16">
        <f ca="1">SUBTOTAL(9,F$5:F$58)</f>
        <v>359705.85</v>
      </c>
      <c r="G59" s="80">
        <f ca="1">IFERROR($F59/$F$6,0)</f>
        <v>0.2467</v>
      </c>
      <c r="H59" s="80">
        <f ca="1">IFERROR(($F59-$D59)/ABS($D59),0)</f>
        <v>7.4882</v>
      </c>
      <c r="I59" s="16">
        <f ca="1">SUBTOTAL(9,I$5:I$58)</f>
        <v>552633.49</v>
      </c>
      <c r="J59" s="80">
        <f ca="1">IFERROR($I59/$I$6,0)</f>
        <v>0.1883</v>
      </c>
      <c r="K59" s="80">
        <f t="shared" ref="K59" ca="1" si="79">IFERROR(($I59-$F59)/ABS($F59),0)</f>
        <v>0.5363</v>
      </c>
      <c r="L59" s="16">
        <f ca="1">SUBTOTAL(9,L$5:L$58)</f>
        <v>854658.79</v>
      </c>
      <c r="M59" s="80">
        <f ca="1">IFERROR($L59/$L$6,0)</f>
        <v>0.21709999999999999</v>
      </c>
      <c r="N59" s="80">
        <f t="shared" ref="N59" ca="1" si="80">IFERROR(($L59-$I59)/ABS($I59),0)</f>
        <v>0.54649999999999999</v>
      </c>
      <c r="O59" s="16">
        <f ca="1">SUBTOTAL(9,O$5:O$58)</f>
        <v>1334665.03</v>
      </c>
      <c r="P59" s="80">
        <f ca="1">IFERROR($O59/$O$6,0)</f>
        <v>0.25979999999999998</v>
      </c>
      <c r="Q59" s="80">
        <f t="shared" ref="Q59" ca="1" si="81">IFERROR(($O59-$L59)/ABS($L59),0)</f>
        <v>0.56159999999999999</v>
      </c>
      <c r="R59" s="16">
        <f ca="1">SUBTOTAL(9,R$5:R$58)</f>
        <v>2232691.17</v>
      </c>
      <c r="S59" s="80">
        <f ca="1">IFERROR($R59/$R$6,0)</f>
        <v>0.31059999999999999</v>
      </c>
      <c r="T59" s="80">
        <f t="shared" ref="T59" ca="1" si="82">IFERROR(($R59-$O59)/ABS($O59),0)</f>
        <v>0.67279999999999995</v>
      </c>
      <c r="U59" s="16">
        <f ca="1">SUBTOTAL(9,U$5:U$58)</f>
        <v>2232691.17</v>
      </c>
      <c r="V59" s="80">
        <f ca="1">IFERROR($U59/$U$6,0)</f>
        <v>0.31059999999999999</v>
      </c>
      <c r="W59" s="80">
        <f t="shared" ref="W59" ca="1" si="83">IFERROR(($U59-$R59)/ABS($R59),0)</f>
        <v>0</v>
      </c>
      <c r="X59" s="16">
        <f ca="1">SUBTOTAL(9,X$5:X$58)</f>
        <v>2232691.17</v>
      </c>
      <c r="Y59" s="80">
        <f ca="1">IFERROR($X59/$X$6,0)</f>
        <v>0.31059999999999999</v>
      </c>
      <c r="Z59" s="80">
        <f t="shared" ref="Z59" ca="1" si="84">IFERROR(($X59-$U59)/ABS($U59),0)</f>
        <v>0</v>
      </c>
      <c r="AA59" s="16">
        <f ca="1">SUBTOTAL(9,AA$5:AA$58)</f>
        <v>2916069.02</v>
      </c>
      <c r="AB59" s="80">
        <f ca="1">IFERROR($AA59/$AA$6,0)</f>
        <v>0.3175</v>
      </c>
      <c r="AC59" s="80">
        <f t="shared" ref="AC59" ca="1" si="85">IFERROR(($AA59-$X59)/ABS($X59),0)</f>
        <v>0.30609999999999998</v>
      </c>
      <c r="AD59" s="16">
        <f ca="1">SUBTOTAL(9,AD$5:AD$58)</f>
        <v>3300807.05</v>
      </c>
      <c r="AE59" s="80">
        <f ca="1">IFERROR($AD59/$AD$6,0)</f>
        <v>0.31709999999999999</v>
      </c>
      <c r="AF59" s="80">
        <f t="shared" ref="AF59" ca="1" si="86">IFERROR(($AD59-$AA59)/ABS($AA59),0)</f>
        <v>0.13189999999999999</v>
      </c>
      <c r="AG59" s="16">
        <f ca="1">SUBTOTAL(9,AG$5:AG$58)</f>
        <v>3858809.3</v>
      </c>
      <c r="AH59" s="80">
        <f ca="1">IFERROR($AG59/$AG$6,0)</f>
        <v>0.34110000000000001</v>
      </c>
      <c r="AI59" s="80">
        <f t="shared" ref="AI59" ca="1" si="87">IFERROR(($AG59-$AD59)/ABS($AD59),0)</f>
        <v>0.1691</v>
      </c>
      <c r="AJ59" s="16">
        <f ca="1">SUBTOTAL(9,AJ$5:AJ$58)</f>
        <v>3847965.26</v>
      </c>
      <c r="AK59" s="80">
        <f ca="1">IFERROR($AJ59/$AJ$6,0)</f>
        <v>0.3009</v>
      </c>
      <c r="AL59" s="80">
        <f t="shared" ref="AL59" ca="1" si="88">IFERROR(($AJ59-$AG59)/ABS($AG59),0)</f>
        <v>-2.8E-3</v>
      </c>
    </row>
    <row r="60" spans="2:38" ht="5.0999999999999996" customHeight="1" x14ac:dyDescent="0.3"/>
    <row r="61" spans="2:38" ht="9.9" customHeight="1" x14ac:dyDescent="0.3">
      <c r="C61" s="17" t="s">
        <v>86</v>
      </c>
    </row>
    <row r="62" spans="2:38" ht="15" customHeight="1" x14ac:dyDescent="0.3">
      <c r="B62" s="3" t="s">
        <v>104</v>
      </c>
      <c r="C62" s="3" t="s">
        <v>146</v>
      </c>
      <c r="D62" s="4">
        <f ca="1">SUBTOTAL(9,D$63:D$99)</f>
        <v>-200564.34</v>
      </c>
      <c r="E62" s="78">
        <f t="shared" ref="E62:E98" ca="1" si="89">IFERROR($D62/$D$6,0)</f>
        <v>-0.21490000000000001</v>
      </c>
      <c r="F62" s="4">
        <f ca="1">SUBTOTAL(9,F$63:F$99)</f>
        <v>-408554.5</v>
      </c>
      <c r="G62" s="78">
        <f ca="1">IFERROR($F62/$F$6,0)</f>
        <v>-0.2802</v>
      </c>
      <c r="H62" s="78">
        <f t="shared" ref="H62:H98" ca="1" si="90">IFERROR(($F62-$D62)/ABS($D62),0)</f>
        <v>-1.0369999999999999</v>
      </c>
      <c r="I62" s="4">
        <f ca="1">SUBTOTAL(9,I$63:I$99)</f>
        <v>-884774.47</v>
      </c>
      <c r="J62" s="78">
        <f ca="1">IFERROR($I62/$I$6,0)</f>
        <v>-0.30149999999999999</v>
      </c>
      <c r="K62" s="78">
        <f ca="1">IFERROR(($I62-$F62)/ABS($F62),0)</f>
        <v>-1.1656</v>
      </c>
      <c r="L62" s="4">
        <f ca="1">SUBTOTAL(9,L$63:L$99)</f>
        <v>-1070926.33</v>
      </c>
      <c r="M62" s="78">
        <f ca="1">IFERROR($L62/$L$6,0)</f>
        <v>-0.27210000000000001</v>
      </c>
      <c r="N62" s="78">
        <f ca="1">IFERROR(($L62-$I62)/ABS($I62),0)</f>
        <v>-0.2104</v>
      </c>
      <c r="O62" s="4">
        <f ca="1">SUBTOTAL(9,O$63:O$99)</f>
        <v>-1252040.3700000001</v>
      </c>
      <c r="P62" s="78">
        <f ca="1">IFERROR($O62/$O$6,0)</f>
        <v>-0.2437</v>
      </c>
      <c r="Q62" s="78">
        <f ca="1">IFERROR(($O62-$L62)/ABS($L62),0)</f>
        <v>-0.1691</v>
      </c>
      <c r="R62" s="4">
        <f ca="1">SUBTOTAL(9,R$63:R$99)</f>
        <v>-1601483.94</v>
      </c>
      <c r="S62" s="78">
        <f ca="1">IFERROR($R62/$R$6,0)</f>
        <v>-0.2228</v>
      </c>
      <c r="T62" s="78">
        <f ca="1">IFERROR(($R62-$O62)/ABS($O62),0)</f>
        <v>-0.27910000000000001</v>
      </c>
      <c r="U62" s="4">
        <f ca="1">SUBTOTAL(9,U$63:U$99)</f>
        <v>-1601483.94</v>
      </c>
      <c r="V62" s="78">
        <f ca="1">IFERROR($U62/$U$6,0)</f>
        <v>-0.2228</v>
      </c>
      <c r="W62" s="78">
        <f ca="1">IFERROR(($U62-$R62)/ABS($R62),0)</f>
        <v>0</v>
      </c>
      <c r="X62" s="4">
        <f ca="1">SUBTOTAL(9,X$63:X$99)</f>
        <v>-1601483.94</v>
      </c>
      <c r="Y62" s="78">
        <f ca="1">IFERROR($X62/$X$6,0)</f>
        <v>-0.2228</v>
      </c>
      <c r="Z62" s="78">
        <f ca="1">IFERROR(($X62-$U62)/ABS($U62),0)</f>
        <v>0</v>
      </c>
      <c r="AA62" s="4">
        <f ca="1">SUBTOTAL(9,AA$63:AA$99)</f>
        <v>-1980542.68</v>
      </c>
      <c r="AB62" s="78">
        <f ca="1">IFERROR($AA62/$AA$6,0)</f>
        <v>-0.21560000000000001</v>
      </c>
      <c r="AC62" s="78">
        <f ca="1">IFERROR(($AA62-$X62)/ABS($X62),0)</f>
        <v>-0.23669999999999999</v>
      </c>
      <c r="AD62" s="4">
        <f ca="1">SUBTOTAL(9,AD$63:AD$99)</f>
        <v>-2154156.81</v>
      </c>
      <c r="AE62" s="78">
        <f ca="1">IFERROR($AD62/$AD$6,0)</f>
        <v>-0.2069</v>
      </c>
      <c r="AF62" s="78">
        <f ca="1">IFERROR(($AD62-$AA62)/ABS($AA62),0)</f>
        <v>-8.77E-2</v>
      </c>
      <c r="AG62" s="4">
        <f ca="1">SUBTOTAL(9,AG$63:AG$99)</f>
        <v>-2342597.96</v>
      </c>
      <c r="AH62" s="78">
        <f ca="1">IFERROR($AG62/$AG$6,0)</f>
        <v>-0.20710000000000001</v>
      </c>
      <c r="AI62" s="78">
        <f ca="1">IFERROR(($AG62-$AD62)/ABS($AD62),0)</f>
        <v>-8.7499999999999994E-2</v>
      </c>
      <c r="AJ62" s="4">
        <f ca="1">SUBTOTAL(9,AJ$63:AJ$99)</f>
        <v>-2518388.17</v>
      </c>
      <c r="AK62" s="78">
        <f ca="1">IFERROR($AJ62/$AJ$6,0)</f>
        <v>-0.19689999999999999</v>
      </c>
      <c r="AL62" s="78">
        <f ca="1">IFERROR(($AJ62-$AG62)/ABS($AG62),0)</f>
        <v>-7.4999999999999997E-2</v>
      </c>
    </row>
    <row r="63" spans="2:38" ht="15" customHeight="1" outlineLevel="1" x14ac:dyDescent="0.3">
      <c r="B63" s="14" t="s">
        <v>195</v>
      </c>
      <c r="C63" s="14" t="s">
        <v>427</v>
      </c>
      <c r="D63" s="4">
        <f ca="1">-SUMIFS(INDIRECT("Tab_00.Trial["&amp;D$4&amp;"]"),Tab_00.Trial[CONTA],$B63)</f>
        <v>9283.35</v>
      </c>
      <c r="E63" s="78">
        <f t="shared" ca="1" si="89"/>
        <v>9.9000000000000008E-3</v>
      </c>
      <c r="F63" s="4">
        <f ca="1">-SUMIFS(INDIRECT("Tab_00.Trial["&amp;F$4&amp;"]"),Tab_00.Trial[CONTA],$B63)</f>
        <v>9283.35</v>
      </c>
      <c r="G63" s="78">
        <f t="shared" ref="G63:G189" ca="1" si="91">IFERROR($F63/$F$6,0)</f>
        <v>6.4000000000000003E-3</v>
      </c>
      <c r="H63" s="78">
        <f t="shared" ca="1" si="90"/>
        <v>0</v>
      </c>
      <c r="I63" s="4">
        <f ca="1">-SUMIFS(INDIRECT("Tab_00.Trial["&amp;I$4&amp;"]"),Tab_00.Trial[CONTA],$B63)</f>
        <v>-103060.46</v>
      </c>
      <c r="J63" s="78">
        <f t="shared" ref="J63:J189" ca="1" si="92">IFERROR($I63/$I$6,0)</f>
        <v>-3.5099999999999999E-2</v>
      </c>
      <c r="K63" s="78">
        <f t="shared" ref="K63:K186" ca="1" si="93">IFERROR(($I63-$F63)/ABS($F63),0)</f>
        <v>-12.101599999999999</v>
      </c>
      <c r="L63" s="4">
        <f ca="1">-SUMIFS(INDIRECT("Tab_00.Trial["&amp;L$4&amp;"]"),Tab_00.Trial[CONTA],$B63)</f>
        <v>-170393.05</v>
      </c>
      <c r="M63" s="78">
        <f t="shared" ref="M63:M189" ca="1" si="94">IFERROR($L63/$L$6,0)</f>
        <v>-4.3299999999999998E-2</v>
      </c>
      <c r="N63" s="78">
        <f t="shared" ref="N63:N186" ca="1" si="95">IFERROR(($L63-$I63)/ABS($I63),0)</f>
        <v>-0.65329999999999999</v>
      </c>
      <c r="O63" s="4">
        <f ca="1">-SUMIFS(INDIRECT("Tab_00.Trial["&amp;O$4&amp;"]"),Tab_00.Trial[CONTA],$B63)</f>
        <v>-235725.68</v>
      </c>
      <c r="P63" s="78">
        <f t="shared" ref="P63:P98" ca="1" si="96">IFERROR($O63/$O$6,0)</f>
        <v>-4.5900000000000003E-2</v>
      </c>
      <c r="Q63" s="78">
        <f t="shared" ref="Q63:Q98" ca="1" si="97">IFERROR(($O63-$L63)/ABS($L63),0)</f>
        <v>-0.38340000000000002</v>
      </c>
      <c r="R63" s="4">
        <f ca="1">-SUMIFS(INDIRECT("Tab_00.Trial["&amp;R$4&amp;"]"),Tab_00.Trial[CONTA],$B63)</f>
        <v>-326968.65999999997</v>
      </c>
      <c r="S63" s="78">
        <f t="shared" ref="S63:S189" ca="1" si="98">IFERROR($R63/$R$6,0)</f>
        <v>-4.5499999999999999E-2</v>
      </c>
      <c r="T63" s="78">
        <f t="shared" ref="T63:T186" ca="1" si="99">IFERROR(($R63-$O63)/ABS($O63),0)</f>
        <v>-0.3871</v>
      </c>
      <c r="U63" s="4">
        <f ca="1">-SUMIFS(INDIRECT("Tab_00.Trial["&amp;U$4&amp;"]"),Tab_00.Trial[CONTA],$B63)</f>
        <v>-326968.65999999997</v>
      </c>
      <c r="V63" s="78">
        <f t="shared" ref="V63:V189" ca="1" si="100">IFERROR($U63/$U$6,0)</f>
        <v>-4.5499999999999999E-2</v>
      </c>
      <c r="W63" s="78">
        <f t="shared" ref="W63:W186" ca="1" si="101">IFERROR(($U63-$R63)/ABS($R63),0)</f>
        <v>0</v>
      </c>
      <c r="X63" s="4">
        <f ca="1">-SUMIFS(INDIRECT("Tab_00.Trial["&amp;X$4&amp;"]"),Tab_00.Trial[CONTA],$B63)</f>
        <v>-326968.65999999997</v>
      </c>
      <c r="Y63" s="78">
        <f t="shared" ref="Y63:Y98" ca="1" si="102">IFERROR($X63/$X$6,0)</f>
        <v>-4.5499999999999999E-2</v>
      </c>
      <c r="Z63" s="78">
        <f t="shared" ref="Z63:Z98" ca="1" si="103">IFERROR(($X63-$U63)/ABS($U63),0)</f>
        <v>0</v>
      </c>
      <c r="AA63" s="4">
        <f ca="1">-SUMIFS(INDIRECT("Tab_00.Trial["&amp;AA$4&amp;"]"),Tab_00.Trial[CONTA],$B63)</f>
        <v>-444376.65</v>
      </c>
      <c r="AB63" s="78">
        <f t="shared" ref="AB63:AB189" ca="1" si="104">IFERROR($AA63/$AA$6,0)</f>
        <v>-4.8399999999999999E-2</v>
      </c>
      <c r="AC63" s="78">
        <f t="shared" ref="AC63:AC186" ca="1" si="105">IFERROR(($AA63-$X63)/ABS($X63),0)</f>
        <v>-0.35909999999999997</v>
      </c>
      <c r="AD63" s="4">
        <f ca="1">-SUMIFS(INDIRECT("Tab_00.Trial["&amp;AD$4&amp;"]"),Tab_00.Trial[CONTA],$B63)</f>
        <v>-491573.88</v>
      </c>
      <c r="AE63" s="78">
        <f t="shared" ref="AE63:AE189" ca="1" si="106">IFERROR($AD63/$AD$6,0)</f>
        <v>-4.7199999999999999E-2</v>
      </c>
      <c r="AF63" s="78">
        <f t="shared" ref="AF63:AF186" ca="1" si="107">IFERROR(($AD63-$AA63)/ABS($AA63),0)</f>
        <v>-0.1062</v>
      </c>
      <c r="AG63" s="4">
        <f ca="1">-SUMIFS(INDIRECT("Tab_00.Trial["&amp;AG$4&amp;"]"),Tab_00.Trial[CONTA],$B63)</f>
        <v>-549917.99</v>
      </c>
      <c r="AH63" s="78">
        <f t="shared" ref="AH63:AH189" ca="1" si="108">IFERROR($AG63/$AG$6,0)</f>
        <v>-4.8599999999999997E-2</v>
      </c>
      <c r="AI63" s="78">
        <f t="shared" ref="AI63:AI186" ca="1" si="109">IFERROR(($AG63-$AD63)/ABS($AD63),0)</f>
        <v>-0.1187</v>
      </c>
      <c r="AJ63" s="4">
        <f ca="1">-SUMIFS(INDIRECT("Tab_00.Trial["&amp;AJ$4&amp;"]"),Tab_00.Trial[CONTA],$B63)</f>
        <v>-612404.01</v>
      </c>
      <c r="AK63" s="78">
        <f t="shared" ref="AK63:AK189" ca="1" si="110">IFERROR($AJ63/$AJ$6,0)</f>
        <v>-4.7899999999999998E-2</v>
      </c>
      <c r="AL63" s="78">
        <f t="shared" ref="AL63:AL186" ca="1" si="111">IFERROR(($AJ63-$AG63)/ABS($AG63),0)</f>
        <v>-0.11360000000000001</v>
      </c>
    </row>
    <row r="64" spans="2:38" ht="15" customHeight="1" outlineLevel="1" x14ac:dyDescent="0.3">
      <c r="B64" s="14" t="s">
        <v>428</v>
      </c>
      <c r="C64" s="14" t="s">
        <v>429</v>
      </c>
      <c r="D64" s="4">
        <f ca="1">-SUMIFS(INDIRECT("Tab_00.Trial["&amp;D$4&amp;"]"),Tab_00.Trial[CONTA],$B64)</f>
        <v>0</v>
      </c>
      <c r="E64" s="78">
        <f t="shared" ca="1" si="89"/>
        <v>0</v>
      </c>
      <c r="F64" s="4">
        <f ca="1">-SUMIFS(INDIRECT("Tab_00.Trial["&amp;F$4&amp;"]"),Tab_00.Trial[CONTA],$B64)</f>
        <v>0</v>
      </c>
      <c r="G64" s="78">
        <f t="shared" ca="1" si="91"/>
        <v>0</v>
      </c>
      <c r="H64" s="78">
        <f t="shared" ca="1" si="90"/>
        <v>0</v>
      </c>
      <c r="I64" s="4">
        <f ca="1">-SUMIFS(INDIRECT("Tab_00.Trial["&amp;I$4&amp;"]"),Tab_00.Trial[CONTA],$B64)</f>
        <v>0</v>
      </c>
      <c r="J64" s="78">
        <f t="shared" ca="1" si="92"/>
        <v>0</v>
      </c>
      <c r="K64" s="78">
        <f t="shared" ca="1" si="93"/>
        <v>0</v>
      </c>
      <c r="L64" s="4">
        <f ca="1">-SUMIFS(INDIRECT("Tab_00.Trial["&amp;L$4&amp;"]"),Tab_00.Trial[CONTA],$B64)</f>
        <v>0</v>
      </c>
      <c r="M64" s="78">
        <f t="shared" ca="1" si="94"/>
        <v>0</v>
      </c>
      <c r="N64" s="78">
        <f t="shared" ca="1" si="95"/>
        <v>0</v>
      </c>
      <c r="O64" s="4">
        <f ca="1">-SUMIFS(INDIRECT("Tab_00.Trial["&amp;O$4&amp;"]"),Tab_00.Trial[CONTA],$B64)</f>
        <v>0</v>
      </c>
      <c r="P64" s="78">
        <f t="shared" ca="1" si="96"/>
        <v>0</v>
      </c>
      <c r="Q64" s="78">
        <f t="shared" ca="1" si="97"/>
        <v>0</v>
      </c>
      <c r="R64" s="4">
        <f ca="1">-SUMIFS(INDIRECT("Tab_00.Trial["&amp;R$4&amp;"]"),Tab_00.Trial[CONTA],$B64)</f>
        <v>0</v>
      </c>
      <c r="S64" s="78">
        <f t="shared" ca="1" si="98"/>
        <v>0</v>
      </c>
      <c r="T64" s="78">
        <f t="shared" ca="1" si="99"/>
        <v>0</v>
      </c>
      <c r="U64" s="4">
        <f ca="1">-SUMIFS(INDIRECT("Tab_00.Trial["&amp;U$4&amp;"]"),Tab_00.Trial[CONTA],$B64)</f>
        <v>0</v>
      </c>
      <c r="V64" s="78">
        <f t="shared" ca="1" si="100"/>
        <v>0</v>
      </c>
      <c r="W64" s="78">
        <f t="shared" ca="1" si="101"/>
        <v>0</v>
      </c>
      <c r="X64" s="4">
        <f ca="1">-SUMIFS(INDIRECT("Tab_00.Trial["&amp;X$4&amp;"]"),Tab_00.Trial[CONTA],$B64)</f>
        <v>0</v>
      </c>
      <c r="Y64" s="78">
        <f t="shared" ca="1" si="102"/>
        <v>0</v>
      </c>
      <c r="Z64" s="78">
        <f t="shared" ca="1" si="103"/>
        <v>0</v>
      </c>
      <c r="AA64" s="4">
        <f ca="1">-SUMIFS(INDIRECT("Tab_00.Trial["&amp;AA$4&amp;"]"),Tab_00.Trial[CONTA],$B64)</f>
        <v>0</v>
      </c>
      <c r="AB64" s="78">
        <f t="shared" ca="1" si="104"/>
        <v>0</v>
      </c>
      <c r="AC64" s="78">
        <f t="shared" ca="1" si="105"/>
        <v>0</v>
      </c>
      <c r="AD64" s="4">
        <f ca="1">-SUMIFS(INDIRECT("Tab_00.Trial["&amp;AD$4&amp;"]"),Tab_00.Trial[CONTA],$B64)</f>
        <v>0</v>
      </c>
      <c r="AE64" s="78">
        <f t="shared" ca="1" si="106"/>
        <v>0</v>
      </c>
      <c r="AF64" s="78">
        <f t="shared" ca="1" si="107"/>
        <v>0</v>
      </c>
      <c r="AG64" s="4">
        <f ca="1">-SUMIFS(INDIRECT("Tab_00.Trial["&amp;AG$4&amp;"]"),Tab_00.Trial[CONTA],$B64)</f>
        <v>0</v>
      </c>
      <c r="AH64" s="78">
        <f t="shared" ca="1" si="108"/>
        <v>0</v>
      </c>
      <c r="AI64" s="78">
        <f t="shared" ca="1" si="109"/>
        <v>0</v>
      </c>
      <c r="AJ64" s="4">
        <f ca="1">-SUMIFS(INDIRECT("Tab_00.Trial["&amp;AJ$4&amp;"]"),Tab_00.Trial[CONTA],$B64)</f>
        <v>0</v>
      </c>
      <c r="AK64" s="78">
        <f t="shared" ca="1" si="110"/>
        <v>0</v>
      </c>
      <c r="AL64" s="78">
        <f t="shared" ca="1" si="111"/>
        <v>0</v>
      </c>
    </row>
    <row r="65" spans="2:39" ht="15" customHeight="1" outlineLevel="1" x14ac:dyDescent="0.3">
      <c r="B65" s="14" t="s">
        <v>430</v>
      </c>
      <c r="C65" s="14" t="s">
        <v>431</v>
      </c>
      <c r="D65" s="4">
        <f ca="1">-SUMIFS(INDIRECT("Tab_00.Trial["&amp;D$4&amp;"]"),Tab_00.Trial[CONTA],$B65)</f>
        <v>-7059.76</v>
      </c>
      <c r="E65" s="78">
        <f t="shared" ca="1" si="89"/>
        <v>-7.6E-3</v>
      </c>
      <c r="F65" s="4">
        <f ca="1">-SUMIFS(INDIRECT("Tab_00.Trial["&amp;F$4&amp;"]"),Tab_00.Trial[CONTA],$B65)</f>
        <v>-7059.76</v>
      </c>
      <c r="G65" s="78">
        <f t="shared" ca="1" si="91"/>
        <v>-4.7999999999999996E-3</v>
      </c>
      <c r="H65" s="78">
        <f t="shared" ca="1" si="90"/>
        <v>0</v>
      </c>
      <c r="I65" s="4">
        <f ca="1">-SUMIFS(INDIRECT("Tab_00.Trial["&amp;I$4&amp;"]"),Tab_00.Trial[CONTA],$B65)</f>
        <v>-23634.400000000001</v>
      </c>
      <c r="J65" s="78">
        <f t="shared" ca="1" si="92"/>
        <v>-8.0999999999999996E-3</v>
      </c>
      <c r="K65" s="78">
        <f t="shared" ca="1" si="93"/>
        <v>-2.3477999999999999</v>
      </c>
      <c r="L65" s="4">
        <f ca="1">-SUMIFS(INDIRECT("Tab_00.Trial["&amp;L$4&amp;"]"),Tab_00.Trial[CONTA],$B65)</f>
        <v>-31810.63</v>
      </c>
      <c r="M65" s="78">
        <f t="shared" ca="1" si="94"/>
        <v>-8.0999999999999996E-3</v>
      </c>
      <c r="N65" s="78">
        <f t="shared" ca="1" si="95"/>
        <v>-0.34589999999999999</v>
      </c>
      <c r="O65" s="4">
        <f ca="1">-SUMIFS(INDIRECT("Tab_00.Trial["&amp;O$4&amp;"]"),Tab_00.Trial[CONTA],$B65)</f>
        <v>-40250.800000000003</v>
      </c>
      <c r="P65" s="78">
        <f t="shared" ca="1" si="96"/>
        <v>-7.7999999999999996E-3</v>
      </c>
      <c r="Q65" s="78">
        <f t="shared" ca="1" si="97"/>
        <v>-0.26529999999999998</v>
      </c>
      <c r="R65" s="4">
        <f ca="1">-SUMIFS(INDIRECT("Tab_00.Trial["&amp;R$4&amp;"]"),Tab_00.Trial[CONTA],$B65)</f>
        <v>-53472.45</v>
      </c>
      <c r="S65" s="78">
        <f t="shared" ca="1" si="98"/>
        <v>-7.4000000000000003E-3</v>
      </c>
      <c r="T65" s="78">
        <f t="shared" ca="1" si="99"/>
        <v>-0.32850000000000001</v>
      </c>
      <c r="U65" s="4">
        <f ca="1">-SUMIFS(INDIRECT("Tab_00.Trial["&amp;U$4&amp;"]"),Tab_00.Trial[CONTA],$B65)</f>
        <v>-53472.45</v>
      </c>
      <c r="V65" s="78">
        <f t="shared" ca="1" si="100"/>
        <v>-7.4000000000000003E-3</v>
      </c>
      <c r="W65" s="78">
        <f t="shared" ca="1" si="101"/>
        <v>0</v>
      </c>
      <c r="X65" s="4">
        <f ca="1">-SUMIFS(INDIRECT("Tab_00.Trial["&amp;X$4&amp;"]"),Tab_00.Trial[CONTA],$B65)</f>
        <v>-53472.45</v>
      </c>
      <c r="Y65" s="78">
        <f t="shared" ca="1" si="102"/>
        <v>-7.4000000000000003E-3</v>
      </c>
      <c r="Z65" s="78">
        <f t="shared" ca="1" si="103"/>
        <v>0</v>
      </c>
      <c r="AA65" s="4">
        <f ca="1">-SUMIFS(INDIRECT("Tab_00.Trial["&amp;AA$4&amp;"]"),Tab_00.Trial[CONTA],$B65)</f>
        <v>-68632.02</v>
      </c>
      <c r="AB65" s="78">
        <f t="shared" ca="1" si="104"/>
        <v>-7.4999999999999997E-3</v>
      </c>
      <c r="AC65" s="78">
        <f t="shared" ca="1" si="105"/>
        <v>-0.28349999999999997</v>
      </c>
      <c r="AD65" s="4">
        <f ca="1">-SUMIFS(INDIRECT("Tab_00.Trial["&amp;AD$4&amp;"]"),Tab_00.Trial[CONTA],$B65)</f>
        <v>-81136.55</v>
      </c>
      <c r="AE65" s="78">
        <f t="shared" ca="1" si="106"/>
        <v>-7.7999999999999996E-3</v>
      </c>
      <c r="AF65" s="78">
        <f t="shared" ca="1" si="107"/>
        <v>-0.1822</v>
      </c>
      <c r="AG65" s="4">
        <f ca="1">-SUMIFS(INDIRECT("Tab_00.Trial["&amp;AG$4&amp;"]"),Tab_00.Trial[CONTA],$B65)</f>
        <v>-93631.43</v>
      </c>
      <c r="AH65" s="78">
        <f t="shared" ca="1" si="108"/>
        <v>-8.3000000000000001E-3</v>
      </c>
      <c r="AI65" s="78">
        <f t="shared" ca="1" si="109"/>
        <v>-0.154</v>
      </c>
      <c r="AJ65" s="4">
        <f ca="1">-SUMIFS(INDIRECT("Tab_00.Trial["&amp;AJ$4&amp;"]"),Tab_00.Trial[CONTA],$B65)</f>
        <v>-106262.17</v>
      </c>
      <c r="AK65" s="78">
        <f t="shared" ca="1" si="110"/>
        <v>-8.3000000000000001E-3</v>
      </c>
      <c r="AL65" s="78">
        <f t="shared" ca="1" si="111"/>
        <v>-0.13489999999999999</v>
      </c>
    </row>
    <row r="66" spans="2:39" ht="15" customHeight="1" outlineLevel="1" x14ac:dyDescent="0.3">
      <c r="B66" s="14" t="s">
        <v>432</v>
      </c>
      <c r="C66" s="14" t="s">
        <v>433</v>
      </c>
      <c r="D66" s="4">
        <f ca="1">-SUMIFS(INDIRECT("Tab_00.Trial["&amp;D$4&amp;"]"),Tab_00.Trial[CONTA],$B66)</f>
        <v>-5045.03</v>
      </c>
      <c r="E66" s="78">
        <f t="shared" ca="1" si="89"/>
        <v>-5.4000000000000003E-3</v>
      </c>
      <c r="F66" s="4">
        <f ca="1">-SUMIFS(INDIRECT("Tab_00.Trial["&amp;F$4&amp;"]"),Tab_00.Trial[CONTA],$B66)</f>
        <v>-5045.03</v>
      </c>
      <c r="G66" s="78">
        <f t="shared" ca="1" si="91"/>
        <v>-3.5000000000000001E-3</v>
      </c>
      <c r="H66" s="78">
        <f t="shared" ca="1" si="90"/>
        <v>0</v>
      </c>
      <c r="I66" s="4">
        <f ca="1">-SUMIFS(INDIRECT("Tab_00.Trial["&amp;I$4&amp;"]"),Tab_00.Trial[CONTA],$B66)</f>
        <v>-15135.09</v>
      </c>
      <c r="J66" s="78">
        <f t="shared" ca="1" si="92"/>
        <v>-5.1999999999999998E-3</v>
      </c>
      <c r="K66" s="78">
        <f t="shared" ca="1" si="93"/>
        <v>-2</v>
      </c>
      <c r="L66" s="4">
        <f ca="1">-SUMIFS(INDIRECT("Tab_00.Trial["&amp;L$4&amp;"]"),Tab_00.Trial[CONTA],$B66)</f>
        <v>-20180.080000000002</v>
      </c>
      <c r="M66" s="78">
        <f t="shared" ca="1" si="94"/>
        <v>-5.1000000000000004E-3</v>
      </c>
      <c r="N66" s="78">
        <f t="shared" ca="1" si="95"/>
        <v>-0.33329999999999999</v>
      </c>
      <c r="O66" s="4">
        <f ca="1">-SUMIFS(INDIRECT("Tab_00.Trial["&amp;O$4&amp;"]"),Tab_00.Trial[CONTA],$B66)</f>
        <v>-25225.13</v>
      </c>
      <c r="P66" s="78">
        <f t="shared" ca="1" si="96"/>
        <v>-4.8999999999999998E-3</v>
      </c>
      <c r="Q66" s="78">
        <f t="shared" ca="1" si="97"/>
        <v>-0.25</v>
      </c>
      <c r="R66" s="4">
        <f ca="1">-SUMIFS(INDIRECT("Tab_00.Trial["&amp;R$4&amp;"]"),Tab_00.Trial[CONTA],$B66)</f>
        <v>-36600.269999999997</v>
      </c>
      <c r="S66" s="78">
        <f t="shared" ca="1" si="98"/>
        <v>-5.1000000000000004E-3</v>
      </c>
      <c r="T66" s="78">
        <f t="shared" ca="1" si="99"/>
        <v>-0.45090000000000002</v>
      </c>
      <c r="U66" s="4">
        <f ca="1">-SUMIFS(INDIRECT("Tab_00.Trial["&amp;U$4&amp;"]"),Tab_00.Trial[CONTA],$B66)</f>
        <v>-36600.269999999997</v>
      </c>
      <c r="V66" s="78">
        <f t="shared" ca="1" si="100"/>
        <v>-5.1000000000000004E-3</v>
      </c>
      <c r="W66" s="78">
        <f t="shared" ca="1" si="101"/>
        <v>0</v>
      </c>
      <c r="X66" s="4">
        <f ca="1">-SUMIFS(INDIRECT("Tab_00.Trial["&amp;X$4&amp;"]"),Tab_00.Trial[CONTA],$B66)</f>
        <v>-36600.269999999997</v>
      </c>
      <c r="Y66" s="78">
        <f t="shared" ca="1" si="102"/>
        <v>-5.1000000000000004E-3</v>
      </c>
      <c r="Z66" s="78">
        <f t="shared" ca="1" si="103"/>
        <v>0</v>
      </c>
      <c r="AA66" s="4">
        <f ca="1">-SUMIFS(INDIRECT("Tab_00.Trial["&amp;AA$4&amp;"]"),Tab_00.Trial[CONTA],$B66)</f>
        <v>-48912.75</v>
      </c>
      <c r="AB66" s="78">
        <f t="shared" ca="1" si="104"/>
        <v>-5.3E-3</v>
      </c>
      <c r="AC66" s="78">
        <f t="shared" ca="1" si="105"/>
        <v>-0.33639999999999998</v>
      </c>
      <c r="AD66" s="4">
        <f ca="1">-SUMIFS(INDIRECT("Tab_00.Trial["&amp;AD$4&amp;"]"),Tab_00.Trial[CONTA],$B66)</f>
        <v>-48912.75</v>
      </c>
      <c r="AE66" s="78">
        <f t="shared" ca="1" si="106"/>
        <v>-4.7000000000000002E-3</v>
      </c>
      <c r="AF66" s="78">
        <f t="shared" ca="1" si="107"/>
        <v>0</v>
      </c>
      <c r="AG66" s="4">
        <f ca="1">-SUMIFS(INDIRECT("Tab_00.Trial["&amp;AG$4&amp;"]"),Tab_00.Trial[CONTA],$B66)</f>
        <v>-48912.75</v>
      </c>
      <c r="AH66" s="78">
        <f t="shared" ca="1" si="108"/>
        <v>-4.3E-3</v>
      </c>
      <c r="AI66" s="78">
        <f t="shared" ca="1" si="109"/>
        <v>0</v>
      </c>
      <c r="AJ66" s="4">
        <f ca="1">-SUMIFS(INDIRECT("Tab_00.Trial["&amp;AJ$4&amp;"]"),Tab_00.Trial[CONTA],$B66)</f>
        <v>-52347.21</v>
      </c>
      <c r="AK66" s="78">
        <f t="shared" ca="1" si="110"/>
        <v>-4.1000000000000003E-3</v>
      </c>
      <c r="AL66" s="78">
        <f t="shared" ca="1" si="111"/>
        <v>-7.0199999999999999E-2</v>
      </c>
    </row>
    <row r="67" spans="2:39" ht="15" customHeight="1" outlineLevel="1" x14ac:dyDescent="0.3">
      <c r="B67" s="14" t="s">
        <v>434</v>
      </c>
      <c r="C67" s="14" t="s">
        <v>435</v>
      </c>
      <c r="D67" s="4">
        <f ca="1">-SUMIFS(INDIRECT("Tab_00.Trial["&amp;D$4&amp;"]"),Tab_00.Trial[CONTA],$B67)</f>
        <v>-15206.61</v>
      </c>
      <c r="E67" s="78">
        <f t="shared" ca="1" si="89"/>
        <v>-1.6299999999999999E-2</v>
      </c>
      <c r="F67" s="4">
        <f ca="1">-SUMIFS(INDIRECT("Tab_00.Trial["&amp;F$4&amp;"]"),Tab_00.Trial[CONTA],$B67)</f>
        <v>-32279.32</v>
      </c>
      <c r="G67" s="78">
        <f t="shared" ca="1" si="91"/>
        <v>-2.2100000000000002E-2</v>
      </c>
      <c r="H67" s="78">
        <f t="shared" ca="1" si="90"/>
        <v>-1.1227</v>
      </c>
      <c r="I67" s="4">
        <f ca="1">-SUMIFS(INDIRECT("Tab_00.Trial["&amp;I$4&amp;"]"),Tab_00.Trial[CONTA],$B67)</f>
        <v>-75029.38</v>
      </c>
      <c r="J67" s="78">
        <f t="shared" ca="1" si="92"/>
        <v>-2.5600000000000001E-2</v>
      </c>
      <c r="K67" s="78">
        <f t="shared" ca="1" si="93"/>
        <v>-1.3244</v>
      </c>
      <c r="L67" s="4">
        <f ca="1">-SUMIFS(INDIRECT("Tab_00.Trial["&amp;L$4&amp;"]"),Tab_00.Trial[CONTA],$B67)</f>
        <v>-100788.89</v>
      </c>
      <c r="M67" s="78">
        <f t="shared" ca="1" si="94"/>
        <v>-2.5600000000000001E-2</v>
      </c>
      <c r="N67" s="78">
        <f t="shared" ca="1" si="95"/>
        <v>-0.34329999999999999</v>
      </c>
      <c r="O67" s="4">
        <f ca="1">-SUMIFS(INDIRECT("Tab_00.Trial["&amp;O$4&amp;"]"),Tab_00.Trial[CONTA],$B67)</f>
        <v>-121415.07</v>
      </c>
      <c r="P67" s="78">
        <f t="shared" ca="1" si="96"/>
        <v>-2.3599999999999999E-2</v>
      </c>
      <c r="Q67" s="78">
        <f t="shared" ca="1" si="97"/>
        <v>-0.2046</v>
      </c>
      <c r="R67" s="4">
        <f ca="1">-SUMIFS(INDIRECT("Tab_00.Trial["&amp;R$4&amp;"]"),Tab_00.Trial[CONTA],$B67)</f>
        <v>-174412.34</v>
      </c>
      <c r="S67" s="78">
        <f t="shared" ca="1" si="98"/>
        <v>-2.4299999999999999E-2</v>
      </c>
      <c r="T67" s="78">
        <f t="shared" ca="1" si="99"/>
        <v>-0.4365</v>
      </c>
      <c r="U67" s="4">
        <f ca="1">-SUMIFS(INDIRECT("Tab_00.Trial["&amp;U$4&amp;"]"),Tab_00.Trial[CONTA],$B67)</f>
        <v>-174412.34</v>
      </c>
      <c r="V67" s="78">
        <f t="shared" ca="1" si="100"/>
        <v>-2.4299999999999999E-2</v>
      </c>
      <c r="W67" s="78">
        <f t="shared" ca="1" si="101"/>
        <v>0</v>
      </c>
      <c r="X67" s="4">
        <f ca="1">-SUMIFS(INDIRECT("Tab_00.Trial["&amp;X$4&amp;"]"),Tab_00.Trial[CONTA],$B67)</f>
        <v>-174412.34</v>
      </c>
      <c r="Y67" s="78">
        <f t="shared" ca="1" si="102"/>
        <v>-2.4299999999999999E-2</v>
      </c>
      <c r="Z67" s="78">
        <f t="shared" ca="1" si="103"/>
        <v>0</v>
      </c>
      <c r="AA67" s="4">
        <f ca="1">-SUMIFS(INDIRECT("Tab_00.Trial["&amp;AA$4&amp;"]"),Tab_00.Trial[CONTA],$B67)</f>
        <v>-222850.66</v>
      </c>
      <c r="AB67" s="78">
        <f t="shared" ca="1" si="104"/>
        <v>-2.4299999999999999E-2</v>
      </c>
      <c r="AC67" s="78">
        <f t="shared" ca="1" si="105"/>
        <v>-0.2777</v>
      </c>
      <c r="AD67" s="4">
        <f ca="1">-SUMIFS(INDIRECT("Tab_00.Trial["&amp;AD$4&amp;"]"),Tab_00.Trial[CONTA],$B67)</f>
        <v>-245658.69</v>
      </c>
      <c r="AE67" s="78">
        <f t="shared" ca="1" si="106"/>
        <v>-2.3599999999999999E-2</v>
      </c>
      <c r="AF67" s="78">
        <f t="shared" ca="1" si="107"/>
        <v>-0.1023</v>
      </c>
      <c r="AG67" s="4">
        <f ca="1">-SUMIFS(INDIRECT("Tab_00.Trial["&amp;AG$4&amp;"]"),Tab_00.Trial[CONTA],$B67)</f>
        <v>-268466.71999999997</v>
      </c>
      <c r="AH67" s="78">
        <f t="shared" ca="1" si="108"/>
        <v>-2.3699999999999999E-2</v>
      </c>
      <c r="AI67" s="78">
        <f t="shared" ca="1" si="109"/>
        <v>-9.2799999999999994E-2</v>
      </c>
      <c r="AJ67" s="4">
        <f ca="1">-SUMIFS(INDIRECT("Tab_00.Trial["&amp;AJ$4&amp;"]"),Tab_00.Trial[CONTA],$B67)</f>
        <v>-291274.75</v>
      </c>
      <c r="AK67" s="78">
        <f t="shared" ca="1" si="110"/>
        <v>-2.2800000000000001E-2</v>
      </c>
      <c r="AL67" s="78">
        <f t="shared" ca="1" si="111"/>
        <v>-8.5000000000000006E-2</v>
      </c>
    </row>
    <row r="68" spans="2:39" ht="15" customHeight="1" outlineLevel="1" x14ac:dyDescent="0.3">
      <c r="B68" s="14" t="s">
        <v>436</v>
      </c>
      <c r="C68" s="14" t="s">
        <v>437</v>
      </c>
      <c r="D68" s="4">
        <f ca="1">-SUMIFS(INDIRECT("Tab_00.Trial["&amp;D$4&amp;"]"),Tab_00.Trial[CONTA],$B68)</f>
        <v>-13434.9</v>
      </c>
      <c r="E68" s="78">
        <f t="shared" ca="1" si="89"/>
        <v>-1.44E-2</v>
      </c>
      <c r="F68" s="4">
        <f ca="1">-SUMIFS(INDIRECT("Tab_00.Trial["&amp;F$4&amp;"]"),Tab_00.Trial[CONTA],$B68)</f>
        <v>-13434.9</v>
      </c>
      <c r="G68" s="78">
        <f t="shared" ca="1" si="91"/>
        <v>-9.1999999999999998E-3</v>
      </c>
      <c r="H68" s="78">
        <f t="shared" ca="1" si="90"/>
        <v>0</v>
      </c>
      <c r="I68" s="4">
        <f ca="1">-SUMIFS(INDIRECT("Tab_00.Trial["&amp;I$4&amp;"]"),Tab_00.Trial[CONTA],$B68)</f>
        <v>-50448.83</v>
      </c>
      <c r="J68" s="78">
        <f t="shared" ca="1" si="92"/>
        <v>-1.72E-2</v>
      </c>
      <c r="K68" s="78">
        <f t="shared" ca="1" si="93"/>
        <v>-2.7551000000000001</v>
      </c>
      <c r="L68" s="4">
        <f ca="1">-SUMIFS(INDIRECT("Tab_00.Trial["&amp;L$4&amp;"]"),Tab_00.Trial[CONTA],$B68)</f>
        <v>-69437.960000000006</v>
      </c>
      <c r="M68" s="78">
        <f t="shared" ca="1" si="94"/>
        <v>-1.7600000000000001E-2</v>
      </c>
      <c r="N68" s="78">
        <f t="shared" ca="1" si="95"/>
        <v>-0.37640000000000001</v>
      </c>
      <c r="O68" s="4">
        <f ca="1">-SUMIFS(INDIRECT("Tab_00.Trial["&amp;O$4&amp;"]"),Tab_00.Trial[CONTA],$B68)</f>
        <v>-89987.74</v>
      </c>
      <c r="P68" s="78">
        <f t="shared" ca="1" si="96"/>
        <v>-1.7500000000000002E-2</v>
      </c>
      <c r="Q68" s="78">
        <f t="shared" ca="1" si="97"/>
        <v>-0.2959</v>
      </c>
      <c r="R68" s="4">
        <f ca="1">-SUMIFS(INDIRECT("Tab_00.Trial["&amp;R$4&amp;"]"),Tab_00.Trial[CONTA],$B68)</f>
        <v>-114927.93</v>
      </c>
      <c r="S68" s="78">
        <f t="shared" ca="1" si="98"/>
        <v>-1.6E-2</v>
      </c>
      <c r="T68" s="78">
        <f t="shared" ca="1" si="99"/>
        <v>-0.2772</v>
      </c>
      <c r="U68" s="4">
        <f ca="1">-SUMIFS(INDIRECT("Tab_00.Trial["&amp;U$4&amp;"]"),Tab_00.Trial[CONTA],$B68)</f>
        <v>-114927.93</v>
      </c>
      <c r="V68" s="78">
        <f t="shared" ca="1" si="100"/>
        <v>-1.6E-2</v>
      </c>
      <c r="W68" s="78">
        <f t="shared" ca="1" si="101"/>
        <v>0</v>
      </c>
      <c r="X68" s="4">
        <f ca="1">-SUMIFS(INDIRECT("Tab_00.Trial["&amp;X$4&amp;"]"),Tab_00.Trial[CONTA],$B68)</f>
        <v>-114927.93</v>
      </c>
      <c r="Y68" s="78">
        <f t="shared" ca="1" si="102"/>
        <v>-1.6E-2</v>
      </c>
      <c r="Z68" s="78">
        <f t="shared" ca="1" si="103"/>
        <v>0</v>
      </c>
      <c r="AA68" s="4">
        <f ca="1">-SUMIFS(INDIRECT("Tab_00.Trial["&amp;AA$4&amp;"]"),Tab_00.Trial[CONTA],$B68)</f>
        <v>-149766.78</v>
      </c>
      <c r="AB68" s="78">
        <f t="shared" ca="1" si="104"/>
        <v>-1.6299999999999999E-2</v>
      </c>
      <c r="AC68" s="78">
        <f t="shared" ca="1" si="105"/>
        <v>-0.30309999999999998</v>
      </c>
      <c r="AD68" s="4">
        <f ca="1">-SUMIFS(INDIRECT("Tab_00.Trial["&amp;AD$4&amp;"]"),Tab_00.Trial[CONTA],$B68)</f>
        <v>-160642.68</v>
      </c>
      <c r="AE68" s="78">
        <f t="shared" ca="1" si="106"/>
        <v>-1.54E-2</v>
      </c>
      <c r="AF68" s="78">
        <f t="shared" ca="1" si="107"/>
        <v>-7.2599999999999998E-2</v>
      </c>
      <c r="AG68" s="4">
        <f ca="1">-SUMIFS(INDIRECT("Tab_00.Trial["&amp;AG$4&amp;"]"),Tab_00.Trial[CONTA],$B68)</f>
        <v>-175882.43</v>
      </c>
      <c r="AH68" s="78">
        <f t="shared" ca="1" si="108"/>
        <v>-1.55E-2</v>
      </c>
      <c r="AI68" s="78">
        <f t="shared" ca="1" si="109"/>
        <v>-9.4899999999999998E-2</v>
      </c>
      <c r="AJ68" s="4">
        <f ca="1">-SUMIFS(INDIRECT("Tab_00.Trial["&amp;AJ$4&amp;"]"),Tab_00.Trial[CONTA],$B68)</f>
        <v>-192150.03</v>
      </c>
      <c r="AK68" s="78">
        <f t="shared" ca="1" si="110"/>
        <v>-1.4999999999999999E-2</v>
      </c>
      <c r="AL68" s="78">
        <f t="shared" ca="1" si="111"/>
        <v>-9.2499999999999999E-2</v>
      </c>
    </row>
    <row r="69" spans="2:39" ht="15" customHeight="1" outlineLevel="1" x14ac:dyDescent="0.3">
      <c r="B69" s="14" t="s">
        <v>438</v>
      </c>
      <c r="C69" s="14" t="s">
        <v>196</v>
      </c>
      <c r="D69" s="4">
        <f ca="1">-SUMIFS(INDIRECT("Tab_00.Trial["&amp;D$4&amp;"]"),Tab_00.Trial[CONTA],$B69)</f>
        <v>-2354.0700000000002</v>
      </c>
      <c r="E69" s="78">
        <f t="shared" ca="1" si="89"/>
        <v>-2.5000000000000001E-3</v>
      </c>
      <c r="F69" s="4">
        <f ca="1">-SUMIFS(INDIRECT("Tab_00.Trial["&amp;F$4&amp;"]"),Tab_00.Trial[CONTA],$B69)</f>
        <v>-2354.0700000000002</v>
      </c>
      <c r="G69" s="78">
        <f t="shared" ca="1" si="91"/>
        <v>-1.6000000000000001E-3</v>
      </c>
      <c r="H69" s="78">
        <f t="shared" ca="1" si="90"/>
        <v>0</v>
      </c>
      <c r="I69" s="4">
        <f ca="1">-SUMIFS(INDIRECT("Tab_00.Trial["&amp;I$4&amp;"]"),Tab_00.Trial[CONTA],$B69)</f>
        <v>-10113.6</v>
      </c>
      <c r="J69" s="78">
        <f t="shared" ca="1" si="92"/>
        <v>-3.3999999999999998E-3</v>
      </c>
      <c r="K69" s="78">
        <f t="shared" ca="1" si="93"/>
        <v>-3.2961999999999998</v>
      </c>
      <c r="L69" s="4">
        <f ca="1">-SUMIFS(INDIRECT("Tab_00.Trial["&amp;L$4&amp;"]"),Tab_00.Trial[CONTA],$B69)</f>
        <v>-14412.32</v>
      </c>
      <c r="M69" s="78">
        <f t="shared" ca="1" si="94"/>
        <v>-3.7000000000000002E-3</v>
      </c>
      <c r="N69" s="78">
        <f t="shared" ca="1" si="95"/>
        <v>-0.42499999999999999</v>
      </c>
      <c r="O69" s="4">
        <f ca="1">-SUMIFS(INDIRECT("Tab_00.Trial["&amp;O$4&amp;"]"),Tab_00.Trial[CONTA],$B69)</f>
        <v>-18856.099999999999</v>
      </c>
      <c r="P69" s="78">
        <f t="shared" ca="1" si="96"/>
        <v>-3.7000000000000002E-3</v>
      </c>
      <c r="Q69" s="78">
        <f t="shared" ca="1" si="97"/>
        <v>-0.30830000000000002</v>
      </c>
      <c r="R69" s="4">
        <f ca="1">-SUMIFS(INDIRECT("Tab_00.Trial["&amp;R$4&amp;"]"),Tab_00.Trial[CONTA],$B69)</f>
        <v>-24854.71</v>
      </c>
      <c r="S69" s="78">
        <f t="shared" ca="1" si="98"/>
        <v>-3.5000000000000001E-3</v>
      </c>
      <c r="T69" s="78">
        <f t="shared" ca="1" si="99"/>
        <v>-0.31809999999999999</v>
      </c>
      <c r="U69" s="4">
        <f ca="1">-SUMIFS(INDIRECT("Tab_00.Trial["&amp;U$4&amp;"]"),Tab_00.Trial[CONTA],$B69)</f>
        <v>-24854.71</v>
      </c>
      <c r="V69" s="78">
        <f t="shared" ca="1" si="100"/>
        <v>-3.5000000000000001E-3</v>
      </c>
      <c r="W69" s="78">
        <f t="shared" ca="1" si="101"/>
        <v>0</v>
      </c>
      <c r="X69" s="4">
        <f ca="1">-SUMIFS(INDIRECT("Tab_00.Trial["&amp;X$4&amp;"]"),Tab_00.Trial[CONTA],$B69)</f>
        <v>-24854.71</v>
      </c>
      <c r="Y69" s="78">
        <f t="shared" ca="1" si="102"/>
        <v>-3.5000000000000001E-3</v>
      </c>
      <c r="Z69" s="78">
        <f t="shared" ca="1" si="103"/>
        <v>0</v>
      </c>
      <c r="AA69" s="4">
        <f ca="1">-SUMIFS(INDIRECT("Tab_00.Trial["&amp;AA$4&amp;"]"),Tab_00.Trial[CONTA],$B69)</f>
        <v>-35584.75</v>
      </c>
      <c r="AB69" s="78">
        <f t="shared" ca="1" si="104"/>
        <v>-3.8999999999999998E-3</v>
      </c>
      <c r="AC69" s="78">
        <f t="shared" ca="1" si="105"/>
        <v>-0.43169999999999997</v>
      </c>
      <c r="AD69" s="4">
        <f ca="1">-SUMIFS(INDIRECT("Tab_00.Trial["&amp;AD$4&amp;"]"),Tab_00.Trial[CONTA],$B69)</f>
        <v>-39213.47</v>
      </c>
      <c r="AE69" s="78">
        <f t="shared" ca="1" si="106"/>
        <v>-3.8E-3</v>
      </c>
      <c r="AF69" s="78">
        <f t="shared" ca="1" si="107"/>
        <v>-0.10199999999999999</v>
      </c>
      <c r="AG69" s="4">
        <f ca="1">-SUMIFS(INDIRECT("Tab_00.Trial["&amp;AG$4&amp;"]"),Tab_00.Trial[CONTA],$B69)</f>
        <v>-43762.63</v>
      </c>
      <c r="AH69" s="78">
        <f t="shared" ca="1" si="108"/>
        <v>-3.8999999999999998E-3</v>
      </c>
      <c r="AI69" s="78">
        <f t="shared" ca="1" si="109"/>
        <v>-0.11600000000000001</v>
      </c>
      <c r="AJ69" s="4">
        <f ca="1">-SUMIFS(INDIRECT("Tab_00.Trial["&amp;AJ$4&amp;"]"),Tab_00.Trial[CONTA],$B69)</f>
        <v>-48618.61</v>
      </c>
      <c r="AK69" s="78">
        <f t="shared" ca="1" si="110"/>
        <v>-3.8E-3</v>
      </c>
      <c r="AL69" s="78">
        <f t="shared" ca="1" si="111"/>
        <v>-0.111</v>
      </c>
    </row>
    <row r="70" spans="2:39" ht="15" customHeight="1" outlineLevel="1" x14ac:dyDescent="0.3">
      <c r="B70" s="14" t="s">
        <v>439</v>
      </c>
      <c r="C70" s="14" t="s">
        <v>440</v>
      </c>
      <c r="D70" s="4">
        <f ca="1">-SUMIFS(INDIRECT("Tab_00.Trial["&amp;D$4&amp;"]"),Tab_00.Trial[CONTA],$B70)</f>
        <v>-645.88</v>
      </c>
      <c r="E70" s="78">
        <f t="shared" ca="1" si="89"/>
        <v>-6.9999999999999999E-4</v>
      </c>
      <c r="F70" s="4">
        <f ca="1">-SUMIFS(INDIRECT("Tab_00.Trial["&amp;F$4&amp;"]"),Tab_00.Trial[CONTA],$B70)</f>
        <v>-645.88</v>
      </c>
      <c r="G70" s="78">
        <f t="shared" ca="1" si="91"/>
        <v>-4.0000000000000002E-4</v>
      </c>
      <c r="H70" s="78">
        <f t="shared" ca="1" si="90"/>
        <v>0</v>
      </c>
      <c r="I70" s="4">
        <f ca="1">-SUMIFS(INDIRECT("Tab_00.Trial["&amp;I$4&amp;"]"),Tab_00.Trial[CONTA],$B70)</f>
        <v>-1618.31</v>
      </c>
      <c r="J70" s="78">
        <f t="shared" ca="1" si="92"/>
        <v>-5.9999999999999995E-4</v>
      </c>
      <c r="K70" s="78">
        <f t="shared" ca="1" si="93"/>
        <v>-1.5056</v>
      </c>
      <c r="L70" s="4">
        <f ca="1">-SUMIFS(INDIRECT("Tab_00.Trial["&amp;L$4&amp;"]"),Tab_00.Trial[CONTA],$B70)</f>
        <v>-2304.48</v>
      </c>
      <c r="M70" s="78">
        <f t="shared" ca="1" si="94"/>
        <v>-5.9999999999999995E-4</v>
      </c>
      <c r="N70" s="78">
        <f t="shared" ca="1" si="95"/>
        <v>-0.42399999999999999</v>
      </c>
      <c r="O70" s="4">
        <f ca="1">-SUMIFS(INDIRECT("Tab_00.Trial["&amp;O$4&amp;"]"),Tab_00.Trial[CONTA],$B70)</f>
        <v>-3067.01</v>
      </c>
      <c r="P70" s="78">
        <f t="shared" ca="1" si="96"/>
        <v>-5.9999999999999995E-4</v>
      </c>
      <c r="Q70" s="78">
        <f t="shared" ca="1" si="97"/>
        <v>-0.33090000000000003</v>
      </c>
      <c r="R70" s="4">
        <f ca="1">-SUMIFS(INDIRECT("Tab_00.Trial["&amp;R$4&amp;"]"),Tab_00.Trial[CONTA],$B70)</f>
        <v>-3979.45</v>
      </c>
      <c r="S70" s="78">
        <f t="shared" ca="1" si="98"/>
        <v>-5.9999999999999995E-4</v>
      </c>
      <c r="T70" s="78">
        <f t="shared" ca="1" si="99"/>
        <v>-0.29749999999999999</v>
      </c>
      <c r="U70" s="4">
        <f ca="1">-SUMIFS(INDIRECT("Tab_00.Trial["&amp;U$4&amp;"]"),Tab_00.Trial[CONTA],$B70)</f>
        <v>-3979.45</v>
      </c>
      <c r="V70" s="78">
        <f t="shared" ca="1" si="100"/>
        <v>-5.9999999999999995E-4</v>
      </c>
      <c r="W70" s="78">
        <f t="shared" ca="1" si="101"/>
        <v>0</v>
      </c>
      <c r="X70" s="4">
        <f ca="1">-SUMIFS(INDIRECT("Tab_00.Trial["&amp;X$4&amp;"]"),Tab_00.Trial[CONTA],$B70)</f>
        <v>-3979.45</v>
      </c>
      <c r="Y70" s="78">
        <f t="shared" ca="1" si="102"/>
        <v>-5.9999999999999995E-4</v>
      </c>
      <c r="Z70" s="78">
        <f t="shared" ca="1" si="103"/>
        <v>0</v>
      </c>
      <c r="AA70" s="4">
        <f ca="1">-SUMIFS(INDIRECT("Tab_00.Trial["&amp;AA$4&amp;"]"),Tab_00.Trial[CONTA],$B70)</f>
        <v>-5235.96</v>
      </c>
      <c r="AB70" s="78">
        <f t="shared" ca="1" si="104"/>
        <v>-5.9999999999999995E-4</v>
      </c>
      <c r="AC70" s="78">
        <f t="shared" ca="1" si="105"/>
        <v>-0.31569999999999998</v>
      </c>
      <c r="AD70" s="4">
        <f ca="1">-SUMIFS(INDIRECT("Tab_00.Trial["&amp;AD$4&amp;"]"),Tab_00.Trial[CONTA],$B70)</f>
        <v>-5689.57</v>
      </c>
      <c r="AE70" s="78">
        <f t="shared" ca="1" si="106"/>
        <v>-5.0000000000000001E-4</v>
      </c>
      <c r="AF70" s="78">
        <f t="shared" ca="1" si="107"/>
        <v>-8.6599999999999996E-2</v>
      </c>
      <c r="AG70" s="4">
        <f ca="1">-SUMIFS(INDIRECT("Tab_00.Trial["&amp;AG$4&amp;"]"),Tab_00.Trial[CONTA],$B70)</f>
        <v>-6258.22</v>
      </c>
      <c r="AH70" s="78">
        <f t="shared" ca="1" si="108"/>
        <v>-5.9999999999999995E-4</v>
      </c>
      <c r="AI70" s="78">
        <f t="shared" ca="1" si="109"/>
        <v>-9.9900000000000003E-2</v>
      </c>
      <c r="AJ70" s="4">
        <f ca="1">-SUMIFS(INDIRECT("Tab_00.Trial["&amp;AJ$4&amp;"]"),Tab_00.Trial[CONTA],$B70)</f>
        <v>-6792.01</v>
      </c>
      <c r="AK70" s="78">
        <f t="shared" ca="1" si="110"/>
        <v>-5.0000000000000001E-4</v>
      </c>
      <c r="AL70" s="78">
        <f t="shared" ca="1" si="111"/>
        <v>-8.5300000000000001E-2</v>
      </c>
    </row>
    <row r="71" spans="2:39" ht="15" customHeight="1" outlineLevel="1" x14ac:dyDescent="0.3">
      <c r="B71" s="14" t="s">
        <v>441</v>
      </c>
      <c r="C71" s="14" t="s">
        <v>427</v>
      </c>
      <c r="D71" s="4">
        <f ca="1">-SUMIFS(INDIRECT("Tab_00.Trial["&amp;D$4&amp;"]"),Tab_00.Trial[CONTA],$B71)</f>
        <v>-54518.48</v>
      </c>
      <c r="E71" s="78">
        <f t="shared" ca="1" si="89"/>
        <v>-5.8400000000000001E-2</v>
      </c>
      <c r="F71" s="4">
        <f ca="1">-SUMIFS(INDIRECT("Tab_00.Trial["&amp;F$4&amp;"]"),Tab_00.Trial[CONTA],$B71)</f>
        <v>-54518.48</v>
      </c>
      <c r="G71" s="78">
        <f t="shared" ca="1" si="91"/>
        <v>-3.7400000000000003E-2</v>
      </c>
      <c r="H71" s="78">
        <f t="shared" ca="1" si="90"/>
        <v>0</v>
      </c>
      <c r="I71" s="4">
        <f ca="1">-SUMIFS(INDIRECT("Tab_00.Trial["&amp;I$4&amp;"]"),Tab_00.Trial[CONTA],$B71)</f>
        <v>-162656.29999999999</v>
      </c>
      <c r="J71" s="78">
        <f t="shared" ca="1" si="92"/>
        <v>-5.5399999999999998E-2</v>
      </c>
      <c r="K71" s="78">
        <f t="shared" ca="1" si="93"/>
        <v>-1.9835</v>
      </c>
      <c r="L71" s="4">
        <f ca="1">-SUMIFS(INDIRECT("Tab_00.Trial["&amp;L$4&amp;"]"),Tab_00.Trial[CONTA],$B71)</f>
        <v>-193928.11</v>
      </c>
      <c r="M71" s="78">
        <f t="shared" ca="1" si="94"/>
        <v>-4.9299999999999997E-2</v>
      </c>
      <c r="N71" s="78">
        <f t="shared" ca="1" si="95"/>
        <v>-0.1923</v>
      </c>
      <c r="O71" s="4">
        <f ca="1">-SUMIFS(INDIRECT("Tab_00.Trial["&amp;O$4&amp;"]"),Tab_00.Trial[CONTA],$B71)</f>
        <v>-225199.92</v>
      </c>
      <c r="P71" s="78">
        <f t="shared" ca="1" si="96"/>
        <v>-4.3799999999999999E-2</v>
      </c>
      <c r="Q71" s="78">
        <f t="shared" ca="1" si="97"/>
        <v>-0.1613</v>
      </c>
      <c r="R71" s="4">
        <f ca="1">-SUMIFS(INDIRECT("Tab_00.Trial["&amp;R$4&amp;"]"),Tab_00.Trial[CONTA],$B71)</f>
        <v>-313429.03000000003</v>
      </c>
      <c r="S71" s="78">
        <f t="shared" ca="1" si="98"/>
        <v>-4.36E-2</v>
      </c>
      <c r="T71" s="78">
        <f t="shared" ca="1" si="99"/>
        <v>-0.39179999999999998</v>
      </c>
      <c r="U71" s="4">
        <f ca="1">-SUMIFS(INDIRECT("Tab_00.Trial["&amp;U$4&amp;"]"),Tab_00.Trial[CONTA],$B71)</f>
        <v>-313429.03000000003</v>
      </c>
      <c r="V71" s="78">
        <f t="shared" ca="1" si="100"/>
        <v>-4.36E-2</v>
      </c>
      <c r="W71" s="78">
        <f t="shared" ca="1" si="101"/>
        <v>0</v>
      </c>
      <c r="X71" s="4">
        <f ca="1">-SUMIFS(INDIRECT("Tab_00.Trial["&amp;X$4&amp;"]"),Tab_00.Trial[CONTA],$B71)</f>
        <v>-313429.03000000003</v>
      </c>
      <c r="Y71" s="78">
        <f t="shared" ca="1" si="102"/>
        <v>-4.36E-2</v>
      </c>
      <c r="Z71" s="78">
        <f t="shared" ca="1" si="103"/>
        <v>0</v>
      </c>
      <c r="AA71" s="4">
        <f ca="1">-SUMIFS(INDIRECT("Tab_00.Trial["&amp;AA$4&amp;"]"),Tab_00.Trial[CONTA],$B71)</f>
        <v>-398237.66</v>
      </c>
      <c r="AB71" s="78">
        <f t="shared" ca="1" si="104"/>
        <v>-4.3400000000000001E-2</v>
      </c>
      <c r="AC71" s="78">
        <f t="shared" ca="1" si="105"/>
        <v>-0.27060000000000001</v>
      </c>
      <c r="AD71" s="4">
        <f ca="1">-SUMIFS(INDIRECT("Tab_00.Trial["&amp;AD$4&amp;"]"),Tab_00.Trial[CONTA],$B71)</f>
        <v>-443857.25</v>
      </c>
      <c r="AE71" s="78">
        <f t="shared" ca="1" si="106"/>
        <v>-4.2599999999999999E-2</v>
      </c>
      <c r="AF71" s="78">
        <f t="shared" ca="1" si="107"/>
        <v>-0.11459999999999999</v>
      </c>
      <c r="AG71" s="4">
        <f ca="1">-SUMIFS(INDIRECT("Tab_00.Trial["&amp;AG$4&amp;"]"),Tab_00.Trial[CONTA],$B71)</f>
        <v>-488045.75</v>
      </c>
      <c r="AH71" s="78">
        <f t="shared" ca="1" si="108"/>
        <v>-4.3099999999999999E-2</v>
      </c>
      <c r="AI71" s="78">
        <f t="shared" ca="1" si="109"/>
        <v>-9.9599999999999994E-2</v>
      </c>
      <c r="AJ71" s="4">
        <f ca="1">-SUMIFS(INDIRECT("Tab_00.Trial["&amp;AJ$4&amp;"]"),Tab_00.Trial[CONTA],$B71)</f>
        <v>-532743.71</v>
      </c>
      <c r="AK71" s="78">
        <f t="shared" ca="1" si="110"/>
        <v>-4.1700000000000001E-2</v>
      </c>
      <c r="AL71" s="78">
        <f t="shared" ca="1" si="111"/>
        <v>-9.1600000000000001E-2</v>
      </c>
    </row>
    <row r="72" spans="2:39" ht="15" customHeight="1" outlineLevel="1" x14ac:dyDescent="0.3">
      <c r="B72" s="14" t="s">
        <v>442</v>
      </c>
      <c r="C72" s="14" t="s">
        <v>429</v>
      </c>
      <c r="D72" s="4">
        <f ca="1">-SUMIFS(INDIRECT("Tab_00.Trial["&amp;D$4&amp;"]"),Tab_00.Trial[CONTA],$B72)</f>
        <v>0</v>
      </c>
      <c r="E72" s="78">
        <f t="shared" ca="1" si="89"/>
        <v>0</v>
      </c>
      <c r="F72" s="4">
        <f ca="1">-SUMIFS(INDIRECT("Tab_00.Trial["&amp;F$4&amp;"]"),Tab_00.Trial[CONTA],$B72)</f>
        <v>0</v>
      </c>
      <c r="G72" s="78">
        <f t="shared" ca="1" si="91"/>
        <v>0</v>
      </c>
      <c r="H72" s="78">
        <f t="shared" ca="1" si="90"/>
        <v>0</v>
      </c>
      <c r="I72" s="4">
        <f ca="1">-SUMIFS(INDIRECT("Tab_00.Trial["&amp;I$4&amp;"]"),Tab_00.Trial[CONTA],$B72)</f>
        <v>0</v>
      </c>
      <c r="J72" s="78">
        <f t="shared" ca="1" si="92"/>
        <v>0</v>
      </c>
      <c r="K72" s="78">
        <f t="shared" ca="1" si="93"/>
        <v>0</v>
      </c>
      <c r="L72" s="4">
        <f ca="1">-SUMIFS(INDIRECT("Tab_00.Trial["&amp;L$4&amp;"]"),Tab_00.Trial[CONTA],$B72)</f>
        <v>0</v>
      </c>
      <c r="M72" s="78">
        <f t="shared" ca="1" si="94"/>
        <v>0</v>
      </c>
      <c r="N72" s="78">
        <f t="shared" ca="1" si="95"/>
        <v>0</v>
      </c>
      <c r="O72" s="4">
        <f ca="1">-SUMIFS(INDIRECT("Tab_00.Trial["&amp;O$4&amp;"]"),Tab_00.Trial[CONTA],$B72)</f>
        <v>0</v>
      </c>
      <c r="P72" s="78">
        <f t="shared" ca="1" si="96"/>
        <v>0</v>
      </c>
      <c r="Q72" s="78">
        <f t="shared" ca="1" si="97"/>
        <v>0</v>
      </c>
      <c r="R72" s="4">
        <f ca="1">-SUMIFS(INDIRECT("Tab_00.Trial["&amp;R$4&amp;"]"),Tab_00.Trial[CONTA],$B72)</f>
        <v>0</v>
      </c>
      <c r="S72" s="78">
        <f t="shared" ca="1" si="98"/>
        <v>0</v>
      </c>
      <c r="T72" s="78">
        <f t="shared" ca="1" si="99"/>
        <v>0</v>
      </c>
      <c r="U72" s="4">
        <f ca="1">-SUMIFS(INDIRECT("Tab_00.Trial["&amp;U$4&amp;"]"),Tab_00.Trial[CONTA],$B72)</f>
        <v>0</v>
      </c>
      <c r="V72" s="78">
        <f t="shared" ca="1" si="100"/>
        <v>0</v>
      </c>
      <c r="W72" s="78">
        <f t="shared" ca="1" si="101"/>
        <v>0</v>
      </c>
      <c r="X72" s="4">
        <f ca="1">-SUMIFS(INDIRECT("Tab_00.Trial["&amp;X$4&amp;"]"),Tab_00.Trial[CONTA],$B72)</f>
        <v>0</v>
      </c>
      <c r="Y72" s="78">
        <f t="shared" ca="1" si="102"/>
        <v>0</v>
      </c>
      <c r="Z72" s="78">
        <f t="shared" ca="1" si="103"/>
        <v>0</v>
      </c>
      <c r="AA72" s="4">
        <f ca="1">-SUMIFS(INDIRECT("Tab_00.Trial["&amp;AA$4&amp;"]"),Tab_00.Trial[CONTA],$B72)</f>
        <v>0</v>
      </c>
      <c r="AB72" s="78">
        <f t="shared" ca="1" si="104"/>
        <v>0</v>
      </c>
      <c r="AC72" s="78">
        <f t="shared" ca="1" si="105"/>
        <v>0</v>
      </c>
      <c r="AD72" s="4">
        <f ca="1">-SUMIFS(INDIRECT("Tab_00.Trial["&amp;AD$4&amp;"]"),Tab_00.Trial[CONTA],$B72)</f>
        <v>0</v>
      </c>
      <c r="AE72" s="78">
        <f t="shared" ca="1" si="106"/>
        <v>0</v>
      </c>
      <c r="AF72" s="78">
        <f t="shared" ca="1" si="107"/>
        <v>0</v>
      </c>
      <c r="AG72" s="4">
        <f ca="1">-SUMIFS(INDIRECT("Tab_00.Trial["&amp;AG$4&amp;"]"),Tab_00.Trial[CONTA],$B72)</f>
        <v>0</v>
      </c>
      <c r="AH72" s="78">
        <f t="shared" ca="1" si="108"/>
        <v>0</v>
      </c>
      <c r="AI72" s="78">
        <f t="shared" ca="1" si="109"/>
        <v>0</v>
      </c>
      <c r="AJ72" s="4">
        <f ca="1">-SUMIFS(INDIRECT("Tab_00.Trial["&amp;AJ$4&amp;"]"),Tab_00.Trial[CONTA],$B72)</f>
        <v>0</v>
      </c>
      <c r="AK72" s="78">
        <f t="shared" ca="1" si="110"/>
        <v>0</v>
      </c>
      <c r="AL72" s="78">
        <f t="shared" ca="1" si="111"/>
        <v>0</v>
      </c>
    </row>
    <row r="73" spans="2:39" ht="15" customHeight="1" outlineLevel="1" x14ac:dyDescent="0.3">
      <c r="B73" s="14" t="s">
        <v>443</v>
      </c>
      <c r="C73" s="14" t="s">
        <v>431</v>
      </c>
      <c r="D73" s="4">
        <f ca="1">-SUMIFS(INDIRECT("Tab_00.Trial["&amp;D$4&amp;"]"),Tab_00.Trial[CONTA],$B73)</f>
        <v>-10254.450000000001</v>
      </c>
      <c r="E73" s="78">
        <f t="shared" ca="1" si="89"/>
        <v>-1.0999999999999999E-2</v>
      </c>
      <c r="F73" s="4">
        <f ca="1">-SUMIFS(INDIRECT("Tab_00.Trial["&amp;F$4&amp;"]"),Tab_00.Trial[CONTA],$B73)</f>
        <v>-10254.450000000001</v>
      </c>
      <c r="G73" s="78">
        <f t="shared" ca="1" si="91"/>
        <v>-7.0000000000000001E-3</v>
      </c>
      <c r="H73" s="78">
        <f t="shared" ca="1" si="90"/>
        <v>0</v>
      </c>
      <c r="I73" s="4">
        <f ca="1">-SUMIFS(INDIRECT("Tab_00.Trial["&amp;I$4&amp;"]"),Tab_00.Trial[CONTA],$B73)</f>
        <v>-28400.5</v>
      </c>
      <c r="J73" s="78">
        <f t="shared" ca="1" si="92"/>
        <v>-9.7000000000000003E-3</v>
      </c>
      <c r="K73" s="78">
        <f t="shared" ca="1" si="93"/>
        <v>-1.7696000000000001</v>
      </c>
      <c r="L73" s="4">
        <f ca="1">-SUMIFS(INDIRECT("Tab_00.Trial["&amp;L$4&amp;"]"),Tab_00.Trial[CONTA],$B73)</f>
        <v>-31360.39</v>
      </c>
      <c r="M73" s="78">
        <f t="shared" ca="1" si="94"/>
        <v>-8.0000000000000002E-3</v>
      </c>
      <c r="N73" s="78">
        <f t="shared" ca="1" si="95"/>
        <v>-0.1042</v>
      </c>
      <c r="O73" s="4">
        <f ca="1">-SUMIFS(INDIRECT("Tab_00.Trial["&amp;O$4&amp;"]"),Tab_00.Trial[CONTA],$B73)</f>
        <v>-33586.93</v>
      </c>
      <c r="P73" s="78">
        <f t="shared" ca="1" si="96"/>
        <v>-6.4999999999999997E-3</v>
      </c>
      <c r="Q73" s="78">
        <f t="shared" ca="1" si="97"/>
        <v>-7.0999999999999994E-2</v>
      </c>
      <c r="R73" s="4">
        <f ca="1">-SUMIFS(INDIRECT("Tab_00.Trial["&amp;R$4&amp;"]"),Tab_00.Trial[CONTA],$B73)</f>
        <v>-43165.37</v>
      </c>
      <c r="S73" s="78">
        <f t="shared" ca="1" si="98"/>
        <v>-6.0000000000000001E-3</v>
      </c>
      <c r="T73" s="78">
        <f t="shared" ca="1" si="99"/>
        <v>-0.28520000000000001</v>
      </c>
      <c r="U73" s="4">
        <f ca="1">-SUMIFS(INDIRECT("Tab_00.Trial["&amp;U$4&amp;"]"),Tab_00.Trial[CONTA],$B73)</f>
        <v>-43165.37</v>
      </c>
      <c r="V73" s="78">
        <f t="shared" ca="1" si="100"/>
        <v>-6.0000000000000001E-3</v>
      </c>
      <c r="W73" s="78">
        <f t="shared" ca="1" si="101"/>
        <v>0</v>
      </c>
      <c r="X73" s="4">
        <f ca="1">-SUMIFS(INDIRECT("Tab_00.Trial["&amp;X$4&amp;"]"),Tab_00.Trial[CONTA],$B73)</f>
        <v>-43165.37</v>
      </c>
      <c r="Y73" s="78">
        <f t="shared" ca="1" si="102"/>
        <v>-6.0000000000000001E-3</v>
      </c>
      <c r="Z73" s="78">
        <f t="shared" ca="1" si="103"/>
        <v>0</v>
      </c>
      <c r="AA73" s="4">
        <f ca="1">-SUMIFS(INDIRECT("Tab_00.Trial["&amp;AA$4&amp;"]"),Tab_00.Trial[CONTA],$B73)</f>
        <v>-55069.19</v>
      </c>
      <c r="AB73" s="78">
        <f t="shared" ca="1" si="104"/>
        <v>-6.0000000000000001E-3</v>
      </c>
      <c r="AC73" s="78">
        <f t="shared" ca="1" si="105"/>
        <v>-0.27579999999999999</v>
      </c>
      <c r="AD73" s="4">
        <f ca="1">-SUMIFS(INDIRECT("Tab_00.Trial["&amp;AD$4&amp;"]"),Tab_00.Trial[CONTA],$B73)</f>
        <v>-55069.19</v>
      </c>
      <c r="AE73" s="78">
        <f t="shared" ca="1" si="106"/>
        <v>-5.3E-3</v>
      </c>
      <c r="AF73" s="78">
        <f t="shared" ca="1" si="107"/>
        <v>0</v>
      </c>
      <c r="AG73" s="4">
        <f ca="1">-SUMIFS(INDIRECT("Tab_00.Trial["&amp;AG$4&amp;"]"),Tab_00.Trial[CONTA],$B73)</f>
        <v>-55069.19</v>
      </c>
      <c r="AH73" s="78">
        <f t="shared" ca="1" si="108"/>
        <v>-4.8999999999999998E-3</v>
      </c>
      <c r="AI73" s="78">
        <f t="shared" ca="1" si="109"/>
        <v>0</v>
      </c>
      <c r="AJ73" s="4">
        <f ca="1">-SUMIFS(INDIRECT("Tab_00.Trial["&amp;AJ$4&amp;"]"),Tab_00.Trial[CONTA],$B73)</f>
        <v>-55069.19</v>
      </c>
      <c r="AK73" s="78">
        <f t="shared" ca="1" si="110"/>
        <v>-4.3E-3</v>
      </c>
      <c r="AL73" s="78">
        <f t="shared" ca="1" si="111"/>
        <v>0</v>
      </c>
    </row>
    <row r="74" spans="2:39" ht="15" customHeight="1" outlineLevel="1" x14ac:dyDescent="0.3">
      <c r="B74" s="14" t="s">
        <v>444</v>
      </c>
      <c r="C74" s="14" t="s">
        <v>433</v>
      </c>
      <c r="D74" s="4">
        <f ca="1">-SUMIFS(INDIRECT("Tab_00.Trial["&amp;D$4&amp;"]"),Tab_00.Trial[CONTA],$B74)</f>
        <v>-6223.05</v>
      </c>
      <c r="E74" s="78">
        <f t="shared" ca="1" si="89"/>
        <v>-6.7000000000000002E-3</v>
      </c>
      <c r="F74" s="4">
        <f ca="1">-SUMIFS(INDIRECT("Tab_00.Trial["&amp;F$4&amp;"]"),Tab_00.Trial[CONTA],$B74)</f>
        <v>-6223.05</v>
      </c>
      <c r="G74" s="78">
        <f t="shared" ca="1" si="91"/>
        <v>-4.3E-3</v>
      </c>
      <c r="H74" s="78">
        <f t="shared" ca="1" si="90"/>
        <v>0</v>
      </c>
      <c r="I74" s="4">
        <f ca="1">-SUMIFS(INDIRECT("Tab_00.Trial["&amp;I$4&amp;"]"),Tab_00.Trial[CONTA],$B74)</f>
        <v>-21653.9</v>
      </c>
      <c r="J74" s="78">
        <f t="shared" ca="1" si="92"/>
        <v>-7.4000000000000003E-3</v>
      </c>
      <c r="K74" s="78">
        <f t="shared" ca="1" si="93"/>
        <v>-2.4796</v>
      </c>
      <c r="L74" s="4">
        <f ca="1">-SUMIFS(INDIRECT("Tab_00.Trial["&amp;L$4&amp;"]"),Tab_00.Trial[CONTA],$B74)</f>
        <v>-24892.240000000002</v>
      </c>
      <c r="M74" s="78">
        <f t="shared" ca="1" si="94"/>
        <v>-6.3E-3</v>
      </c>
      <c r="N74" s="78">
        <f t="shared" ca="1" si="95"/>
        <v>-0.14949999999999999</v>
      </c>
      <c r="O74" s="4">
        <f ca="1">-SUMIFS(INDIRECT("Tab_00.Trial["&amp;O$4&amp;"]"),Tab_00.Trial[CONTA],$B74)</f>
        <v>-28397.25</v>
      </c>
      <c r="P74" s="78">
        <f t="shared" ca="1" si="96"/>
        <v>-5.4999999999999997E-3</v>
      </c>
      <c r="Q74" s="78">
        <f t="shared" ca="1" si="97"/>
        <v>-0.14080000000000001</v>
      </c>
      <c r="R74" s="4">
        <f ca="1">-SUMIFS(INDIRECT("Tab_00.Trial["&amp;R$4&amp;"]"),Tab_00.Trial[CONTA],$B74)</f>
        <v>-34122.18</v>
      </c>
      <c r="S74" s="78">
        <f t="shared" ca="1" si="98"/>
        <v>-4.7000000000000002E-3</v>
      </c>
      <c r="T74" s="78">
        <f t="shared" ca="1" si="99"/>
        <v>-0.2016</v>
      </c>
      <c r="U74" s="4">
        <f ca="1">-SUMIFS(INDIRECT("Tab_00.Trial["&amp;U$4&amp;"]"),Tab_00.Trial[CONTA],$B74)</f>
        <v>-34122.18</v>
      </c>
      <c r="V74" s="78">
        <f t="shared" ca="1" si="100"/>
        <v>-4.7000000000000002E-3</v>
      </c>
      <c r="W74" s="78">
        <f t="shared" ca="1" si="101"/>
        <v>0</v>
      </c>
      <c r="X74" s="4">
        <f ca="1">-SUMIFS(INDIRECT("Tab_00.Trial["&amp;X$4&amp;"]"),Tab_00.Trial[CONTA],$B74)</f>
        <v>-34122.18</v>
      </c>
      <c r="Y74" s="78">
        <f t="shared" ca="1" si="102"/>
        <v>-4.7000000000000002E-3</v>
      </c>
      <c r="Z74" s="78">
        <f t="shared" ca="1" si="103"/>
        <v>0</v>
      </c>
      <c r="AA74" s="4">
        <f ca="1">-SUMIFS(INDIRECT("Tab_00.Trial["&amp;AA$4&amp;"]"),Tab_00.Trial[CONTA],$B74)</f>
        <v>-41199.1</v>
      </c>
      <c r="AB74" s="78">
        <f t="shared" ca="1" si="104"/>
        <v>-4.4999999999999997E-3</v>
      </c>
      <c r="AC74" s="78">
        <f t="shared" ca="1" si="105"/>
        <v>-0.2074</v>
      </c>
      <c r="AD74" s="4">
        <f ca="1">-SUMIFS(INDIRECT("Tab_00.Trial["&amp;AD$4&amp;"]"),Tab_00.Trial[CONTA],$B74)</f>
        <v>-49850.7</v>
      </c>
      <c r="AE74" s="78">
        <f t="shared" ca="1" si="106"/>
        <v>-4.7999999999999996E-3</v>
      </c>
      <c r="AF74" s="78">
        <f t="shared" ca="1" si="107"/>
        <v>-0.21</v>
      </c>
      <c r="AG74" s="4">
        <f ca="1">-SUMIFS(INDIRECT("Tab_00.Trial["&amp;AG$4&amp;"]"),Tab_00.Trial[CONTA],$B74)</f>
        <v>-58502.32</v>
      </c>
      <c r="AH74" s="78">
        <f t="shared" ca="1" si="108"/>
        <v>-5.1999999999999998E-3</v>
      </c>
      <c r="AI74" s="78">
        <f t="shared" ca="1" si="109"/>
        <v>-0.1736</v>
      </c>
      <c r="AJ74" s="4">
        <f ca="1">-SUMIFS(INDIRECT("Tab_00.Trial["&amp;AJ$4&amp;"]"),Tab_00.Trial[CONTA],$B74)</f>
        <v>-40071.760000000002</v>
      </c>
      <c r="AK74" s="78">
        <f t="shared" ca="1" si="110"/>
        <v>-3.0999999999999999E-3</v>
      </c>
      <c r="AL74" s="78">
        <f t="shared" ca="1" si="111"/>
        <v>0.315</v>
      </c>
    </row>
    <row r="75" spans="2:39" ht="15" customHeight="1" outlineLevel="1" x14ac:dyDescent="0.3">
      <c r="B75" s="14" t="s">
        <v>445</v>
      </c>
      <c r="C75" s="14" t="s">
        <v>446</v>
      </c>
      <c r="D75" s="4">
        <f ca="1">-SUMIFS(INDIRECT("Tab_00.Trial["&amp;D$4&amp;"]"),Tab_00.Trial[CONTA],$B75)</f>
        <v>0</v>
      </c>
      <c r="E75" s="78">
        <f t="shared" ca="1" si="89"/>
        <v>0</v>
      </c>
      <c r="F75" s="4">
        <f ca="1">-SUMIFS(INDIRECT("Tab_00.Trial["&amp;F$4&amp;"]"),Tab_00.Trial[CONTA],$B75)</f>
        <v>0</v>
      </c>
      <c r="G75" s="78">
        <f t="shared" ca="1" si="91"/>
        <v>0</v>
      </c>
      <c r="H75" s="78">
        <f t="shared" ca="1" si="90"/>
        <v>0</v>
      </c>
      <c r="I75" s="4">
        <f ca="1">-SUMIFS(INDIRECT("Tab_00.Trial["&amp;I$4&amp;"]"),Tab_00.Trial[CONTA],$B75)</f>
        <v>0</v>
      </c>
      <c r="J75" s="78">
        <f t="shared" ca="1" si="92"/>
        <v>0</v>
      </c>
      <c r="K75" s="78">
        <f t="shared" ca="1" si="93"/>
        <v>0</v>
      </c>
      <c r="L75" s="4">
        <f ca="1">-SUMIFS(INDIRECT("Tab_00.Trial["&amp;L$4&amp;"]"),Tab_00.Trial[CONTA],$B75)</f>
        <v>0</v>
      </c>
      <c r="M75" s="78">
        <f t="shared" ca="1" si="94"/>
        <v>0</v>
      </c>
      <c r="N75" s="78">
        <f t="shared" ca="1" si="95"/>
        <v>0</v>
      </c>
      <c r="O75" s="4">
        <f ca="1">-SUMIFS(INDIRECT("Tab_00.Trial["&amp;O$4&amp;"]"),Tab_00.Trial[CONTA],$B75)</f>
        <v>0</v>
      </c>
      <c r="P75" s="78">
        <f t="shared" ca="1" si="96"/>
        <v>0</v>
      </c>
      <c r="Q75" s="78">
        <f t="shared" ca="1" si="97"/>
        <v>0</v>
      </c>
      <c r="R75" s="4">
        <f ca="1">-SUMIFS(INDIRECT("Tab_00.Trial["&amp;R$4&amp;"]"),Tab_00.Trial[CONTA],$B75)</f>
        <v>0</v>
      </c>
      <c r="S75" s="78">
        <f t="shared" ca="1" si="98"/>
        <v>0</v>
      </c>
      <c r="T75" s="78">
        <f t="shared" ca="1" si="99"/>
        <v>0</v>
      </c>
      <c r="U75" s="4">
        <f ca="1">-SUMIFS(INDIRECT("Tab_00.Trial["&amp;U$4&amp;"]"),Tab_00.Trial[CONTA],$B75)</f>
        <v>0</v>
      </c>
      <c r="V75" s="78">
        <f t="shared" ca="1" si="100"/>
        <v>0</v>
      </c>
      <c r="W75" s="78">
        <f t="shared" ca="1" si="101"/>
        <v>0</v>
      </c>
      <c r="X75" s="4">
        <f ca="1">-SUMIFS(INDIRECT("Tab_00.Trial["&amp;X$4&amp;"]"),Tab_00.Trial[CONTA],$B75)</f>
        <v>0</v>
      </c>
      <c r="Y75" s="78">
        <f t="shared" ca="1" si="102"/>
        <v>0</v>
      </c>
      <c r="Z75" s="78">
        <f t="shared" ca="1" si="103"/>
        <v>0</v>
      </c>
      <c r="AA75" s="4">
        <f ca="1">-SUMIFS(INDIRECT("Tab_00.Trial["&amp;AA$4&amp;"]"),Tab_00.Trial[CONTA],$B75)</f>
        <v>0</v>
      </c>
      <c r="AB75" s="78">
        <f t="shared" ca="1" si="104"/>
        <v>0</v>
      </c>
      <c r="AC75" s="78">
        <f t="shared" ca="1" si="105"/>
        <v>0</v>
      </c>
      <c r="AD75" s="4">
        <f ca="1">-SUMIFS(INDIRECT("Tab_00.Trial["&amp;AD$4&amp;"]"),Tab_00.Trial[CONTA],$B75)</f>
        <v>0</v>
      </c>
      <c r="AE75" s="78">
        <f t="shared" ca="1" si="106"/>
        <v>0</v>
      </c>
      <c r="AF75" s="78">
        <f t="shared" ca="1" si="107"/>
        <v>0</v>
      </c>
      <c r="AG75" s="4">
        <f ca="1">-SUMIFS(INDIRECT("Tab_00.Trial["&amp;AG$4&amp;"]"),Tab_00.Trial[CONTA],$B75)</f>
        <v>0</v>
      </c>
      <c r="AH75" s="78">
        <f t="shared" ca="1" si="108"/>
        <v>0</v>
      </c>
      <c r="AI75" s="78">
        <f t="shared" ca="1" si="109"/>
        <v>0</v>
      </c>
      <c r="AJ75" s="4">
        <f ca="1">-SUMIFS(INDIRECT("Tab_00.Trial["&amp;AJ$4&amp;"]"),Tab_00.Trial[CONTA],$B75)</f>
        <v>0</v>
      </c>
      <c r="AK75" s="78">
        <f t="shared" ca="1" si="110"/>
        <v>0</v>
      </c>
      <c r="AL75" s="78">
        <f t="shared" ca="1" si="111"/>
        <v>0</v>
      </c>
    </row>
    <row r="76" spans="2:39" ht="15" customHeight="1" outlineLevel="1" x14ac:dyDescent="0.3">
      <c r="B76" s="14" t="s">
        <v>447</v>
      </c>
      <c r="C76" s="14" t="s">
        <v>448</v>
      </c>
      <c r="D76" s="4">
        <f ca="1">-SUMIFS(INDIRECT("Tab_00.Trial["&amp;D$4&amp;"]"),Tab_00.Trial[CONTA],$B76)</f>
        <v>0</v>
      </c>
      <c r="E76" s="78">
        <f t="shared" ca="1" si="89"/>
        <v>0</v>
      </c>
      <c r="F76" s="4">
        <f ca="1">-SUMIFS(INDIRECT("Tab_00.Trial["&amp;F$4&amp;"]"),Tab_00.Trial[CONTA],$B76)</f>
        <v>0</v>
      </c>
      <c r="G76" s="78">
        <f t="shared" ca="1" si="91"/>
        <v>0</v>
      </c>
      <c r="H76" s="78">
        <f t="shared" ca="1" si="90"/>
        <v>0</v>
      </c>
      <c r="I76" s="4">
        <f ca="1">-SUMIFS(INDIRECT("Tab_00.Trial["&amp;I$4&amp;"]"),Tab_00.Trial[CONTA],$B76)</f>
        <v>0</v>
      </c>
      <c r="J76" s="78">
        <f t="shared" ca="1" si="92"/>
        <v>0</v>
      </c>
      <c r="K76" s="78">
        <f t="shared" ca="1" si="93"/>
        <v>0</v>
      </c>
      <c r="L76" s="4">
        <f ca="1">-SUMIFS(INDIRECT("Tab_00.Trial["&amp;L$4&amp;"]"),Tab_00.Trial[CONTA],$B76)</f>
        <v>0</v>
      </c>
      <c r="M76" s="78">
        <f t="shared" ca="1" si="94"/>
        <v>0</v>
      </c>
      <c r="N76" s="78">
        <f t="shared" ca="1" si="95"/>
        <v>0</v>
      </c>
      <c r="O76" s="4">
        <f ca="1">-SUMIFS(INDIRECT("Tab_00.Trial["&amp;O$4&amp;"]"),Tab_00.Trial[CONTA],$B76)</f>
        <v>-476.67</v>
      </c>
      <c r="P76" s="78">
        <f t="shared" ca="1" si="96"/>
        <v>-1E-4</v>
      </c>
      <c r="Q76" s="78">
        <f t="shared" ca="1" si="97"/>
        <v>0</v>
      </c>
      <c r="R76" s="4">
        <f ca="1">-SUMIFS(INDIRECT("Tab_00.Trial["&amp;R$4&amp;"]"),Tab_00.Trial[CONTA],$B76)</f>
        <v>-476.67</v>
      </c>
      <c r="S76" s="78">
        <f t="shared" ca="1" si="98"/>
        <v>-1E-4</v>
      </c>
      <c r="T76" s="78">
        <f t="shared" ca="1" si="99"/>
        <v>0</v>
      </c>
      <c r="U76" s="4">
        <f ca="1">-SUMIFS(INDIRECT("Tab_00.Trial["&amp;U$4&amp;"]"),Tab_00.Trial[CONTA],$B76)</f>
        <v>-476.67</v>
      </c>
      <c r="V76" s="78">
        <f t="shared" ca="1" si="100"/>
        <v>-1E-4</v>
      </c>
      <c r="W76" s="78">
        <f t="shared" ca="1" si="101"/>
        <v>0</v>
      </c>
      <c r="X76" s="4">
        <f ca="1">-SUMIFS(INDIRECT("Tab_00.Trial["&amp;X$4&amp;"]"),Tab_00.Trial[CONTA],$B76)</f>
        <v>-476.67</v>
      </c>
      <c r="Y76" s="78">
        <f t="shared" ca="1" si="102"/>
        <v>-1E-4</v>
      </c>
      <c r="Z76" s="78">
        <f t="shared" ca="1" si="103"/>
        <v>0</v>
      </c>
      <c r="AA76" s="4">
        <f ca="1">-SUMIFS(INDIRECT("Tab_00.Trial["&amp;AA$4&amp;"]"),Tab_00.Trial[CONTA],$B76)</f>
        <v>-1576.67</v>
      </c>
      <c r="AB76" s="78">
        <f t="shared" ca="1" si="104"/>
        <v>-2.0000000000000001E-4</v>
      </c>
      <c r="AC76" s="78">
        <f t="shared" ca="1" si="105"/>
        <v>-2.3077000000000001</v>
      </c>
      <c r="AD76" s="4">
        <f ca="1">-SUMIFS(INDIRECT("Tab_00.Trial["&amp;AD$4&amp;"]"),Tab_00.Trial[CONTA],$B76)</f>
        <v>-1576.67</v>
      </c>
      <c r="AE76" s="78">
        <f t="shared" ca="1" si="106"/>
        <v>-2.0000000000000001E-4</v>
      </c>
      <c r="AF76" s="78">
        <f t="shared" ca="1" si="107"/>
        <v>0</v>
      </c>
      <c r="AG76" s="4">
        <f ca="1">-SUMIFS(INDIRECT("Tab_00.Trial["&amp;AG$4&amp;"]"),Tab_00.Trial[CONTA],$B76)</f>
        <v>-1576.67</v>
      </c>
      <c r="AH76" s="78">
        <f t="shared" ca="1" si="108"/>
        <v>-1E-4</v>
      </c>
      <c r="AI76" s="78">
        <f t="shared" ca="1" si="109"/>
        <v>0</v>
      </c>
      <c r="AJ76" s="4">
        <f ca="1">-SUMIFS(INDIRECT("Tab_00.Trial["&amp;AJ$4&amp;"]"),Tab_00.Trial[CONTA],$B76)</f>
        <v>-1576.67</v>
      </c>
      <c r="AK76" s="78">
        <f t="shared" ca="1" si="110"/>
        <v>-1E-4</v>
      </c>
      <c r="AL76" s="78">
        <f t="shared" ca="1" si="111"/>
        <v>0</v>
      </c>
      <c r="AM76" s="1" t="s">
        <v>767</v>
      </c>
    </row>
    <row r="77" spans="2:39" ht="15" customHeight="1" outlineLevel="1" x14ac:dyDescent="0.3">
      <c r="B77" s="14" t="s">
        <v>449</v>
      </c>
      <c r="C77" s="14" t="s">
        <v>450</v>
      </c>
      <c r="D77" s="4">
        <f ca="1">-SUMIFS(INDIRECT("Tab_00.Trial["&amp;D$4&amp;"]"),Tab_00.Trial[CONTA],$B77)</f>
        <v>0</v>
      </c>
      <c r="E77" s="78">
        <f t="shared" ca="1" si="89"/>
        <v>0</v>
      </c>
      <c r="F77" s="4">
        <f ca="1">-SUMIFS(INDIRECT("Tab_00.Trial["&amp;F$4&amp;"]"),Tab_00.Trial[CONTA],$B77)</f>
        <v>0</v>
      </c>
      <c r="G77" s="78">
        <f t="shared" ca="1" si="91"/>
        <v>0</v>
      </c>
      <c r="H77" s="78">
        <f t="shared" ca="1" si="90"/>
        <v>0</v>
      </c>
      <c r="I77" s="4">
        <f ca="1">-SUMIFS(INDIRECT("Tab_00.Trial["&amp;I$4&amp;"]"),Tab_00.Trial[CONTA],$B77)</f>
        <v>0</v>
      </c>
      <c r="J77" s="78">
        <f t="shared" ca="1" si="92"/>
        <v>0</v>
      </c>
      <c r="K77" s="78">
        <f t="shared" ca="1" si="93"/>
        <v>0</v>
      </c>
      <c r="L77" s="4">
        <f ca="1">-SUMIFS(INDIRECT("Tab_00.Trial["&amp;L$4&amp;"]"),Tab_00.Trial[CONTA],$B77)</f>
        <v>0</v>
      </c>
      <c r="M77" s="78">
        <f t="shared" ca="1" si="94"/>
        <v>0</v>
      </c>
      <c r="N77" s="78">
        <f t="shared" ca="1" si="95"/>
        <v>0</v>
      </c>
      <c r="O77" s="4">
        <f ca="1">-SUMIFS(INDIRECT("Tab_00.Trial["&amp;O$4&amp;"]"),Tab_00.Trial[CONTA],$B77)</f>
        <v>0</v>
      </c>
      <c r="P77" s="78">
        <f t="shared" ca="1" si="96"/>
        <v>0</v>
      </c>
      <c r="Q77" s="78">
        <f t="shared" ca="1" si="97"/>
        <v>0</v>
      </c>
      <c r="R77" s="4">
        <f ca="1">-SUMIFS(INDIRECT("Tab_00.Trial["&amp;R$4&amp;"]"),Tab_00.Trial[CONTA],$B77)</f>
        <v>0</v>
      </c>
      <c r="S77" s="78">
        <f t="shared" ca="1" si="98"/>
        <v>0</v>
      </c>
      <c r="T77" s="78">
        <f t="shared" ca="1" si="99"/>
        <v>0</v>
      </c>
      <c r="U77" s="4">
        <f ca="1">-SUMIFS(INDIRECT("Tab_00.Trial["&amp;U$4&amp;"]"),Tab_00.Trial[CONTA],$B77)</f>
        <v>0</v>
      </c>
      <c r="V77" s="78">
        <f t="shared" ca="1" si="100"/>
        <v>0</v>
      </c>
      <c r="W77" s="78">
        <f t="shared" ca="1" si="101"/>
        <v>0</v>
      </c>
      <c r="X77" s="4">
        <f ca="1">-SUMIFS(INDIRECT("Tab_00.Trial["&amp;X$4&amp;"]"),Tab_00.Trial[CONTA],$B77)</f>
        <v>0</v>
      </c>
      <c r="Y77" s="78">
        <f t="shared" ca="1" si="102"/>
        <v>0</v>
      </c>
      <c r="Z77" s="78">
        <f t="shared" ca="1" si="103"/>
        <v>0</v>
      </c>
      <c r="AA77" s="4">
        <f ca="1">-SUMIFS(INDIRECT("Tab_00.Trial["&amp;AA$4&amp;"]"),Tab_00.Trial[CONTA],$B77)</f>
        <v>0</v>
      </c>
      <c r="AB77" s="78">
        <f t="shared" ca="1" si="104"/>
        <v>0</v>
      </c>
      <c r="AC77" s="78">
        <f t="shared" ca="1" si="105"/>
        <v>0</v>
      </c>
      <c r="AD77" s="4">
        <f ca="1">-SUMIFS(INDIRECT("Tab_00.Trial["&amp;AD$4&amp;"]"),Tab_00.Trial[CONTA],$B77)</f>
        <v>0</v>
      </c>
      <c r="AE77" s="78">
        <f t="shared" ca="1" si="106"/>
        <v>0</v>
      </c>
      <c r="AF77" s="78">
        <f t="shared" ca="1" si="107"/>
        <v>0</v>
      </c>
      <c r="AG77" s="4">
        <f ca="1">-SUMIFS(INDIRECT("Tab_00.Trial["&amp;AG$4&amp;"]"),Tab_00.Trial[CONTA],$B77)</f>
        <v>0</v>
      </c>
      <c r="AH77" s="78">
        <f t="shared" ca="1" si="108"/>
        <v>0</v>
      </c>
      <c r="AI77" s="78">
        <f t="shared" ca="1" si="109"/>
        <v>0</v>
      </c>
      <c r="AJ77" s="4">
        <f ca="1">-SUMIFS(INDIRECT("Tab_00.Trial["&amp;AJ$4&amp;"]"),Tab_00.Trial[CONTA],$B77)</f>
        <v>0</v>
      </c>
      <c r="AK77" s="78">
        <f t="shared" ca="1" si="110"/>
        <v>0</v>
      </c>
      <c r="AL77" s="78">
        <f t="shared" ca="1" si="111"/>
        <v>0</v>
      </c>
    </row>
    <row r="78" spans="2:39" ht="15" customHeight="1" outlineLevel="1" x14ac:dyDescent="0.3">
      <c r="B78" s="14" t="s">
        <v>451</v>
      </c>
      <c r="C78" s="14" t="s">
        <v>437</v>
      </c>
      <c r="D78" s="4">
        <f ca="1">-SUMIFS(INDIRECT("Tab_00.Trial["&amp;D$4&amp;"]"),Tab_00.Trial[CONTA],$B78)</f>
        <v>-18491.599999999999</v>
      </c>
      <c r="E78" s="78">
        <f t="shared" ca="1" si="89"/>
        <v>-1.9800000000000002E-2</v>
      </c>
      <c r="F78" s="4">
        <f ca="1">-SUMIFS(INDIRECT("Tab_00.Trial["&amp;F$4&amp;"]"),Tab_00.Trial[CONTA],$B78)</f>
        <v>-18491.599999999999</v>
      </c>
      <c r="G78" s="78">
        <f t="shared" ca="1" si="91"/>
        <v>-1.2699999999999999E-2</v>
      </c>
      <c r="H78" s="78">
        <f t="shared" ca="1" si="90"/>
        <v>0</v>
      </c>
      <c r="I78" s="4">
        <f ca="1">-SUMIFS(INDIRECT("Tab_00.Trial["&amp;I$4&amp;"]"),Tab_00.Trial[CONTA],$B78)</f>
        <v>-43252.27</v>
      </c>
      <c r="J78" s="78">
        <f t="shared" ca="1" si="92"/>
        <v>-1.47E-2</v>
      </c>
      <c r="K78" s="78">
        <f t="shared" ca="1" si="93"/>
        <v>-1.339</v>
      </c>
      <c r="L78" s="4">
        <f ca="1">-SUMIFS(INDIRECT("Tab_00.Trial["&amp;L$4&amp;"]"),Tab_00.Trial[CONTA],$B78)</f>
        <v>-51633.09</v>
      </c>
      <c r="M78" s="78">
        <f t="shared" ca="1" si="94"/>
        <v>-1.3100000000000001E-2</v>
      </c>
      <c r="N78" s="78">
        <f t="shared" ca="1" si="95"/>
        <v>-0.1938</v>
      </c>
      <c r="O78" s="4">
        <f ca="1">-SUMIFS(INDIRECT("Tab_00.Trial["&amp;O$4&amp;"]"),Tab_00.Trial[CONTA],$B78)</f>
        <v>-60013.91</v>
      </c>
      <c r="P78" s="78">
        <f t="shared" ca="1" si="96"/>
        <v>-1.17E-2</v>
      </c>
      <c r="Q78" s="78">
        <f t="shared" ca="1" si="97"/>
        <v>-0.1623</v>
      </c>
      <c r="R78" s="4">
        <f ca="1">-SUMIFS(INDIRECT("Tab_00.Trial["&amp;R$4&amp;"]"),Tab_00.Trial[CONTA],$B78)</f>
        <v>-84624.5</v>
      </c>
      <c r="S78" s="78">
        <f t="shared" ca="1" si="98"/>
        <v>-1.18E-2</v>
      </c>
      <c r="T78" s="78">
        <f t="shared" ca="1" si="99"/>
        <v>-0.41010000000000002</v>
      </c>
      <c r="U78" s="4">
        <f ca="1">-SUMIFS(INDIRECT("Tab_00.Trial["&amp;U$4&amp;"]"),Tab_00.Trial[CONTA],$B78)</f>
        <v>-84624.5</v>
      </c>
      <c r="V78" s="78">
        <f t="shared" ca="1" si="100"/>
        <v>-1.18E-2</v>
      </c>
      <c r="W78" s="78">
        <f t="shared" ca="1" si="101"/>
        <v>0</v>
      </c>
      <c r="X78" s="4">
        <f ca="1">-SUMIFS(INDIRECT("Tab_00.Trial["&amp;X$4&amp;"]"),Tab_00.Trial[CONTA],$B78)</f>
        <v>-84624.5</v>
      </c>
      <c r="Y78" s="78">
        <f t="shared" ca="1" si="102"/>
        <v>-1.18E-2</v>
      </c>
      <c r="Z78" s="78">
        <f t="shared" ca="1" si="103"/>
        <v>0</v>
      </c>
      <c r="AA78" s="4">
        <f ca="1">-SUMIFS(INDIRECT("Tab_00.Trial["&amp;AA$4&amp;"]"),Tab_00.Trial[CONTA],$B78)</f>
        <v>-103942.8</v>
      </c>
      <c r="AB78" s="78">
        <f t="shared" ca="1" si="104"/>
        <v>-1.1299999999999999E-2</v>
      </c>
      <c r="AC78" s="78">
        <f t="shared" ca="1" si="105"/>
        <v>-0.2283</v>
      </c>
      <c r="AD78" s="4">
        <f ca="1">-SUMIFS(INDIRECT("Tab_00.Trial["&amp;AD$4&amp;"]"),Tab_00.Trial[CONTA],$B78)</f>
        <v>-115530.86</v>
      </c>
      <c r="AE78" s="78">
        <f t="shared" ca="1" si="106"/>
        <v>-1.11E-2</v>
      </c>
      <c r="AF78" s="78">
        <f t="shared" ca="1" si="107"/>
        <v>-0.1115</v>
      </c>
      <c r="AG78" s="4">
        <f ca="1">-SUMIFS(INDIRECT("Tab_00.Trial["&amp;AG$4&amp;"]"),Tab_00.Trial[CONTA],$B78)</f>
        <v>-126982.38</v>
      </c>
      <c r="AH78" s="78">
        <f t="shared" ca="1" si="108"/>
        <v>-1.12E-2</v>
      </c>
      <c r="AI78" s="78">
        <f t="shared" ca="1" si="109"/>
        <v>-9.9099999999999994E-2</v>
      </c>
      <c r="AJ78" s="4">
        <f ca="1">-SUMIFS(INDIRECT("Tab_00.Trial["&amp;AJ$4&amp;"]"),Tab_00.Trial[CONTA],$B78)</f>
        <v>-143813.20000000001</v>
      </c>
      <c r="AK78" s="78">
        <f t="shared" ca="1" si="110"/>
        <v>-1.12E-2</v>
      </c>
      <c r="AL78" s="78">
        <f t="shared" ca="1" si="111"/>
        <v>-0.13250000000000001</v>
      </c>
    </row>
    <row r="79" spans="2:39" ht="15" customHeight="1" outlineLevel="1" x14ac:dyDescent="0.3">
      <c r="B79" s="14" t="s">
        <v>452</v>
      </c>
      <c r="C79" s="14" t="s">
        <v>196</v>
      </c>
      <c r="D79" s="4">
        <f ca="1">-SUMIFS(INDIRECT("Tab_00.Trial["&amp;D$4&amp;"]"),Tab_00.Trial[CONTA],$B79)</f>
        <v>-5519.86</v>
      </c>
      <c r="E79" s="78">
        <f t="shared" ca="1" si="89"/>
        <v>-5.8999999999999999E-3</v>
      </c>
      <c r="F79" s="4">
        <f ca="1">-SUMIFS(INDIRECT("Tab_00.Trial["&amp;F$4&amp;"]"),Tab_00.Trial[CONTA],$B79)</f>
        <v>-194184.81</v>
      </c>
      <c r="G79" s="78">
        <f t="shared" ca="1" si="91"/>
        <v>-0.13320000000000001</v>
      </c>
      <c r="H79" s="78">
        <f t="shared" ca="1" si="90"/>
        <v>-34.179299999999998</v>
      </c>
      <c r="I79" s="4">
        <f ca="1">-SUMIFS(INDIRECT("Tab_00.Trial["&amp;I$4&amp;"]"),Tab_00.Trial[CONTA],$B79)</f>
        <v>-199188.25</v>
      </c>
      <c r="J79" s="78">
        <f t="shared" ca="1" si="92"/>
        <v>-6.7900000000000002E-2</v>
      </c>
      <c r="K79" s="78">
        <f t="shared" ca="1" si="93"/>
        <v>-2.58E-2</v>
      </c>
      <c r="L79" s="4">
        <f ca="1">-SUMIFS(INDIRECT("Tab_00.Trial["&amp;L$4&amp;"]"),Tab_00.Trial[CONTA],$B79)</f>
        <v>-201689.97</v>
      </c>
      <c r="M79" s="78">
        <f t="shared" ca="1" si="94"/>
        <v>-5.1200000000000002E-2</v>
      </c>
      <c r="N79" s="78">
        <f t="shared" ca="1" si="95"/>
        <v>-1.26E-2</v>
      </c>
      <c r="O79" s="4">
        <f ca="1">-SUMIFS(INDIRECT("Tab_00.Trial["&amp;O$4&amp;"]"),Tab_00.Trial[CONTA],$B79)</f>
        <v>-204191.69</v>
      </c>
      <c r="P79" s="78">
        <f t="shared" ca="1" si="96"/>
        <v>-3.9699999999999999E-2</v>
      </c>
      <c r="Q79" s="78">
        <f t="shared" ca="1" si="97"/>
        <v>-1.24E-2</v>
      </c>
      <c r="R79" s="4">
        <f ca="1">-SUMIFS(INDIRECT("Tab_00.Trial["&amp;R$4&amp;"]"),Tab_00.Trial[CONTA],$B79)</f>
        <v>-209407.02</v>
      </c>
      <c r="S79" s="78">
        <f t="shared" ca="1" si="98"/>
        <v>-2.9100000000000001E-2</v>
      </c>
      <c r="T79" s="78">
        <f t="shared" ca="1" si="99"/>
        <v>-2.5499999999999998E-2</v>
      </c>
      <c r="U79" s="4">
        <f ca="1">-SUMIFS(INDIRECT("Tab_00.Trial["&amp;U$4&amp;"]"),Tab_00.Trial[CONTA],$B79)</f>
        <v>-209407.02</v>
      </c>
      <c r="V79" s="78">
        <f t="shared" ca="1" si="100"/>
        <v>-2.9100000000000001E-2</v>
      </c>
      <c r="W79" s="78">
        <f t="shared" ca="1" si="101"/>
        <v>0</v>
      </c>
      <c r="X79" s="4">
        <f ca="1">-SUMIFS(INDIRECT("Tab_00.Trial["&amp;X$4&amp;"]"),Tab_00.Trial[CONTA],$B79)</f>
        <v>-209407.02</v>
      </c>
      <c r="Y79" s="78">
        <f t="shared" ca="1" si="102"/>
        <v>-2.9100000000000001E-2</v>
      </c>
      <c r="Z79" s="78">
        <f t="shared" ca="1" si="103"/>
        <v>0</v>
      </c>
      <c r="AA79" s="4">
        <f ca="1">-SUMIFS(INDIRECT("Tab_00.Trial["&amp;AA$4&amp;"]"),Tab_00.Trial[CONTA],$B79)</f>
        <v>-215178.31</v>
      </c>
      <c r="AB79" s="78">
        <f t="shared" ca="1" si="104"/>
        <v>-2.3400000000000001E-2</v>
      </c>
      <c r="AC79" s="78">
        <f t="shared" ca="1" si="105"/>
        <v>-2.76E-2</v>
      </c>
      <c r="AD79" s="4">
        <f ca="1">-SUMIFS(INDIRECT("Tab_00.Trial["&amp;AD$4&amp;"]"),Tab_00.Trial[CONTA],$B79)</f>
        <v>-218637.43</v>
      </c>
      <c r="AE79" s="78">
        <f t="shared" ca="1" si="106"/>
        <v>-2.1000000000000001E-2</v>
      </c>
      <c r="AF79" s="78">
        <f t="shared" ca="1" si="107"/>
        <v>-1.61E-2</v>
      </c>
      <c r="AG79" s="4">
        <f ca="1">-SUMIFS(INDIRECT("Tab_00.Trial["&amp;AG$4&amp;"]"),Tab_00.Trial[CONTA],$B79)</f>
        <v>-222055.79</v>
      </c>
      <c r="AH79" s="78">
        <f t="shared" ca="1" si="108"/>
        <v>-1.9599999999999999E-2</v>
      </c>
      <c r="AI79" s="78">
        <f t="shared" ca="1" si="109"/>
        <v>-1.5599999999999999E-2</v>
      </c>
      <c r="AJ79" s="4">
        <f ca="1">-SUMIFS(INDIRECT("Tab_00.Trial["&amp;AJ$4&amp;"]"),Tab_00.Trial[CONTA],$B79)</f>
        <v>-225514.91</v>
      </c>
      <c r="AK79" s="78">
        <f t="shared" ca="1" si="110"/>
        <v>-1.7600000000000001E-2</v>
      </c>
      <c r="AL79" s="78">
        <f t="shared" ca="1" si="111"/>
        <v>-1.5599999999999999E-2</v>
      </c>
    </row>
    <row r="80" spans="2:39" ht="15" customHeight="1" outlineLevel="1" x14ac:dyDescent="0.3">
      <c r="B80" s="14" t="s">
        <v>453</v>
      </c>
      <c r="C80" s="14" t="s">
        <v>454</v>
      </c>
      <c r="D80" s="4">
        <f ca="1">-SUMIFS(INDIRECT("Tab_00.Trial["&amp;D$4&amp;"]"),Tab_00.Trial[CONTA],$B80)</f>
        <v>-689.98</v>
      </c>
      <c r="E80" s="78">
        <f t="shared" ca="1" si="89"/>
        <v>-6.9999999999999999E-4</v>
      </c>
      <c r="F80" s="4">
        <f ca="1">-SUMIFS(INDIRECT("Tab_00.Trial["&amp;F$4&amp;"]"),Tab_00.Trial[CONTA],$B80)</f>
        <v>-689.98</v>
      </c>
      <c r="G80" s="78">
        <f t="shared" ca="1" si="91"/>
        <v>-5.0000000000000001E-4</v>
      </c>
      <c r="H80" s="78">
        <f t="shared" ca="1" si="90"/>
        <v>0</v>
      </c>
      <c r="I80" s="4">
        <f ca="1">-SUMIFS(INDIRECT("Tab_00.Trial["&amp;I$4&amp;"]"),Tab_00.Trial[CONTA],$B80)</f>
        <v>-1613.89</v>
      </c>
      <c r="J80" s="78">
        <f t="shared" ca="1" si="92"/>
        <v>-5.0000000000000001E-4</v>
      </c>
      <c r="K80" s="78">
        <f t="shared" ca="1" si="93"/>
        <v>-1.339</v>
      </c>
      <c r="L80" s="4">
        <f ca="1">-SUMIFS(INDIRECT("Tab_00.Trial["&amp;L$4&amp;"]"),Tab_00.Trial[CONTA],$B80)</f>
        <v>-1926.61</v>
      </c>
      <c r="M80" s="78">
        <f t="shared" ca="1" si="94"/>
        <v>-5.0000000000000001E-4</v>
      </c>
      <c r="N80" s="78">
        <f t="shared" ca="1" si="95"/>
        <v>-0.1938</v>
      </c>
      <c r="O80" s="4">
        <f ca="1">-SUMIFS(INDIRECT("Tab_00.Trial["&amp;O$4&amp;"]"),Tab_00.Trial[CONTA],$B80)</f>
        <v>-2239.33</v>
      </c>
      <c r="P80" s="78">
        <f t="shared" ca="1" si="96"/>
        <v>-4.0000000000000002E-4</v>
      </c>
      <c r="Q80" s="78">
        <f t="shared" ca="1" si="97"/>
        <v>-0.1623</v>
      </c>
      <c r="R80" s="4">
        <f ca="1">-SUMIFS(INDIRECT("Tab_00.Trial["&amp;R$4&amp;"]"),Tab_00.Trial[CONTA],$B80)</f>
        <v>-3157.64</v>
      </c>
      <c r="S80" s="78">
        <f t="shared" ca="1" si="98"/>
        <v>-4.0000000000000002E-4</v>
      </c>
      <c r="T80" s="78">
        <f t="shared" ca="1" si="99"/>
        <v>-0.41010000000000002</v>
      </c>
      <c r="U80" s="4">
        <f ca="1">-SUMIFS(INDIRECT("Tab_00.Trial["&amp;U$4&amp;"]"),Tab_00.Trial[CONTA],$B80)</f>
        <v>-3157.64</v>
      </c>
      <c r="V80" s="78">
        <f t="shared" ca="1" si="100"/>
        <v>-4.0000000000000002E-4</v>
      </c>
      <c r="W80" s="78">
        <f t="shared" ca="1" si="101"/>
        <v>0</v>
      </c>
      <c r="X80" s="4">
        <f ca="1">-SUMIFS(INDIRECT("Tab_00.Trial["&amp;X$4&amp;"]"),Tab_00.Trial[CONTA],$B80)</f>
        <v>-3157.64</v>
      </c>
      <c r="Y80" s="78">
        <f t="shared" ca="1" si="102"/>
        <v>-4.0000000000000002E-4</v>
      </c>
      <c r="Z80" s="78">
        <f t="shared" ca="1" si="103"/>
        <v>0</v>
      </c>
      <c r="AA80" s="4">
        <f ca="1">-SUMIFS(INDIRECT("Tab_00.Trial["&amp;AA$4&amp;"]"),Tab_00.Trial[CONTA],$B80)</f>
        <v>-3879.06</v>
      </c>
      <c r="AB80" s="78">
        <f t="shared" ca="1" si="104"/>
        <v>-4.0000000000000002E-4</v>
      </c>
      <c r="AC80" s="78">
        <f t="shared" ca="1" si="105"/>
        <v>-0.22850000000000001</v>
      </c>
      <c r="AD80" s="4">
        <f ca="1">-SUMIFS(INDIRECT("Tab_00.Trial["&amp;AD$4&amp;"]"),Tab_00.Trial[CONTA],$B80)</f>
        <v>-4311.45</v>
      </c>
      <c r="AE80" s="78">
        <f t="shared" ca="1" si="106"/>
        <v>-4.0000000000000002E-4</v>
      </c>
      <c r="AF80" s="78">
        <f t="shared" ca="1" si="107"/>
        <v>-0.1115</v>
      </c>
      <c r="AG80" s="4">
        <f ca="1">-SUMIFS(INDIRECT("Tab_00.Trial["&amp;AG$4&amp;"]"),Tab_00.Trial[CONTA],$B80)</f>
        <v>-4738.75</v>
      </c>
      <c r="AH80" s="78">
        <f t="shared" ca="1" si="108"/>
        <v>-4.0000000000000002E-4</v>
      </c>
      <c r="AI80" s="78">
        <f t="shared" ca="1" si="109"/>
        <v>-9.9099999999999994E-2</v>
      </c>
      <c r="AJ80" s="4">
        <f ca="1">-SUMIFS(INDIRECT("Tab_00.Trial["&amp;AJ$4&amp;"]"),Tab_00.Trial[CONTA],$B80)</f>
        <v>-5171.1400000000003</v>
      </c>
      <c r="AK80" s="78">
        <f t="shared" ca="1" si="110"/>
        <v>-4.0000000000000002E-4</v>
      </c>
      <c r="AL80" s="78">
        <f t="shared" ca="1" si="111"/>
        <v>-9.1200000000000003E-2</v>
      </c>
    </row>
    <row r="81" spans="2:38" ht="15" customHeight="1" outlineLevel="1" x14ac:dyDescent="0.3">
      <c r="B81" s="14" t="s">
        <v>748</v>
      </c>
      <c r="C81" s="14" t="s">
        <v>749</v>
      </c>
      <c r="D81" s="4">
        <f ca="1">-SUMIFS(INDIRECT("Tab_00.Trial["&amp;D$4&amp;"]"),Tab_00.Trial[CONTA],$B81)</f>
        <v>0</v>
      </c>
      <c r="E81" s="78">
        <f t="shared" ca="1" si="89"/>
        <v>0</v>
      </c>
      <c r="F81" s="4">
        <f ca="1">-SUMIFS(INDIRECT("Tab_00.Trial["&amp;F$4&amp;"]"),Tab_00.Trial[CONTA],$B81)</f>
        <v>0</v>
      </c>
      <c r="G81" s="78">
        <f t="shared" ca="1" si="91"/>
        <v>0</v>
      </c>
      <c r="H81" s="78">
        <f t="shared" ca="1" si="90"/>
        <v>0</v>
      </c>
      <c r="I81" s="4">
        <f ca="1">-SUMIFS(INDIRECT("Tab_00.Trial["&amp;I$4&amp;"]"),Tab_00.Trial[CONTA],$B81)</f>
        <v>0</v>
      </c>
      <c r="J81" s="78">
        <f t="shared" ca="1" si="92"/>
        <v>0</v>
      </c>
      <c r="K81" s="78">
        <f t="shared" ca="1" si="93"/>
        <v>0</v>
      </c>
      <c r="L81" s="4">
        <f ca="1">-SUMIFS(INDIRECT("Tab_00.Trial["&amp;L$4&amp;"]"),Tab_00.Trial[CONTA],$B81)</f>
        <v>0</v>
      </c>
      <c r="M81" s="78">
        <f t="shared" ca="1" si="94"/>
        <v>0</v>
      </c>
      <c r="N81" s="78">
        <f t="shared" ca="1" si="95"/>
        <v>0</v>
      </c>
      <c r="O81" s="4">
        <f ca="1">-SUMIFS(INDIRECT("Tab_00.Trial["&amp;O$4&amp;"]"),Tab_00.Trial[CONTA],$B81)</f>
        <v>0</v>
      </c>
      <c r="P81" s="78">
        <f t="shared" ca="1" si="96"/>
        <v>0</v>
      </c>
      <c r="Q81" s="78">
        <f t="shared" ca="1" si="97"/>
        <v>0</v>
      </c>
      <c r="R81" s="4">
        <f ca="1">-SUMIFS(INDIRECT("Tab_00.Trial["&amp;R$4&amp;"]"),Tab_00.Trial[CONTA],$B81)</f>
        <v>0</v>
      </c>
      <c r="S81" s="78">
        <f t="shared" ca="1" si="98"/>
        <v>0</v>
      </c>
      <c r="T81" s="78">
        <f t="shared" ca="1" si="99"/>
        <v>0</v>
      </c>
      <c r="U81" s="4">
        <f ca="1">-SUMIFS(INDIRECT("Tab_00.Trial["&amp;U$4&amp;"]"),Tab_00.Trial[CONTA],$B81)</f>
        <v>0</v>
      </c>
      <c r="V81" s="78">
        <f t="shared" ca="1" si="100"/>
        <v>0</v>
      </c>
      <c r="W81" s="78">
        <f t="shared" ca="1" si="101"/>
        <v>0</v>
      </c>
      <c r="X81" s="4">
        <f ca="1">-SUMIFS(INDIRECT("Tab_00.Trial["&amp;X$4&amp;"]"),Tab_00.Trial[CONTA],$B81)</f>
        <v>0</v>
      </c>
      <c r="Y81" s="78">
        <f t="shared" ca="1" si="102"/>
        <v>0</v>
      </c>
      <c r="Z81" s="78">
        <f t="shared" ca="1" si="103"/>
        <v>0</v>
      </c>
      <c r="AA81" s="4">
        <f ca="1">-SUMIFS(INDIRECT("Tab_00.Trial["&amp;AA$4&amp;"]"),Tab_00.Trial[CONTA],$B81)</f>
        <v>0</v>
      </c>
      <c r="AB81" s="78">
        <f t="shared" ca="1" si="104"/>
        <v>0</v>
      </c>
      <c r="AC81" s="78">
        <f t="shared" ca="1" si="105"/>
        <v>0</v>
      </c>
      <c r="AD81" s="4">
        <f ca="1">-SUMIFS(INDIRECT("Tab_00.Trial["&amp;AD$4&amp;"]"),Tab_00.Trial[CONTA],$B81)</f>
        <v>0</v>
      </c>
      <c r="AE81" s="78">
        <f t="shared" ca="1" si="106"/>
        <v>0</v>
      </c>
      <c r="AF81" s="78">
        <f t="shared" ca="1" si="107"/>
        <v>0</v>
      </c>
      <c r="AG81" s="4">
        <f ca="1">-SUMIFS(INDIRECT("Tab_00.Trial["&amp;AG$4&amp;"]"),Tab_00.Trial[CONTA],$B81)</f>
        <v>0</v>
      </c>
      <c r="AH81" s="78">
        <f t="shared" ca="1" si="108"/>
        <v>0</v>
      </c>
      <c r="AI81" s="78">
        <f t="shared" ca="1" si="109"/>
        <v>0</v>
      </c>
      <c r="AJ81" s="4">
        <f ca="1">-SUMIFS(INDIRECT("Tab_00.Trial["&amp;AJ$4&amp;"]"),Tab_00.Trial[CONTA],$B81)</f>
        <v>0</v>
      </c>
      <c r="AK81" s="78">
        <f t="shared" ca="1" si="110"/>
        <v>0</v>
      </c>
      <c r="AL81" s="78">
        <f t="shared" ca="1" si="111"/>
        <v>0</v>
      </c>
    </row>
    <row r="82" spans="2:38" ht="15" customHeight="1" outlineLevel="1" x14ac:dyDescent="0.3">
      <c r="B82" s="14" t="s">
        <v>750</v>
      </c>
      <c r="C82" s="14" t="s">
        <v>751</v>
      </c>
      <c r="D82" s="4">
        <f ca="1">-SUMIFS(INDIRECT("Tab_00.Trial["&amp;D$4&amp;"]"),Tab_00.Trial[CONTA],$B82)</f>
        <v>-1171.52</v>
      </c>
      <c r="E82" s="78">
        <f t="shared" ca="1" si="89"/>
        <v>-1.2999999999999999E-3</v>
      </c>
      <c r="F82" s="4">
        <f ca="1">-SUMIFS(INDIRECT("Tab_00.Trial["&amp;F$4&amp;"]"),Tab_00.Trial[CONTA],$B82)</f>
        <v>-3424.02</v>
      </c>
      <c r="G82" s="78">
        <f t="shared" ca="1" si="91"/>
        <v>-2.3E-3</v>
      </c>
      <c r="H82" s="78">
        <f t="shared" ca="1" si="90"/>
        <v>-1.9227000000000001</v>
      </c>
      <c r="I82" s="4">
        <f ca="1">-SUMIFS(INDIRECT("Tab_00.Trial["&amp;I$4&amp;"]"),Tab_00.Trial[CONTA],$B82)</f>
        <v>-3831.84</v>
      </c>
      <c r="J82" s="78">
        <f t="shared" ca="1" si="92"/>
        <v>-1.2999999999999999E-3</v>
      </c>
      <c r="K82" s="78">
        <f t="shared" ca="1" si="93"/>
        <v>-0.1191</v>
      </c>
      <c r="L82" s="4">
        <f ca="1">-SUMIFS(INDIRECT("Tab_00.Trial["&amp;L$4&amp;"]"),Tab_00.Trial[CONTA],$B82)</f>
        <v>-4181.33</v>
      </c>
      <c r="M82" s="78">
        <f t="shared" ca="1" si="94"/>
        <v>-1.1000000000000001E-3</v>
      </c>
      <c r="N82" s="78">
        <f t="shared" ca="1" si="95"/>
        <v>-9.1200000000000003E-2</v>
      </c>
      <c r="O82" s="4">
        <f ca="1">-SUMIFS(INDIRECT("Tab_00.Trial["&amp;O$4&amp;"]"),Tab_00.Trial[CONTA],$B82)</f>
        <v>-4286.7299999999996</v>
      </c>
      <c r="P82" s="78">
        <f t="shared" ca="1" si="96"/>
        <v>-8.0000000000000004E-4</v>
      </c>
      <c r="Q82" s="78">
        <f t="shared" ca="1" si="97"/>
        <v>-2.52E-2</v>
      </c>
      <c r="R82" s="4">
        <f ca="1">-SUMIFS(INDIRECT("Tab_00.Trial["&amp;R$4&amp;"]"),Tab_00.Trial[CONTA],$B82)</f>
        <v>-4482.05</v>
      </c>
      <c r="S82" s="78">
        <f t="shared" ca="1" si="98"/>
        <v>-5.9999999999999995E-4</v>
      </c>
      <c r="T82" s="78">
        <f t="shared" ca="1" si="99"/>
        <v>-4.5600000000000002E-2</v>
      </c>
      <c r="U82" s="4">
        <f ca="1">-SUMIFS(INDIRECT("Tab_00.Trial["&amp;U$4&amp;"]"),Tab_00.Trial[CONTA],$B82)</f>
        <v>-4482.05</v>
      </c>
      <c r="V82" s="78">
        <f t="shared" ca="1" si="100"/>
        <v>-5.9999999999999995E-4</v>
      </c>
      <c r="W82" s="78">
        <f t="shared" ca="1" si="101"/>
        <v>0</v>
      </c>
      <c r="X82" s="4">
        <f ca="1">-SUMIFS(INDIRECT("Tab_00.Trial["&amp;X$4&amp;"]"),Tab_00.Trial[CONTA],$B82)</f>
        <v>-4482.05</v>
      </c>
      <c r="Y82" s="78">
        <f t="shared" ca="1" si="102"/>
        <v>-5.9999999999999995E-4</v>
      </c>
      <c r="Z82" s="78">
        <f t="shared" ca="1" si="103"/>
        <v>0</v>
      </c>
      <c r="AA82" s="4">
        <f ca="1">-SUMIFS(INDIRECT("Tab_00.Trial["&amp;AA$4&amp;"]"),Tab_00.Trial[CONTA],$B82)</f>
        <v>-7954.19</v>
      </c>
      <c r="AB82" s="78">
        <f t="shared" ca="1" si="104"/>
        <v>-8.9999999999999998E-4</v>
      </c>
      <c r="AC82" s="78">
        <f t="shared" ca="1" si="105"/>
        <v>-0.77470000000000006</v>
      </c>
      <c r="AD82" s="4">
        <f ca="1">-SUMIFS(INDIRECT("Tab_00.Trial["&amp;AD$4&amp;"]"),Tab_00.Trial[CONTA],$B82)</f>
        <v>-6765.41</v>
      </c>
      <c r="AE82" s="78">
        <f t="shared" ca="1" si="106"/>
        <v>-5.9999999999999995E-4</v>
      </c>
      <c r="AF82" s="78">
        <f t="shared" ca="1" si="107"/>
        <v>0.14949999999999999</v>
      </c>
      <c r="AG82" s="4">
        <f ca="1">-SUMIFS(INDIRECT("Tab_00.Trial["&amp;AG$4&amp;"]"),Tab_00.Trial[CONTA],$B82)</f>
        <v>-5580.85</v>
      </c>
      <c r="AH82" s="78">
        <f t="shared" ca="1" si="108"/>
        <v>-5.0000000000000001E-4</v>
      </c>
      <c r="AI82" s="78">
        <f t="shared" ca="1" si="109"/>
        <v>0.17510000000000001</v>
      </c>
      <c r="AJ82" s="4">
        <f ca="1">-SUMIFS(INDIRECT("Tab_00.Trial["&amp;AJ$4&amp;"]"),Tab_00.Trial[CONTA],$B82)</f>
        <v>-4265.72</v>
      </c>
      <c r="AK82" s="78">
        <f t="shared" ca="1" si="110"/>
        <v>-2.9999999999999997E-4</v>
      </c>
      <c r="AL82" s="78">
        <f t="shared" ca="1" si="111"/>
        <v>0.23569999999999999</v>
      </c>
    </row>
    <row r="83" spans="2:38" ht="15" customHeight="1" outlineLevel="1" x14ac:dyDescent="0.3">
      <c r="B83" s="14" t="s">
        <v>777</v>
      </c>
      <c r="C83" s="14" t="s">
        <v>749</v>
      </c>
      <c r="D83" s="4">
        <f ca="1">-SUMIFS(INDIRECT("Tab_00.Trial["&amp;D$4&amp;"]"),Tab_00.Trial[CONTA],$B83)</f>
        <v>0</v>
      </c>
      <c r="E83" s="78">
        <f t="shared" ca="1" si="89"/>
        <v>0</v>
      </c>
      <c r="F83" s="4">
        <f ca="1">-SUMIFS(INDIRECT("Tab_00.Trial["&amp;F$4&amp;"]"),Tab_00.Trial[CONTA],$B83)</f>
        <v>0</v>
      </c>
      <c r="G83" s="78">
        <f t="shared" ca="1" si="91"/>
        <v>0</v>
      </c>
      <c r="H83" s="78">
        <f t="shared" ca="1" si="90"/>
        <v>0</v>
      </c>
      <c r="I83" s="4">
        <f ca="1">-SUMIFS(INDIRECT("Tab_00.Trial["&amp;I$4&amp;"]"),Tab_00.Trial[CONTA],$B83)</f>
        <v>-85959.77</v>
      </c>
      <c r="J83" s="78">
        <f t="shared" ca="1" si="92"/>
        <v>-2.93E-2</v>
      </c>
      <c r="K83" s="78">
        <f t="shared" ca="1" si="93"/>
        <v>0</v>
      </c>
      <c r="L83" s="4">
        <f ca="1">-SUMIFS(INDIRECT("Tab_00.Trial["&amp;L$4&amp;"]"),Tab_00.Trial[CONTA],$B83)</f>
        <v>-85959.77</v>
      </c>
      <c r="M83" s="78">
        <f t="shared" ca="1" si="94"/>
        <v>-2.18E-2</v>
      </c>
      <c r="N83" s="78">
        <f t="shared" ca="1" si="95"/>
        <v>0</v>
      </c>
      <c r="O83" s="4">
        <f ca="1">-SUMIFS(INDIRECT("Tab_00.Trial["&amp;O$4&amp;"]"),Tab_00.Trial[CONTA],$B83)</f>
        <v>-85959.77</v>
      </c>
      <c r="P83" s="78">
        <f t="shared" ca="1" si="96"/>
        <v>-1.67E-2</v>
      </c>
      <c r="Q83" s="78">
        <f t="shared" ca="1" si="97"/>
        <v>0</v>
      </c>
      <c r="R83" s="4">
        <f ca="1">-SUMIFS(INDIRECT("Tab_00.Trial["&amp;R$4&amp;"]"),Tab_00.Trial[CONTA],$B83)</f>
        <v>-85959.77</v>
      </c>
      <c r="S83" s="78">
        <f t="shared" ca="1" si="98"/>
        <v>-1.2E-2</v>
      </c>
      <c r="T83" s="78">
        <f t="shared" ca="1" si="99"/>
        <v>0</v>
      </c>
      <c r="U83" s="4">
        <f ca="1">-SUMIFS(INDIRECT("Tab_00.Trial["&amp;U$4&amp;"]"),Tab_00.Trial[CONTA],$B83)</f>
        <v>-85959.77</v>
      </c>
      <c r="V83" s="78">
        <f t="shared" ca="1" si="100"/>
        <v>-1.2E-2</v>
      </c>
      <c r="W83" s="78">
        <f t="shared" ca="1" si="101"/>
        <v>0</v>
      </c>
      <c r="X83" s="4">
        <f ca="1">-SUMIFS(INDIRECT("Tab_00.Trial["&amp;X$4&amp;"]"),Tab_00.Trial[CONTA],$B83)</f>
        <v>-85959.77</v>
      </c>
      <c r="Y83" s="78">
        <f t="shared" ca="1" si="102"/>
        <v>-1.2E-2</v>
      </c>
      <c r="Z83" s="78">
        <f t="shared" ca="1" si="103"/>
        <v>0</v>
      </c>
      <c r="AA83" s="4">
        <f ca="1">-SUMIFS(INDIRECT("Tab_00.Trial["&amp;AA$4&amp;"]"),Tab_00.Trial[CONTA],$B83)</f>
        <v>-85959.77</v>
      </c>
      <c r="AB83" s="78">
        <f t="shared" ca="1" si="104"/>
        <v>-9.4000000000000004E-3</v>
      </c>
      <c r="AC83" s="78">
        <f t="shared" ca="1" si="105"/>
        <v>0</v>
      </c>
      <c r="AD83" s="4">
        <f ca="1">-SUMIFS(INDIRECT("Tab_00.Trial["&amp;AD$4&amp;"]"),Tab_00.Trial[CONTA],$B83)</f>
        <v>-85959.77</v>
      </c>
      <c r="AE83" s="78">
        <f t="shared" ca="1" si="106"/>
        <v>-8.3000000000000001E-3</v>
      </c>
      <c r="AF83" s="78">
        <f t="shared" ca="1" si="107"/>
        <v>0</v>
      </c>
      <c r="AG83" s="4">
        <f ca="1">-SUMIFS(INDIRECT("Tab_00.Trial["&amp;AG$4&amp;"]"),Tab_00.Trial[CONTA],$B83)</f>
        <v>-85959.77</v>
      </c>
      <c r="AH83" s="78">
        <f t="shared" ca="1" si="108"/>
        <v>-7.6E-3</v>
      </c>
      <c r="AI83" s="78">
        <f t="shared" ca="1" si="109"/>
        <v>0</v>
      </c>
      <c r="AJ83" s="4">
        <f ca="1">-SUMIFS(INDIRECT("Tab_00.Trial["&amp;AJ$4&amp;"]"),Tab_00.Trial[CONTA],$B83)</f>
        <v>-85959.77</v>
      </c>
      <c r="AK83" s="78">
        <f t="shared" ca="1" si="110"/>
        <v>-6.7000000000000002E-3</v>
      </c>
      <c r="AL83" s="78">
        <f t="shared" ca="1" si="111"/>
        <v>0</v>
      </c>
    </row>
    <row r="84" spans="2:38" ht="15" customHeight="1" outlineLevel="1" x14ac:dyDescent="0.3">
      <c r="B84" s="14" t="s">
        <v>796</v>
      </c>
      <c r="C84" s="14" t="s">
        <v>797</v>
      </c>
      <c r="D84" s="4">
        <f ca="1">-SUMIFS(INDIRECT("Tab_00.Trial["&amp;D$4&amp;"]"),Tab_00.Trial[CONTA],$B84)</f>
        <v>-49658.59</v>
      </c>
      <c r="E84" s="78">
        <f t="shared" ca="1" si="89"/>
        <v>-5.3199999999999997E-2</v>
      </c>
      <c r="F84" s="4">
        <f ca="1">-SUMIFS(INDIRECT("Tab_00.Trial["&amp;F$4&amp;"]"),Tab_00.Trial[CONTA],$B84)</f>
        <v>-49658.59</v>
      </c>
      <c r="G84" s="78">
        <f t="shared" ca="1" si="91"/>
        <v>-3.4099999999999998E-2</v>
      </c>
      <c r="H84" s="78">
        <f t="shared" ca="1" si="90"/>
        <v>0</v>
      </c>
      <c r="I84" s="4">
        <f ca="1">-SUMIFS(INDIRECT("Tab_00.Trial["&amp;I$4&amp;"]"),Tab_00.Trial[CONTA],$B84)</f>
        <v>-36497.67</v>
      </c>
      <c r="J84" s="78">
        <f t="shared" ca="1" si="92"/>
        <v>-1.24E-2</v>
      </c>
      <c r="K84" s="78">
        <f t="shared" ca="1" si="93"/>
        <v>0.26500000000000001</v>
      </c>
      <c r="L84" s="4">
        <f ca="1">-SUMIFS(INDIRECT("Tab_00.Trial["&amp;L$4&amp;"]"),Tab_00.Trial[CONTA],$B84)</f>
        <v>-38252.639999999999</v>
      </c>
      <c r="M84" s="78">
        <f t="shared" ca="1" si="94"/>
        <v>-9.7000000000000003E-3</v>
      </c>
      <c r="N84" s="78">
        <f t="shared" ca="1" si="95"/>
        <v>-4.8099999999999997E-2</v>
      </c>
      <c r="O84" s="4">
        <f ca="1">-SUMIFS(INDIRECT("Tab_00.Trial["&amp;O$4&amp;"]"),Tab_00.Trial[CONTA],$B84)</f>
        <v>-40055.42</v>
      </c>
      <c r="P84" s="78">
        <f t="shared" ca="1" si="96"/>
        <v>-7.7999999999999996E-3</v>
      </c>
      <c r="Q84" s="78">
        <f t="shared" ca="1" si="97"/>
        <v>-4.7100000000000003E-2</v>
      </c>
      <c r="R84" s="4">
        <f ca="1">-SUMIFS(INDIRECT("Tab_00.Trial["&amp;R$4&amp;"]"),Tab_00.Trial[CONTA],$B84)</f>
        <v>-43660.94</v>
      </c>
      <c r="S84" s="78">
        <f t="shared" ca="1" si="98"/>
        <v>-6.1000000000000004E-3</v>
      </c>
      <c r="T84" s="78">
        <f t="shared" ca="1" si="99"/>
        <v>-0.09</v>
      </c>
      <c r="U84" s="4">
        <f ca="1">-SUMIFS(INDIRECT("Tab_00.Trial["&amp;U$4&amp;"]"),Tab_00.Trial[CONTA],$B84)</f>
        <v>-43660.94</v>
      </c>
      <c r="V84" s="78">
        <f t="shared" ca="1" si="100"/>
        <v>-6.1000000000000004E-3</v>
      </c>
      <c r="W84" s="78">
        <f t="shared" ca="1" si="101"/>
        <v>0</v>
      </c>
      <c r="X84" s="4">
        <f ca="1">-SUMIFS(INDIRECT("Tab_00.Trial["&amp;X$4&amp;"]"),Tab_00.Trial[CONTA],$B84)</f>
        <v>-43660.94</v>
      </c>
      <c r="Y84" s="78">
        <f t="shared" ca="1" si="102"/>
        <v>-6.1000000000000004E-3</v>
      </c>
      <c r="Z84" s="78">
        <f t="shared" ca="1" si="103"/>
        <v>0</v>
      </c>
      <c r="AA84" s="4">
        <f ca="1">-SUMIFS(INDIRECT("Tab_00.Trial["&amp;AA$4&amp;"]"),Tab_00.Trial[CONTA],$B84)</f>
        <v>-39794.730000000003</v>
      </c>
      <c r="AB84" s="78">
        <f t="shared" ca="1" si="104"/>
        <v>-4.3E-3</v>
      </c>
      <c r="AC84" s="78">
        <f t="shared" ca="1" si="105"/>
        <v>8.8599999999999998E-2</v>
      </c>
      <c r="AD84" s="4">
        <f ca="1">-SUMIFS(INDIRECT("Tab_00.Trial["&amp;AD$4&amp;"]"),Tab_00.Trial[CONTA],$B84)</f>
        <v>-43155.22</v>
      </c>
      <c r="AE84" s="78">
        <f t="shared" ca="1" si="106"/>
        <v>-4.1000000000000003E-3</v>
      </c>
      <c r="AF84" s="78">
        <f t="shared" ca="1" si="107"/>
        <v>-8.4400000000000003E-2</v>
      </c>
      <c r="AG84" s="4">
        <f ca="1">-SUMIFS(INDIRECT("Tab_00.Trial["&amp;AG$4&amp;"]"),Tab_00.Trial[CONTA],$B84)</f>
        <v>-46469.52</v>
      </c>
      <c r="AH84" s="78">
        <f t="shared" ca="1" si="108"/>
        <v>-4.1000000000000003E-3</v>
      </c>
      <c r="AI84" s="78">
        <f t="shared" ca="1" si="109"/>
        <v>-7.6799999999999993E-2</v>
      </c>
      <c r="AJ84" s="4">
        <f ca="1">-SUMIFS(INDIRECT("Tab_00.Trial["&amp;AJ$4&amp;"]"),Tab_00.Trial[CONTA],$B84)</f>
        <v>-49829.94</v>
      </c>
      <c r="AK84" s="78">
        <f t="shared" ca="1" si="110"/>
        <v>-3.8999999999999998E-3</v>
      </c>
      <c r="AL84" s="78">
        <f t="shared" ca="1" si="111"/>
        <v>-7.2300000000000003E-2</v>
      </c>
    </row>
    <row r="85" spans="2:38" ht="15" customHeight="1" outlineLevel="1" x14ac:dyDescent="0.3">
      <c r="B85" s="14" t="s">
        <v>798</v>
      </c>
      <c r="C85" s="14" t="s">
        <v>799</v>
      </c>
      <c r="D85" s="4">
        <f ca="1">-SUMIFS(INDIRECT("Tab_00.Trial["&amp;D$4&amp;"]"),Tab_00.Trial[CONTA],$B85)</f>
        <v>-179.93</v>
      </c>
      <c r="E85" s="78">
        <f t="shared" ca="1" si="89"/>
        <v>-2.0000000000000001E-4</v>
      </c>
      <c r="F85" s="4">
        <f ca="1">-SUMIFS(INDIRECT("Tab_00.Trial["&amp;F$4&amp;"]"),Tab_00.Trial[CONTA],$B85)</f>
        <v>-179.93</v>
      </c>
      <c r="G85" s="78">
        <f t="shared" ca="1" si="91"/>
        <v>-1E-4</v>
      </c>
      <c r="H85" s="78">
        <f t="shared" ca="1" si="90"/>
        <v>0</v>
      </c>
      <c r="I85" s="4">
        <f ca="1">-SUMIFS(INDIRECT("Tab_00.Trial["&amp;I$4&amp;"]"),Tab_00.Trial[CONTA],$B85)</f>
        <v>-1138.78</v>
      </c>
      <c r="J85" s="78">
        <f t="shared" ca="1" si="92"/>
        <v>-4.0000000000000002E-4</v>
      </c>
      <c r="K85" s="78">
        <f t="shared" ca="1" si="93"/>
        <v>-5.3289999999999997</v>
      </c>
      <c r="L85" s="4">
        <f ca="1">-SUMIFS(INDIRECT("Tab_00.Trial["&amp;L$4&amp;"]"),Tab_00.Trial[CONTA],$B85)</f>
        <v>-1441.01</v>
      </c>
      <c r="M85" s="78">
        <f t="shared" ca="1" si="94"/>
        <v>-4.0000000000000002E-4</v>
      </c>
      <c r="N85" s="78">
        <f t="shared" ca="1" si="95"/>
        <v>-0.26540000000000002</v>
      </c>
      <c r="O85" s="4">
        <f ca="1">-SUMIFS(INDIRECT("Tab_00.Trial["&amp;O$4&amp;"]"),Tab_00.Trial[CONTA],$B85)</f>
        <v>-1979.14</v>
      </c>
      <c r="P85" s="78">
        <f t="shared" ca="1" si="96"/>
        <v>-4.0000000000000002E-4</v>
      </c>
      <c r="Q85" s="78">
        <f t="shared" ca="1" si="97"/>
        <v>-0.37340000000000001</v>
      </c>
      <c r="R85" s="4">
        <f ca="1">-SUMIFS(INDIRECT("Tab_00.Trial["&amp;R$4&amp;"]"),Tab_00.Trial[CONTA],$B85)</f>
        <v>-3055.4</v>
      </c>
      <c r="S85" s="78">
        <f t="shared" ca="1" si="98"/>
        <v>-4.0000000000000002E-4</v>
      </c>
      <c r="T85" s="78">
        <f t="shared" ca="1" si="99"/>
        <v>-0.54379999999999995</v>
      </c>
      <c r="U85" s="4">
        <f ca="1">-SUMIFS(INDIRECT("Tab_00.Trial["&amp;U$4&amp;"]"),Tab_00.Trial[CONTA],$B85)</f>
        <v>-3055.4</v>
      </c>
      <c r="V85" s="78">
        <f t="shared" ca="1" si="100"/>
        <v>-4.0000000000000002E-4</v>
      </c>
      <c r="W85" s="78">
        <f t="shared" ca="1" si="101"/>
        <v>0</v>
      </c>
      <c r="X85" s="4">
        <f ca="1">-SUMIFS(INDIRECT("Tab_00.Trial["&amp;X$4&amp;"]"),Tab_00.Trial[CONTA],$B85)</f>
        <v>-3055.4</v>
      </c>
      <c r="Y85" s="78">
        <f t="shared" ca="1" si="102"/>
        <v>-4.0000000000000002E-4</v>
      </c>
      <c r="Z85" s="78">
        <f t="shared" ca="1" si="103"/>
        <v>0</v>
      </c>
      <c r="AA85" s="4">
        <f ca="1">-SUMIFS(INDIRECT("Tab_00.Trial["&amp;AA$4&amp;"]"),Tab_00.Trial[CONTA],$B85)</f>
        <v>-1901.31</v>
      </c>
      <c r="AB85" s="78">
        <f t="shared" ca="1" si="104"/>
        <v>-2.0000000000000001E-4</v>
      </c>
      <c r="AC85" s="78">
        <f t="shared" ca="1" si="105"/>
        <v>0.37769999999999998</v>
      </c>
      <c r="AD85" s="4">
        <f ca="1">-SUMIFS(INDIRECT("Tab_00.Trial["&amp;AD$4&amp;"]"),Tab_00.Trial[CONTA],$B85)</f>
        <v>-2904.43</v>
      </c>
      <c r="AE85" s="78">
        <f t="shared" ca="1" si="106"/>
        <v>-2.9999999999999997E-4</v>
      </c>
      <c r="AF85" s="78">
        <f t="shared" ca="1" si="107"/>
        <v>-0.52759999999999996</v>
      </c>
      <c r="AG85" s="4">
        <f ca="1">-SUMIFS(INDIRECT("Tab_00.Trial["&amp;AG$4&amp;"]"),Tab_00.Trial[CONTA],$B85)</f>
        <v>-3853.21</v>
      </c>
      <c r="AH85" s="78">
        <f t="shared" ca="1" si="108"/>
        <v>-2.9999999999999997E-4</v>
      </c>
      <c r="AI85" s="78">
        <f t="shared" ca="1" si="109"/>
        <v>-0.32669999999999999</v>
      </c>
      <c r="AJ85" s="4">
        <f ca="1">-SUMIFS(INDIRECT("Tab_00.Trial["&amp;AJ$4&amp;"]"),Tab_00.Trial[CONTA],$B85)</f>
        <v>-4856.3100000000004</v>
      </c>
      <c r="AK85" s="78">
        <f t="shared" ca="1" si="110"/>
        <v>-4.0000000000000002E-4</v>
      </c>
      <c r="AL85" s="78">
        <f t="shared" ca="1" si="111"/>
        <v>-0.26029999999999998</v>
      </c>
    </row>
    <row r="86" spans="2:38" ht="15" customHeight="1" outlineLevel="1" x14ac:dyDescent="0.3">
      <c r="B86" s="14" t="s">
        <v>800</v>
      </c>
      <c r="C86" s="14" t="s">
        <v>801</v>
      </c>
      <c r="D86" s="4">
        <f ca="1">-SUMIFS(INDIRECT("Tab_00.Trial["&amp;D$4&amp;"]"),Tab_00.Trial[CONTA],$B86)</f>
        <v>-67.97</v>
      </c>
      <c r="E86" s="78">
        <f t="shared" ca="1" si="89"/>
        <v>-1E-4</v>
      </c>
      <c r="F86" s="4">
        <f ca="1">-SUMIFS(INDIRECT("Tab_00.Trial["&amp;F$4&amp;"]"),Tab_00.Trial[CONTA],$B86)</f>
        <v>-67.97</v>
      </c>
      <c r="G86" s="78">
        <f t="shared" ca="1" si="91"/>
        <v>0</v>
      </c>
      <c r="H86" s="78">
        <f t="shared" ca="1" si="90"/>
        <v>0</v>
      </c>
      <c r="I86" s="4">
        <f ca="1">-SUMIFS(INDIRECT("Tab_00.Trial["&amp;I$4&amp;"]"),Tab_00.Trial[CONTA],$B86)</f>
        <v>-114.43</v>
      </c>
      <c r="J86" s="78">
        <f t="shared" ca="1" si="92"/>
        <v>0</v>
      </c>
      <c r="K86" s="78">
        <f t="shared" ca="1" si="93"/>
        <v>-0.6835</v>
      </c>
      <c r="L86" s="4">
        <f ca="1">-SUMIFS(INDIRECT("Tab_00.Trial["&amp;L$4&amp;"]"),Tab_00.Trial[CONTA],$B86)</f>
        <v>-187.72</v>
      </c>
      <c r="M86" s="78">
        <f t="shared" ca="1" si="94"/>
        <v>0</v>
      </c>
      <c r="N86" s="78">
        <f t="shared" ca="1" si="95"/>
        <v>-0.64049999999999996</v>
      </c>
      <c r="O86" s="4">
        <f ca="1">-SUMIFS(INDIRECT("Tab_00.Trial["&amp;O$4&amp;"]"),Tab_00.Trial[CONTA],$B86)</f>
        <v>-263.23</v>
      </c>
      <c r="P86" s="78">
        <f t="shared" ca="1" si="96"/>
        <v>-1E-4</v>
      </c>
      <c r="Q86" s="78">
        <f t="shared" ca="1" si="97"/>
        <v>-0.4022</v>
      </c>
      <c r="R86" s="4">
        <f ca="1">-SUMIFS(INDIRECT("Tab_00.Trial["&amp;R$4&amp;"]"),Tab_00.Trial[CONTA],$B86)</f>
        <v>-397.77</v>
      </c>
      <c r="S86" s="78">
        <f t="shared" ca="1" si="98"/>
        <v>-1E-4</v>
      </c>
      <c r="T86" s="78">
        <f t="shared" ca="1" si="99"/>
        <v>-0.5111</v>
      </c>
      <c r="U86" s="4">
        <f ca="1">-SUMIFS(INDIRECT("Tab_00.Trial["&amp;U$4&amp;"]"),Tab_00.Trial[CONTA],$B86)</f>
        <v>-397.77</v>
      </c>
      <c r="V86" s="78">
        <f t="shared" ca="1" si="100"/>
        <v>-1E-4</v>
      </c>
      <c r="W86" s="78">
        <f t="shared" ca="1" si="101"/>
        <v>0</v>
      </c>
      <c r="X86" s="4">
        <f ca="1">-SUMIFS(INDIRECT("Tab_00.Trial["&amp;X$4&amp;"]"),Tab_00.Trial[CONTA],$B86)</f>
        <v>-397.77</v>
      </c>
      <c r="Y86" s="78">
        <f t="shared" ca="1" si="102"/>
        <v>-1E-4</v>
      </c>
      <c r="Z86" s="78">
        <f t="shared" ca="1" si="103"/>
        <v>0</v>
      </c>
      <c r="AA86" s="4">
        <f ca="1">-SUMIFS(INDIRECT("Tab_00.Trial["&amp;AA$4&amp;"]"),Tab_00.Trial[CONTA],$B86)</f>
        <v>-365.56</v>
      </c>
      <c r="AB86" s="78">
        <f t="shared" ca="1" si="104"/>
        <v>0</v>
      </c>
      <c r="AC86" s="78">
        <f t="shared" ca="1" si="105"/>
        <v>8.1000000000000003E-2</v>
      </c>
      <c r="AD86" s="4">
        <f ca="1">-SUMIFS(INDIRECT("Tab_00.Trial["&amp;AD$4&amp;"]"),Tab_00.Trial[CONTA],$B86)</f>
        <v>-365.56</v>
      </c>
      <c r="AE86" s="78">
        <f t="shared" ca="1" si="106"/>
        <v>0</v>
      </c>
      <c r="AF86" s="78">
        <f t="shared" ca="1" si="107"/>
        <v>0</v>
      </c>
      <c r="AG86" s="4">
        <f ca="1">-SUMIFS(INDIRECT("Tab_00.Trial["&amp;AG$4&amp;"]"),Tab_00.Trial[CONTA],$B86)</f>
        <v>-365.56</v>
      </c>
      <c r="AH86" s="78">
        <f t="shared" ca="1" si="108"/>
        <v>0</v>
      </c>
      <c r="AI86" s="78">
        <f t="shared" ca="1" si="109"/>
        <v>0</v>
      </c>
      <c r="AJ86" s="4">
        <f ca="1">-SUMIFS(INDIRECT("Tab_00.Trial["&amp;AJ$4&amp;"]"),Tab_00.Trial[CONTA],$B86)</f>
        <v>-365.56</v>
      </c>
      <c r="AK86" s="78">
        <f t="shared" ca="1" si="110"/>
        <v>0</v>
      </c>
      <c r="AL86" s="78">
        <f t="shared" ca="1" si="111"/>
        <v>0</v>
      </c>
    </row>
    <row r="87" spans="2:38" ht="15" customHeight="1" outlineLevel="1" x14ac:dyDescent="0.3">
      <c r="B87" s="14" t="s">
        <v>802</v>
      </c>
      <c r="C87" s="14" t="s">
        <v>803</v>
      </c>
      <c r="D87" s="4">
        <f ca="1">-SUMIFS(INDIRECT("Tab_00.Trial["&amp;D$4&amp;"]"),Tab_00.Trial[CONTA],$B87)</f>
        <v>-1352.06</v>
      </c>
      <c r="E87" s="78">
        <f t="shared" ca="1" si="89"/>
        <v>-1.4E-3</v>
      </c>
      <c r="F87" s="4">
        <f ca="1">-SUMIFS(INDIRECT("Tab_00.Trial["&amp;F$4&amp;"]"),Tab_00.Trial[CONTA],$B87)</f>
        <v>-1352.06</v>
      </c>
      <c r="G87" s="78">
        <f t="shared" ca="1" si="91"/>
        <v>-8.9999999999999998E-4</v>
      </c>
      <c r="H87" s="78">
        <f t="shared" ca="1" si="90"/>
        <v>0</v>
      </c>
      <c r="I87" s="4">
        <f ca="1">-SUMIFS(INDIRECT("Tab_00.Trial["&amp;I$4&amp;"]"),Tab_00.Trial[CONTA],$B87)</f>
        <v>-4056.14</v>
      </c>
      <c r="J87" s="78">
        <f t="shared" ca="1" si="92"/>
        <v>-1.4E-3</v>
      </c>
      <c r="K87" s="78">
        <f t="shared" ca="1" si="93"/>
        <v>-2</v>
      </c>
      <c r="L87" s="4">
        <f ca="1">-SUMIFS(INDIRECT("Tab_00.Trial["&amp;L$4&amp;"]"),Tab_00.Trial[CONTA],$B87)</f>
        <v>-5408.21</v>
      </c>
      <c r="M87" s="78">
        <f t="shared" ca="1" si="94"/>
        <v>-1.4E-3</v>
      </c>
      <c r="N87" s="78">
        <f t="shared" ca="1" si="95"/>
        <v>-0.33329999999999999</v>
      </c>
      <c r="O87" s="4">
        <f ca="1">-SUMIFS(INDIRECT("Tab_00.Trial["&amp;O$4&amp;"]"),Tab_00.Trial[CONTA],$B87)</f>
        <v>-6760.31</v>
      </c>
      <c r="P87" s="78">
        <f t="shared" ca="1" si="96"/>
        <v>-1.2999999999999999E-3</v>
      </c>
      <c r="Q87" s="78">
        <f t="shared" ca="1" si="97"/>
        <v>-0.25</v>
      </c>
      <c r="R87" s="4">
        <f ca="1">-SUMIFS(INDIRECT("Tab_00.Trial["&amp;R$4&amp;"]"),Tab_00.Trial[CONTA],$B87)</f>
        <v>-9807.86</v>
      </c>
      <c r="S87" s="78">
        <f t="shared" ca="1" si="98"/>
        <v>-1.4E-3</v>
      </c>
      <c r="T87" s="78">
        <f t="shared" ca="1" si="99"/>
        <v>-0.45079999999999998</v>
      </c>
      <c r="U87" s="4">
        <f ca="1">-SUMIFS(INDIRECT("Tab_00.Trial["&amp;U$4&amp;"]"),Tab_00.Trial[CONTA],$B87)</f>
        <v>-9807.86</v>
      </c>
      <c r="V87" s="78">
        <f t="shared" ca="1" si="100"/>
        <v>-1.4E-3</v>
      </c>
      <c r="W87" s="78">
        <f t="shared" ca="1" si="101"/>
        <v>0</v>
      </c>
      <c r="X87" s="4">
        <f ca="1">-SUMIFS(INDIRECT("Tab_00.Trial["&amp;X$4&amp;"]"),Tab_00.Trial[CONTA],$B87)</f>
        <v>-9807.86</v>
      </c>
      <c r="Y87" s="78">
        <f t="shared" ca="1" si="102"/>
        <v>-1.4E-3</v>
      </c>
      <c r="Z87" s="78">
        <f t="shared" ca="1" si="103"/>
        <v>0</v>
      </c>
      <c r="AA87" s="4">
        <f ca="1">-SUMIFS(INDIRECT("Tab_00.Trial["&amp;AA$4&amp;"]"),Tab_00.Trial[CONTA],$B87)</f>
        <v>-12943.65</v>
      </c>
      <c r="AB87" s="78">
        <f t="shared" ca="1" si="104"/>
        <v>-1.4E-3</v>
      </c>
      <c r="AC87" s="78">
        <f t="shared" ca="1" si="105"/>
        <v>-0.31969999999999998</v>
      </c>
      <c r="AD87" s="4">
        <f ca="1">-SUMIFS(INDIRECT("Tab_00.Trial["&amp;AD$4&amp;"]"),Tab_00.Trial[CONTA],$B87)</f>
        <v>-12943.65</v>
      </c>
      <c r="AE87" s="78">
        <f t="shared" ca="1" si="106"/>
        <v>-1.1999999999999999E-3</v>
      </c>
      <c r="AF87" s="78">
        <f t="shared" ca="1" si="107"/>
        <v>0</v>
      </c>
      <c r="AG87" s="4">
        <f ca="1">-SUMIFS(INDIRECT("Tab_00.Trial["&amp;AG$4&amp;"]"),Tab_00.Trial[CONTA],$B87)</f>
        <v>-12943.65</v>
      </c>
      <c r="AH87" s="78">
        <f t="shared" ca="1" si="108"/>
        <v>-1.1000000000000001E-3</v>
      </c>
      <c r="AI87" s="78">
        <f t="shared" ca="1" si="109"/>
        <v>0</v>
      </c>
      <c r="AJ87" s="4">
        <f ca="1">-SUMIFS(INDIRECT("Tab_00.Trial["&amp;AJ$4&amp;"]"),Tab_00.Trial[CONTA],$B87)</f>
        <v>-13933.39</v>
      </c>
      <c r="AK87" s="78">
        <f t="shared" ca="1" si="110"/>
        <v>-1.1000000000000001E-3</v>
      </c>
      <c r="AL87" s="78">
        <f t="shared" ca="1" si="111"/>
        <v>-7.6499999999999999E-2</v>
      </c>
    </row>
    <row r="88" spans="2:38" ht="15" customHeight="1" outlineLevel="1" x14ac:dyDescent="0.3">
      <c r="B88" s="14" t="s">
        <v>804</v>
      </c>
      <c r="C88" s="14" t="s">
        <v>805</v>
      </c>
      <c r="D88" s="4">
        <f ca="1">-SUMIFS(INDIRECT("Tab_00.Trial["&amp;D$4&amp;"]"),Tab_00.Trial[CONTA],$B88)</f>
        <v>-403.57</v>
      </c>
      <c r="E88" s="78">
        <f t="shared" ca="1" si="89"/>
        <v>-4.0000000000000002E-4</v>
      </c>
      <c r="F88" s="4">
        <f ca="1">-SUMIFS(INDIRECT("Tab_00.Trial["&amp;F$4&amp;"]"),Tab_00.Trial[CONTA],$B88)</f>
        <v>-403.57</v>
      </c>
      <c r="G88" s="78">
        <f t="shared" ca="1" si="91"/>
        <v>-2.9999999999999997E-4</v>
      </c>
      <c r="H88" s="78">
        <f t="shared" ca="1" si="90"/>
        <v>0</v>
      </c>
      <c r="I88" s="4">
        <f ca="1">-SUMIFS(INDIRECT("Tab_00.Trial["&amp;I$4&amp;"]"),Tab_00.Trial[CONTA],$B88)</f>
        <v>-1210.78</v>
      </c>
      <c r="J88" s="78">
        <f t="shared" ca="1" si="92"/>
        <v>-4.0000000000000002E-4</v>
      </c>
      <c r="K88" s="78">
        <f t="shared" ca="1" si="93"/>
        <v>-2.0002</v>
      </c>
      <c r="L88" s="4">
        <f ca="1">-SUMIFS(INDIRECT("Tab_00.Trial["&amp;L$4&amp;"]"),Tab_00.Trial[CONTA],$B88)</f>
        <v>-1614.37</v>
      </c>
      <c r="M88" s="78">
        <f t="shared" ca="1" si="94"/>
        <v>-4.0000000000000002E-4</v>
      </c>
      <c r="N88" s="78">
        <f t="shared" ca="1" si="95"/>
        <v>-0.33329999999999999</v>
      </c>
      <c r="O88" s="4">
        <f ca="1">-SUMIFS(INDIRECT("Tab_00.Trial["&amp;O$4&amp;"]"),Tab_00.Trial[CONTA],$B88)</f>
        <v>-2017.98</v>
      </c>
      <c r="P88" s="78">
        <f t="shared" ca="1" si="96"/>
        <v>-4.0000000000000002E-4</v>
      </c>
      <c r="Q88" s="78">
        <f t="shared" ca="1" si="97"/>
        <v>-0.25</v>
      </c>
      <c r="R88" s="4">
        <f ca="1">-SUMIFS(INDIRECT("Tab_00.Trial["&amp;R$4&amp;"]"),Tab_00.Trial[CONTA],$B88)</f>
        <v>-2928</v>
      </c>
      <c r="S88" s="78">
        <f t="shared" ca="1" si="98"/>
        <v>-4.0000000000000002E-4</v>
      </c>
      <c r="T88" s="78">
        <f t="shared" ca="1" si="99"/>
        <v>-0.45100000000000001</v>
      </c>
      <c r="U88" s="4">
        <f ca="1">-SUMIFS(INDIRECT("Tab_00.Trial["&amp;U$4&amp;"]"),Tab_00.Trial[CONTA],$B88)</f>
        <v>-2928</v>
      </c>
      <c r="V88" s="78">
        <f t="shared" ca="1" si="100"/>
        <v>-4.0000000000000002E-4</v>
      </c>
      <c r="W88" s="78">
        <f t="shared" ca="1" si="101"/>
        <v>0</v>
      </c>
      <c r="X88" s="4">
        <f ca="1">-SUMIFS(INDIRECT("Tab_00.Trial["&amp;X$4&amp;"]"),Tab_00.Trial[CONTA],$B88)</f>
        <v>-2928</v>
      </c>
      <c r="Y88" s="78">
        <f t="shared" ca="1" si="102"/>
        <v>-4.0000000000000002E-4</v>
      </c>
      <c r="Z88" s="78">
        <f t="shared" ca="1" si="103"/>
        <v>0</v>
      </c>
      <c r="AA88" s="4">
        <f ca="1">-SUMIFS(INDIRECT("Tab_00.Trial["&amp;AA$4&amp;"]"),Tab_00.Trial[CONTA],$B88)</f>
        <v>-3913</v>
      </c>
      <c r="AB88" s="78">
        <f t="shared" ca="1" si="104"/>
        <v>-4.0000000000000002E-4</v>
      </c>
      <c r="AC88" s="78">
        <f t="shared" ca="1" si="105"/>
        <v>-0.33639999999999998</v>
      </c>
      <c r="AD88" s="4">
        <f ca="1">-SUMIFS(INDIRECT("Tab_00.Trial["&amp;AD$4&amp;"]"),Tab_00.Trial[CONTA],$B88)</f>
        <v>-3913</v>
      </c>
      <c r="AE88" s="78">
        <f t="shared" ca="1" si="106"/>
        <v>-4.0000000000000002E-4</v>
      </c>
      <c r="AF88" s="78">
        <f t="shared" ca="1" si="107"/>
        <v>0</v>
      </c>
      <c r="AG88" s="4">
        <f ca="1">-SUMIFS(INDIRECT("Tab_00.Trial["&amp;AG$4&amp;"]"),Tab_00.Trial[CONTA],$B88)</f>
        <v>-3913</v>
      </c>
      <c r="AH88" s="78">
        <f t="shared" ca="1" si="108"/>
        <v>-2.9999999999999997E-4</v>
      </c>
      <c r="AI88" s="78">
        <f t="shared" ca="1" si="109"/>
        <v>0</v>
      </c>
      <c r="AJ88" s="4">
        <f ca="1">-SUMIFS(INDIRECT("Tab_00.Trial["&amp;AJ$4&amp;"]"),Tab_00.Trial[CONTA],$B88)</f>
        <v>-4216.47</v>
      </c>
      <c r="AK88" s="78">
        <f t="shared" ca="1" si="110"/>
        <v>-2.9999999999999997E-4</v>
      </c>
      <c r="AL88" s="78">
        <f t="shared" ca="1" si="111"/>
        <v>-7.7600000000000002E-2</v>
      </c>
    </row>
    <row r="89" spans="2:38" ht="15" customHeight="1" outlineLevel="1" x14ac:dyDescent="0.3">
      <c r="B89" s="14" t="s">
        <v>806</v>
      </c>
      <c r="C89" s="14" t="s">
        <v>807</v>
      </c>
      <c r="D89" s="4">
        <f ca="1">-SUMIFS(INDIRECT("Tab_00.Trial["&amp;D$4&amp;"]"),Tab_00.Trial[CONTA],$B89)</f>
        <v>-50.45</v>
      </c>
      <c r="E89" s="78">
        <f t="shared" ca="1" si="89"/>
        <v>-1E-4</v>
      </c>
      <c r="F89" s="4">
        <f ca="1">-SUMIFS(INDIRECT("Tab_00.Trial["&amp;F$4&amp;"]"),Tab_00.Trial[CONTA],$B89)</f>
        <v>-50.45</v>
      </c>
      <c r="G89" s="78">
        <f t="shared" ca="1" si="91"/>
        <v>0</v>
      </c>
      <c r="H89" s="78">
        <f t="shared" ca="1" si="90"/>
        <v>0</v>
      </c>
      <c r="I89" s="4">
        <f ca="1">-SUMIFS(INDIRECT("Tab_00.Trial["&amp;I$4&amp;"]"),Tab_00.Trial[CONTA],$B89)</f>
        <v>-151.35</v>
      </c>
      <c r="J89" s="78">
        <f t="shared" ca="1" si="92"/>
        <v>-1E-4</v>
      </c>
      <c r="K89" s="78">
        <f t="shared" ca="1" si="93"/>
        <v>-2</v>
      </c>
      <c r="L89" s="4">
        <f ca="1">-SUMIFS(INDIRECT("Tab_00.Trial["&amp;L$4&amp;"]"),Tab_00.Trial[CONTA],$B89)</f>
        <v>-201.81</v>
      </c>
      <c r="M89" s="78">
        <f t="shared" ca="1" si="94"/>
        <v>-1E-4</v>
      </c>
      <c r="N89" s="78">
        <f t="shared" ca="1" si="95"/>
        <v>-0.33339999999999997</v>
      </c>
      <c r="O89" s="4">
        <f ca="1">-SUMIFS(INDIRECT("Tab_00.Trial["&amp;O$4&amp;"]"),Tab_00.Trial[CONTA],$B89)</f>
        <v>-252.24</v>
      </c>
      <c r="P89" s="78">
        <f t="shared" ca="1" si="96"/>
        <v>0</v>
      </c>
      <c r="Q89" s="78">
        <f t="shared" ca="1" si="97"/>
        <v>-0.24990000000000001</v>
      </c>
      <c r="R89" s="4">
        <f ca="1">-SUMIFS(INDIRECT("Tab_00.Trial["&amp;R$4&amp;"]"),Tab_00.Trial[CONTA],$B89)</f>
        <v>-353.14</v>
      </c>
      <c r="S89" s="78">
        <f t="shared" ca="1" si="98"/>
        <v>0</v>
      </c>
      <c r="T89" s="78">
        <f t="shared" ca="1" si="99"/>
        <v>-0.4</v>
      </c>
      <c r="U89" s="4">
        <f ca="1">-SUMIFS(INDIRECT("Tab_00.Trial["&amp;U$4&amp;"]"),Tab_00.Trial[CONTA],$B89)</f>
        <v>-353.14</v>
      </c>
      <c r="V89" s="78">
        <f t="shared" ca="1" si="100"/>
        <v>0</v>
      </c>
      <c r="W89" s="78">
        <f t="shared" ca="1" si="101"/>
        <v>0</v>
      </c>
      <c r="X89" s="4">
        <f ca="1">-SUMIFS(INDIRECT("Tab_00.Trial["&amp;X$4&amp;"]"),Tab_00.Trial[CONTA],$B89)</f>
        <v>-353.14</v>
      </c>
      <c r="Y89" s="78">
        <f t="shared" ca="1" si="102"/>
        <v>0</v>
      </c>
      <c r="Z89" s="78">
        <f t="shared" ca="1" si="103"/>
        <v>0</v>
      </c>
      <c r="AA89" s="4">
        <f ca="1">-SUMIFS(INDIRECT("Tab_00.Trial["&amp;AA$4&amp;"]"),Tab_00.Trial[CONTA],$B89)</f>
        <v>-264.66000000000003</v>
      </c>
      <c r="AB89" s="78">
        <f t="shared" ca="1" si="104"/>
        <v>0</v>
      </c>
      <c r="AC89" s="78">
        <f t="shared" ca="1" si="105"/>
        <v>0.25059999999999999</v>
      </c>
      <c r="AD89" s="4">
        <f ca="1">-SUMIFS(INDIRECT("Tab_00.Trial["&amp;AD$4&amp;"]"),Tab_00.Trial[CONTA],$B89)</f>
        <v>-390.05</v>
      </c>
      <c r="AE89" s="78">
        <f t="shared" ca="1" si="106"/>
        <v>0</v>
      </c>
      <c r="AF89" s="78">
        <f t="shared" ca="1" si="107"/>
        <v>-0.4738</v>
      </c>
      <c r="AG89" s="4">
        <f ca="1">-SUMIFS(INDIRECT("Tab_00.Trial["&amp;AG$4&amp;"]"),Tab_00.Trial[CONTA],$B89)</f>
        <v>-515.46</v>
      </c>
      <c r="AH89" s="78">
        <f t="shared" ca="1" si="108"/>
        <v>0</v>
      </c>
      <c r="AI89" s="78">
        <f t="shared" ca="1" si="109"/>
        <v>-0.32150000000000001</v>
      </c>
      <c r="AJ89" s="4">
        <f ca="1">-SUMIFS(INDIRECT("Tab_00.Trial["&amp;AJ$4&amp;"]"),Tab_00.Trial[CONTA],$B89)</f>
        <v>-667.77</v>
      </c>
      <c r="AK89" s="78">
        <f t="shared" ca="1" si="110"/>
        <v>-1E-4</v>
      </c>
      <c r="AL89" s="78">
        <f t="shared" ca="1" si="111"/>
        <v>-0.29549999999999998</v>
      </c>
    </row>
    <row r="90" spans="2:38" ht="15" customHeight="1" outlineLevel="1" x14ac:dyDescent="0.3">
      <c r="B90" s="14" t="s">
        <v>808</v>
      </c>
      <c r="C90" s="14" t="s">
        <v>797</v>
      </c>
      <c r="D90" s="4">
        <f ca="1">-SUMIFS(INDIRECT("Tab_00.Trial["&amp;D$4&amp;"]"),Tab_00.Trial[CONTA],$B90)</f>
        <v>-862.74</v>
      </c>
      <c r="E90" s="78">
        <f t="shared" ca="1" si="89"/>
        <v>-8.9999999999999998E-4</v>
      </c>
      <c r="F90" s="4">
        <f ca="1">-SUMIFS(INDIRECT("Tab_00.Trial["&amp;F$4&amp;"]"),Tab_00.Trial[CONTA],$B90)</f>
        <v>-862.74</v>
      </c>
      <c r="G90" s="78">
        <f t="shared" ca="1" si="91"/>
        <v>-5.9999999999999995E-4</v>
      </c>
      <c r="H90" s="78">
        <f t="shared" ca="1" si="90"/>
        <v>0</v>
      </c>
      <c r="I90" s="4">
        <f ca="1">-SUMIFS(INDIRECT("Tab_00.Trial["&amp;I$4&amp;"]"),Tab_00.Trial[CONTA],$B90)</f>
        <v>-862.74</v>
      </c>
      <c r="J90" s="78">
        <f t="shared" ca="1" si="92"/>
        <v>-2.9999999999999997E-4</v>
      </c>
      <c r="K90" s="78">
        <f t="shared" ca="1" si="93"/>
        <v>0</v>
      </c>
      <c r="L90" s="4">
        <f ca="1">-SUMIFS(INDIRECT("Tab_00.Trial["&amp;L$4&amp;"]"),Tab_00.Trial[CONTA],$B90)</f>
        <v>-2019.89</v>
      </c>
      <c r="M90" s="78">
        <f t="shared" ca="1" si="94"/>
        <v>-5.0000000000000001E-4</v>
      </c>
      <c r="N90" s="78">
        <f t="shared" ca="1" si="95"/>
        <v>-1.3411999999999999</v>
      </c>
      <c r="O90" s="4">
        <f ca="1">-SUMIFS(INDIRECT("Tab_00.Trial["&amp;O$4&amp;"]"),Tab_00.Trial[CONTA],$B90)</f>
        <v>-3272.33</v>
      </c>
      <c r="P90" s="78">
        <f t="shared" ca="1" si="96"/>
        <v>-5.9999999999999995E-4</v>
      </c>
      <c r="Q90" s="78">
        <f t="shared" ca="1" si="97"/>
        <v>-0.62009999999999998</v>
      </c>
      <c r="R90" s="4">
        <f ca="1">-SUMIFS(INDIRECT("Tab_00.Trial["&amp;R$4&amp;"]"),Tab_00.Trial[CONTA],$B90)</f>
        <v>-5777.27</v>
      </c>
      <c r="S90" s="78">
        <f t="shared" ca="1" si="98"/>
        <v>-8.0000000000000004E-4</v>
      </c>
      <c r="T90" s="78">
        <f t="shared" ca="1" si="99"/>
        <v>-0.76549999999999996</v>
      </c>
      <c r="U90" s="4">
        <f ca="1">-SUMIFS(INDIRECT("Tab_00.Trial["&amp;U$4&amp;"]"),Tab_00.Trial[CONTA],$B90)</f>
        <v>-5777.27</v>
      </c>
      <c r="V90" s="78">
        <f t="shared" ca="1" si="100"/>
        <v>-8.0000000000000004E-4</v>
      </c>
      <c r="W90" s="78">
        <f t="shared" ca="1" si="101"/>
        <v>0</v>
      </c>
      <c r="X90" s="4">
        <f ca="1">-SUMIFS(INDIRECT("Tab_00.Trial["&amp;X$4&amp;"]"),Tab_00.Trial[CONTA],$B90)</f>
        <v>-5777.27</v>
      </c>
      <c r="Y90" s="78">
        <f t="shared" ca="1" si="102"/>
        <v>-8.0000000000000004E-4</v>
      </c>
      <c r="Z90" s="78">
        <f t="shared" ca="1" si="103"/>
        <v>0</v>
      </c>
      <c r="AA90" s="4">
        <f ca="1">-SUMIFS(INDIRECT("Tab_00.Trial["&amp;AA$4&amp;"]"),Tab_00.Trial[CONTA],$B90)</f>
        <v>-8227.25</v>
      </c>
      <c r="AB90" s="78">
        <f t="shared" ca="1" si="104"/>
        <v>-8.9999999999999998E-4</v>
      </c>
      <c r="AC90" s="78">
        <f t="shared" ca="1" si="105"/>
        <v>-0.42409999999999998</v>
      </c>
      <c r="AD90" s="4">
        <f ca="1">-SUMIFS(INDIRECT("Tab_00.Trial["&amp;AD$4&amp;"]"),Tab_00.Trial[CONTA],$B90)</f>
        <v>-8227.25</v>
      </c>
      <c r="AE90" s="78">
        <f t="shared" ca="1" si="106"/>
        <v>-8.0000000000000004E-4</v>
      </c>
      <c r="AF90" s="78">
        <f t="shared" ca="1" si="107"/>
        <v>0</v>
      </c>
      <c r="AG90" s="4">
        <f ca="1">-SUMIFS(INDIRECT("Tab_00.Trial["&amp;AG$4&amp;"]"),Tab_00.Trial[CONTA],$B90)</f>
        <v>-8227.25</v>
      </c>
      <c r="AH90" s="78">
        <f t="shared" ca="1" si="108"/>
        <v>-6.9999999999999999E-4</v>
      </c>
      <c r="AI90" s="78">
        <f t="shared" ca="1" si="109"/>
        <v>0</v>
      </c>
      <c r="AJ90" s="4">
        <f ca="1">-SUMIFS(INDIRECT("Tab_00.Trial["&amp;AJ$4&amp;"]"),Tab_00.Trial[CONTA],$B90)</f>
        <v>-8227.25</v>
      </c>
      <c r="AK90" s="78">
        <f t="shared" ca="1" si="110"/>
        <v>-5.9999999999999995E-4</v>
      </c>
      <c r="AL90" s="78">
        <f t="shared" ca="1" si="111"/>
        <v>0</v>
      </c>
    </row>
    <row r="91" spans="2:38" ht="15" customHeight="1" outlineLevel="1" x14ac:dyDescent="0.3">
      <c r="B91" s="14" t="s">
        <v>809</v>
      </c>
      <c r="C91" s="14" t="s">
        <v>799</v>
      </c>
      <c r="D91" s="4">
        <f ca="1">-SUMIFS(INDIRECT("Tab_00.Trial["&amp;D$4&amp;"]"),Tab_00.Trial[CONTA],$B91)</f>
        <v>-14346.41</v>
      </c>
      <c r="E91" s="78">
        <f t="shared" ca="1" si="89"/>
        <v>-1.54E-2</v>
      </c>
      <c r="F91" s="4">
        <f ca="1">-SUMIFS(INDIRECT("Tab_00.Trial["&amp;F$4&amp;"]"),Tab_00.Trial[CONTA],$B91)</f>
        <v>-14346.41</v>
      </c>
      <c r="G91" s="78">
        <f t="shared" ca="1" si="91"/>
        <v>-9.7999999999999997E-3</v>
      </c>
      <c r="H91" s="78">
        <f t="shared" ca="1" si="90"/>
        <v>0</v>
      </c>
      <c r="I91" s="4">
        <f ca="1">-SUMIFS(INDIRECT("Tab_00.Trial["&amp;I$4&amp;"]"),Tab_00.Trial[CONTA],$B91)</f>
        <v>-9458.86</v>
      </c>
      <c r="J91" s="78">
        <f t="shared" ca="1" si="92"/>
        <v>-3.2000000000000002E-3</v>
      </c>
      <c r="K91" s="78">
        <f t="shared" ca="1" si="93"/>
        <v>0.3407</v>
      </c>
      <c r="L91" s="4">
        <f ca="1">-SUMIFS(INDIRECT("Tab_00.Trial["&amp;L$4&amp;"]"),Tab_00.Trial[CONTA],$B91)</f>
        <v>-10025.94</v>
      </c>
      <c r="M91" s="78">
        <f t="shared" ca="1" si="94"/>
        <v>-2.5000000000000001E-3</v>
      </c>
      <c r="N91" s="78">
        <f t="shared" ca="1" si="95"/>
        <v>-0.06</v>
      </c>
      <c r="O91" s="4">
        <f ca="1">-SUMIFS(INDIRECT("Tab_00.Trial["&amp;O$4&amp;"]"),Tab_00.Trial[CONTA],$B91)</f>
        <v>-10399.799999999999</v>
      </c>
      <c r="P91" s="78">
        <f t="shared" ca="1" si="96"/>
        <v>-2E-3</v>
      </c>
      <c r="Q91" s="78">
        <f t="shared" ca="1" si="97"/>
        <v>-3.73E-2</v>
      </c>
      <c r="R91" s="4">
        <f ca="1">-SUMIFS(INDIRECT("Tab_00.Trial["&amp;R$4&amp;"]"),Tab_00.Trial[CONTA],$B91)</f>
        <v>-11147.53</v>
      </c>
      <c r="S91" s="78">
        <f t="shared" ca="1" si="98"/>
        <v>-1.6000000000000001E-3</v>
      </c>
      <c r="T91" s="78">
        <f t="shared" ca="1" si="99"/>
        <v>-7.1900000000000006E-2</v>
      </c>
      <c r="U91" s="4">
        <f ca="1">-SUMIFS(INDIRECT("Tab_00.Trial["&amp;U$4&amp;"]"),Tab_00.Trial[CONTA],$B91)</f>
        <v>-11147.53</v>
      </c>
      <c r="V91" s="78">
        <f t="shared" ca="1" si="100"/>
        <v>-1.6000000000000001E-3</v>
      </c>
      <c r="W91" s="78">
        <f t="shared" ca="1" si="101"/>
        <v>0</v>
      </c>
      <c r="X91" s="4">
        <f ca="1">-SUMIFS(INDIRECT("Tab_00.Trial["&amp;X$4&amp;"]"),Tab_00.Trial[CONTA],$B91)</f>
        <v>-11147.53</v>
      </c>
      <c r="Y91" s="78">
        <f t="shared" ca="1" si="102"/>
        <v>-1.6000000000000001E-3</v>
      </c>
      <c r="Z91" s="78">
        <f t="shared" ca="1" si="103"/>
        <v>0</v>
      </c>
      <c r="AA91" s="4">
        <f ca="1">-SUMIFS(INDIRECT("Tab_00.Trial["&amp;AA$4&amp;"]"),Tab_00.Trial[CONTA],$B91)</f>
        <v>-11878.87</v>
      </c>
      <c r="AB91" s="78">
        <f t="shared" ca="1" si="104"/>
        <v>-1.2999999999999999E-3</v>
      </c>
      <c r="AC91" s="78">
        <f t="shared" ca="1" si="105"/>
        <v>-6.5600000000000006E-2</v>
      </c>
      <c r="AD91" s="4">
        <f ca="1">-SUMIFS(INDIRECT("Tab_00.Trial["&amp;AD$4&amp;"]"),Tab_00.Trial[CONTA],$B91)</f>
        <v>-11878.87</v>
      </c>
      <c r="AE91" s="78">
        <f t="shared" ca="1" si="106"/>
        <v>-1.1000000000000001E-3</v>
      </c>
      <c r="AF91" s="78">
        <f t="shared" ca="1" si="107"/>
        <v>0</v>
      </c>
      <c r="AG91" s="4">
        <f ca="1">-SUMIFS(INDIRECT("Tab_00.Trial["&amp;AG$4&amp;"]"),Tab_00.Trial[CONTA],$B91)</f>
        <v>-11878.87</v>
      </c>
      <c r="AH91" s="78">
        <f t="shared" ca="1" si="108"/>
        <v>-1E-3</v>
      </c>
      <c r="AI91" s="78">
        <f t="shared" ca="1" si="109"/>
        <v>0</v>
      </c>
      <c r="AJ91" s="4">
        <f ca="1">-SUMIFS(INDIRECT("Tab_00.Trial["&amp;AJ$4&amp;"]"),Tab_00.Trial[CONTA],$B91)</f>
        <v>-11878.87</v>
      </c>
      <c r="AK91" s="78">
        <f t="shared" ca="1" si="110"/>
        <v>-8.9999999999999998E-4</v>
      </c>
      <c r="AL91" s="78">
        <f t="shared" ca="1" si="111"/>
        <v>0</v>
      </c>
    </row>
    <row r="92" spans="2:38" ht="15" customHeight="1" outlineLevel="1" x14ac:dyDescent="0.3">
      <c r="B92" s="14" t="s">
        <v>810</v>
      </c>
      <c r="C92" s="14" t="s">
        <v>801</v>
      </c>
      <c r="D92" s="4">
        <f ca="1">-SUMIFS(INDIRECT("Tab_00.Trial["&amp;D$4&amp;"]"),Tab_00.Trial[CONTA],$B92)</f>
        <v>-82.97</v>
      </c>
      <c r="E92" s="78">
        <f t="shared" ca="1" si="89"/>
        <v>-1E-4</v>
      </c>
      <c r="F92" s="4">
        <f ca="1">-SUMIFS(INDIRECT("Tab_00.Trial["&amp;F$4&amp;"]"),Tab_00.Trial[CONTA],$B92)</f>
        <v>-82.97</v>
      </c>
      <c r="G92" s="78">
        <f t="shared" ca="1" si="91"/>
        <v>-1E-4</v>
      </c>
      <c r="H92" s="78">
        <f t="shared" ca="1" si="90"/>
        <v>0</v>
      </c>
      <c r="I92" s="4">
        <f ca="1">-SUMIFS(INDIRECT("Tab_00.Trial["&amp;I$4&amp;"]"),Tab_00.Trial[CONTA],$B92)</f>
        <v>-71.84</v>
      </c>
      <c r="J92" s="78">
        <f t="shared" ca="1" si="92"/>
        <v>0</v>
      </c>
      <c r="K92" s="78">
        <f t="shared" ca="1" si="93"/>
        <v>0.1341</v>
      </c>
      <c r="L92" s="4">
        <f ca="1">-SUMIFS(INDIRECT("Tab_00.Trial["&amp;L$4&amp;"]"),Tab_00.Trial[CONTA],$B92)</f>
        <v>-101.44</v>
      </c>
      <c r="M92" s="78">
        <f t="shared" ca="1" si="94"/>
        <v>0</v>
      </c>
      <c r="N92" s="78">
        <f t="shared" ca="1" si="95"/>
        <v>-0.41199999999999998</v>
      </c>
      <c r="O92" s="4">
        <f ca="1">-SUMIFS(INDIRECT("Tab_00.Trial["&amp;O$4&amp;"]"),Tab_00.Trial[CONTA],$B92)</f>
        <v>-131.03</v>
      </c>
      <c r="P92" s="78">
        <f t="shared" ca="1" si="96"/>
        <v>0</v>
      </c>
      <c r="Q92" s="78">
        <f t="shared" ca="1" si="97"/>
        <v>-0.29170000000000001</v>
      </c>
      <c r="R92" s="4">
        <f ca="1">-SUMIFS(INDIRECT("Tab_00.Trial["&amp;R$4&amp;"]"),Tab_00.Trial[CONTA],$B92)</f>
        <v>-224.51</v>
      </c>
      <c r="S92" s="78">
        <f t="shared" ca="1" si="98"/>
        <v>0</v>
      </c>
      <c r="T92" s="78">
        <f t="shared" ca="1" si="99"/>
        <v>-0.71340000000000003</v>
      </c>
      <c r="U92" s="4">
        <f ca="1">-SUMIFS(INDIRECT("Tab_00.Trial["&amp;U$4&amp;"]"),Tab_00.Trial[CONTA],$B92)</f>
        <v>-224.51</v>
      </c>
      <c r="V92" s="78">
        <f t="shared" ca="1" si="100"/>
        <v>0</v>
      </c>
      <c r="W92" s="78">
        <f t="shared" ca="1" si="101"/>
        <v>0</v>
      </c>
      <c r="X92" s="4">
        <f ca="1">-SUMIFS(INDIRECT("Tab_00.Trial["&amp;X$4&amp;"]"),Tab_00.Trial[CONTA],$B92)</f>
        <v>-224.51</v>
      </c>
      <c r="Y92" s="78">
        <f t="shared" ca="1" si="102"/>
        <v>0</v>
      </c>
      <c r="Z92" s="78">
        <f t="shared" ca="1" si="103"/>
        <v>0</v>
      </c>
      <c r="AA92" s="4">
        <f ca="1">-SUMIFS(INDIRECT("Tab_00.Trial["&amp;AA$4&amp;"]"),Tab_00.Trial[CONTA],$B92)</f>
        <v>-272.25</v>
      </c>
      <c r="AB92" s="78">
        <f t="shared" ca="1" si="104"/>
        <v>0</v>
      </c>
      <c r="AC92" s="78">
        <f t="shared" ca="1" si="105"/>
        <v>-0.21260000000000001</v>
      </c>
      <c r="AD92" s="4">
        <f ca="1">-SUMIFS(INDIRECT("Tab_00.Trial["&amp;AD$4&amp;"]"),Tab_00.Trial[CONTA],$B92)</f>
        <v>-272.25</v>
      </c>
      <c r="AE92" s="78">
        <f t="shared" ca="1" si="106"/>
        <v>0</v>
      </c>
      <c r="AF92" s="78">
        <f t="shared" ca="1" si="107"/>
        <v>0</v>
      </c>
      <c r="AG92" s="4">
        <f ca="1">-SUMIFS(INDIRECT("Tab_00.Trial["&amp;AG$4&amp;"]"),Tab_00.Trial[CONTA],$B92)</f>
        <v>-272.25</v>
      </c>
      <c r="AH92" s="78">
        <f t="shared" ca="1" si="108"/>
        <v>0</v>
      </c>
      <c r="AI92" s="78">
        <f t="shared" ca="1" si="109"/>
        <v>0</v>
      </c>
      <c r="AJ92" s="4">
        <f ca="1">-SUMIFS(INDIRECT("Tab_00.Trial["&amp;AJ$4&amp;"]"),Tab_00.Trial[CONTA],$B92)</f>
        <v>-272.25</v>
      </c>
      <c r="AK92" s="78">
        <f t="shared" ca="1" si="110"/>
        <v>0</v>
      </c>
      <c r="AL92" s="78">
        <f t="shared" ca="1" si="111"/>
        <v>0</v>
      </c>
    </row>
    <row r="93" spans="2:38" ht="15" customHeight="1" outlineLevel="1" x14ac:dyDescent="0.3">
      <c r="B93" s="14" t="s">
        <v>811</v>
      </c>
      <c r="C93" s="14" t="s">
        <v>803</v>
      </c>
      <c r="D93" s="4">
        <f ca="1">-SUMIFS(INDIRECT("Tab_00.Trial["&amp;D$4&amp;"]"),Tab_00.Trial[CONTA],$B93)</f>
        <v>-1667.78</v>
      </c>
      <c r="E93" s="78">
        <f t="shared" ca="1" si="89"/>
        <v>-1.8E-3</v>
      </c>
      <c r="F93" s="4">
        <f ca="1">-SUMIFS(INDIRECT("Tab_00.Trial["&amp;F$4&amp;"]"),Tab_00.Trial[CONTA],$B93)</f>
        <v>-1667.78</v>
      </c>
      <c r="G93" s="78">
        <f t="shared" ca="1" si="91"/>
        <v>-1.1000000000000001E-3</v>
      </c>
      <c r="H93" s="78">
        <f t="shared" ca="1" si="90"/>
        <v>0</v>
      </c>
      <c r="I93" s="4">
        <f ca="1">-SUMIFS(INDIRECT("Tab_00.Trial["&amp;I$4&amp;"]"),Tab_00.Trial[CONTA],$B93)</f>
        <v>-4203.51</v>
      </c>
      <c r="J93" s="78">
        <f t="shared" ca="1" si="92"/>
        <v>-1.4E-3</v>
      </c>
      <c r="K93" s="78">
        <f t="shared" ca="1" si="93"/>
        <v>-1.5204</v>
      </c>
      <c r="L93" s="4">
        <f ca="1">-SUMIFS(INDIRECT("Tab_00.Trial["&amp;L$4&amp;"]"),Tab_00.Trial[CONTA],$B93)</f>
        <v>-5071.3599999999997</v>
      </c>
      <c r="M93" s="78">
        <f t="shared" ca="1" si="94"/>
        <v>-1.2999999999999999E-3</v>
      </c>
      <c r="N93" s="78">
        <f t="shared" ca="1" si="95"/>
        <v>-0.20649999999999999</v>
      </c>
      <c r="O93" s="4">
        <f ca="1">-SUMIFS(INDIRECT("Tab_00.Trial["&amp;O$4&amp;"]"),Tab_00.Trial[CONTA],$B93)</f>
        <v>-6010.67</v>
      </c>
      <c r="P93" s="78">
        <f t="shared" ca="1" si="96"/>
        <v>-1.1999999999999999E-3</v>
      </c>
      <c r="Q93" s="78">
        <f t="shared" ca="1" si="97"/>
        <v>-0.1852</v>
      </c>
      <c r="R93" s="4">
        <f ca="1">-SUMIFS(INDIRECT("Tab_00.Trial["&amp;R$4&amp;"]"),Tab_00.Trial[CONTA],$B93)</f>
        <v>-7544.94</v>
      </c>
      <c r="S93" s="78">
        <f t="shared" ca="1" si="98"/>
        <v>-1E-3</v>
      </c>
      <c r="T93" s="78">
        <f t="shared" ca="1" si="99"/>
        <v>-0.25530000000000003</v>
      </c>
      <c r="U93" s="4">
        <f ca="1">-SUMIFS(INDIRECT("Tab_00.Trial["&amp;U$4&amp;"]"),Tab_00.Trial[CONTA],$B93)</f>
        <v>-7544.94</v>
      </c>
      <c r="V93" s="78">
        <f t="shared" ca="1" si="100"/>
        <v>-1E-3</v>
      </c>
      <c r="W93" s="78">
        <f t="shared" ca="1" si="101"/>
        <v>0</v>
      </c>
      <c r="X93" s="4">
        <f ca="1">-SUMIFS(INDIRECT("Tab_00.Trial["&amp;X$4&amp;"]"),Tab_00.Trial[CONTA],$B93)</f>
        <v>-7544.94</v>
      </c>
      <c r="Y93" s="78">
        <f t="shared" ca="1" si="102"/>
        <v>-1E-3</v>
      </c>
      <c r="Z93" s="78">
        <f t="shared" ca="1" si="103"/>
        <v>0</v>
      </c>
      <c r="AA93" s="4">
        <f ca="1">-SUMIFS(INDIRECT("Tab_00.Trial["&amp;AA$4&amp;"]"),Tab_00.Trial[CONTA],$B93)</f>
        <v>-9441.61</v>
      </c>
      <c r="AB93" s="78">
        <f t="shared" ca="1" si="104"/>
        <v>-1E-3</v>
      </c>
      <c r="AC93" s="78">
        <f t="shared" ca="1" si="105"/>
        <v>-0.25140000000000001</v>
      </c>
      <c r="AD93" s="4">
        <f ca="1">-SUMIFS(INDIRECT("Tab_00.Trial["&amp;AD$4&amp;"]"),Tab_00.Trial[CONTA],$B93)</f>
        <v>-11758.15</v>
      </c>
      <c r="AE93" s="78">
        <f t="shared" ca="1" si="106"/>
        <v>-1.1000000000000001E-3</v>
      </c>
      <c r="AF93" s="78">
        <f t="shared" ca="1" si="107"/>
        <v>-0.24540000000000001</v>
      </c>
      <c r="AG93" s="4">
        <f ca="1">-SUMIFS(INDIRECT("Tab_00.Trial["&amp;AG$4&amp;"]"),Tab_00.Trial[CONTA],$B93)</f>
        <v>-14074.93</v>
      </c>
      <c r="AH93" s="78">
        <f t="shared" ca="1" si="108"/>
        <v>-1.1999999999999999E-3</v>
      </c>
      <c r="AI93" s="78">
        <f t="shared" ca="1" si="109"/>
        <v>-0.19700000000000001</v>
      </c>
      <c r="AJ93" s="4">
        <f ca="1">-SUMIFS(INDIRECT("Tab_00.Trial["&amp;AJ$4&amp;"]"),Tab_00.Trial[CONTA],$B93)</f>
        <v>-15040.6</v>
      </c>
      <c r="AK93" s="78">
        <f t="shared" ca="1" si="110"/>
        <v>-1.1999999999999999E-3</v>
      </c>
      <c r="AL93" s="78">
        <f t="shared" ca="1" si="111"/>
        <v>-6.8599999999999994E-2</v>
      </c>
    </row>
    <row r="94" spans="2:38" ht="15" customHeight="1" outlineLevel="1" x14ac:dyDescent="0.3">
      <c r="B94" s="14" t="s">
        <v>812</v>
      </c>
      <c r="C94" s="14" t="s">
        <v>805</v>
      </c>
      <c r="D94" s="4">
        <f ca="1">-SUMIFS(INDIRECT("Tab_00.Trial["&amp;D$4&amp;"]"),Tab_00.Trial[CONTA],$B94)</f>
        <v>-497.81</v>
      </c>
      <c r="E94" s="78">
        <f t="shared" ca="1" si="89"/>
        <v>-5.0000000000000001E-4</v>
      </c>
      <c r="F94" s="4">
        <f ca="1">-SUMIFS(INDIRECT("Tab_00.Trial["&amp;F$4&amp;"]"),Tab_00.Trial[CONTA],$B94)</f>
        <v>-497.81</v>
      </c>
      <c r="G94" s="78">
        <f t="shared" ca="1" si="91"/>
        <v>-2.9999999999999997E-4</v>
      </c>
      <c r="H94" s="78">
        <f t="shared" ca="1" si="90"/>
        <v>0</v>
      </c>
      <c r="I94" s="4">
        <f ca="1">-SUMIFS(INDIRECT("Tab_00.Trial["&amp;I$4&amp;"]"),Tab_00.Trial[CONTA],$B94)</f>
        <v>-1254.74</v>
      </c>
      <c r="J94" s="78">
        <f t="shared" ca="1" si="92"/>
        <v>-4.0000000000000002E-4</v>
      </c>
      <c r="K94" s="78">
        <f t="shared" ca="1" si="93"/>
        <v>-1.5205</v>
      </c>
      <c r="L94" s="4">
        <f ca="1">-SUMIFS(INDIRECT("Tab_00.Trial["&amp;L$4&amp;"]"),Tab_00.Trial[CONTA],$B94)</f>
        <v>-1513.8</v>
      </c>
      <c r="M94" s="78">
        <f t="shared" ca="1" si="94"/>
        <v>-4.0000000000000002E-4</v>
      </c>
      <c r="N94" s="78">
        <f t="shared" ca="1" si="95"/>
        <v>-0.20649999999999999</v>
      </c>
      <c r="O94" s="4">
        <f ca="1">-SUMIFS(INDIRECT("Tab_00.Trial["&amp;O$4&amp;"]"),Tab_00.Trial[CONTA],$B94)</f>
        <v>-1794.21</v>
      </c>
      <c r="P94" s="78">
        <f t="shared" ca="1" si="96"/>
        <v>-2.9999999999999997E-4</v>
      </c>
      <c r="Q94" s="78">
        <f t="shared" ca="1" si="97"/>
        <v>-0.1852</v>
      </c>
      <c r="R94" s="4">
        <f ca="1">-SUMIFS(INDIRECT("Tab_00.Trial["&amp;R$4&amp;"]"),Tab_00.Trial[CONTA],$B94)</f>
        <v>-2252.1799999999998</v>
      </c>
      <c r="S94" s="78">
        <f t="shared" ca="1" si="98"/>
        <v>-2.9999999999999997E-4</v>
      </c>
      <c r="T94" s="78">
        <f t="shared" ca="1" si="99"/>
        <v>-0.25519999999999998</v>
      </c>
      <c r="U94" s="4">
        <f ca="1">-SUMIFS(INDIRECT("Tab_00.Trial["&amp;U$4&amp;"]"),Tab_00.Trial[CONTA],$B94)</f>
        <v>-2252.1799999999998</v>
      </c>
      <c r="V94" s="78">
        <f t="shared" ca="1" si="100"/>
        <v>-2.9999999999999997E-4</v>
      </c>
      <c r="W94" s="78">
        <f t="shared" ca="1" si="101"/>
        <v>0</v>
      </c>
      <c r="X94" s="4">
        <f ca="1">-SUMIFS(INDIRECT("Tab_00.Trial["&amp;X$4&amp;"]"),Tab_00.Trial[CONTA],$B94)</f>
        <v>-2252.1799999999998</v>
      </c>
      <c r="Y94" s="78">
        <f t="shared" ca="1" si="102"/>
        <v>-2.9999999999999997E-4</v>
      </c>
      <c r="Z94" s="78">
        <f t="shared" ca="1" si="103"/>
        <v>0</v>
      </c>
      <c r="AA94" s="4">
        <f ca="1">-SUMIFS(INDIRECT("Tab_00.Trial["&amp;AA$4&amp;"]"),Tab_00.Trial[CONTA],$B94)</f>
        <v>-2818.32</v>
      </c>
      <c r="AB94" s="78">
        <f t="shared" ca="1" si="104"/>
        <v>-2.9999999999999997E-4</v>
      </c>
      <c r="AC94" s="78">
        <f t="shared" ca="1" si="105"/>
        <v>-0.25140000000000001</v>
      </c>
      <c r="AD94" s="4">
        <f ca="1">-SUMIFS(INDIRECT("Tab_00.Trial["&amp;AD$4&amp;"]"),Tab_00.Trial[CONTA],$B94)</f>
        <v>-3510.46</v>
      </c>
      <c r="AE94" s="78">
        <f t="shared" ca="1" si="106"/>
        <v>-2.9999999999999997E-4</v>
      </c>
      <c r="AF94" s="78">
        <f t="shared" ca="1" si="107"/>
        <v>-0.24560000000000001</v>
      </c>
      <c r="AG94" s="4">
        <f ca="1">-SUMIFS(INDIRECT("Tab_00.Trial["&amp;AG$4&amp;"]"),Tab_00.Trial[CONTA],$B94)</f>
        <v>-4202.57</v>
      </c>
      <c r="AH94" s="78">
        <f t="shared" ca="1" si="108"/>
        <v>-4.0000000000000002E-4</v>
      </c>
      <c r="AI94" s="78">
        <f t="shared" ca="1" si="109"/>
        <v>-0.19719999999999999</v>
      </c>
      <c r="AJ94" s="4">
        <f ca="1">-SUMIFS(INDIRECT("Tab_00.Trial["&amp;AJ$4&amp;"]"),Tab_00.Trial[CONTA],$B94)</f>
        <v>-4490.83</v>
      </c>
      <c r="AK94" s="78">
        <f t="shared" ca="1" si="110"/>
        <v>-4.0000000000000002E-4</v>
      </c>
      <c r="AL94" s="78">
        <f t="shared" ca="1" si="111"/>
        <v>-6.8599999999999994E-2</v>
      </c>
    </row>
    <row r="95" spans="2:38" ht="15" customHeight="1" outlineLevel="1" x14ac:dyDescent="0.3">
      <c r="B95" s="14" t="s">
        <v>813</v>
      </c>
      <c r="C95" s="14" t="s">
        <v>807</v>
      </c>
      <c r="D95" s="4">
        <f ca="1">-SUMIFS(INDIRECT("Tab_00.Trial["&amp;D$4&amp;"]"),Tab_00.Trial[CONTA],$B95)</f>
        <v>-62.22</v>
      </c>
      <c r="E95" s="78">
        <f t="shared" ca="1" si="89"/>
        <v>-1E-4</v>
      </c>
      <c r="F95" s="4">
        <f ca="1">-SUMIFS(INDIRECT("Tab_00.Trial["&amp;F$4&amp;"]"),Tab_00.Trial[CONTA],$B95)</f>
        <v>-62.22</v>
      </c>
      <c r="G95" s="78">
        <f t="shared" ca="1" si="91"/>
        <v>0</v>
      </c>
      <c r="H95" s="78">
        <f t="shared" ca="1" si="90"/>
        <v>0</v>
      </c>
      <c r="I95" s="4">
        <f ca="1">-SUMIFS(INDIRECT("Tab_00.Trial["&amp;I$4&amp;"]"),Tab_00.Trial[CONTA],$B95)</f>
        <v>-156.84</v>
      </c>
      <c r="J95" s="78">
        <f t="shared" ca="1" si="92"/>
        <v>-1E-4</v>
      </c>
      <c r="K95" s="78">
        <f t="shared" ca="1" si="93"/>
        <v>-1.5206999999999999</v>
      </c>
      <c r="L95" s="4">
        <f ca="1">-SUMIFS(INDIRECT("Tab_00.Trial["&amp;L$4&amp;"]"),Tab_00.Trial[CONTA],$B95)</f>
        <v>-189.22</v>
      </c>
      <c r="M95" s="78">
        <f t="shared" ca="1" si="94"/>
        <v>0</v>
      </c>
      <c r="N95" s="78">
        <f t="shared" ca="1" si="95"/>
        <v>-0.20649999999999999</v>
      </c>
      <c r="O95" s="4">
        <f ca="1">-SUMIFS(INDIRECT("Tab_00.Trial["&amp;O$4&amp;"]"),Tab_00.Trial[CONTA],$B95)</f>
        <v>-224.28</v>
      </c>
      <c r="P95" s="78">
        <f t="shared" ca="1" si="96"/>
        <v>0</v>
      </c>
      <c r="Q95" s="78">
        <f t="shared" ca="1" si="97"/>
        <v>-0.18529999999999999</v>
      </c>
      <c r="R95" s="4">
        <f ca="1">-SUMIFS(INDIRECT("Tab_00.Trial["&amp;R$4&amp;"]"),Tab_00.Trial[CONTA],$B95)</f>
        <v>-294.36</v>
      </c>
      <c r="S95" s="78">
        <f t="shared" ca="1" si="98"/>
        <v>0</v>
      </c>
      <c r="T95" s="78">
        <f t="shared" ca="1" si="99"/>
        <v>-0.3125</v>
      </c>
      <c r="U95" s="4">
        <f ca="1">-SUMIFS(INDIRECT("Tab_00.Trial["&amp;U$4&amp;"]"),Tab_00.Trial[CONTA],$B95)</f>
        <v>-294.36</v>
      </c>
      <c r="V95" s="78">
        <f t="shared" ca="1" si="100"/>
        <v>0</v>
      </c>
      <c r="W95" s="78">
        <f t="shared" ca="1" si="101"/>
        <v>0</v>
      </c>
      <c r="X95" s="4">
        <f ca="1">-SUMIFS(INDIRECT("Tab_00.Trial["&amp;X$4&amp;"]"),Tab_00.Trial[CONTA],$B95)</f>
        <v>-294.36</v>
      </c>
      <c r="Y95" s="78">
        <f t="shared" ca="1" si="102"/>
        <v>0</v>
      </c>
      <c r="Z95" s="78">
        <f t="shared" ca="1" si="103"/>
        <v>0</v>
      </c>
      <c r="AA95" s="4">
        <f ca="1">-SUMIFS(INDIRECT("Tab_00.Trial["&amp;AA$4&amp;"]"),Tab_00.Trial[CONTA],$B95)</f>
        <v>-365.15</v>
      </c>
      <c r="AB95" s="78">
        <f t="shared" ca="1" si="104"/>
        <v>0</v>
      </c>
      <c r="AC95" s="78">
        <f t="shared" ca="1" si="105"/>
        <v>-0.24049999999999999</v>
      </c>
      <c r="AD95" s="4">
        <f ca="1">-SUMIFS(INDIRECT("Tab_00.Trial["&amp;AD$4&amp;"]"),Tab_00.Trial[CONTA],$B95)</f>
        <v>-451.6</v>
      </c>
      <c r="AE95" s="78">
        <f t="shared" ca="1" si="106"/>
        <v>0</v>
      </c>
      <c r="AF95" s="78">
        <f t="shared" ca="1" si="107"/>
        <v>-0.23680000000000001</v>
      </c>
      <c r="AG95" s="4">
        <f ca="1">-SUMIFS(INDIRECT("Tab_00.Trial["&amp;AG$4&amp;"]"),Tab_00.Trial[CONTA],$B95)</f>
        <v>-538.04999999999995</v>
      </c>
      <c r="AH95" s="78">
        <f t="shared" ca="1" si="108"/>
        <v>0</v>
      </c>
      <c r="AI95" s="78">
        <f t="shared" ca="1" si="109"/>
        <v>-0.19139999999999999</v>
      </c>
      <c r="AJ95" s="4">
        <f ca="1">-SUMIFS(INDIRECT("Tab_00.Trial["&amp;AJ$4&amp;"]"),Tab_00.Trial[CONTA],$B95)</f>
        <v>-574.07000000000005</v>
      </c>
      <c r="AK95" s="78">
        <f t="shared" ca="1" si="110"/>
        <v>0</v>
      </c>
      <c r="AL95" s="78">
        <f t="shared" ca="1" si="111"/>
        <v>-6.6900000000000001E-2</v>
      </c>
    </row>
    <row r="96" spans="2:38" ht="15" customHeight="1" outlineLevel="1" x14ac:dyDescent="0.3">
      <c r="B96" s="14"/>
      <c r="C96" s="14"/>
      <c r="D96" s="4">
        <f ca="1">-SUMIFS(INDIRECT("Tab_00.Trial["&amp;D$4&amp;"]"),Tab_00.Trial[CONTA],$B96)</f>
        <v>0</v>
      </c>
      <c r="E96" s="78">
        <f t="shared" ca="1" si="89"/>
        <v>0</v>
      </c>
      <c r="F96" s="4">
        <f ca="1">-SUMIFS(INDIRECT("Tab_00.Trial["&amp;F$4&amp;"]"),Tab_00.Trial[CONTA],$B96)</f>
        <v>0</v>
      </c>
      <c r="G96" s="78">
        <f t="shared" ca="1" si="91"/>
        <v>0</v>
      </c>
      <c r="H96" s="78">
        <f t="shared" ca="1" si="90"/>
        <v>0</v>
      </c>
      <c r="I96" s="4">
        <f ca="1">-SUMIFS(INDIRECT("Tab_00.Trial["&amp;I$4&amp;"]"),Tab_00.Trial[CONTA],$B96)</f>
        <v>0</v>
      </c>
      <c r="J96" s="78">
        <f t="shared" ca="1" si="92"/>
        <v>0</v>
      </c>
      <c r="K96" s="78">
        <f t="shared" ca="1" si="93"/>
        <v>0</v>
      </c>
      <c r="L96" s="4">
        <f ca="1">-SUMIFS(INDIRECT("Tab_00.Trial["&amp;L$4&amp;"]"),Tab_00.Trial[CONTA],$B96)</f>
        <v>0</v>
      </c>
      <c r="M96" s="78">
        <f t="shared" ca="1" si="94"/>
        <v>0</v>
      </c>
      <c r="N96" s="78">
        <f t="shared" ca="1" si="95"/>
        <v>0</v>
      </c>
      <c r="O96" s="4">
        <f ca="1">-SUMIFS(INDIRECT("Tab_00.Trial["&amp;O$4&amp;"]"),Tab_00.Trial[CONTA],$B96)</f>
        <v>0</v>
      </c>
      <c r="P96" s="78">
        <f t="shared" ca="1" si="96"/>
        <v>0</v>
      </c>
      <c r="Q96" s="78">
        <f t="shared" ca="1" si="97"/>
        <v>0</v>
      </c>
      <c r="R96" s="4">
        <f ca="1">-SUMIFS(INDIRECT("Tab_00.Trial["&amp;R$4&amp;"]"),Tab_00.Trial[CONTA],$B96)</f>
        <v>0</v>
      </c>
      <c r="S96" s="78">
        <f t="shared" ca="1" si="98"/>
        <v>0</v>
      </c>
      <c r="T96" s="78">
        <f t="shared" ca="1" si="99"/>
        <v>0</v>
      </c>
      <c r="U96" s="4">
        <f ca="1">-SUMIFS(INDIRECT("Tab_00.Trial["&amp;U$4&amp;"]"),Tab_00.Trial[CONTA],$B96)</f>
        <v>0</v>
      </c>
      <c r="V96" s="78">
        <f t="shared" ca="1" si="100"/>
        <v>0</v>
      </c>
      <c r="W96" s="78">
        <f t="shared" ca="1" si="101"/>
        <v>0</v>
      </c>
      <c r="X96" s="4">
        <f ca="1">-SUMIFS(INDIRECT("Tab_00.Trial["&amp;X$4&amp;"]"),Tab_00.Trial[CONTA],$B96)</f>
        <v>0</v>
      </c>
      <c r="Y96" s="78">
        <f t="shared" ca="1" si="102"/>
        <v>0</v>
      </c>
      <c r="Z96" s="78">
        <f t="shared" ca="1" si="103"/>
        <v>0</v>
      </c>
      <c r="AA96" s="4">
        <f ca="1">-SUMIFS(INDIRECT("Tab_00.Trial["&amp;AA$4&amp;"]"),Tab_00.Trial[CONTA],$B96)</f>
        <v>0</v>
      </c>
      <c r="AB96" s="78">
        <f t="shared" ca="1" si="104"/>
        <v>0</v>
      </c>
      <c r="AC96" s="78">
        <f t="shared" ca="1" si="105"/>
        <v>0</v>
      </c>
      <c r="AD96" s="4">
        <f ca="1">-SUMIFS(INDIRECT("Tab_00.Trial["&amp;AD$4&amp;"]"),Tab_00.Trial[CONTA],$B96)</f>
        <v>0</v>
      </c>
      <c r="AE96" s="78">
        <f t="shared" ca="1" si="106"/>
        <v>0</v>
      </c>
      <c r="AF96" s="78">
        <f t="shared" ca="1" si="107"/>
        <v>0</v>
      </c>
      <c r="AG96" s="4">
        <f ca="1">-SUMIFS(INDIRECT("Tab_00.Trial["&amp;AG$4&amp;"]"),Tab_00.Trial[CONTA],$B96)</f>
        <v>0</v>
      </c>
      <c r="AH96" s="78">
        <f t="shared" ca="1" si="108"/>
        <v>0</v>
      </c>
      <c r="AI96" s="78">
        <f t="shared" ca="1" si="109"/>
        <v>0</v>
      </c>
      <c r="AJ96" s="4">
        <f ca="1">-SUMIFS(INDIRECT("Tab_00.Trial["&amp;AJ$4&amp;"]"),Tab_00.Trial[CONTA],$B96)</f>
        <v>0</v>
      </c>
      <c r="AK96" s="78">
        <f t="shared" ca="1" si="110"/>
        <v>0</v>
      </c>
      <c r="AL96" s="78">
        <f t="shared" ca="1" si="111"/>
        <v>0</v>
      </c>
    </row>
    <row r="97" spans="2:39" ht="15" customHeight="1" outlineLevel="1" x14ac:dyDescent="0.3">
      <c r="B97" s="14"/>
      <c r="C97" s="14"/>
      <c r="D97" s="4">
        <f ca="1">-SUMIFS(INDIRECT("Tab_00.Trial["&amp;D$4&amp;"]"),Tab_00.Trial[CONTA],$B97)</f>
        <v>0</v>
      </c>
      <c r="E97" s="78">
        <f t="shared" ca="1" si="89"/>
        <v>0</v>
      </c>
      <c r="F97" s="4">
        <f ca="1">-SUMIFS(INDIRECT("Tab_00.Trial["&amp;F$4&amp;"]"),Tab_00.Trial[CONTA],$B97)</f>
        <v>0</v>
      </c>
      <c r="G97" s="78">
        <f t="shared" ca="1" si="91"/>
        <v>0</v>
      </c>
      <c r="H97" s="78">
        <f t="shared" ca="1" si="90"/>
        <v>0</v>
      </c>
      <c r="I97" s="4">
        <f ca="1">-SUMIFS(INDIRECT("Tab_00.Trial["&amp;I$4&amp;"]"),Tab_00.Trial[CONTA],$B97)</f>
        <v>0</v>
      </c>
      <c r="J97" s="78">
        <f t="shared" ca="1" si="92"/>
        <v>0</v>
      </c>
      <c r="K97" s="78">
        <f t="shared" ca="1" si="93"/>
        <v>0</v>
      </c>
      <c r="L97" s="4">
        <f ca="1">-SUMIFS(INDIRECT("Tab_00.Trial["&amp;L$4&amp;"]"),Tab_00.Trial[CONTA],$B97)</f>
        <v>0</v>
      </c>
      <c r="M97" s="78">
        <f t="shared" ca="1" si="94"/>
        <v>0</v>
      </c>
      <c r="N97" s="78">
        <f t="shared" ca="1" si="95"/>
        <v>0</v>
      </c>
      <c r="O97" s="4">
        <f ca="1">-SUMIFS(INDIRECT("Tab_00.Trial["&amp;O$4&amp;"]"),Tab_00.Trial[CONTA],$B97)</f>
        <v>0</v>
      </c>
      <c r="P97" s="78">
        <f t="shared" ca="1" si="96"/>
        <v>0</v>
      </c>
      <c r="Q97" s="78">
        <f t="shared" ca="1" si="97"/>
        <v>0</v>
      </c>
      <c r="R97" s="4">
        <f ca="1">-SUMIFS(INDIRECT("Tab_00.Trial["&amp;R$4&amp;"]"),Tab_00.Trial[CONTA],$B97)</f>
        <v>0</v>
      </c>
      <c r="S97" s="78">
        <f t="shared" ca="1" si="98"/>
        <v>0</v>
      </c>
      <c r="T97" s="78">
        <f t="shared" ca="1" si="99"/>
        <v>0</v>
      </c>
      <c r="U97" s="4">
        <f ca="1">-SUMIFS(INDIRECT("Tab_00.Trial["&amp;U$4&amp;"]"),Tab_00.Trial[CONTA],$B97)</f>
        <v>0</v>
      </c>
      <c r="V97" s="78">
        <f t="shared" ca="1" si="100"/>
        <v>0</v>
      </c>
      <c r="W97" s="78">
        <f t="shared" ca="1" si="101"/>
        <v>0</v>
      </c>
      <c r="X97" s="4">
        <f ca="1">-SUMIFS(INDIRECT("Tab_00.Trial["&amp;X$4&amp;"]"),Tab_00.Trial[CONTA],$B97)</f>
        <v>0</v>
      </c>
      <c r="Y97" s="78">
        <f t="shared" ca="1" si="102"/>
        <v>0</v>
      </c>
      <c r="Z97" s="78">
        <f t="shared" ca="1" si="103"/>
        <v>0</v>
      </c>
      <c r="AA97" s="4">
        <f ca="1">-SUMIFS(INDIRECT("Tab_00.Trial["&amp;AA$4&amp;"]"),Tab_00.Trial[CONTA],$B97)</f>
        <v>0</v>
      </c>
      <c r="AB97" s="78">
        <f t="shared" ca="1" si="104"/>
        <v>0</v>
      </c>
      <c r="AC97" s="78">
        <f t="shared" ca="1" si="105"/>
        <v>0</v>
      </c>
      <c r="AD97" s="4">
        <f ca="1">-SUMIFS(INDIRECT("Tab_00.Trial["&amp;AD$4&amp;"]"),Tab_00.Trial[CONTA],$B97)</f>
        <v>0</v>
      </c>
      <c r="AE97" s="78">
        <f t="shared" ca="1" si="106"/>
        <v>0</v>
      </c>
      <c r="AF97" s="78">
        <f t="shared" ca="1" si="107"/>
        <v>0</v>
      </c>
      <c r="AG97" s="4">
        <f ca="1">-SUMIFS(INDIRECT("Tab_00.Trial["&amp;AG$4&amp;"]"),Tab_00.Trial[CONTA],$B97)</f>
        <v>0</v>
      </c>
      <c r="AH97" s="78">
        <f t="shared" ca="1" si="108"/>
        <v>0</v>
      </c>
      <c r="AI97" s="78">
        <f t="shared" ca="1" si="109"/>
        <v>0</v>
      </c>
      <c r="AJ97" s="4">
        <f ca="1">-SUMIFS(INDIRECT("Tab_00.Trial["&amp;AJ$4&amp;"]"),Tab_00.Trial[CONTA],$B97)</f>
        <v>0</v>
      </c>
      <c r="AK97" s="78">
        <f t="shared" ca="1" si="110"/>
        <v>0</v>
      </c>
      <c r="AL97" s="78">
        <f t="shared" ca="1" si="111"/>
        <v>0</v>
      </c>
    </row>
    <row r="98" spans="2:39" ht="15" customHeight="1" outlineLevel="1" x14ac:dyDescent="0.3">
      <c r="B98" s="14"/>
      <c r="C98" s="14"/>
      <c r="D98" s="4">
        <f ca="1">-SUMIFS(INDIRECT("Tab_00.Trial["&amp;D$4&amp;"]"),Tab_00.Trial[CONTA],$B98)</f>
        <v>0</v>
      </c>
      <c r="E98" s="78">
        <f t="shared" ca="1" si="89"/>
        <v>0</v>
      </c>
      <c r="F98" s="4">
        <f ca="1">-SUMIFS(INDIRECT("Tab_00.Trial["&amp;F$4&amp;"]"),Tab_00.Trial[CONTA],$B98)</f>
        <v>0</v>
      </c>
      <c r="G98" s="78">
        <f t="shared" ca="1" si="91"/>
        <v>0</v>
      </c>
      <c r="H98" s="78">
        <f t="shared" ca="1" si="90"/>
        <v>0</v>
      </c>
      <c r="I98" s="4">
        <f ca="1">-SUMIFS(INDIRECT("Tab_00.Trial["&amp;I$4&amp;"]"),Tab_00.Trial[CONTA],$B98)</f>
        <v>0</v>
      </c>
      <c r="J98" s="78">
        <f t="shared" ca="1" si="92"/>
        <v>0</v>
      </c>
      <c r="K98" s="78">
        <f t="shared" ca="1" si="93"/>
        <v>0</v>
      </c>
      <c r="L98" s="4">
        <f ca="1">-SUMIFS(INDIRECT("Tab_00.Trial["&amp;L$4&amp;"]"),Tab_00.Trial[CONTA],$B98)</f>
        <v>0</v>
      </c>
      <c r="M98" s="78">
        <f t="shared" ca="1" si="94"/>
        <v>0</v>
      </c>
      <c r="N98" s="78">
        <f t="shared" ca="1" si="95"/>
        <v>0</v>
      </c>
      <c r="O98" s="4">
        <f ca="1">-SUMIFS(INDIRECT("Tab_00.Trial["&amp;O$4&amp;"]"),Tab_00.Trial[CONTA],$B98)</f>
        <v>0</v>
      </c>
      <c r="P98" s="78">
        <f t="shared" ca="1" si="96"/>
        <v>0</v>
      </c>
      <c r="Q98" s="78">
        <f t="shared" ca="1" si="97"/>
        <v>0</v>
      </c>
      <c r="R98" s="4">
        <f ca="1">-SUMIFS(INDIRECT("Tab_00.Trial["&amp;R$4&amp;"]"),Tab_00.Trial[CONTA],$B98)</f>
        <v>0</v>
      </c>
      <c r="S98" s="78">
        <f t="shared" ca="1" si="98"/>
        <v>0</v>
      </c>
      <c r="T98" s="78">
        <f t="shared" ca="1" si="99"/>
        <v>0</v>
      </c>
      <c r="U98" s="4">
        <f ca="1">-SUMIFS(INDIRECT("Tab_00.Trial["&amp;U$4&amp;"]"),Tab_00.Trial[CONTA],$B98)</f>
        <v>0</v>
      </c>
      <c r="V98" s="78">
        <f t="shared" ca="1" si="100"/>
        <v>0</v>
      </c>
      <c r="W98" s="78">
        <f t="shared" ca="1" si="101"/>
        <v>0</v>
      </c>
      <c r="X98" s="4">
        <f ca="1">-SUMIFS(INDIRECT("Tab_00.Trial["&amp;X$4&amp;"]"),Tab_00.Trial[CONTA],$B98)</f>
        <v>0</v>
      </c>
      <c r="Y98" s="78">
        <f t="shared" ca="1" si="102"/>
        <v>0</v>
      </c>
      <c r="Z98" s="78">
        <f t="shared" ca="1" si="103"/>
        <v>0</v>
      </c>
      <c r="AA98" s="4">
        <f ca="1">-SUMIFS(INDIRECT("Tab_00.Trial["&amp;AA$4&amp;"]"),Tab_00.Trial[CONTA],$B98)</f>
        <v>0</v>
      </c>
      <c r="AB98" s="78">
        <f t="shared" ca="1" si="104"/>
        <v>0</v>
      </c>
      <c r="AC98" s="78">
        <f t="shared" ca="1" si="105"/>
        <v>0</v>
      </c>
      <c r="AD98" s="4">
        <f ca="1">-SUMIFS(INDIRECT("Tab_00.Trial["&amp;AD$4&amp;"]"),Tab_00.Trial[CONTA],$B98)</f>
        <v>0</v>
      </c>
      <c r="AE98" s="78">
        <f t="shared" ca="1" si="106"/>
        <v>0</v>
      </c>
      <c r="AF98" s="78">
        <f t="shared" ca="1" si="107"/>
        <v>0</v>
      </c>
      <c r="AG98" s="4">
        <f ca="1">-SUMIFS(INDIRECT("Tab_00.Trial["&amp;AG$4&amp;"]"),Tab_00.Trial[CONTA],$B98)</f>
        <v>0</v>
      </c>
      <c r="AH98" s="78">
        <f t="shared" ca="1" si="108"/>
        <v>0</v>
      </c>
      <c r="AI98" s="78">
        <f t="shared" ca="1" si="109"/>
        <v>0</v>
      </c>
      <c r="AJ98" s="4">
        <f ca="1">-SUMIFS(INDIRECT("Tab_00.Trial["&amp;AJ$4&amp;"]"),Tab_00.Trial[CONTA],$B98)</f>
        <v>0</v>
      </c>
      <c r="AK98" s="78">
        <f t="shared" ca="1" si="110"/>
        <v>0</v>
      </c>
      <c r="AL98" s="78">
        <f t="shared" ca="1" si="111"/>
        <v>0</v>
      </c>
    </row>
    <row r="99" spans="2:39" ht="5.0999999999999996" customHeight="1" outlineLevel="1" x14ac:dyDescent="0.3">
      <c r="B99" s="74"/>
      <c r="C99" s="75"/>
      <c r="D99" s="76"/>
      <c r="E99" s="77"/>
      <c r="F99" s="76"/>
      <c r="G99" s="77"/>
      <c r="H99" s="77"/>
      <c r="I99" s="76"/>
      <c r="J99" s="77"/>
      <c r="K99" s="77"/>
      <c r="L99" s="76"/>
      <c r="M99" s="77"/>
      <c r="N99" s="77"/>
      <c r="O99" s="76"/>
      <c r="P99" s="77"/>
      <c r="Q99" s="77"/>
      <c r="R99" s="76"/>
      <c r="S99" s="77"/>
      <c r="T99" s="77"/>
      <c r="U99" s="76"/>
      <c r="V99" s="77"/>
      <c r="W99" s="77"/>
      <c r="X99" s="76"/>
      <c r="Y99" s="77"/>
      <c r="Z99" s="77"/>
      <c r="AA99" s="76"/>
      <c r="AB99" s="77"/>
      <c r="AC99" s="77"/>
      <c r="AD99" s="76"/>
      <c r="AE99" s="77"/>
      <c r="AF99" s="77"/>
      <c r="AG99" s="76"/>
      <c r="AH99" s="77"/>
      <c r="AI99" s="77"/>
      <c r="AJ99" s="76"/>
      <c r="AK99" s="77"/>
      <c r="AL99" s="77"/>
    </row>
    <row r="100" spans="2:39" ht="15" customHeight="1" x14ac:dyDescent="0.3">
      <c r="B100" s="3" t="s">
        <v>105</v>
      </c>
      <c r="C100" s="3" t="s">
        <v>82</v>
      </c>
      <c r="D100" s="4">
        <f ca="1">SUBTOTAL(9,D$101:D$141)</f>
        <v>-108248.42</v>
      </c>
      <c r="E100" s="78">
        <f t="shared" ref="E100:E140" ca="1" si="112">IFERROR($D100/$D$6,0)</f>
        <v>-0.11600000000000001</v>
      </c>
      <c r="F100" s="4">
        <f ca="1">SUBTOTAL(9,F$101:F$141)</f>
        <v>-128288.6</v>
      </c>
      <c r="G100" s="78">
        <f ca="1">IFERROR($F100/$F$6,0)</f>
        <v>-8.7999999999999995E-2</v>
      </c>
      <c r="H100" s="78">
        <f t="shared" ref="H100:H140" ca="1" si="113">IFERROR(($F100-$D100)/ABS($D100),0)</f>
        <v>-0.18509999999999999</v>
      </c>
      <c r="I100" s="4">
        <f ca="1">SUBTOTAL(9,I$101:I$141)</f>
        <v>-321149.39</v>
      </c>
      <c r="J100" s="78">
        <f ca="1">IFERROR($I100/$I$6,0)</f>
        <v>-0.1094</v>
      </c>
      <c r="K100" s="78">
        <f ca="1">IFERROR(($I100-$F100)/ABS($F100),0)</f>
        <v>-1.5033000000000001</v>
      </c>
      <c r="L100" s="4">
        <f ca="1">SUBTOTAL(9,L$101:L$141)</f>
        <v>-448934.07</v>
      </c>
      <c r="M100" s="78">
        <f ca="1">IFERROR($L100/$L$6,0)</f>
        <v>-0.11409999999999999</v>
      </c>
      <c r="N100" s="78">
        <f ca="1">IFERROR(($L100-$I100)/ABS($I100),0)</f>
        <v>-0.39789999999999998</v>
      </c>
      <c r="O100" s="4">
        <f ca="1">SUBTOTAL(9,O$101:O$141)</f>
        <v>-555057.91</v>
      </c>
      <c r="P100" s="78">
        <f ca="1">IFERROR($O100/$O$6,0)</f>
        <v>-0.108</v>
      </c>
      <c r="Q100" s="78">
        <f ca="1">IFERROR(($O100-$L100)/ABS($L100),0)</f>
        <v>-0.2364</v>
      </c>
      <c r="R100" s="4">
        <f ca="1">SUBTOTAL(9,R$101:R$141)</f>
        <v>-768203.15</v>
      </c>
      <c r="S100" s="78">
        <f ca="1">IFERROR($R100/$R$6,0)</f>
        <v>-0.1069</v>
      </c>
      <c r="T100" s="78">
        <f ca="1">IFERROR(($R100-$O100)/ABS($O100),0)</f>
        <v>-0.38400000000000001</v>
      </c>
      <c r="U100" s="4">
        <f ca="1">SUBTOTAL(9,U$101:U$141)</f>
        <v>-768203.15</v>
      </c>
      <c r="V100" s="78">
        <f ca="1">IFERROR($U100/$U$6,0)</f>
        <v>-0.1069</v>
      </c>
      <c r="W100" s="78">
        <f ca="1">IFERROR(($U100-$R100)/ABS($R100),0)</f>
        <v>0</v>
      </c>
      <c r="X100" s="4">
        <f ca="1">SUBTOTAL(9,X$101:X$141)</f>
        <v>-768203.15</v>
      </c>
      <c r="Y100" s="78">
        <f ca="1">IFERROR($X100/$X$6,0)</f>
        <v>-0.1069</v>
      </c>
      <c r="Z100" s="78">
        <f ca="1">IFERROR(($X100-$U100)/ABS($U100),0)</f>
        <v>0</v>
      </c>
      <c r="AA100" s="4">
        <f ca="1">SUBTOTAL(9,AA$101:AA$141)</f>
        <v>-989684.51</v>
      </c>
      <c r="AB100" s="78">
        <f ca="1">IFERROR($AA100/$AA$6,0)</f>
        <v>-0.1077</v>
      </c>
      <c r="AC100" s="78">
        <f ca="1">IFERROR(($AA100-$X100)/ABS($X100),0)</f>
        <v>-0.2883</v>
      </c>
      <c r="AD100" s="4">
        <f ca="1">SUBTOTAL(9,AD$101:AD$141)</f>
        <v>-1106739.26</v>
      </c>
      <c r="AE100" s="78">
        <f ca="1">IFERROR($AD100/$AD$6,0)</f>
        <v>-0.10630000000000001</v>
      </c>
      <c r="AF100" s="78">
        <f ca="1">IFERROR(($AD100-$AA100)/ABS($AA100),0)</f>
        <v>-0.1183</v>
      </c>
      <c r="AG100" s="4">
        <f ca="1">SUBTOTAL(9,AG$101:AG$141)</f>
        <v>-1216471.01</v>
      </c>
      <c r="AH100" s="78">
        <f ca="1">IFERROR($AG100/$AG$6,0)</f>
        <v>-0.1075</v>
      </c>
      <c r="AI100" s="78">
        <f ca="1">IFERROR(($AG100-$AD100)/ABS($AD100),0)</f>
        <v>-9.9099999999999994E-2</v>
      </c>
      <c r="AJ100" s="4">
        <f ca="1">SUBTOTAL(9,AJ$101:AJ$141)</f>
        <v>-1347301.21</v>
      </c>
      <c r="AK100" s="78">
        <f ca="1">IFERROR($AJ100/$AJ$6,0)</f>
        <v>-0.10539999999999999</v>
      </c>
      <c r="AL100" s="78">
        <f ca="1">IFERROR(($AJ100-$AG100)/ABS($AG100),0)</f>
        <v>-0.1075</v>
      </c>
    </row>
    <row r="101" spans="2:39" ht="15" customHeight="1" outlineLevel="1" x14ac:dyDescent="0.3">
      <c r="B101" s="14" t="s">
        <v>455</v>
      </c>
      <c r="C101" s="14" t="s">
        <v>456</v>
      </c>
      <c r="D101" s="4">
        <f ca="1">-SUMIFS(INDIRECT("Tab_00.Trial["&amp;D$4&amp;"]"),Tab_00.Trial[CONTA],$B101)</f>
        <v>-1014</v>
      </c>
      <c r="E101" s="78">
        <f t="shared" ca="1" si="112"/>
        <v>-1.1000000000000001E-3</v>
      </c>
      <c r="F101" s="4">
        <f ca="1">-SUMIFS(INDIRECT("Tab_00.Trial["&amp;F$4&amp;"]"),Tab_00.Trial[CONTA],$B101)</f>
        <v>-1014</v>
      </c>
      <c r="G101" s="78">
        <f t="shared" ca="1" si="91"/>
        <v>-6.9999999999999999E-4</v>
      </c>
      <c r="H101" s="78">
        <f t="shared" ca="1" si="113"/>
        <v>0</v>
      </c>
      <c r="I101" s="4">
        <f ca="1">-SUMIFS(INDIRECT("Tab_00.Trial["&amp;I$4&amp;"]"),Tab_00.Trial[CONTA],$B101)</f>
        <v>-1014</v>
      </c>
      <c r="J101" s="78">
        <f t="shared" ca="1" si="92"/>
        <v>-2.9999999999999997E-4</v>
      </c>
      <c r="K101" s="78">
        <f t="shared" ca="1" si="93"/>
        <v>0</v>
      </c>
      <c r="L101" s="4">
        <f ca="1">-SUMIFS(INDIRECT("Tab_00.Trial["&amp;L$4&amp;"]"),Tab_00.Trial[CONTA],$B101)</f>
        <v>-1014</v>
      </c>
      <c r="M101" s="78">
        <f t="shared" ca="1" si="94"/>
        <v>-2.9999999999999997E-4</v>
      </c>
      <c r="N101" s="78">
        <f t="shared" ca="1" si="95"/>
        <v>0</v>
      </c>
      <c r="O101" s="4">
        <f ca="1">-SUMIFS(INDIRECT("Tab_00.Trial["&amp;O$4&amp;"]"),Tab_00.Trial[CONTA],$B101)</f>
        <v>-1014</v>
      </c>
      <c r="P101" s="78">
        <f t="shared" ref="P101:P140" ca="1" si="114">IFERROR($O101/$O$6,0)</f>
        <v>-2.0000000000000001E-4</v>
      </c>
      <c r="Q101" s="78">
        <f t="shared" ref="Q101:Q140" ca="1" si="115">IFERROR(($O101-$L101)/ABS($L101),0)</f>
        <v>0</v>
      </c>
      <c r="R101" s="4">
        <f ca="1">-SUMIFS(INDIRECT("Tab_00.Trial["&amp;R$4&amp;"]"),Tab_00.Trial[CONTA],$B101)</f>
        <v>-1014</v>
      </c>
      <c r="S101" s="78">
        <f t="shared" ca="1" si="98"/>
        <v>-1E-4</v>
      </c>
      <c r="T101" s="78">
        <f t="shared" ca="1" si="99"/>
        <v>0</v>
      </c>
      <c r="U101" s="4">
        <f ca="1">-SUMIFS(INDIRECT("Tab_00.Trial["&amp;U$4&amp;"]"),Tab_00.Trial[CONTA],$B101)</f>
        <v>-1014</v>
      </c>
      <c r="V101" s="78">
        <f t="shared" ca="1" si="100"/>
        <v>-1E-4</v>
      </c>
      <c r="W101" s="78">
        <f t="shared" ca="1" si="101"/>
        <v>0</v>
      </c>
      <c r="X101" s="4">
        <f ca="1">-SUMIFS(INDIRECT("Tab_00.Trial["&amp;X$4&amp;"]"),Tab_00.Trial[CONTA],$B101)</f>
        <v>-1014</v>
      </c>
      <c r="Y101" s="78">
        <f t="shared" ref="Y101:Y140" ca="1" si="116">IFERROR($X101/$X$6,0)</f>
        <v>-1E-4</v>
      </c>
      <c r="Z101" s="78">
        <f t="shared" ref="Z101:Z140" ca="1" si="117">IFERROR(($X101-$U101)/ABS($U101),0)</f>
        <v>0</v>
      </c>
      <c r="AA101" s="4">
        <f ca="1">-SUMIFS(INDIRECT("Tab_00.Trial["&amp;AA$4&amp;"]"),Tab_00.Trial[CONTA],$B101)</f>
        <v>-1014</v>
      </c>
      <c r="AB101" s="78">
        <f t="shared" ca="1" si="104"/>
        <v>-1E-4</v>
      </c>
      <c r="AC101" s="78">
        <f t="shared" ca="1" si="105"/>
        <v>0</v>
      </c>
      <c r="AD101" s="4">
        <f ca="1">-SUMIFS(INDIRECT("Tab_00.Trial["&amp;AD$4&amp;"]"),Tab_00.Trial[CONTA],$B101)</f>
        <v>-1014</v>
      </c>
      <c r="AE101" s="78">
        <f t="shared" ca="1" si="106"/>
        <v>-1E-4</v>
      </c>
      <c r="AF101" s="78">
        <f t="shared" ca="1" si="107"/>
        <v>0</v>
      </c>
      <c r="AG101" s="4">
        <f ca="1">-SUMIFS(INDIRECT("Tab_00.Trial["&amp;AG$4&amp;"]"),Tab_00.Trial[CONTA],$B101)</f>
        <v>-1014</v>
      </c>
      <c r="AH101" s="78">
        <f t="shared" ca="1" si="108"/>
        <v>-1E-4</v>
      </c>
      <c r="AI101" s="78">
        <f t="shared" ca="1" si="109"/>
        <v>0</v>
      </c>
      <c r="AJ101" s="4">
        <f ca="1">-SUMIFS(INDIRECT("Tab_00.Trial["&amp;AJ$4&amp;"]"),Tab_00.Trial[CONTA],$B101)</f>
        <v>-1133.6099999999999</v>
      </c>
      <c r="AK101" s="78">
        <f t="shared" ca="1" si="110"/>
        <v>-1E-4</v>
      </c>
      <c r="AL101" s="78">
        <f t="shared" ca="1" si="111"/>
        <v>-0.11799999999999999</v>
      </c>
    </row>
    <row r="102" spans="2:39" ht="15" customHeight="1" outlineLevel="1" x14ac:dyDescent="0.3">
      <c r="B102" s="14" t="s">
        <v>457</v>
      </c>
      <c r="C102" s="14" t="s">
        <v>458</v>
      </c>
      <c r="D102" s="4">
        <f ca="1">-SUMIFS(INDIRECT("Tab_00.Trial["&amp;D$4&amp;"]"),Tab_00.Trial[CONTA],$B102)</f>
        <v>-190</v>
      </c>
      <c r="E102" s="78">
        <f t="shared" ca="1" si="112"/>
        <v>-2.0000000000000001E-4</v>
      </c>
      <c r="F102" s="4">
        <f ca="1">-SUMIFS(INDIRECT("Tab_00.Trial["&amp;F$4&amp;"]"),Tab_00.Trial[CONTA],$B102)</f>
        <v>-425</v>
      </c>
      <c r="G102" s="78">
        <f t="shared" ca="1" si="91"/>
        <v>-2.9999999999999997E-4</v>
      </c>
      <c r="H102" s="78">
        <f t="shared" ca="1" si="113"/>
        <v>-1.2367999999999999</v>
      </c>
      <c r="I102" s="4">
        <f ca="1">-SUMIFS(INDIRECT("Tab_00.Trial["&amp;I$4&amp;"]"),Tab_00.Trial[CONTA],$B102)</f>
        <v>-660</v>
      </c>
      <c r="J102" s="78">
        <f t="shared" ca="1" si="92"/>
        <v>-2.0000000000000001E-4</v>
      </c>
      <c r="K102" s="78">
        <f t="shared" ca="1" si="93"/>
        <v>-0.55289999999999995</v>
      </c>
      <c r="L102" s="4">
        <f ca="1">-SUMIFS(INDIRECT("Tab_00.Trial["&amp;L$4&amp;"]"),Tab_00.Trial[CONTA],$B102)</f>
        <v>-890</v>
      </c>
      <c r="M102" s="78">
        <f t="shared" ca="1" si="94"/>
        <v>-2.0000000000000001E-4</v>
      </c>
      <c r="N102" s="78">
        <f t="shared" ca="1" si="95"/>
        <v>-0.34849999999999998</v>
      </c>
      <c r="O102" s="4">
        <f ca="1">-SUMIFS(INDIRECT("Tab_00.Trial["&amp;O$4&amp;"]"),Tab_00.Trial[CONTA],$B102)</f>
        <v>-1080</v>
      </c>
      <c r="P102" s="78">
        <f t="shared" ca="1" si="114"/>
        <v>-2.0000000000000001E-4</v>
      </c>
      <c r="Q102" s="78">
        <f t="shared" ca="1" si="115"/>
        <v>-0.2135</v>
      </c>
      <c r="R102" s="4">
        <f ca="1">-SUMIFS(INDIRECT("Tab_00.Trial["&amp;R$4&amp;"]"),Tab_00.Trial[CONTA],$B102)</f>
        <v>-1545</v>
      </c>
      <c r="S102" s="78">
        <f t="shared" ca="1" si="98"/>
        <v>-2.0000000000000001E-4</v>
      </c>
      <c r="T102" s="78">
        <f t="shared" ca="1" si="99"/>
        <v>-0.43059999999999998</v>
      </c>
      <c r="U102" s="4">
        <f ca="1">-SUMIFS(INDIRECT("Tab_00.Trial["&amp;U$4&amp;"]"),Tab_00.Trial[CONTA],$B102)</f>
        <v>-1545</v>
      </c>
      <c r="V102" s="78">
        <f t="shared" ca="1" si="100"/>
        <v>-2.0000000000000001E-4</v>
      </c>
      <c r="W102" s="78">
        <f t="shared" ca="1" si="101"/>
        <v>0</v>
      </c>
      <c r="X102" s="4">
        <f ca="1">-SUMIFS(INDIRECT("Tab_00.Trial["&amp;X$4&amp;"]"),Tab_00.Trial[CONTA],$B102)</f>
        <v>-1545</v>
      </c>
      <c r="Y102" s="78">
        <f t="shared" ca="1" si="116"/>
        <v>-2.0000000000000001E-4</v>
      </c>
      <c r="Z102" s="78">
        <f t="shared" ca="1" si="117"/>
        <v>0</v>
      </c>
      <c r="AA102" s="4">
        <f ca="1">-SUMIFS(INDIRECT("Tab_00.Trial["&amp;AA$4&amp;"]"),Tab_00.Trial[CONTA],$B102)</f>
        <v>-2925</v>
      </c>
      <c r="AB102" s="78">
        <f t="shared" ca="1" si="104"/>
        <v>-2.9999999999999997E-4</v>
      </c>
      <c r="AC102" s="78">
        <f t="shared" ca="1" si="105"/>
        <v>-0.89319999999999999</v>
      </c>
      <c r="AD102" s="4">
        <f ca="1">-SUMIFS(INDIRECT("Tab_00.Trial["&amp;AD$4&amp;"]"),Tab_00.Trial[CONTA],$B102)</f>
        <v>-3205</v>
      </c>
      <c r="AE102" s="78">
        <f t="shared" ca="1" si="106"/>
        <v>-2.9999999999999997E-4</v>
      </c>
      <c r="AF102" s="78">
        <f t="shared" ca="1" si="107"/>
        <v>-9.5699999999999993E-2</v>
      </c>
      <c r="AG102" s="4">
        <f ca="1">-SUMIFS(INDIRECT("Tab_00.Trial["&amp;AG$4&amp;"]"),Tab_00.Trial[CONTA],$B102)</f>
        <v>-3395</v>
      </c>
      <c r="AH102" s="78">
        <f t="shared" ca="1" si="108"/>
        <v>-2.9999999999999997E-4</v>
      </c>
      <c r="AI102" s="78">
        <f t="shared" ca="1" si="109"/>
        <v>-5.9299999999999999E-2</v>
      </c>
      <c r="AJ102" s="4">
        <f ca="1">-SUMIFS(INDIRECT("Tab_00.Trial["&amp;AJ$4&amp;"]"),Tab_00.Trial[CONTA],$B102)</f>
        <v>-3625</v>
      </c>
      <c r="AK102" s="78">
        <f t="shared" ca="1" si="110"/>
        <v>-2.9999999999999997E-4</v>
      </c>
      <c r="AL102" s="78">
        <f t="shared" ca="1" si="111"/>
        <v>-6.7699999999999996E-2</v>
      </c>
    </row>
    <row r="103" spans="2:39" ht="15" customHeight="1" outlineLevel="1" x14ac:dyDescent="0.3">
      <c r="B103" s="14" t="s">
        <v>473</v>
      </c>
      <c r="C103" s="14" t="s">
        <v>474</v>
      </c>
      <c r="D103" s="4">
        <f ca="1">-SUMIFS(INDIRECT("Tab_00.Trial["&amp;D$4&amp;"]"),Tab_00.Trial[CONTA],$B103)</f>
        <v>-4500</v>
      </c>
      <c r="E103" s="78">
        <f t="shared" ca="1" si="112"/>
        <v>-4.7999999999999996E-3</v>
      </c>
      <c r="F103" s="4">
        <f ca="1">-SUMIFS(INDIRECT("Tab_00.Trial["&amp;F$4&amp;"]"),Tab_00.Trial[CONTA],$B103)</f>
        <v>-9000</v>
      </c>
      <c r="G103" s="78">
        <f t="shared" ca="1" si="91"/>
        <v>-6.1999999999999998E-3</v>
      </c>
      <c r="H103" s="78">
        <f t="shared" ca="1" si="113"/>
        <v>-1</v>
      </c>
      <c r="I103" s="4">
        <f ca="1">-SUMIFS(INDIRECT("Tab_00.Trial["&amp;I$4&amp;"]"),Tab_00.Trial[CONTA],$B103)</f>
        <v>-13500</v>
      </c>
      <c r="J103" s="78">
        <f t="shared" ca="1" si="92"/>
        <v>-4.5999999999999999E-3</v>
      </c>
      <c r="K103" s="78">
        <f t="shared" ca="1" si="93"/>
        <v>-0.5</v>
      </c>
      <c r="L103" s="4">
        <f ca="1">-SUMIFS(INDIRECT("Tab_00.Trial["&amp;L$4&amp;"]"),Tab_00.Trial[CONTA],$B103)</f>
        <v>-18000</v>
      </c>
      <c r="M103" s="78">
        <f t="shared" ca="1" si="94"/>
        <v>-4.5999999999999999E-3</v>
      </c>
      <c r="N103" s="78">
        <f t="shared" ca="1" si="95"/>
        <v>-0.33329999999999999</v>
      </c>
      <c r="O103" s="4">
        <f ca="1">-SUMIFS(INDIRECT("Tab_00.Trial["&amp;O$4&amp;"]"),Tab_00.Trial[CONTA],$B103)</f>
        <v>-22500</v>
      </c>
      <c r="P103" s="78">
        <f t="shared" ca="1" si="114"/>
        <v>-4.4000000000000003E-3</v>
      </c>
      <c r="Q103" s="78">
        <f t="shared" ca="1" si="115"/>
        <v>-0.25</v>
      </c>
      <c r="R103" s="4">
        <f ca="1">-SUMIFS(INDIRECT("Tab_00.Trial["&amp;R$4&amp;"]"),Tab_00.Trial[CONTA],$B103)</f>
        <v>-31500</v>
      </c>
      <c r="S103" s="78">
        <f t="shared" ca="1" si="98"/>
        <v>-4.4000000000000003E-3</v>
      </c>
      <c r="T103" s="78">
        <f t="shared" ca="1" si="99"/>
        <v>-0.4</v>
      </c>
      <c r="U103" s="4">
        <f ca="1">-SUMIFS(INDIRECT("Tab_00.Trial["&amp;U$4&amp;"]"),Tab_00.Trial[CONTA],$B103)</f>
        <v>-31500</v>
      </c>
      <c r="V103" s="78">
        <f t="shared" ca="1" si="100"/>
        <v>-4.4000000000000003E-3</v>
      </c>
      <c r="W103" s="78">
        <f t="shared" ca="1" si="101"/>
        <v>0</v>
      </c>
      <c r="X103" s="4">
        <f ca="1">-SUMIFS(INDIRECT("Tab_00.Trial["&amp;X$4&amp;"]"),Tab_00.Trial[CONTA],$B103)</f>
        <v>-31500</v>
      </c>
      <c r="Y103" s="78">
        <f t="shared" ca="1" si="116"/>
        <v>-4.4000000000000003E-3</v>
      </c>
      <c r="Z103" s="78">
        <f t="shared" ca="1" si="117"/>
        <v>0</v>
      </c>
      <c r="AA103" s="4">
        <f ca="1">-SUMIFS(INDIRECT("Tab_00.Trial["&amp;AA$4&amp;"]"),Tab_00.Trial[CONTA],$B103)</f>
        <v>-40500</v>
      </c>
      <c r="AB103" s="78">
        <f t="shared" ca="1" si="104"/>
        <v>-4.4000000000000003E-3</v>
      </c>
      <c r="AC103" s="78">
        <f t="shared" ca="1" si="105"/>
        <v>-0.28570000000000001</v>
      </c>
      <c r="AD103" s="4">
        <f ca="1">-SUMIFS(INDIRECT("Tab_00.Trial["&amp;AD$4&amp;"]"),Tab_00.Trial[CONTA],$B103)</f>
        <v>-45000</v>
      </c>
      <c r="AE103" s="78">
        <f t="shared" ca="1" si="106"/>
        <v>-4.3E-3</v>
      </c>
      <c r="AF103" s="78">
        <f t="shared" ca="1" si="107"/>
        <v>-0.1111</v>
      </c>
      <c r="AG103" s="4">
        <f ca="1">-SUMIFS(INDIRECT("Tab_00.Trial["&amp;AG$4&amp;"]"),Tab_00.Trial[CONTA],$B103)</f>
        <v>-49500</v>
      </c>
      <c r="AH103" s="78">
        <f t="shared" ca="1" si="108"/>
        <v>-4.4000000000000003E-3</v>
      </c>
      <c r="AI103" s="78">
        <f t="shared" ca="1" si="109"/>
        <v>-0.1</v>
      </c>
      <c r="AJ103" s="4">
        <f ca="1">-SUMIFS(INDIRECT("Tab_00.Trial["&amp;AJ$4&amp;"]"),Tab_00.Trial[CONTA],$B103)</f>
        <v>-54000</v>
      </c>
      <c r="AK103" s="78">
        <f t="shared" ca="1" si="110"/>
        <v>-4.1999999999999997E-3</v>
      </c>
      <c r="AL103" s="78">
        <f t="shared" ca="1" si="111"/>
        <v>-9.0899999999999995E-2</v>
      </c>
      <c r="AM103" s="1" t="s">
        <v>771</v>
      </c>
    </row>
    <row r="104" spans="2:39" ht="15" customHeight="1" outlineLevel="1" x14ac:dyDescent="0.3">
      <c r="B104" s="14" t="s">
        <v>475</v>
      </c>
      <c r="C104" s="14" t="s">
        <v>476</v>
      </c>
      <c r="D104" s="4">
        <f ca="1">-SUMIFS(INDIRECT("Tab_00.Trial["&amp;D$4&amp;"]"),Tab_00.Trial[CONTA],$B104)</f>
        <v>0</v>
      </c>
      <c r="E104" s="78">
        <f t="shared" ca="1" si="112"/>
        <v>0</v>
      </c>
      <c r="F104" s="4">
        <f ca="1">-SUMIFS(INDIRECT("Tab_00.Trial["&amp;F$4&amp;"]"),Tab_00.Trial[CONTA],$B104)</f>
        <v>0</v>
      </c>
      <c r="G104" s="78">
        <f t="shared" ca="1" si="91"/>
        <v>0</v>
      </c>
      <c r="H104" s="78">
        <f t="shared" ca="1" si="113"/>
        <v>0</v>
      </c>
      <c r="I104" s="4">
        <f ca="1">-SUMIFS(INDIRECT("Tab_00.Trial["&amp;I$4&amp;"]"),Tab_00.Trial[CONTA],$B104)</f>
        <v>0</v>
      </c>
      <c r="J104" s="78">
        <f t="shared" ca="1" si="92"/>
        <v>0</v>
      </c>
      <c r="K104" s="78">
        <f t="shared" ca="1" si="93"/>
        <v>0</v>
      </c>
      <c r="L104" s="4">
        <f ca="1">-SUMIFS(INDIRECT("Tab_00.Trial["&amp;L$4&amp;"]"),Tab_00.Trial[CONTA],$B104)</f>
        <v>0</v>
      </c>
      <c r="M104" s="78">
        <f t="shared" ca="1" si="94"/>
        <v>0</v>
      </c>
      <c r="N104" s="78">
        <f t="shared" ca="1" si="95"/>
        <v>0</v>
      </c>
      <c r="O104" s="4">
        <f ca="1">-SUMIFS(INDIRECT("Tab_00.Trial["&amp;O$4&amp;"]"),Tab_00.Trial[CONTA],$B104)</f>
        <v>0</v>
      </c>
      <c r="P104" s="78">
        <f t="shared" ca="1" si="114"/>
        <v>0</v>
      </c>
      <c r="Q104" s="78">
        <f t="shared" ca="1" si="115"/>
        <v>0</v>
      </c>
      <c r="R104" s="4">
        <f ca="1">-SUMIFS(INDIRECT("Tab_00.Trial["&amp;R$4&amp;"]"),Tab_00.Trial[CONTA],$B104)</f>
        <v>0</v>
      </c>
      <c r="S104" s="78">
        <f t="shared" ca="1" si="98"/>
        <v>0</v>
      </c>
      <c r="T104" s="78">
        <f t="shared" ca="1" si="99"/>
        <v>0</v>
      </c>
      <c r="U104" s="4">
        <f ca="1">-SUMIFS(INDIRECT("Tab_00.Trial["&amp;U$4&amp;"]"),Tab_00.Trial[CONTA],$B104)</f>
        <v>0</v>
      </c>
      <c r="V104" s="78">
        <f t="shared" ca="1" si="100"/>
        <v>0</v>
      </c>
      <c r="W104" s="78">
        <f t="shared" ca="1" si="101"/>
        <v>0</v>
      </c>
      <c r="X104" s="4">
        <f ca="1">-SUMIFS(INDIRECT("Tab_00.Trial["&amp;X$4&amp;"]"),Tab_00.Trial[CONTA],$B104)</f>
        <v>0</v>
      </c>
      <c r="Y104" s="78">
        <f t="shared" ca="1" si="116"/>
        <v>0</v>
      </c>
      <c r="Z104" s="78">
        <f t="shared" ca="1" si="117"/>
        <v>0</v>
      </c>
      <c r="AA104" s="4">
        <f ca="1">-SUMIFS(INDIRECT("Tab_00.Trial["&amp;AA$4&amp;"]"),Tab_00.Trial[CONTA],$B104)</f>
        <v>0</v>
      </c>
      <c r="AB104" s="78">
        <f t="shared" ca="1" si="104"/>
        <v>0</v>
      </c>
      <c r="AC104" s="78">
        <f t="shared" ca="1" si="105"/>
        <v>0</v>
      </c>
      <c r="AD104" s="4">
        <f ca="1">-SUMIFS(INDIRECT("Tab_00.Trial["&amp;AD$4&amp;"]"),Tab_00.Trial[CONTA],$B104)</f>
        <v>0</v>
      </c>
      <c r="AE104" s="78">
        <f t="shared" ca="1" si="106"/>
        <v>0</v>
      </c>
      <c r="AF104" s="78">
        <f t="shared" ca="1" si="107"/>
        <v>0</v>
      </c>
      <c r="AG104" s="4">
        <f ca="1">-SUMIFS(INDIRECT("Tab_00.Trial["&amp;AG$4&amp;"]"),Tab_00.Trial[CONTA],$B104)</f>
        <v>0</v>
      </c>
      <c r="AH104" s="78">
        <f t="shared" ca="1" si="108"/>
        <v>0</v>
      </c>
      <c r="AI104" s="78">
        <f t="shared" ca="1" si="109"/>
        <v>0</v>
      </c>
      <c r="AJ104" s="4">
        <f ca="1">-SUMIFS(INDIRECT("Tab_00.Trial["&amp;AJ$4&amp;"]"),Tab_00.Trial[CONTA],$B104)</f>
        <v>0</v>
      </c>
      <c r="AK104" s="78">
        <f t="shared" ca="1" si="110"/>
        <v>0</v>
      </c>
      <c r="AL104" s="78">
        <f t="shared" ca="1" si="111"/>
        <v>0</v>
      </c>
    </row>
    <row r="105" spans="2:39" ht="15" customHeight="1" outlineLevel="1" x14ac:dyDescent="0.3">
      <c r="B105" s="14" t="s">
        <v>477</v>
      </c>
      <c r="C105" s="14" t="s">
        <v>478</v>
      </c>
      <c r="D105" s="4">
        <f ca="1">-SUMIFS(INDIRECT("Tab_00.Trial["&amp;D$4&amp;"]"),Tab_00.Trial[CONTA],$B105)</f>
        <v>0</v>
      </c>
      <c r="E105" s="78">
        <f t="shared" ca="1" si="112"/>
        <v>0</v>
      </c>
      <c r="F105" s="4">
        <f ca="1">-SUMIFS(INDIRECT("Tab_00.Trial["&amp;F$4&amp;"]"),Tab_00.Trial[CONTA],$B105)</f>
        <v>0</v>
      </c>
      <c r="G105" s="78">
        <f t="shared" ca="1" si="91"/>
        <v>0</v>
      </c>
      <c r="H105" s="78">
        <f t="shared" ca="1" si="113"/>
        <v>0</v>
      </c>
      <c r="I105" s="4">
        <f ca="1">-SUMIFS(INDIRECT("Tab_00.Trial["&amp;I$4&amp;"]"),Tab_00.Trial[CONTA],$B105)</f>
        <v>0</v>
      </c>
      <c r="J105" s="78">
        <f t="shared" ca="1" si="92"/>
        <v>0</v>
      </c>
      <c r="K105" s="78">
        <f t="shared" ca="1" si="93"/>
        <v>0</v>
      </c>
      <c r="L105" s="4">
        <f ca="1">-SUMIFS(INDIRECT("Tab_00.Trial["&amp;L$4&amp;"]"),Tab_00.Trial[CONTA],$B105)</f>
        <v>0</v>
      </c>
      <c r="M105" s="78">
        <f t="shared" ca="1" si="94"/>
        <v>0</v>
      </c>
      <c r="N105" s="78">
        <f t="shared" ca="1" si="95"/>
        <v>0</v>
      </c>
      <c r="O105" s="4">
        <f ca="1">-SUMIFS(INDIRECT("Tab_00.Trial["&amp;O$4&amp;"]"),Tab_00.Trial[CONTA],$B105)</f>
        <v>0</v>
      </c>
      <c r="P105" s="78">
        <f t="shared" ca="1" si="114"/>
        <v>0</v>
      </c>
      <c r="Q105" s="78">
        <f t="shared" ca="1" si="115"/>
        <v>0</v>
      </c>
      <c r="R105" s="4">
        <f ca="1">-SUMIFS(INDIRECT("Tab_00.Trial["&amp;R$4&amp;"]"),Tab_00.Trial[CONTA],$B105)</f>
        <v>0</v>
      </c>
      <c r="S105" s="78">
        <f t="shared" ca="1" si="98"/>
        <v>0</v>
      </c>
      <c r="T105" s="78">
        <f t="shared" ca="1" si="99"/>
        <v>0</v>
      </c>
      <c r="U105" s="4">
        <f ca="1">-SUMIFS(INDIRECT("Tab_00.Trial["&amp;U$4&amp;"]"),Tab_00.Trial[CONTA],$B105)</f>
        <v>0</v>
      </c>
      <c r="V105" s="78">
        <f t="shared" ca="1" si="100"/>
        <v>0</v>
      </c>
      <c r="W105" s="78">
        <f t="shared" ca="1" si="101"/>
        <v>0</v>
      </c>
      <c r="X105" s="4">
        <f ca="1">-SUMIFS(INDIRECT("Tab_00.Trial["&amp;X$4&amp;"]"),Tab_00.Trial[CONTA],$B105)</f>
        <v>0</v>
      </c>
      <c r="Y105" s="78">
        <f t="shared" ca="1" si="116"/>
        <v>0</v>
      </c>
      <c r="Z105" s="78">
        <f t="shared" ca="1" si="117"/>
        <v>0</v>
      </c>
      <c r="AA105" s="4">
        <f ca="1">-SUMIFS(INDIRECT("Tab_00.Trial["&amp;AA$4&amp;"]"),Tab_00.Trial[CONTA],$B105)</f>
        <v>0</v>
      </c>
      <c r="AB105" s="78">
        <f t="shared" ca="1" si="104"/>
        <v>0</v>
      </c>
      <c r="AC105" s="78">
        <f t="shared" ca="1" si="105"/>
        <v>0</v>
      </c>
      <c r="AD105" s="4">
        <f ca="1">-SUMIFS(INDIRECT("Tab_00.Trial["&amp;AD$4&amp;"]"),Tab_00.Trial[CONTA],$B105)</f>
        <v>0</v>
      </c>
      <c r="AE105" s="78">
        <f t="shared" ca="1" si="106"/>
        <v>0</v>
      </c>
      <c r="AF105" s="78">
        <f t="shared" ca="1" si="107"/>
        <v>0</v>
      </c>
      <c r="AG105" s="4">
        <f ca="1">-SUMIFS(INDIRECT("Tab_00.Trial["&amp;AG$4&amp;"]"),Tab_00.Trial[CONTA],$B105)</f>
        <v>0</v>
      </c>
      <c r="AH105" s="78">
        <f t="shared" ca="1" si="108"/>
        <v>0</v>
      </c>
      <c r="AI105" s="78">
        <f t="shared" ca="1" si="109"/>
        <v>0</v>
      </c>
      <c r="AJ105" s="4">
        <f ca="1">-SUMIFS(INDIRECT("Tab_00.Trial["&amp;AJ$4&amp;"]"),Tab_00.Trial[CONTA],$B105)</f>
        <v>0</v>
      </c>
      <c r="AK105" s="78">
        <f t="shared" ca="1" si="110"/>
        <v>0</v>
      </c>
      <c r="AL105" s="78">
        <f t="shared" ca="1" si="111"/>
        <v>0</v>
      </c>
    </row>
    <row r="106" spans="2:39" ht="15" customHeight="1" outlineLevel="1" x14ac:dyDescent="0.3">
      <c r="B106" s="14" t="s">
        <v>480</v>
      </c>
      <c r="C106" s="14" t="s">
        <v>481</v>
      </c>
      <c r="D106" s="4">
        <f ca="1">-SUMIFS(INDIRECT("Tab_00.Trial["&amp;D$4&amp;"]"),Tab_00.Trial[CONTA],$B106)</f>
        <v>-57486</v>
      </c>
      <c r="E106" s="78">
        <f t="shared" ca="1" si="112"/>
        <v>-6.1600000000000002E-2</v>
      </c>
      <c r="F106" s="4">
        <f ca="1">-SUMIFS(INDIRECT("Tab_00.Trial["&amp;F$4&amp;"]"),Tab_00.Trial[CONTA],$B106)</f>
        <v>-57486</v>
      </c>
      <c r="G106" s="78">
        <f t="shared" ca="1" si="91"/>
        <v>-3.9399999999999998E-2</v>
      </c>
      <c r="H106" s="78">
        <f t="shared" ca="1" si="113"/>
        <v>0</v>
      </c>
      <c r="I106" s="4">
        <f ca="1">-SUMIFS(INDIRECT("Tab_00.Trial["&amp;I$4&amp;"]"),Tab_00.Trial[CONTA],$B106)</f>
        <v>-172458</v>
      </c>
      <c r="J106" s="78">
        <f t="shared" ca="1" si="92"/>
        <v>-5.8799999999999998E-2</v>
      </c>
      <c r="K106" s="78">
        <f t="shared" ca="1" si="93"/>
        <v>-2</v>
      </c>
      <c r="L106" s="4">
        <f ca="1">-SUMIFS(INDIRECT("Tab_00.Trial["&amp;L$4&amp;"]"),Tab_00.Trial[CONTA],$B106)</f>
        <v>-229944</v>
      </c>
      <c r="M106" s="78">
        <f t="shared" ca="1" si="94"/>
        <v>-5.8400000000000001E-2</v>
      </c>
      <c r="N106" s="78">
        <f t="shared" ca="1" si="95"/>
        <v>-0.33329999999999999</v>
      </c>
      <c r="O106" s="4">
        <f ca="1">-SUMIFS(INDIRECT("Tab_00.Trial["&amp;O$4&amp;"]"),Tab_00.Trial[CONTA],$B106)</f>
        <v>-287430</v>
      </c>
      <c r="P106" s="78">
        <f t="shared" ca="1" si="114"/>
        <v>-5.6000000000000001E-2</v>
      </c>
      <c r="Q106" s="78">
        <f t="shared" ca="1" si="115"/>
        <v>-0.25</v>
      </c>
      <c r="R106" s="4">
        <f ca="1">-SUMIFS(INDIRECT("Tab_00.Trial["&amp;R$4&amp;"]"),Tab_00.Trial[CONTA],$B106)</f>
        <v>-402402</v>
      </c>
      <c r="S106" s="78">
        <f t="shared" ca="1" si="98"/>
        <v>-5.6000000000000001E-2</v>
      </c>
      <c r="T106" s="78">
        <f t="shared" ca="1" si="99"/>
        <v>-0.4</v>
      </c>
      <c r="U106" s="4">
        <f ca="1">-SUMIFS(INDIRECT("Tab_00.Trial["&amp;U$4&amp;"]"),Tab_00.Trial[CONTA],$B106)</f>
        <v>-402402</v>
      </c>
      <c r="V106" s="78">
        <f t="shared" ca="1" si="100"/>
        <v>-5.6000000000000001E-2</v>
      </c>
      <c r="W106" s="78">
        <f t="shared" ca="1" si="101"/>
        <v>0</v>
      </c>
      <c r="X106" s="4">
        <f ca="1">-SUMIFS(INDIRECT("Tab_00.Trial["&amp;X$4&amp;"]"),Tab_00.Trial[CONTA],$B106)</f>
        <v>-402402</v>
      </c>
      <c r="Y106" s="78">
        <f t="shared" ca="1" si="116"/>
        <v>-5.6000000000000001E-2</v>
      </c>
      <c r="Z106" s="78">
        <f t="shared" ca="1" si="117"/>
        <v>0</v>
      </c>
      <c r="AA106" s="4">
        <f ca="1">-SUMIFS(INDIRECT("Tab_00.Trial["&amp;AA$4&amp;"]"),Tab_00.Trial[CONTA],$B106)</f>
        <v>-517374</v>
      </c>
      <c r="AB106" s="78">
        <f t="shared" ca="1" si="104"/>
        <v>-5.6300000000000003E-2</v>
      </c>
      <c r="AC106" s="78">
        <f t="shared" ca="1" si="105"/>
        <v>-0.28570000000000001</v>
      </c>
      <c r="AD106" s="4">
        <f ca="1">-SUMIFS(INDIRECT("Tab_00.Trial["&amp;AD$4&amp;"]"),Tab_00.Trial[CONTA],$B106)</f>
        <v>-574860</v>
      </c>
      <c r="AE106" s="78">
        <f t="shared" ca="1" si="106"/>
        <v>-5.5199999999999999E-2</v>
      </c>
      <c r="AF106" s="78">
        <f t="shared" ca="1" si="107"/>
        <v>-0.1111</v>
      </c>
      <c r="AG106" s="4">
        <f ca="1">-SUMIFS(INDIRECT("Tab_00.Trial["&amp;AG$4&amp;"]"),Tab_00.Trial[CONTA],$B106)</f>
        <v>-632346</v>
      </c>
      <c r="AH106" s="78">
        <f t="shared" ca="1" si="108"/>
        <v>-5.5899999999999998E-2</v>
      </c>
      <c r="AI106" s="78">
        <f t="shared" ca="1" si="109"/>
        <v>-0.1</v>
      </c>
      <c r="AJ106" s="4">
        <f ca="1">-SUMIFS(INDIRECT("Tab_00.Trial["&amp;AJ$4&amp;"]"),Tab_00.Trial[CONTA],$B106)</f>
        <v>-689832</v>
      </c>
      <c r="AK106" s="78">
        <f t="shared" ca="1" si="110"/>
        <v>-5.3900000000000003E-2</v>
      </c>
      <c r="AL106" s="78">
        <f t="shared" ca="1" si="111"/>
        <v>-9.0899999999999995E-2</v>
      </c>
    </row>
    <row r="107" spans="2:39" ht="15" customHeight="1" outlineLevel="1" x14ac:dyDescent="0.3">
      <c r="B107" s="14" t="s">
        <v>482</v>
      </c>
      <c r="C107" s="14" t="s">
        <v>483</v>
      </c>
      <c r="D107" s="4">
        <f ca="1">-SUMIFS(INDIRECT("Tab_00.Trial["&amp;D$4&amp;"]"),Tab_00.Trial[CONTA],$B107)</f>
        <v>-236.9</v>
      </c>
      <c r="E107" s="78">
        <f t="shared" ca="1" si="112"/>
        <v>-2.9999999999999997E-4</v>
      </c>
      <c r="F107" s="4">
        <f ca="1">-SUMIFS(INDIRECT("Tab_00.Trial["&amp;F$4&amp;"]"),Tab_00.Trial[CONTA],$B107)</f>
        <v>-1048.57</v>
      </c>
      <c r="G107" s="78">
        <f t="shared" ca="1" si="91"/>
        <v>-6.9999999999999999E-4</v>
      </c>
      <c r="H107" s="78">
        <f t="shared" ca="1" si="113"/>
        <v>-3.4262000000000001</v>
      </c>
      <c r="I107" s="4">
        <f ca="1">-SUMIFS(INDIRECT("Tab_00.Trial["&amp;I$4&amp;"]"),Tab_00.Trial[CONTA],$B107)</f>
        <v>-2236.27</v>
      </c>
      <c r="J107" s="78">
        <f t="shared" ca="1" si="92"/>
        <v>-8.0000000000000004E-4</v>
      </c>
      <c r="K107" s="78">
        <f t="shared" ca="1" si="93"/>
        <v>-1.1327</v>
      </c>
      <c r="L107" s="4">
        <f ca="1">-SUMIFS(INDIRECT("Tab_00.Trial["&amp;L$4&amp;"]"),Tab_00.Trial[CONTA],$B107)</f>
        <v>-2974.3</v>
      </c>
      <c r="M107" s="78">
        <f t="shared" ca="1" si="94"/>
        <v>-8.0000000000000004E-4</v>
      </c>
      <c r="N107" s="78">
        <f t="shared" ca="1" si="95"/>
        <v>-0.33</v>
      </c>
      <c r="O107" s="4">
        <f ca="1">-SUMIFS(INDIRECT("Tab_00.Trial["&amp;O$4&amp;"]"),Tab_00.Trial[CONTA],$B107)</f>
        <v>-3438.24</v>
      </c>
      <c r="P107" s="78">
        <f t="shared" ca="1" si="114"/>
        <v>-6.9999999999999999E-4</v>
      </c>
      <c r="Q107" s="78">
        <f t="shared" ca="1" si="115"/>
        <v>-0.156</v>
      </c>
      <c r="R107" s="4">
        <f ca="1">-SUMIFS(INDIRECT("Tab_00.Trial["&amp;R$4&amp;"]"),Tab_00.Trial[CONTA],$B107)</f>
        <v>-5005.3100000000004</v>
      </c>
      <c r="S107" s="78">
        <f t="shared" ca="1" si="98"/>
        <v>-6.9999999999999999E-4</v>
      </c>
      <c r="T107" s="78">
        <f t="shared" ca="1" si="99"/>
        <v>-0.45579999999999998</v>
      </c>
      <c r="U107" s="4">
        <f ca="1">-SUMIFS(INDIRECT("Tab_00.Trial["&amp;U$4&amp;"]"),Tab_00.Trial[CONTA],$B107)</f>
        <v>-5005.3100000000004</v>
      </c>
      <c r="V107" s="78">
        <f t="shared" ca="1" si="100"/>
        <v>-6.9999999999999999E-4</v>
      </c>
      <c r="W107" s="78">
        <f t="shared" ca="1" si="101"/>
        <v>0</v>
      </c>
      <c r="X107" s="4">
        <f ca="1">-SUMIFS(INDIRECT("Tab_00.Trial["&amp;X$4&amp;"]"),Tab_00.Trial[CONTA],$B107)</f>
        <v>-5005.3100000000004</v>
      </c>
      <c r="Y107" s="78">
        <f t="shared" ca="1" si="116"/>
        <v>-6.9999999999999999E-4</v>
      </c>
      <c r="Z107" s="78">
        <f t="shared" ca="1" si="117"/>
        <v>0</v>
      </c>
      <c r="AA107" s="4">
        <f ca="1">-SUMIFS(INDIRECT("Tab_00.Trial["&amp;AA$4&amp;"]"),Tab_00.Trial[CONTA],$B107)</f>
        <v>-5436.61</v>
      </c>
      <c r="AB107" s="78">
        <f t="shared" ca="1" si="104"/>
        <v>-5.9999999999999995E-4</v>
      </c>
      <c r="AC107" s="78">
        <f t="shared" ca="1" si="105"/>
        <v>-8.6199999999999999E-2</v>
      </c>
      <c r="AD107" s="4">
        <f ca="1">-SUMIFS(INDIRECT("Tab_00.Trial["&amp;AD$4&amp;"]"),Tab_00.Trial[CONTA],$B107)</f>
        <v>-5892.61</v>
      </c>
      <c r="AE107" s="78">
        <f t="shared" ca="1" si="106"/>
        <v>-5.9999999999999995E-4</v>
      </c>
      <c r="AF107" s="78">
        <f t="shared" ca="1" si="107"/>
        <v>-8.3900000000000002E-2</v>
      </c>
      <c r="AG107" s="4">
        <f ca="1">-SUMIFS(INDIRECT("Tab_00.Trial["&amp;AG$4&amp;"]"),Tab_00.Trial[CONTA],$B107)</f>
        <v>-7636.23</v>
      </c>
      <c r="AH107" s="78">
        <f t="shared" ca="1" si="108"/>
        <v>-6.9999999999999999E-4</v>
      </c>
      <c r="AI107" s="78">
        <f t="shared" ca="1" si="109"/>
        <v>-0.2959</v>
      </c>
      <c r="AJ107" s="4">
        <f ca="1">-SUMIFS(INDIRECT("Tab_00.Trial["&amp;AJ$4&amp;"]"),Tab_00.Trial[CONTA],$B107)</f>
        <v>-7804.23</v>
      </c>
      <c r="AK107" s="78">
        <f t="shared" ca="1" si="110"/>
        <v>-5.9999999999999995E-4</v>
      </c>
      <c r="AL107" s="78">
        <f t="shared" ca="1" si="111"/>
        <v>-2.1999999999999999E-2</v>
      </c>
    </row>
    <row r="108" spans="2:39" ht="15" customHeight="1" outlineLevel="1" x14ac:dyDescent="0.3">
      <c r="B108" s="14" t="s">
        <v>484</v>
      </c>
      <c r="C108" s="14" t="s">
        <v>485</v>
      </c>
      <c r="D108" s="4">
        <f ca="1">-SUMIFS(INDIRECT("Tab_00.Trial["&amp;D$4&amp;"]"),Tab_00.Trial[CONTA],$B108)</f>
        <v>-1202.05</v>
      </c>
      <c r="E108" s="78">
        <f t="shared" ca="1" si="112"/>
        <v>-1.2999999999999999E-3</v>
      </c>
      <c r="F108" s="4">
        <f ca="1">-SUMIFS(INDIRECT("Tab_00.Trial["&amp;F$4&amp;"]"),Tab_00.Trial[CONTA],$B108)</f>
        <v>-1202.05</v>
      </c>
      <c r="G108" s="78">
        <f t="shared" ca="1" si="91"/>
        <v>-8.0000000000000004E-4</v>
      </c>
      <c r="H108" s="78">
        <f t="shared" ca="1" si="113"/>
        <v>0</v>
      </c>
      <c r="I108" s="4">
        <f ca="1">-SUMIFS(INDIRECT("Tab_00.Trial["&amp;I$4&amp;"]"),Tab_00.Trial[CONTA],$B108)</f>
        <v>-2655.48</v>
      </c>
      <c r="J108" s="78">
        <f t="shared" ca="1" si="92"/>
        <v>-8.9999999999999998E-4</v>
      </c>
      <c r="K108" s="78">
        <f t="shared" ca="1" si="93"/>
        <v>-1.2091000000000001</v>
      </c>
      <c r="L108" s="4">
        <f ca="1">-SUMIFS(INDIRECT("Tab_00.Trial["&amp;L$4&amp;"]"),Tab_00.Trial[CONTA],$B108)</f>
        <v>-3435.48</v>
      </c>
      <c r="M108" s="78">
        <f t="shared" ca="1" si="94"/>
        <v>-8.9999999999999998E-4</v>
      </c>
      <c r="N108" s="78">
        <f t="shared" ca="1" si="95"/>
        <v>-0.29370000000000002</v>
      </c>
      <c r="O108" s="4">
        <f ca="1">-SUMIFS(INDIRECT("Tab_00.Trial["&amp;O$4&amp;"]"),Tab_00.Trial[CONTA],$B108)</f>
        <v>-3489.04</v>
      </c>
      <c r="P108" s="78">
        <f t="shared" ca="1" si="114"/>
        <v>-6.9999999999999999E-4</v>
      </c>
      <c r="Q108" s="78">
        <f t="shared" ca="1" si="115"/>
        <v>-1.5599999999999999E-2</v>
      </c>
      <c r="R108" s="4">
        <f ca="1">-SUMIFS(INDIRECT("Tab_00.Trial["&amp;R$4&amp;"]"),Tab_00.Trial[CONTA],$B108)</f>
        <v>-5300.34</v>
      </c>
      <c r="S108" s="78">
        <f t="shared" ca="1" si="98"/>
        <v>-6.9999999999999999E-4</v>
      </c>
      <c r="T108" s="78">
        <f t="shared" ca="1" si="99"/>
        <v>-0.51910000000000001</v>
      </c>
      <c r="U108" s="4">
        <f ca="1">-SUMIFS(INDIRECT("Tab_00.Trial["&amp;U$4&amp;"]"),Tab_00.Trial[CONTA],$B108)</f>
        <v>-5300.34</v>
      </c>
      <c r="V108" s="78">
        <f t="shared" ca="1" si="100"/>
        <v>-6.9999999999999999E-4</v>
      </c>
      <c r="W108" s="78">
        <f t="shared" ca="1" si="101"/>
        <v>0</v>
      </c>
      <c r="X108" s="4">
        <f ca="1">-SUMIFS(INDIRECT("Tab_00.Trial["&amp;X$4&amp;"]"),Tab_00.Trial[CONTA],$B108)</f>
        <v>-5300.34</v>
      </c>
      <c r="Y108" s="78">
        <f t="shared" ca="1" si="116"/>
        <v>-6.9999999999999999E-4</v>
      </c>
      <c r="Z108" s="78">
        <f t="shared" ca="1" si="117"/>
        <v>0</v>
      </c>
      <c r="AA108" s="4">
        <f ca="1">-SUMIFS(INDIRECT("Tab_00.Trial["&amp;AA$4&amp;"]"),Tab_00.Trial[CONTA],$B108)</f>
        <v>-7132.28</v>
      </c>
      <c r="AB108" s="78">
        <f t="shared" ca="1" si="104"/>
        <v>-8.0000000000000004E-4</v>
      </c>
      <c r="AC108" s="78">
        <f t="shared" ca="1" si="105"/>
        <v>-0.34560000000000002</v>
      </c>
      <c r="AD108" s="4">
        <f ca="1">-SUMIFS(INDIRECT("Tab_00.Trial["&amp;AD$4&amp;"]"),Tab_00.Trial[CONTA],$B108)</f>
        <v>-7976.61</v>
      </c>
      <c r="AE108" s="78">
        <f t="shared" ca="1" si="106"/>
        <v>-8.0000000000000004E-4</v>
      </c>
      <c r="AF108" s="78">
        <f t="shared" ca="1" si="107"/>
        <v>-0.11840000000000001</v>
      </c>
      <c r="AG108" s="4">
        <f ca="1">-SUMIFS(INDIRECT("Tab_00.Trial["&amp;AG$4&amp;"]"),Tab_00.Trial[CONTA],$B108)</f>
        <v>-9159.35</v>
      </c>
      <c r="AH108" s="78">
        <f t="shared" ca="1" si="108"/>
        <v>-8.0000000000000004E-4</v>
      </c>
      <c r="AI108" s="78">
        <f t="shared" ca="1" si="109"/>
        <v>-0.14829999999999999</v>
      </c>
      <c r="AJ108" s="4">
        <f ca="1">-SUMIFS(INDIRECT("Tab_00.Trial["&amp;AJ$4&amp;"]"),Tab_00.Trial[CONTA],$B108)</f>
        <v>-9159.35</v>
      </c>
      <c r="AK108" s="78">
        <f t="shared" ca="1" si="110"/>
        <v>-6.9999999999999999E-4</v>
      </c>
      <c r="AL108" s="78">
        <f t="shared" ca="1" si="111"/>
        <v>0</v>
      </c>
    </row>
    <row r="109" spans="2:39" ht="15" customHeight="1" outlineLevel="1" x14ac:dyDescent="0.3">
      <c r="B109" s="14" t="s">
        <v>486</v>
      </c>
      <c r="C109" s="14" t="s">
        <v>487</v>
      </c>
      <c r="D109" s="4">
        <f ca="1">-SUMIFS(INDIRECT("Tab_00.Trial["&amp;D$4&amp;"]"),Tab_00.Trial[CONTA],$B109)</f>
        <v>0</v>
      </c>
      <c r="E109" s="78">
        <f t="shared" ca="1" si="112"/>
        <v>0</v>
      </c>
      <c r="F109" s="4">
        <f ca="1">-SUMIFS(INDIRECT("Tab_00.Trial["&amp;F$4&amp;"]"),Tab_00.Trial[CONTA],$B109)</f>
        <v>0</v>
      </c>
      <c r="G109" s="78">
        <f t="shared" ca="1" si="91"/>
        <v>0</v>
      </c>
      <c r="H109" s="78">
        <f t="shared" ca="1" si="113"/>
        <v>0</v>
      </c>
      <c r="I109" s="4">
        <f ca="1">-SUMIFS(INDIRECT("Tab_00.Trial["&amp;I$4&amp;"]"),Tab_00.Trial[CONTA],$B109)</f>
        <v>0</v>
      </c>
      <c r="J109" s="78">
        <f t="shared" ca="1" si="92"/>
        <v>0</v>
      </c>
      <c r="K109" s="78">
        <f t="shared" ca="1" si="93"/>
        <v>0</v>
      </c>
      <c r="L109" s="4">
        <f ca="1">-SUMIFS(INDIRECT("Tab_00.Trial["&amp;L$4&amp;"]"),Tab_00.Trial[CONTA],$B109)</f>
        <v>0</v>
      </c>
      <c r="M109" s="78">
        <f t="shared" ca="1" si="94"/>
        <v>0</v>
      </c>
      <c r="N109" s="78">
        <f t="shared" ca="1" si="95"/>
        <v>0</v>
      </c>
      <c r="O109" s="4">
        <f ca="1">-SUMIFS(INDIRECT("Tab_00.Trial["&amp;O$4&amp;"]"),Tab_00.Trial[CONTA],$B109)</f>
        <v>0</v>
      </c>
      <c r="P109" s="78">
        <f t="shared" ca="1" si="114"/>
        <v>0</v>
      </c>
      <c r="Q109" s="78">
        <f t="shared" ca="1" si="115"/>
        <v>0</v>
      </c>
      <c r="R109" s="4">
        <f ca="1">-SUMIFS(INDIRECT("Tab_00.Trial["&amp;R$4&amp;"]"),Tab_00.Trial[CONTA],$B109)</f>
        <v>0</v>
      </c>
      <c r="S109" s="78">
        <f t="shared" ca="1" si="98"/>
        <v>0</v>
      </c>
      <c r="T109" s="78">
        <f t="shared" ca="1" si="99"/>
        <v>0</v>
      </c>
      <c r="U109" s="4">
        <f ca="1">-SUMIFS(INDIRECT("Tab_00.Trial["&amp;U$4&amp;"]"),Tab_00.Trial[CONTA],$B109)</f>
        <v>0</v>
      </c>
      <c r="V109" s="78">
        <f t="shared" ca="1" si="100"/>
        <v>0</v>
      </c>
      <c r="W109" s="78">
        <f t="shared" ca="1" si="101"/>
        <v>0</v>
      </c>
      <c r="X109" s="4">
        <f ca="1">-SUMIFS(INDIRECT("Tab_00.Trial["&amp;X$4&amp;"]"),Tab_00.Trial[CONTA],$B109)</f>
        <v>0</v>
      </c>
      <c r="Y109" s="78">
        <f t="shared" ca="1" si="116"/>
        <v>0</v>
      </c>
      <c r="Z109" s="78">
        <f t="shared" ca="1" si="117"/>
        <v>0</v>
      </c>
      <c r="AA109" s="4">
        <f ca="1">-SUMIFS(INDIRECT("Tab_00.Trial["&amp;AA$4&amp;"]"),Tab_00.Trial[CONTA],$B109)</f>
        <v>0</v>
      </c>
      <c r="AB109" s="78">
        <f t="shared" ca="1" si="104"/>
        <v>0</v>
      </c>
      <c r="AC109" s="78">
        <f t="shared" ca="1" si="105"/>
        <v>0</v>
      </c>
      <c r="AD109" s="4">
        <f ca="1">-SUMIFS(INDIRECT("Tab_00.Trial["&amp;AD$4&amp;"]"),Tab_00.Trial[CONTA],$B109)</f>
        <v>0</v>
      </c>
      <c r="AE109" s="78">
        <f t="shared" ca="1" si="106"/>
        <v>0</v>
      </c>
      <c r="AF109" s="78">
        <f t="shared" ca="1" si="107"/>
        <v>0</v>
      </c>
      <c r="AG109" s="4">
        <f ca="1">-SUMIFS(INDIRECT("Tab_00.Trial["&amp;AG$4&amp;"]"),Tab_00.Trial[CONTA],$B109)</f>
        <v>0</v>
      </c>
      <c r="AH109" s="78">
        <f t="shared" ca="1" si="108"/>
        <v>0</v>
      </c>
      <c r="AI109" s="78">
        <f t="shared" ca="1" si="109"/>
        <v>0</v>
      </c>
      <c r="AJ109" s="4">
        <f ca="1">-SUMIFS(INDIRECT("Tab_00.Trial["&amp;AJ$4&amp;"]"),Tab_00.Trial[CONTA],$B109)</f>
        <v>0</v>
      </c>
      <c r="AK109" s="78">
        <f t="shared" ca="1" si="110"/>
        <v>0</v>
      </c>
      <c r="AL109" s="78">
        <f t="shared" ca="1" si="111"/>
        <v>0</v>
      </c>
    </row>
    <row r="110" spans="2:39" ht="15" customHeight="1" outlineLevel="1" x14ac:dyDescent="0.3">
      <c r="B110" s="14" t="s">
        <v>488</v>
      </c>
      <c r="C110" s="14" t="s">
        <v>414</v>
      </c>
      <c r="D110" s="4">
        <f ca="1">-SUMIFS(INDIRECT("Tab_00.Trial["&amp;D$4&amp;"]"),Tab_00.Trial[CONTA],$B110)</f>
        <v>0</v>
      </c>
      <c r="E110" s="78">
        <f t="shared" ca="1" si="112"/>
        <v>0</v>
      </c>
      <c r="F110" s="4">
        <f ca="1">-SUMIFS(INDIRECT("Tab_00.Trial["&amp;F$4&amp;"]"),Tab_00.Trial[CONTA],$B110)</f>
        <v>0</v>
      </c>
      <c r="G110" s="78">
        <f t="shared" ca="1" si="91"/>
        <v>0</v>
      </c>
      <c r="H110" s="78">
        <f t="shared" ca="1" si="113"/>
        <v>0</v>
      </c>
      <c r="I110" s="4">
        <f ca="1">-SUMIFS(INDIRECT("Tab_00.Trial["&amp;I$4&amp;"]"),Tab_00.Trial[CONTA],$B110)</f>
        <v>0</v>
      </c>
      <c r="J110" s="78">
        <f t="shared" ca="1" si="92"/>
        <v>0</v>
      </c>
      <c r="K110" s="78">
        <f t="shared" ca="1" si="93"/>
        <v>0</v>
      </c>
      <c r="L110" s="4">
        <f ca="1">-SUMIFS(INDIRECT("Tab_00.Trial["&amp;L$4&amp;"]"),Tab_00.Trial[CONTA],$B110)</f>
        <v>0</v>
      </c>
      <c r="M110" s="78">
        <f t="shared" ca="1" si="94"/>
        <v>0</v>
      </c>
      <c r="N110" s="78">
        <f t="shared" ca="1" si="95"/>
        <v>0</v>
      </c>
      <c r="O110" s="4">
        <f ca="1">-SUMIFS(INDIRECT("Tab_00.Trial["&amp;O$4&amp;"]"),Tab_00.Trial[CONTA],$B110)</f>
        <v>0</v>
      </c>
      <c r="P110" s="78">
        <f t="shared" ca="1" si="114"/>
        <v>0</v>
      </c>
      <c r="Q110" s="78">
        <f t="shared" ca="1" si="115"/>
        <v>0</v>
      </c>
      <c r="R110" s="4">
        <f ca="1">-SUMIFS(INDIRECT("Tab_00.Trial["&amp;R$4&amp;"]"),Tab_00.Trial[CONTA],$B110)</f>
        <v>0</v>
      </c>
      <c r="S110" s="78">
        <f t="shared" ca="1" si="98"/>
        <v>0</v>
      </c>
      <c r="T110" s="78">
        <f t="shared" ca="1" si="99"/>
        <v>0</v>
      </c>
      <c r="U110" s="4">
        <f ca="1">-SUMIFS(INDIRECT("Tab_00.Trial["&amp;U$4&amp;"]"),Tab_00.Trial[CONTA],$B110)</f>
        <v>0</v>
      </c>
      <c r="V110" s="78">
        <f t="shared" ca="1" si="100"/>
        <v>0</v>
      </c>
      <c r="W110" s="78">
        <f t="shared" ca="1" si="101"/>
        <v>0</v>
      </c>
      <c r="X110" s="4">
        <f ca="1">-SUMIFS(INDIRECT("Tab_00.Trial["&amp;X$4&amp;"]"),Tab_00.Trial[CONTA],$B110)</f>
        <v>0</v>
      </c>
      <c r="Y110" s="78">
        <f t="shared" ca="1" si="116"/>
        <v>0</v>
      </c>
      <c r="Z110" s="78">
        <f t="shared" ca="1" si="117"/>
        <v>0</v>
      </c>
      <c r="AA110" s="4">
        <f ca="1">-SUMIFS(INDIRECT("Tab_00.Trial["&amp;AA$4&amp;"]"),Tab_00.Trial[CONTA],$B110)</f>
        <v>0</v>
      </c>
      <c r="AB110" s="78">
        <f t="shared" ca="1" si="104"/>
        <v>0</v>
      </c>
      <c r="AC110" s="78">
        <f t="shared" ca="1" si="105"/>
        <v>0</v>
      </c>
      <c r="AD110" s="4">
        <f ca="1">-SUMIFS(INDIRECT("Tab_00.Trial["&amp;AD$4&amp;"]"),Tab_00.Trial[CONTA],$B110)</f>
        <v>0</v>
      </c>
      <c r="AE110" s="78">
        <f t="shared" ca="1" si="106"/>
        <v>0</v>
      </c>
      <c r="AF110" s="78">
        <f t="shared" ca="1" si="107"/>
        <v>0</v>
      </c>
      <c r="AG110" s="4">
        <f ca="1">-SUMIFS(INDIRECT("Tab_00.Trial["&amp;AG$4&amp;"]"),Tab_00.Trial[CONTA],$B110)</f>
        <v>0</v>
      </c>
      <c r="AH110" s="78">
        <f t="shared" ca="1" si="108"/>
        <v>0</v>
      </c>
      <c r="AI110" s="78">
        <f t="shared" ca="1" si="109"/>
        <v>0</v>
      </c>
      <c r="AJ110" s="4">
        <f ca="1">-SUMIFS(INDIRECT("Tab_00.Trial["&amp;AJ$4&amp;"]"),Tab_00.Trial[CONTA],$B110)</f>
        <v>0</v>
      </c>
      <c r="AK110" s="78">
        <f t="shared" ca="1" si="110"/>
        <v>0</v>
      </c>
      <c r="AL110" s="78">
        <f t="shared" ca="1" si="111"/>
        <v>0</v>
      </c>
    </row>
    <row r="111" spans="2:39" ht="15" customHeight="1" outlineLevel="1" x14ac:dyDescent="0.3">
      <c r="B111" s="14" t="s">
        <v>489</v>
      </c>
      <c r="C111" s="14" t="s">
        <v>490</v>
      </c>
      <c r="D111" s="4">
        <f ca="1">-SUMIFS(INDIRECT("Tab_00.Trial["&amp;D$4&amp;"]"),Tab_00.Trial[CONTA],$B111)</f>
        <v>0</v>
      </c>
      <c r="E111" s="78">
        <f t="shared" ca="1" si="112"/>
        <v>0</v>
      </c>
      <c r="F111" s="4">
        <f ca="1">-SUMIFS(INDIRECT("Tab_00.Trial["&amp;F$4&amp;"]"),Tab_00.Trial[CONTA],$B111)</f>
        <v>0</v>
      </c>
      <c r="G111" s="78">
        <f t="shared" ca="1" si="91"/>
        <v>0</v>
      </c>
      <c r="H111" s="78">
        <f t="shared" ca="1" si="113"/>
        <v>0</v>
      </c>
      <c r="I111" s="4">
        <f ca="1">-SUMIFS(INDIRECT("Tab_00.Trial["&amp;I$4&amp;"]"),Tab_00.Trial[CONTA],$B111)</f>
        <v>0</v>
      </c>
      <c r="J111" s="78">
        <f t="shared" ca="1" si="92"/>
        <v>0</v>
      </c>
      <c r="K111" s="78">
        <f t="shared" ca="1" si="93"/>
        <v>0</v>
      </c>
      <c r="L111" s="4">
        <f ca="1">-SUMIFS(INDIRECT("Tab_00.Trial["&amp;L$4&amp;"]"),Tab_00.Trial[CONTA],$B111)</f>
        <v>0</v>
      </c>
      <c r="M111" s="78">
        <f t="shared" ca="1" si="94"/>
        <v>0</v>
      </c>
      <c r="N111" s="78">
        <f t="shared" ca="1" si="95"/>
        <v>0</v>
      </c>
      <c r="O111" s="4">
        <f ca="1">-SUMIFS(INDIRECT("Tab_00.Trial["&amp;O$4&amp;"]"),Tab_00.Trial[CONTA],$B111)</f>
        <v>0</v>
      </c>
      <c r="P111" s="78">
        <f t="shared" ca="1" si="114"/>
        <v>0</v>
      </c>
      <c r="Q111" s="78">
        <f t="shared" ca="1" si="115"/>
        <v>0</v>
      </c>
      <c r="R111" s="4">
        <f ca="1">-SUMIFS(INDIRECT("Tab_00.Trial["&amp;R$4&amp;"]"),Tab_00.Trial[CONTA],$B111)</f>
        <v>0</v>
      </c>
      <c r="S111" s="78">
        <f t="shared" ca="1" si="98"/>
        <v>0</v>
      </c>
      <c r="T111" s="78">
        <f t="shared" ca="1" si="99"/>
        <v>0</v>
      </c>
      <c r="U111" s="4">
        <f ca="1">-SUMIFS(INDIRECT("Tab_00.Trial["&amp;U$4&amp;"]"),Tab_00.Trial[CONTA],$B111)</f>
        <v>0</v>
      </c>
      <c r="V111" s="78">
        <f t="shared" ca="1" si="100"/>
        <v>0</v>
      </c>
      <c r="W111" s="78">
        <f t="shared" ca="1" si="101"/>
        <v>0</v>
      </c>
      <c r="X111" s="4">
        <f ca="1">-SUMIFS(INDIRECT("Tab_00.Trial["&amp;X$4&amp;"]"),Tab_00.Trial[CONTA],$B111)</f>
        <v>0</v>
      </c>
      <c r="Y111" s="78">
        <f t="shared" ca="1" si="116"/>
        <v>0</v>
      </c>
      <c r="Z111" s="78">
        <f t="shared" ca="1" si="117"/>
        <v>0</v>
      </c>
      <c r="AA111" s="4">
        <f ca="1">-SUMIFS(INDIRECT("Tab_00.Trial["&amp;AA$4&amp;"]"),Tab_00.Trial[CONTA],$B111)</f>
        <v>-228</v>
      </c>
      <c r="AB111" s="78">
        <f t="shared" ca="1" si="104"/>
        <v>0</v>
      </c>
      <c r="AC111" s="78">
        <f t="shared" ca="1" si="105"/>
        <v>0</v>
      </c>
      <c r="AD111" s="4">
        <f ca="1">-SUMIFS(INDIRECT("Tab_00.Trial["&amp;AD$4&amp;"]"),Tab_00.Trial[CONTA],$B111)</f>
        <v>-228</v>
      </c>
      <c r="AE111" s="78">
        <f t="shared" ca="1" si="106"/>
        <v>0</v>
      </c>
      <c r="AF111" s="78">
        <f t="shared" ca="1" si="107"/>
        <v>0</v>
      </c>
      <c r="AG111" s="4">
        <f ca="1">-SUMIFS(INDIRECT("Tab_00.Trial["&amp;AG$4&amp;"]"),Tab_00.Trial[CONTA],$B111)</f>
        <v>-228</v>
      </c>
      <c r="AH111" s="78">
        <f t="shared" ca="1" si="108"/>
        <v>0</v>
      </c>
      <c r="AI111" s="78">
        <f t="shared" ca="1" si="109"/>
        <v>0</v>
      </c>
      <c r="AJ111" s="4">
        <f ca="1">-SUMIFS(INDIRECT("Tab_00.Trial["&amp;AJ$4&amp;"]"),Tab_00.Trial[CONTA],$B111)</f>
        <v>-228</v>
      </c>
      <c r="AK111" s="78">
        <f t="shared" ca="1" si="110"/>
        <v>0</v>
      </c>
      <c r="AL111" s="78">
        <f t="shared" ca="1" si="111"/>
        <v>0</v>
      </c>
    </row>
    <row r="112" spans="2:39" ht="15" customHeight="1" outlineLevel="1" x14ac:dyDescent="0.3">
      <c r="B112" s="14" t="s">
        <v>491</v>
      </c>
      <c r="C112" s="14" t="s">
        <v>492</v>
      </c>
      <c r="D112" s="4">
        <f ca="1">-SUMIFS(INDIRECT("Tab_00.Trial["&amp;D$4&amp;"]"),Tab_00.Trial[CONTA],$B112)</f>
        <v>-3476.84</v>
      </c>
      <c r="E112" s="78">
        <f t="shared" ca="1" si="112"/>
        <v>-3.7000000000000002E-3</v>
      </c>
      <c r="F112" s="4">
        <f ca="1">-SUMIFS(INDIRECT("Tab_00.Trial["&amp;F$4&amp;"]"),Tab_00.Trial[CONTA],$B112)</f>
        <v>-6791.87</v>
      </c>
      <c r="G112" s="78">
        <f t="shared" ca="1" si="91"/>
        <v>-4.7000000000000002E-3</v>
      </c>
      <c r="H112" s="78">
        <f t="shared" ca="1" si="113"/>
        <v>-0.95350000000000001</v>
      </c>
      <c r="I112" s="4">
        <f ca="1">-SUMIFS(INDIRECT("Tab_00.Trial["&amp;I$4&amp;"]"),Tab_00.Trial[CONTA],$B112)</f>
        <v>-10495.8</v>
      </c>
      <c r="J112" s="78">
        <f t="shared" ca="1" si="92"/>
        <v>-3.5999999999999999E-3</v>
      </c>
      <c r="K112" s="78">
        <f t="shared" ca="1" si="93"/>
        <v>-0.54530000000000001</v>
      </c>
      <c r="L112" s="4">
        <f ca="1">-SUMIFS(INDIRECT("Tab_00.Trial["&amp;L$4&amp;"]"),Tab_00.Trial[CONTA],$B112)</f>
        <v>-13160.23</v>
      </c>
      <c r="M112" s="78">
        <f t="shared" ca="1" si="94"/>
        <v>-3.3E-3</v>
      </c>
      <c r="N112" s="78">
        <f t="shared" ca="1" si="95"/>
        <v>-0.25390000000000001</v>
      </c>
      <c r="O112" s="4">
        <f ca="1">-SUMIFS(INDIRECT("Tab_00.Trial["&amp;O$4&amp;"]"),Tab_00.Trial[CONTA],$B112)</f>
        <v>-16473.64</v>
      </c>
      <c r="P112" s="78">
        <f t="shared" ca="1" si="114"/>
        <v>-3.2000000000000002E-3</v>
      </c>
      <c r="Q112" s="78">
        <f t="shared" ca="1" si="115"/>
        <v>-0.25180000000000002</v>
      </c>
      <c r="R112" s="4">
        <f ca="1">-SUMIFS(INDIRECT("Tab_00.Trial["&amp;R$4&amp;"]"),Tab_00.Trial[CONTA],$B112)</f>
        <v>-20558.62</v>
      </c>
      <c r="S112" s="78">
        <f t="shared" ca="1" si="98"/>
        <v>-2.8999999999999998E-3</v>
      </c>
      <c r="T112" s="78">
        <f t="shared" ca="1" si="99"/>
        <v>-0.248</v>
      </c>
      <c r="U112" s="4">
        <f ca="1">-SUMIFS(INDIRECT("Tab_00.Trial["&amp;U$4&amp;"]"),Tab_00.Trial[CONTA],$B112)</f>
        <v>-20558.62</v>
      </c>
      <c r="V112" s="78">
        <f t="shared" ca="1" si="100"/>
        <v>-2.8999999999999998E-3</v>
      </c>
      <c r="W112" s="78">
        <f t="shared" ca="1" si="101"/>
        <v>0</v>
      </c>
      <c r="X112" s="4">
        <f ca="1">-SUMIFS(INDIRECT("Tab_00.Trial["&amp;X$4&amp;"]"),Tab_00.Trial[CONTA],$B112)</f>
        <v>-20558.62</v>
      </c>
      <c r="Y112" s="78">
        <f t="shared" ca="1" si="116"/>
        <v>-2.8999999999999998E-3</v>
      </c>
      <c r="Z112" s="78">
        <f t="shared" ca="1" si="117"/>
        <v>0</v>
      </c>
      <c r="AA112" s="4">
        <f ca="1">-SUMIFS(INDIRECT("Tab_00.Trial["&amp;AA$4&amp;"]"),Tab_00.Trial[CONTA],$B112)</f>
        <v>-22375.78</v>
      </c>
      <c r="AB112" s="78">
        <f t="shared" ca="1" si="104"/>
        <v>-2.3999999999999998E-3</v>
      </c>
      <c r="AC112" s="78">
        <f t="shared" ca="1" si="105"/>
        <v>-8.8400000000000006E-2</v>
      </c>
      <c r="AD112" s="4">
        <f ca="1">-SUMIFS(INDIRECT("Tab_00.Trial["&amp;AD$4&amp;"]"),Tab_00.Trial[CONTA],$B112)</f>
        <v>-24346.33</v>
      </c>
      <c r="AE112" s="78">
        <f t="shared" ca="1" si="106"/>
        <v>-2.3E-3</v>
      </c>
      <c r="AF112" s="78">
        <f t="shared" ca="1" si="107"/>
        <v>-8.8099999999999998E-2</v>
      </c>
      <c r="AG112" s="4">
        <f ca="1">-SUMIFS(INDIRECT("Tab_00.Trial["&amp;AG$4&amp;"]"),Tab_00.Trial[CONTA],$B112)</f>
        <v>-29400.48</v>
      </c>
      <c r="AH112" s="78">
        <f t="shared" ca="1" si="108"/>
        <v>-2.5999999999999999E-3</v>
      </c>
      <c r="AI112" s="78">
        <f t="shared" ca="1" si="109"/>
        <v>-0.20760000000000001</v>
      </c>
      <c r="AJ112" s="4">
        <f ca="1">-SUMIFS(INDIRECT("Tab_00.Trial["&amp;AJ$4&amp;"]"),Tab_00.Trial[CONTA],$B112)</f>
        <v>-29400.48</v>
      </c>
      <c r="AK112" s="78">
        <f t="shared" ca="1" si="110"/>
        <v>-2.3E-3</v>
      </c>
      <c r="AL112" s="78">
        <f t="shared" ca="1" si="111"/>
        <v>0</v>
      </c>
    </row>
    <row r="113" spans="2:38" ht="15" customHeight="1" outlineLevel="1" x14ac:dyDescent="0.3">
      <c r="B113" s="14" t="s">
        <v>493</v>
      </c>
      <c r="C113" s="14" t="s">
        <v>494</v>
      </c>
      <c r="D113" s="4">
        <f ca="1">-SUMIFS(INDIRECT("Tab_00.Trial["&amp;D$4&amp;"]"),Tab_00.Trial[CONTA],$B113)</f>
        <v>-3157.37</v>
      </c>
      <c r="E113" s="78">
        <f t="shared" ca="1" si="112"/>
        <v>-3.3999999999999998E-3</v>
      </c>
      <c r="F113" s="4">
        <f ca="1">-SUMIFS(INDIRECT("Tab_00.Trial["&amp;F$4&amp;"]"),Tab_00.Trial[CONTA],$B113)</f>
        <v>-4004.32</v>
      </c>
      <c r="G113" s="78">
        <f t="shared" ca="1" si="91"/>
        <v>-2.7000000000000001E-3</v>
      </c>
      <c r="H113" s="78">
        <f t="shared" ca="1" si="113"/>
        <v>-0.26819999999999999</v>
      </c>
      <c r="I113" s="4">
        <f ca="1">-SUMIFS(INDIRECT("Tab_00.Trial["&amp;I$4&amp;"]"),Tab_00.Trial[CONTA],$B113)</f>
        <v>-5149.7</v>
      </c>
      <c r="J113" s="78">
        <f t="shared" ca="1" si="92"/>
        <v>-1.8E-3</v>
      </c>
      <c r="K113" s="78">
        <f t="shared" ca="1" si="93"/>
        <v>-0.28599999999999998</v>
      </c>
      <c r="L113" s="4">
        <f ca="1">-SUMIFS(INDIRECT("Tab_00.Trial["&amp;L$4&amp;"]"),Tab_00.Trial[CONTA],$B113)</f>
        <v>-7539.83</v>
      </c>
      <c r="M113" s="78">
        <f t="shared" ca="1" si="94"/>
        <v>-1.9E-3</v>
      </c>
      <c r="N113" s="78">
        <f t="shared" ca="1" si="95"/>
        <v>-0.46410000000000001</v>
      </c>
      <c r="O113" s="4">
        <f ca="1">-SUMIFS(INDIRECT("Tab_00.Trial["&amp;O$4&amp;"]"),Tab_00.Trial[CONTA],$B113)</f>
        <v>-8988.7900000000009</v>
      </c>
      <c r="P113" s="78">
        <f t="shared" ca="1" si="114"/>
        <v>-1.6999999999999999E-3</v>
      </c>
      <c r="Q113" s="78">
        <f t="shared" ca="1" si="115"/>
        <v>-0.19220000000000001</v>
      </c>
      <c r="R113" s="4">
        <f ca="1">-SUMIFS(INDIRECT("Tab_00.Trial["&amp;R$4&amp;"]"),Tab_00.Trial[CONTA],$B113)</f>
        <v>-11886.68</v>
      </c>
      <c r="S113" s="78">
        <f t="shared" ca="1" si="98"/>
        <v>-1.6999999999999999E-3</v>
      </c>
      <c r="T113" s="78">
        <f t="shared" ca="1" si="99"/>
        <v>-0.32240000000000002</v>
      </c>
      <c r="U113" s="4">
        <f ca="1">-SUMIFS(INDIRECT("Tab_00.Trial["&amp;U$4&amp;"]"),Tab_00.Trial[CONTA],$B113)</f>
        <v>-11886.68</v>
      </c>
      <c r="V113" s="78">
        <f t="shared" ca="1" si="100"/>
        <v>-1.6999999999999999E-3</v>
      </c>
      <c r="W113" s="78">
        <f t="shared" ca="1" si="101"/>
        <v>0</v>
      </c>
      <c r="X113" s="4">
        <f ca="1">-SUMIFS(INDIRECT("Tab_00.Trial["&amp;X$4&amp;"]"),Tab_00.Trial[CONTA],$B113)</f>
        <v>-11886.68</v>
      </c>
      <c r="Y113" s="78">
        <f t="shared" ca="1" si="116"/>
        <v>-1.6999999999999999E-3</v>
      </c>
      <c r="Z113" s="78">
        <f t="shared" ca="1" si="117"/>
        <v>0</v>
      </c>
      <c r="AA113" s="4">
        <f ca="1">-SUMIFS(INDIRECT("Tab_00.Trial["&amp;AA$4&amp;"]"),Tab_00.Trial[CONTA],$B113)</f>
        <v>-14859.44</v>
      </c>
      <c r="AB113" s="78">
        <f t="shared" ca="1" si="104"/>
        <v>-1.6000000000000001E-3</v>
      </c>
      <c r="AC113" s="78">
        <f t="shared" ca="1" si="105"/>
        <v>-0.25009999999999999</v>
      </c>
      <c r="AD113" s="4">
        <f ca="1">-SUMIFS(INDIRECT("Tab_00.Trial["&amp;AD$4&amp;"]"),Tab_00.Trial[CONTA],$B113)</f>
        <v>-14859.44</v>
      </c>
      <c r="AE113" s="78">
        <f t="shared" ca="1" si="106"/>
        <v>-1.4E-3</v>
      </c>
      <c r="AF113" s="78">
        <f t="shared" ca="1" si="107"/>
        <v>0</v>
      </c>
      <c r="AG113" s="4">
        <f ca="1">-SUMIFS(INDIRECT("Tab_00.Trial["&amp;AG$4&amp;"]"),Tab_00.Trial[CONTA],$B113)</f>
        <v>-16538.13</v>
      </c>
      <c r="AH113" s="78">
        <f t="shared" ca="1" si="108"/>
        <v>-1.5E-3</v>
      </c>
      <c r="AI113" s="78">
        <f t="shared" ca="1" si="109"/>
        <v>-0.113</v>
      </c>
      <c r="AJ113" s="4">
        <f ca="1">-SUMIFS(INDIRECT("Tab_00.Trial["&amp;AJ$4&amp;"]"),Tab_00.Trial[CONTA],$B113)</f>
        <v>-17912.2</v>
      </c>
      <c r="AK113" s="78">
        <f t="shared" ca="1" si="110"/>
        <v>-1.4E-3</v>
      </c>
      <c r="AL113" s="78">
        <f t="shared" ca="1" si="111"/>
        <v>-8.3099999999999993E-2</v>
      </c>
    </row>
    <row r="114" spans="2:38" ht="15" customHeight="1" outlineLevel="1" x14ac:dyDescent="0.3">
      <c r="B114" s="14" t="s">
        <v>495</v>
      </c>
      <c r="C114" s="14" t="s">
        <v>496</v>
      </c>
      <c r="D114" s="4">
        <f ca="1">-SUMIFS(INDIRECT("Tab_00.Trial["&amp;D$4&amp;"]"),Tab_00.Trial[CONTA],$B114)</f>
        <v>-1397.52</v>
      </c>
      <c r="E114" s="78">
        <f t="shared" ca="1" si="112"/>
        <v>-1.5E-3</v>
      </c>
      <c r="F114" s="4">
        <f ca="1">-SUMIFS(INDIRECT("Tab_00.Trial["&amp;F$4&amp;"]"),Tab_00.Trial[CONTA],$B114)</f>
        <v>-2806.17</v>
      </c>
      <c r="G114" s="78">
        <f t="shared" ca="1" si="91"/>
        <v>-1.9E-3</v>
      </c>
      <c r="H114" s="78">
        <f t="shared" ca="1" si="113"/>
        <v>-1.008</v>
      </c>
      <c r="I114" s="4">
        <f ca="1">-SUMIFS(INDIRECT("Tab_00.Trial["&amp;I$4&amp;"]"),Tab_00.Trial[CONTA],$B114)</f>
        <v>-4216.6899999999996</v>
      </c>
      <c r="J114" s="78">
        <f t="shared" ca="1" si="92"/>
        <v>-1.4E-3</v>
      </c>
      <c r="K114" s="78">
        <f t="shared" ca="1" si="93"/>
        <v>-0.50260000000000005</v>
      </c>
      <c r="L114" s="4">
        <f ca="1">-SUMIFS(INDIRECT("Tab_00.Trial["&amp;L$4&amp;"]"),Tab_00.Trial[CONTA],$B114)</f>
        <v>-5656.58</v>
      </c>
      <c r="M114" s="78">
        <f t="shared" ca="1" si="94"/>
        <v>-1.4E-3</v>
      </c>
      <c r="N114" s="78">
        <f t="shared" ca="1" si="95"/>
        <v>-0.34150000000000003</v>
      </c>
      <c r="O114" s="4">
        <f ca="1">-SUMIFS(INDIRECT("Tab_00.Trial["&amp;O$4&amp;"]"),Tab_00.Trial[CONTA],$B114)</f>
        <v>-7096.47</v>
      </c>
      <c r="P114" s="78">
        <f t="shared" ca="1" si="114"/>
        <v>-1.4E-3</v>
      </c>
      <c r="Q114" s="78">
        <f t="shared" ca="1" si="115"/>
        <v>-0.25459999999999999</v>
      </c>
      <c r="R114" s="4">
        <f ca="1">-SUMIFS(INDIRECT("Tab_00.Trial["&amp;R$4&amp;"]"),Tab_00.Trial[CONTA],$B114)</f>
        <v>-9976.25</v>
      </c>
      <c r="S114" s="78">
        <f t="shared" ca="1" si="98"/>
        <v>-1.4E-3</v>
      </c>
      <c r="T114" s="78">
        <f t="shared" ca="1" si="99"/>
        <v>-0.40579999999999999</v>
      </c>
      <c r="U114" s="4">
        <f ca="1">-SUMIFS(INDIRECT("Tab_00.Trial["&amp;U$4&amp;"]"),Tab_00.Trial[CONTA],$B114)</f>
        <v>-9976.25</v>
      </c>
      <c r="V114" s="78">
        <f t="shared" ca="1" si="100"/>
        <v>-1.4E-3</v>
      </c>
      <c r="W114" s="78">
        <f t="shared" ca="1" si="101"/>
        <v>0</v>
      </c>
      <c r="X114" s="4">
        <f ca="1">-SUMIFS(INDIRECT("Tab_00.Trial["&amp;X$4&amp;"]"),Tab_00.Trial[CONTA],$B114)</f>
        <v>-9976.25</v>
      </c>
      <c r="Y114" s="78">
        <f t="shared" ca="1" si="116"/>
        <v>-1.4E-3</v>
      </c>
      <c r="Z114" s="78">
        <f t="shared" ca="1" si="117"/>
        <v>0</v>
      </c>
      <c r="AA114" s="4">
        <f ca="1">-SUMIFS(INDIRECT("Tab_00.Trial["&amp;AA$4&amp;"]"),Tab_00.Trial[CONTA],$B114)</f>
        <v>-12719.37</v>
      </c>
      <c r="AB114" s="78">
        <f t="shared" ca="1" si="104"/>
        <v>-1.4E-3</v>
      </c>
      <c r="AC114" s="78">
        <f t="shared" ca="1" si="105"/>
        <v>-0.27500000000000002</v>
      </c>
      <c r="AD114" s="4">
        <f ca="1">-SUMIFS(INDIRECT("Tab_00.Trial["&amp;AD$4&amp;"]"),Tab_00.Trial[CONTA],$B114)</f>
        <v>-14316.43</v>
      </c>
      <c r="AE114" s="78">
        <f t="shared" ca="1" si="106"/>
        <v>-1.4E-3</v>
      </c>
      <c r="AF114" s="78">
        <f t="shared" ca="1" si="107"/>
        <v>-0.12559999999999999</v>
      </c>
      <c r="AG114" s="4">
        <f ca="1">-SUMIFS(INDIRECT("Tab_00.Trial["&amp;AG$4&amp;"]"),Tab_00.Trial[CONTA],$B114)</f>
        <v>-15776.29</v>
      </c>
      <c r="AH114" s="78">
        <f t="shared" ca="1" si="108"/>
        <v>-1.4E-3</v>
      </c>
      <c r="AI114" s="78">
        <f t="shared" ca="1" si="109"/>
        <v>-0.10199999999999999</v>
      </c>
      <c r="AJ114" s="4">
        <f ca="1">-SUMIFS(INDIRECT("Tab_00.Trial["&amp;AJ$4&amp;"]"),Tab_00.Trial[CONTA],$B114)</f>
        <v>-17236.150000000001</v>
      </c>
      <c r="AK114" s="78">
        <f t="shared" ca="1" si="110"/>
        <v>-1.2999999999999999E-3</v>
      </c>
      <c r="AL114" s="78">
        <f t="shared" ca="1" si="111"/>
        <v>-9.2499999999999999E-2</v>
      </c>
    </row>
    <row r="115" spans="2:38" ht="15" customHeight="1" outlineLevel="1" x14ac:dyDescent="0.3">
      <c r="B115" s="14" t="s">
        <v>497</v>
      </c>
      <c r="C115" s="14" t="s">
        <v>498</v>
      </c>
      <c r="D115" s="4">
        <f ca="1">-SUMIFS(INDIRECT("Tab_00.Trial["&amp;D$4&amp;"]"),Tab_00.Trial[CONTA],$B115)</f>
        <v>0</v>
      </c>
      <c r="E115" s="78">
        <f t="shared" ca="1" si="112"/>
        <v>0</v>
      </c>
      <c r="F115" s="4">
        <f ca="1">-SUMIFS(INDIRECT("Tab_00.Trial["&amp;F$4&amp;"]"),Tab_00.Trial[CONTA],$B115)</f>
        <v>0</v>
      </c>
      <c r="G115" s="78">
        <f t="shared" ca="1" si="91"/>
        <v>0</v>
      </c>
      <c r="H115" s="78">
        <f t="shared" ca="1" si="113"/>
        <v>0</v>
      </c>
      <c r="I115" s="4">
        <f ca="1">-SUMIFS(INDIRECT("Tab_00.Trial["&amp;I$4&amp;"]"),Tab_00.Trial[CONTA],$B115)</f>
        <v>0</v>
      </c>
      <c r="J115" s="78">
        <f t="shared" ca="1" si="92"/>
        <v>0</v>
      </c>
      <c r="K115" s="78">
        <f t="shared" ca="1" si="93"/>
        <v>0</v>
      </c>
      <c r="L115" s="4">
        <f ca="1">-SUMIFS(INDIRECT("Tab_00.Trial["&amp;L$4&amp;"]"),Tab_00.Trial[CONTA],$B115)</f>
        <v>-95</v>
      </c>
      <c r="M115" s="78">
        <f t="shared" ca="1" si="94"/>
        <v>0</v>
      </c>
      <c r="N115" s="78">
        <f t="shared" ca="1" si="95"/>
        <v>0</v>
      </c>
      <c r="O115" s="4">
        <f ca="1">-SUMIFS(INDIRECT("Tab_00.Trial["&amp;O$4&amp;"]"),Tab_00.Trial[CONTA],$B115)</f>
        <v>-95</v>
      </c>
      <c r="P115" s="78">
        <f t="shared" ca="1" si="114"/>
        <v>0</v>
      </c>
      <c r="Q115" s="78">
        <f t="shared" ca="1" si="115"/>
        <v>0</v>
      </c>
      <c r="R115" s="4">
        <f ca="1">-SUMIFS(INDIRECT("Tab_00.Trial["&amp;R$4&amp;"]"),Tab_00.Trial[CONTA],$B115)</f>
        <v>-95</v>
      </c>
      <c r="S115" s="78">
        <f t="shared" ca="1" si="98"/>
        <v>0</v>
      </c>
      <c r="T115" s="78">
        <f t="shared" ca="1" si="99"/>
        <v>0</v>
      </c>
      <c r="U115" s="4">
        <f ca="1">-SUMIFS(INDIRECT("Tab_00.Trial["&amp;U$4&amp;"]"),Tab_00.Trial[CONTA],$B115)</f>
        <v>-95</v>
      </c>
      <c r="V115" s="78">
        <f t="shared" ca="1" si="100"/>
        <v>0</v>
      </c>
      <c r="W115" s="78">
        <f t="shared" ca="1" si="101"/>
        <v>0</v>
      </c>
      <c r="X115" s="4">
        <f ca="1">-SUMIFS(INDIRECT("Tab_00.Trial["&amp;X$4&amp;"]"),Tab_00.Trial[CONTA],$B115)</f>
        <v>-95</v>
      </c>
      <c r="Y115" s="78">
        <f t="shared" ca="1" si="116"/>
        <v>0</v>
      </c>
      <c r="Z115" s="78">
        <f t="shared" ca="1" si="117"/>
        <v>0</v>
      </c>
      <c r="AA115" s="4">
        <f ca="1">-SUMIFS(INDIRECT("Tab_00.Trial["&amp;AA$4&amp;"]"),Tab_00.Trial[CONTA],$B115)</f>
        <v>-95</v>
      </c>
      <c r="AB115" s="78">
        <f t="shared" ca="1" si="104"/>
        <v>0</v>
      </c>
      <c r="AC115" s="78">
        <f t="shared" ca="1" si="105"/>
        <v>0</v>
      </c>
      <c r="AD115" s="4">
        <f ca="1">-SUMIFS(INDIRECT("Tab_00.Trial["&amp;AD$4&amp;"]"),Tab_00.Trial[CONTA],$B115)</f>
        <v>-95</v>
      </c>
      <c r="AE115" s="78">
        <f t="shared" ca="1" si="106"/>
        <v>0</v>
      </c>
      <c r="AF115" s="78">
        <f t="shared" ca="1" si="107"/>
        <v>0</v>
      </c>
      <c r="AG115" s="4">
        <f ca="1">-SUMIFS(INDIRECT("Tab_00.Trial["&amp;AG$4&amp;"]"),Tab_00.Trial[CONTA],$B115)</f>
        <v>-95</v>
      </c>
      <c r="AH115" s="78">
        <f t="shared" ca="1" si="108"/>
        <v>0</v>
      </c>
      <c r="AI115" s="78">
        <f t="shared" ca="1" si="109"/>
        <v>0</v>
      </c>
      <c r="AJ115" s="4">
        <f ca="1">-SUMIFS(INDIRECT("Tab_00.Trial["&amp;AJ$4&amp;"]"),Tab_00.Trial[CONTA],$B115)</f>
        <v>-95</v>
      </c>
      <c r="AK115" s="78">
        <f t="shared" ca="1" si="110"/>
        <v>0</v>
      </c>
      <c r="AL115" s="78">
        <f t="shared" ca="1" si="111"/>
        <v>0</v>
      </c>
    </row>
    <row r="116" spans="2:38" ht="15" customHeight="1" outlineLevel="1" x14ac:dyDescent="0.3">
      <c r="B116" s="14" t="s">
        <v>499</v>
      </c>
      <c r="C116" s="14" t="s">
        <v>500</v>
      </c>
      <c r="D116" s="4">
        <f ca="1">-SUMIFS(INDIRECT("Tab_00.Trial["&amp;D$4&amp;"]"),Tab_00.Trial[CONTA],$B116)</f>
        <v>-146.94</v>
      </c>
      <c r="E116" s="78">
        <f t="shared" ca="1" si="112"/>
        <v>-2.0000000000000001E-4</v>
      </c>
      <c r="F116" s="4">
        <f ca="1">-SUMIFS(INDIRECT("Tab_00.Trial["&amp;F$4&amp;"]"),Tab_00.Trial[CONTA],$B116)</f>
        <v>-146.94</v>
      </c>
      <c r="G116" s="78">
        <f t="shared" ca="1" si="91"/>
        <v>-1E-4</v>
      </c>
      <c r="H116" s="78">
        <f t="shared" ca="1" si="113"/>
        <v>0</v>
      </c>
      <c r="I116" s="4">
        <f ca="1">-SUMIFS(INDIRECT("Tab_00.Trial["&amp;I$4&amp;"]"),Tab_00.Trial[CONTA],$B116)</f>
        <v>-1361.94</v>
      </c>
      <c r="J116" s="78">
        <f t="shared" ca="1" si="92"/>
        <v>-5.0000000000000001E-4</v>
      </c>
      <c r="K116" s="78">
        <f t="shared" ca="1" si="93"/>
        <v>-8.2687000000000008</v>
      </c>
      <c r="L116" s="4">
        <f ca="1">-SUMIFS(INDIRECT("Tab_00.Trial["&amp;L$4&amp;"]"),Tab_00.Trial[CONTA],$B116)</f>
        <v>-3609.34</v>
      </c>
      <c r="M116" s="78">
        <f t="shared" ca="1" si="94"/>
        <v>-8.9999999999999998E-4</v>
      </c>
      <c r="N116" s="78">
        <f t="shared" ca="1" si="95"/>
        <v>-1.6500999999999999</v>
      </c>
      <c r="O116" s="4">
        <f ca="1">-SUMIFS(INDIRECT("Tab_00.Trial["&amp;O$4&amp;"]"),Tab_00.Trial[CONTA],$B116)</f>
        <v>-5689.34</v>
      </c>
      <c r="P116" s="78">
        <f t="shared" ca="1" si="114"/>
        <v>-1.1000000000000001E-3</v>
      </c>
      <c r="Q116" s="78">
        <f t="shared" ca="1" si="115"/>
        <v>-0.57630000000000003</v>
      </c>
      <c r="R116" s="4">
        <f ca="1">-SUMIFS(INDIRECT("Tab_00.Trial["&amp;R$4&amp;"]"),Tab_00.Trial[CONTA],$B116)</f>
        <v>-9794.14</v>
      </c>
      <c r="S116" s="78">
        <f t="shared" ca="1" si="98"/>
        <v>-1.4E-3</v>
      </c>
      <c r="T116" s="78">
        <f t="shared" ca="1" si="99"/>
        <v>-0.72150000000000003</v>
      </c>
      <c r="U116" s="4">
        <f ca="1">-SUMIFS(INDIRECT("Tab_00.Trial["&amp;U$4&amp;"]"),Tab_00.Trial[CONTA],$B116)</f>
        <v>-9794.14</v>
      </c>
      <c r="V116" s="78">
        <f t="shared" ca="1" si="100"/>
        <v>-1.4E-3</v>
      </c>
      <c r="W116" s="78">
        <f t="shared" ca="1" si="101"/>
        <v>0</v>
      </c>
      <c r="X116" s="4">
        <f ca="1">-SUMIFS(INDIRECT("Tab_00.Trial["&amp;X$4&amp;"]"),Tab_00.Trial[CONTA],$B116)</f>
        <v>-9794.14</v>
      </c>
      <c r="Y116" s="78">
        <f t="shared" ca="1" si="116"/>
        <v>-1.4E-3</v>
      </c>
      <c r="Z116" s="78">
        <f t="shared" ca="1" si="117"/>
        <v>0</v>
      </c>
      <c r="AA116" s="4">
        <f ca="1">-SUMIFS(INDIRECT("Tab_00.Trial["&amp;AA$4&amp;"]"),Tab_00.Trial[CONTA],$B116)</f>
        <v>-21409.439999999999</v>
      </c>
      <c r="AB116" s="78">
        <f t="shared" ca="1" si="104"/>
        <v>-2.3E-3</v>
      </c>
      <c r="AC116" s="78">
        <f t="shared" ca="1" si="105"/>
        <v>-1.1859</v>
      </c>
      <c r="AD116" s="4">
        <f ca="1">-SUMIFS(INDIRECT("Tab_00.Trial["&amp;AD$4&amp;"]"),Tab_00.Trial[CONTA],$B116)</f>
        <v>-21744.240000000002</v>
      </c>
      <c r="AE116" s="78">
        <f t="shared" ca="1" si="106"/>
        <v>-2.0999999999999999E-3</v>
      </c>
      <c r="AF116" s="78">
        <f t="shared" ca="1" si="107"/>
        <v>-1.5599999999999999E-2</v>
      </c>
      <c r="AG116" s="4">
        <f ca="1">-SUMIFS(INDIRECT("Tab_00.Trial["&amp;AG$4&amp;"]"),Tab_00.Trial[CONTA],$B116)</f>
        <v>-22772.240000000002</v>
      </c>
      <c r="AH116" s="78">
        <f t="shared" ca="1" si="108"/>
        <v>-2E-3</v>
      </c>
      <c r="AI116" s="78">
        <f t="shared" ca="1" si="109"/>
        <v>-4.7300000000000002E-2</v>
      </c>
      <c r="AJ116" s="4">
        <f ca="1">-SUMIFS(INDIRECT("Tab_00.Trial["&amp;AJ$4&amp;"]"),Tab_00.Trial[CONTA],$B116)</f>
        <v>-22822.240000000002</v>
      </c>
      <c r="AK116" s="78">
        <f t="shared" ca="1" si="110"/>
        <v>-1.8E-3</v>
      </c>
      <c r="AL116" s="78">
        <f t="shared" ca="1" si="111"/>
        <v>-2.2000000000000001E-3</v>
      </c>
    </row>
    <row r="117" spans="2:38" ht="15" customHeight="1" outlineLevel="1" x14ac:dyDescent="0.3">
      <c r="B117" s="14" t="s">
        <v>501</v>
      </c>
      <c r="C117" s="14" t="s">
        <v>502</v>
      </c>
      <c r="D117" s="4">
        <f ca="1">-SUMIFS(INDIRECT("Tab_00.Trial["&amp;D$4&amp;"]"),Tab_00.Trial[CONTA],$B117)</f>
        <v>-2241.66</v>
      </c>
      <c r="E117" s="78">
        <f t="shared" ca="1" si="112"/>
        <v>-2.3999999999999998E-3</v>
      </c>
      <c r="F117" s="4">
        <f ca="1">-SUMIFS(INDIRECT("Tab_00.Trial["&amp;F$4&amp;"]"),Tab_00.Trial[CONTA],$B117)</f>
        <v>-2317.38</v>
      </c>
      <c r="G117" s="78">
        <f t="shared" ca="1" si="91"/>
        <v>-1.6000000000000001E-3</v>
      </c>
      <c r="H117" s="78">
        <f t="shared" ca="1" si="113"/>
        <v>-3.3799999999999997E-2</v>
      </c>
      <c r="I117" s="4">
        <f ca="1">-SUMIFS(INDIRECT("Tab_00.Trial["&amp;I$4&amp;"]"),Tab_00.Trial[CONTA],$B117)</f>
        <v>-2551.17</v>
      </c>
      <c r="J117" s="78">
        <f t="shared" ca="1" si="92"/>
        <v>-8.9999999999999998E-4</v>
      </c>
      <c r="K117" s="78">
        <f t="shared" ca="1" si="93"/>
        <v>-0.1009</v>
      </c>
      <c r="L117" s="4">
        <f ca="1">-SUMIFS(INDIRECT("Tab_00.Trial["&amp;L$4&amp;"]"),Tab_00.Trial[CONTA],$B117)</f>
        <v>-7361.95</v>
      </c>
      <c r="M117" s="78">
        <f t="shared" ca="1" si="94"/>
        <v>-1.9E-3</v>
      </c>
      <c r="N117" s="78">
        <f t="shared" ca="1" si="95"/>
        <v>-1.8856999999999999</v>
      </c>
      <c r="O117" s="4">
        <f ca="1">-SUMIFS(INDIRECT("Tab_00.Trial["&amp;O$4&amp;"]"),Tab_00.Trial[CONTA],$B117)</f>
        <v>-7477.45</v>
      </c>
      <c r="P117" s="78">
        <f t="shared" ca="1" si="114"/>
        <v>-1.5E-3</v>
      </c>
      <c r="Q117" s="78">
        <f t="shared" ca="1" si="115"/>
        <v>-1.5699999999999999E-2</v>
      </c>
      <c r="R117" s="4">
        <f ca="1">-SUMIFS(INDIRECT("Tab_00.Trial["&amp;R$4&amp;"]"),Tab_00.Trial[CONTA],$B117)</f>
        <v>-9664.69</v>
      </c>
      <c r="S117" s="78">
        <f t="shared" ca="1" si="98"/>
        <v>-1.2999999999999999E-3</v>
      </c>
      <c r="T117" s="78">
        <f t="shared" ca="1" si="99"/>
        <v>-0.29249999999999998</v>
      </c>
      <c r="U117" s="4">
        <f ca="1">-SUMIFS(INDIRECT("Tab_00.Trial["&amp;U$4&amp;"]"),Tab_00.Trial[CONTA],$B117)</f>
        <v>-9664.69</v>
      </c>
      <c r="V117" s="78">
        <f t="shared" ca="1" si="100"/>
        <v>-1.2999999999999999E-3</v>
      </c>
      <c r="W117" s="78">
        <f t="shared" ca="1" si="101"/>
        <v>0</v>
      </c>
      <c r="X117" s="4">
        <f ca="1">-SUMIFS(INDIRECT("Tab_00.Trial["&amp;X$4&amp;"]"),Tab_00.Trial[CONTA],$B117)</f>
        <v>-9664.69</v>
      </c>
      <c r="Y117" s="78">
        <f t="shared" ca="1" si="116"/>
        <v>-1.2999999999999999E-3</v>
      </c>
      <c r="Z117" s="78">
        <f t="shared" ca="1" si="117"/>
        <v>0</v>
      </c>
      <c r="AA117" s="4">
        <f ca="1">-SUMIFS(INDIRECT("Tab_00.Trial["&amp;AA$4&amp;"]"),Tab_00.Trial[CONTA],$B117)</f>
        <v>-14396.02</v>
      </c>
      <c r="AB117" s="78">
        <f t="shared" ca="1" si="104"/>
        <v>-1.6000000000000001E-3</v>
      </c>
      <c r="AC117" s="78">
        <f t="shared" ca="1" si="105"/>
        <v>-0.48949999999999999</v>
      </c>
      <c r="AD117" s="4">
        <f ca="1">-SUMIFS(INDIRECT("Tab_00.Trial["&amp;AD$4&amp;"]"),Tab_00.Trial[CONTA],$B117)</f>
        <v>-14562.02</v>
      </c>
      <c r="AE117" s="78">
        <f t="shared" ca="1" si="106"/>
        <v>-1.4E-3</v>
      </c>
      <c r="AF117" s="78">
        <f t="shared" ca="1" si="107"/>
        <v>-1.15E-2</v>
      </c>
      <c r="AG117" s="4">
        <f ca="1">-SUMIFS(INDIRECT("Tab_00.Trial["&amp;AG$4&amp;"]"),Tab_00.Trial[CONTA],$B117)</f>
        <v>-15011.2</v>
      </c>
      <c r="AH117" s="78">
        <f t="shared" ca="1" si="108"/>
        <v>-1.2999999999999999E-3</v>
      </c>
      <c r="AI117" s="78">
        <f t="shared" ca="1" si="109"/>
        <v>-3.0800000000000001E-2</v>
      </c>
      <c r="AJ117" s="4">
        <f ca="1">-SUMIFS(INDIRECT("Tab_00.Trial["&amp;AJ$4&amp;"]"),Tab_00.Trial[CONTA],$B117)</f>
        <v>-39309.199999999997</v>
      </c>
      <c r="AK117" s="78">
        <f t="shared" ca="1" si="110"/>
        <v>-3.0999999999999999E-3</v>
      </c>
      <c r="AL117" s="78">
        <f t="shared" ca="1" si="111"/>
        <v>-1.6187</v>
      </c>
    </row>
    <row r="118" spans="2:38" ht="15" customHeight="1" outlineLevel="1" x14ac:dyDescent="0.3">
      <c r="B118" s="14" t="s">
        <v>507</v>
      </c>
      <c r="C118" s="14" t="s">
        <v>508</v>
      </c>
      <c r="D118" s="4">
        <f ca="1">-SUMIFS(INDIRECT("Tab_00.Trial["&amp;D$4&amp;"]"),Tab_00.Trial[CONTA],$B118)</f>
        <v>0</v>
      </c>
      <c r="E118" s="78">
        <f t="shared" ca="1" si="112"/>
        <v>0</v>
      </c>
      <c r="F118" s="4">
        <f ca="1">-SUMIFS(INDIRECT("Tab_00.Trial["&amp;F$4&amp;"]"),Tab_00.Trial[CONTA],$B118)</f>
        <v>0</v>
      </c>
      <c r="G118" s="78">
        <f t="shared" ca="1" si="91"/>
        <v>0</v>
      </c>
      <c r="H118" s="78">
        <f t="shared" ca="1" si="113"/>
        <v>0</v>
      </c>
      <c r="I118" s="4">
        <f ca="1">-SUMIFS(INDIRECT("Tab_00.Trial["&amp;I$4&amp;"]"),Tab_00.Trial[CONTA],$B118)</f>
        <v>0</v>
      </c>
      <c r="J118" s="78">
        <f t="shared" ca="1" si="92"/>
        <v>0</v>
      </c>
      <c r="K118" s="78">
        <f t="shared" ca="1" si="93"/>
        <v>0</v>
      </c>
      <c r="L118" s="4">
        <f ca="1">-SUMIFS(INDIRECT("Tab_00.Trial["&amp;L$4&amp;"]"),Tab_00.Trial[CONTA],$B118)</f>
        <v>0</v>
      </c>
      <c r="M118" s="78">
        <f t="shared" ca="1" si="94"/>
        <v>0</v>
      </c>
      <c r="N118" s="78">
        <f t="shared" ca="1" si="95"/>
        <v>0</v>
      </c>
      <c r="O118" s="4">
        <f ca="1">-SUMIFS(INDIRECT("Tab_00.Trial["&amp;O$4&amp;"]"),Tab_00.Trial[CONTA],$B118)</f>
        <v>0</v>
      </c>
      <c r="P118" s="78">
        <f t="shared" ca="1" si="114"/>
        <v>0</v>
      </c>
      <c r="Q118" s="78">
        <f t="shared" ca="1" si="115"/>
        <v>0</v>
      </c>
      <c r="R118" s="4">
        <f ca="1">-SUMIFS(INDIRECT("Tab_00.Trial["&amp;R$4&amp;"]"),Tab_00.Trial[CONTA],$B118)</f>
        <v>0</v>
      </c>
      <c r="S118" s="78">
        <f t="shared" ca="1" si="98"/>
        <v>0</v>
      </c>
      <c r="T118" s="78">
        <f t="shared" ca="1" si="99"/>
        <v>0</v>
      </c>
      <c r="U118" s="4">
        <f ca="1">-SUMIFS(INDIRECT("Tab_00.Trial["&amp;U$4&amp;"]"),Tab_00.Trial[CONTA],$B118)</f>
        <v>0</v>
      </c>
      <c r="V118" s="78">
        <f t="shared" ca="1" si="100"/>
        <v>0</v>
      </c>
      <c r="W118" s="78">
        <f t="shared" ca="1" si="101"/>
        <v>0</v>
      </c>
      <c r="X118" s="4">
        <f ca="1">-SUMIFS(INDIRECT("Tab_00.Trial["&amp;X$4&amp;"]"),Tab_00.Trial[CONTA],$B118)</f>
        <v>0</v>
      </c>
      <c r="Y118" s="78">
        <f t="shared" ca="1" si="116"/>
        <v>0</v>
      </c>
      <c r="Z118" s="78">
        <f t="shared" ca="1" si="117"/>
        <v>0</v>
      </c>
      <c r="AA118" s="4">
        <f ca="1">-SUMIFS(INDIRECT("Tab_00.Trial["&amp;AA$4&amp;"]"),Tab_00.Trial[CONTA],$B118)</f>
        <v>0</v>
      </c>
      <c r="AB118" s="78">
        <f t="shared" ca="1" si="104"/>
        <v>0</v>
      </c>
      <c r="AC118" s="78">
        <f t="shared" ca="1" si="105"/>
        <v>0</v>
      </c>
      <c r="AD118" s="4">
        <f ca="1">-SUMIFS(INDIRECT("Tab_00.Trial["&amp;AD$4&amp;"]"),Tab_00.Trial[CONTA],$B118)</f>
        <v>0</v>
      </c>
      <c r="AE118" s="78">
        <f t="shared" ca="1" si="106"/>
        <v>0</v>
      </c>
      <c r="AF118" s="78">
        <f t="shared" ca="1" si="107"/>
        <v>0</v>
      </c>
      <c r="AG118" s="4">
        <f ca="1">-SUMIFS(INDIRECT("Tab_00.Trial["&amp;AG$4&amp;"]"),Tab_00.Trial[CONTA],$B118)</f>
        <v>0</v>
      </c>
      <c r="AH118" s="78">
        <f t="shared" ca="1" si="108"/>
        <v>0</v>
      </c>
      <c r="AI118" s="78">
        <f t="shared" ca="1" si="109"/>
        <v>0</v>
      </c>
      <c r="AJ118" s="4">
        <f ca="1">-SUMIFS(INDIRECT("Tab_00.Trial["&amp;AJ$4&amp;"]"),Tab_00.Trial[CONTA],$B118)</f>
        <v>0</v>
      </c>
      <c r="AK118" s="78">
        <f t="shared" ca="1" si="110"/>
        <v>0</v>
      </c>
      <c r="AL118" s="78">
        <f t="shared" ca="1" si="111"/>
        <v>0</v>
      </c>
    </row>
    <row r="119" spans="2:38" ht="15" customHeight="1" outlineLevel="1" x14ac:dyDescent="0.3">
      <c r="B119" s="14" t="s">
        <v>509</v>
      </c>
      <c r="C119" s="14" t="s">
        <v>510</v>
      </c>
      <c r="D119" s="4">
        <f ca="1">-SUMIFS(INDIRECT("Tab_00.Trial["&amp;D$4&amp;"]"),Tab_00.Trial[CONTA],$B119)</f>
        <v>0</v>
      </c>
      <c r="E119" s="78">
        <f t="shared" ca="1" si="112"/>
        <v>0</v>
      </c>
      <c r="F119" s="4">
        <f ca="1">-SUMIFS(INDIRECT("Tab_00.Trial["&amp;F$4&amp;"]"),Tab_00.Trial[CONTA],$B119)</f>
        <v>0</v>
      </c>
      <c r="G119" s="78">
        <f t="shared" ca="1" si="91"/>
        <v>0</v>
      </c>
      <c r="H119" s="78">
        <f t="shared" ca="1" si="113"/>
        <v>0</v>
      </c>
      <c r="I119" s="4">
        <f ca="1">-SUMIFS(INDIRECT("Tab_00.Trial["&amp;I$4&amp;"]"),Tab_00.Trial[CONTA],$B119)</f>
        <v>0</v>
      </c>
      <c r="J119" s="78">
        <f t="shared" ca="1" si="92"/>
        <v>0</v>
      </c>
      <c r="K119" s="78">
        <f t="shared" ca="1" si="93"/>
        <v>0</v>
      </c>
      <c r="L119" s="4">
        <f ca="1">-SUMIFS(INDIRECT("Tab_00.Trial["&amp;L$4&amp;"]"),Tab_00.Trial[CONTA],$B119)</f>
        <v>0</v>
      </c>
      <c r="M119" s="78">
        <f t="shared" ca="1" si="94"/>
        <v>0</v>
      </c>
      <c r="N119" s="78">
        <f t="shared" ca="1" si="95"/>
        <v>0</v>
      </c>
      <c r="O119" s="4">
        <f ca="1">-SUMIFS(INDIRECT("Tab_00.Trial["&amp;O$4&amp;"]"),Tab_00.Trial[CONTA],$B119)</f>
        <v>0</v>
      </c>
      <c r="P119" s="78">
        <f t="shared" ca="1" si="114"/>
        <v>0</v>
      </c>
      <c r="Q119" s="78">
        <f t="shared" ca="1" si="115"/>
        <v>0</v>
      </c>
      <c r="R119" s="4">
        <f ca="1">-SUMIFS(INDIRECT("Tab_00.Trial["&amp;R$4&amp;"]"),Tab_00.Trial[CONTA],$B119)</f>
        <v>0</v>
      </c>
      <c r="S119" s="78">
        <f t="shared" ca="1" si="98"/>
        <v>0</v>
      </c>
      <c r="T119" s="78">
        <f t="shared" ca="1" si="99"/>
        <v>0</v>
      </c>
      <c r="U119" s="4">
        <f ca="1">-SUMIFS(INDIRECT("Tab_00.Trial["&amp;U$4&amp;"]"),Tab_00.Trial[CONTA],$B119)</f>
        <v>0</v>
      </c>
      <c r="V119" s="78">
        <f t="shared" ca="1" si="100"/>
        <v>0</v>
      </c>
      <c r="W119" s="78">
        <f t="shared" ca="1" si="101"/>
        <v>0</v>
      </c>
      <c r="X119" s="4">
        <f ca="1">-SUMIFS(INDIRECT("Tab_00.Trial["&amp;X$4&amp;"]"),Tab_00.Trial[CONTA],$B119)</f>
        <v>0</v>
      </c>
      <c r="Y119" s="78">
        <f t="shared" ca="1" si="116"/>
        <v>0</v>
      </c>
      <c r="Z119" s="78">
        <f t="shared" ca="1" si="117"/>
        <v>0</v>
      </c>
      <c r="AA119" s="4">
        <f ca="1">-SUMIFS(INDIRECT("Tab_00.Trial["&amp;AA$4&amp;"]"),Tab_00.Trial[CONTA],$B119)</f>
        <v>0</v>
      </c>
      <c r="AB119" s="78">
        <f t="shared" ca="1" si="104"/>
        <v>0</v>
      </c>
      <c r="AC119" s="78">
        <f t="shared" ca="1" si="105"/>
        <v>0</v>
      </c>
      <c r="AD119" s="4">
        <f ca="1">-SUMIFS(INDIRECT("Tab_00.Trial["&amp;AD$4&amp;"]"),Tab_00.Trial[CONTA],$B119)</f>
        <v>0</v>
      </c>
      <c r="AE119" s="78">
        <f t="shared" ca="1" si="106"/>
        <v>0</v>
      </c>
      <c r="AF119" s="78">
        <f t="shared" ca="1" si="107"/>
        <v>0</v>
      </c>
      <c r="AG119" s="4">
        <f ca="1">-SUMIFS(INDIRECT("Tab_00.Trial["&amp;AG$4&amp;"]"),Tab_00.Trial[CONTA],$B119)</f>
        <v>0</v>
      </c>
      <c r="AH119" s="78">
        <f t="shared" ca="1" si="108"/>
        <v>0</v>
      </c>
      <c r="AI119" s="78">
        <f t="shared" ca="1" si="109"/>
        <v>0</v>
      </c>
      <c r="AJ119" s="4">
        <f ca="1">-SUMIFS(INDIRECT("Tab_00.Trial["&amp;AJ$4&amp;"]"),Tab_00.Trial[CONTA],$B119)</f>
        <v>0</v>
      </c>
      <c r="AK119" s="78">
        <f t="shared" ca="1" si="110"/>
        <v>0</v>
      </c>
      <c r="AL119" s="78">
        <f t="shared" ca="1" si="111"/>
        <v>0</v>
      </c>
    </row>
    <row r="120" spans="2:38" ht="15" customHeight="1" outlineLevel="1" x14ac:dyDescent="0.3">
      <c r="B120" s="14" t="s">
        <v>511</v>
      </c>
      <c r="C120" s="14" t="s">
        <v>512</v>
      </c>
      <c r="D120" s="4">
        <f ca="1">-SUMIFS(INDIRECT("Tab_00.Trial["&amp;D$4&amp;"]"),Tab_00.Trial[CONTA],$B120)</f>
        <v>-2260.8200000000002</v>
      </c>
      <c r="E120" s="78">
        <f t="shared" ca="1" si="112"/>
        <v>-2.3999999999999998E-3</v>
      </c>
      <c r="F120" s="4">
        <f ca="1">-SUMIFS(INDIRECT("Tab_00.Trial["&amp;F$4&amp;"]"),Tab_00.Trial[CONTA],$B120)</f>
        <v>-5016.62</v>
      </c>
      <c r="G120" s="78">
        <f t="shared" ca="1" si="91"/>
        <v>-3.3999999999999998E-3</v>
      </c>
      <c r="H120" s="78">
        <f t="shared" ca="1" si="113"/>
        <v>-1.2189000000000001</v>
      </c>
      <c r="I120" s="4">
        <f ca="1">-SUMIFS(INDIRECT("Tab_00.Trial["&amp;I$4&amp;"]"),Tab_00.Trial[CONTA],$B120)</f>
        <v>-7514.12</v>
      </c>
      <c r="J120" s="78">
        <f t="shared" ca="1" si="92"/>
        <v>-2.5999999999999999E-3</v>
      </c>
      <c r="K120" s="78">
        <f t="shared" ca="1" si="93"/>
        <v>-0.49780000000000002</v>
      </c>
      <c r="L120" s="4">
        <f ca="1">-SUMIFS(INDIRECT("Tab_00.Trial["&amp;L$4&amp;"]"),Tab_00.Trial[CONTA],$B120)</f>
        <v>-10230.26</v>
      </c>
      <c r="M120" s="78">
        <f t="shared" ca="1" si="94"/>
        <v>-2.5999999999999999E-3</v>
      </c>
      <c r="N120" s="78">
        <f t="shared" ca="1" si="95"/>
        <v>-0.36149999999999999</v>
      </c>
      <c r="O120" s="4">
        <f ca="1">-SUMIFS(INDIRECT("Tab_00.Trial["&amp;O$4&amp;"]"),Tab_00.Trial[CONTA],$B120)</f>
        <v>-12812.29</v>
      </c>
      <c r="P120" s="78">
        <f t="shared" ca="1" si="114"/>
        <v>-2.5000000000000001E-3</v>
      </c>
      <c r="Q120" s="78">
        <f t="shared" ca="1" si="115"/>
        <v>-0.25240000000000001</v>
      </c>
      <c r="R120" s="4">
        <f ca="1">-SUMIFS(INDIRECT("Tab_00.Trial["&amp;R$4&amp;"]"),Tab_00.Trial[CONTA],$B120)</f>
        <v>-18055.939999999999</v>
      </c>
      <c r="S120" s="78">
        <f t="shared" ca="1" si="98"/>
        <v>-2.5000000000000001E-3</v>
      </c>
      <c r="T120" s="78">
        <f t="shared" ca="1" si="99"/>
        <v>-0.4093</v>
      </c>
      <c r="U120" s="4">
        <f ca="1">-SUMIFS(INDIRECT("Tab_00.Trial["&amp;U$4&amp;"]"),Tab_00.Trial[CONTA],$B120)</f>
        <v>-18055.939999999999</v>
      </c>
      <c r="V120" s="78">
        <f t="shared" ca="1" si="100"/>
        <v>-2.5000000000000001E-3</v>
      </c>
      <c r="W120" s="78">
        <f t="shared" ca="1" si="101"/>
        <v>0</v>
      </c>
      <c r="X120" s="4">
        <f ca="1">-SUMIFS(INDIRECT("Tab_00.Trial["&amp;X$4&amp;"]"),Tab_00.Trial[CONTA],$B120)</f>
        <v>-18055.939999999999</v>
      </c>
      <c r="Y120" s="78">
        <f t="shared" ca="1" si="116"/>
        <v>-2.5000000000000001E-3</v>
      </c>
      <c r="Z120" s="78">
        <f t="shared" ca="1" si="117"/>
        <v>0</v>
      </c>
      <c r="AA120" s="4">
        <f ca="1">-SUMIFS(INDIRECT("Tab_00.Trial["&amp;AA$4&amp;"]"),Tab_00.Trial[CONTA],$B120)</f>
        <v>-23714.41</v>
      </c>
      <c r="AB120" s="78">
        <f t="shared" ca="1" si="104"/>
        <v>-2.5999999999999999E-3</v>
      </c>
      <c r="AC120" s="78">
        <f t="shared" ca="1" si="105"/>
        <v>-0.31340000000000001</v>
      </c>
      <c r="AD120" s="4">
        <f ca="1">-SUMIFS(INDIRECT("Tab_00.Trial["&amp;AD$4&amp;"]"),Tab_00.Trial[CONTA],$B120)</f>
        <v>-26950.21</v>
      </c>
      <c r="AE120" s="78">
        <f t="shared" ca="1" si="106"/>
        <v>-2.5999999999999999E-3</v>
      </c>
      <c r="AF120" s="78">
        <f t="shared" ca="1" si="107"/>
        <v>-0.13639999999999999</v>
      </c>
      <c r="AG120" s="4">
        <f ca="1">-SUMIFS(INDIRECT("Tab_00.Trial["&amp;AG$4&amp;"]"),Tab_00.Trial[CONTA],$B120)</f>
        <v>-29211.68</v>
      </c>
      <c r="AH120" s="78">
        <f t="shared" ca="1" si="108"/>
        <v>-2.5999999999999999E-3</v>
      </c>
      <c r="AI120" s="78">
        <f t="shared" ca="1" si="109"/>
        <v>-8.3900000000000002E-2</v>
      </c>
      <c r="AJ120" s="4">
        <f ca="1">-SUMIFS(INDIRECT("Tab_00.Trial["&amp;AJ$4&amp;"]"),Tab_00.Trial[CONTA],$B120)</f>
        <v>-31920.35</v>
      </c>
      <c r="AK120" s="78">
        <f t="shared" ca="1" si="110"/>
        <v>-2.5000000000000001E-3</v>
      </c>
      <c r="AL120" s="78">
        <f t="shared" ca="1" si="111"/>
        <v>-9.2700000000000005E-2</v>
      </c>
    </row>
    <row r="121" spans="2:38" ht="15" customHeight="1" outlineLevel="1" x14ac:dyDescent="0.3">
      <c r="B121" s="14" t="s">
        <v>513</v>
      </c>
      <c r="C121" s="14" t="s">
        <v>514</v>
      </c>
      <c r="D121" s="4">
        <f ca="1">-SUMIFS(INDIRECT("Tab_00.Trial["&amp;D$4&amp;"]"),Tab_00.Trial[CONTA],$B121)</f>
        <v>0</v>
      </c>
      <c r="E121" s="78">
        <f t="shared" ca="1" si="112"/>
        <v>0</v>
      </c>
      <c r="F121" s="4">
        <f ca="1">-SUMIFS(INDIRECT("Tab_00.Trial["&amp;F$4&amp;"]"),Tab_00.Trial[CONTA],$B121)</f>
        <v>0</v>
      </c>
      <c r="G121" s="78">
        <f t="shared" ca="1" si="91"/>
        <v>0</v>
      </c>
      <c r="H121" s="78">
        <f t="shared" ca="1" si="113"/>
        <v>0</v>
      </c>
      <c r="I121" s="4">
        <f ca="1">-SUMIFS(INDIRECT("Tab_00.Trial["&amp;I$4&amp;"]"),Tab_00.Trial[CONTA],$B121)</f>
        <v>0</v>
      </c>
      <c r="J121" s="78">
        <f t="shared" ca="1" si="92"/>
        <v>0</v>
      </c>
      <c r="K121" s="78">
        <f t="shared" ca="1" si="93"/>
        <v>0</v>
      </c>
      <c r="L121" s="4">
        <f ca="1">-SUMIFS(INDIRECT("Tab_00.Trial["&amp;L$4&amp;"]"),Tab_00.Trial[CONTA],$B121)</f>
        <v>0</v>
      </c>
      <c r="M121" s="78">
        <f t="shared" ca="1" si="94"/>
        <v>0</v>
      </c>
      <c r="N121" s="78">
        <f t="shared" ca="1" si="95"/>
        <v>0</v>
      </c>
      <c r="O121" s="4">
        <f ca="1">-SUMIFS(INDIRECT("Tab_00.Trial["&amp;O$4&amp;"]"),Tab_00.Trial[CONTA],$B121)</f>
        <v>0</v>
      </c>
      <c r="P121" s="78">
        <f t="shared" ca="1" si="114"/>
        <v>0</v>
      </c>
      <c r="Q121" s="78">
        <f t="shared" ca="1" si="115"/>
        <v>0</v>
      </c>
      <c r="R121" s="4">
        <f ca="1">-SUMIFS(INDIRECT("Tab_00.Trial["&amp;R$4&amp;"]"),Tab_00.Trial[CONTA],$B121)</f>
        <v>0</v>
      </c>
      <c r="S121" s="78">
        <f t="shared" ca="1" si="98"/>
        <v>0</v>
      </c>
      <c r="T121" s="78">
        <f t="shared" ca="1" si="99"/>
        <v>0</v>
      </c>
      <c r="U121" s="4">
        <f ca="1">-SUMIFS(INDIRECT("Tab_00.Trial["&amp;U$4&amp;"]"),Tab_00.Trial[CONTA],$B121)</f>
        <v>0</v>
      </c>
      <c r="V121" s="78">
        <f t="shared" ca="1" si="100"/>
        <v>0</v>
      </c>
      <c r="W121" s="78">
        <f t="shared" ca="1" si="101"/>
        <v>0</v>
      </c>
      <c r="X121" s="4">
        <f ca="1">-SUMIFS(INDIRECT("Tab_00.Trial["&amp;X$4&amp;"]"),Tab_00.Trial[CONTA],$B121)</f>
        <v>0</v>
      </c>
      <c r="Y121" s="78">
        <f t="shared" ca="1" si="116"/>
        <v>0</v>
      </c>
      <c r="Z121" s="78">
        <f t="shared" ca="1" si="117"/>
        <v>0</v>
      </c>
      <c r="AA121" s="4">
        <f ca="1">-SUMIFS(INDIRECT("Tab_00.Trial["&amp;AA$4&amp;"]"),Tab_00.Trial[CONTA],$B121)</f>
        <v>0</v>
      </c>
      <c r="AB121" s="78">
        <f t="shared" ca="1" si="104"/>
        <v>0</v>
      </c>
      <c r="AC121" s="78">
        <f t="shared" ca="1" si="105"/>
        <v>0</v>
      </c>
      <c r="AD121" s="4">
        <f ca="1">-SUMIFS(INDIRECT("Tab_00.Trial["&amp;AD$4&amp;"]"),Tab_00.Trial[CONTA],$B121)</f>
        <v>0</v>
      </c>
      <c r="AE121" s="78">
        <f t="shared" ca="1" si="106"/>
        <v>0</v>
      </c>
      <c r="AF121" s="78">
        <f t="shared" ca="1" si="107"/>
        <v>0</v>
      </c>
      <c r="AG121" s="4">
        <f ca="1">-SUMIFS(INDIRECT("Tab_00.Trial["&amp;AG$4&amp;"]"),Tab_00.Trial[CONTA],$B121)</f>
        <v>0</v>
      </c>
      <c r="AH121" s="78">
        <f t="shared" ca="1" si="108"/>
        <v>0</v>
      </c>
      <c r="AI121" s="78">
        <f t="shared" ca="1" si="109"/>
        <v>0</v>
      </c>
      <c r="AJ121" s="4">
        <f ca="1">-SUMIFS(INDIRECT("Tab_00.Trial["&amp;AJ$4&amp;"]"),Tab_00.Trial[CONTA],$B121)</f>
        <v>0</v>
      </c>
      <c r="AK121" s="78">
        <f t="shared" ca="1" si="110"/>
        <v>0</v>
      </c>
      <c r="AL121" s="78">
        <f t="shared" ca="1" si="111"/>
        <v>0</v>
      </c>
    </row>
    <row r="122" spans="2:38" ht="15" customHeight="1" outlineLevel="1" x14ac:dyDescent="0.3">
      <c r="B122" s="14" t="s">
        <v>515</v>
      </c>
      <c r="C122" s="14" t="s">
        <v>420</v>
      </c>
      <c r="D122" s="4">
        <f ca="1">-SUMIFS(INDIRECT("Tab_00.Trial["&amp;D$4&amp;"]"),Tab_00.Trial[CONTA],$B122)</f>
        <v>-1716.83</v>
      </c>
      <c r="E122" s="78">
        <f t="shared" ca="1" si="112"/>
        <v>-1.8E-3</v>
      </c>
      <c r="F122" s="4">
        <f ca="1">-SUMIFS(INDIRECT("Tab_00.Trial["&amp;F$4&amp;"]"),Tab_00.Trial[CONTA],$B122)</f>
        <v>-3359.44</v>
      </c>
      <c r="G122" s="78">
        <f t="shared" ca="1" si="91"/>
        <v>-2.3E-3</v>
      </c>
      <c r="H122" s="78">
        <f t="shared" ca="1" si="113"/>
        <v>-0.95679999999999998</v>
      </c>
      <c r="I122" s="4">
        <f ca="1">-SUMIFS(INDIRECT("Tab_00.Trial["&amp;I$4&amp;"]"),Tab_00.Trial[CONTA],$B122)</f>
        <v>-4983.47</v>
      </c>
      <c r="J122" s="78">
        <f t="shared" ca="1" si="92"/>
        <v>-1.6999999999999999E-3</v>
      </c>
      <c r="K122" s="78">
        <f t="shared" ca="1" si="93"/>
        <v>-0.4834</v>
      </c>
      <c r="L122" s="4">
        <f ca="1">-SUMIFS(INDIRECT("Tab_00.Trial["&amp;L$4&amp;"]"),Tab_00.Trial[CONTA],$B122)</f>
        <v>-17868.78</v>
      </c>
      <c r="M122" s="78">
        <f t="shared" ca="1" si="94"/>
        <v>-4.4999999999999997E-3</v>
      </c>
      <c r="N122" s="78">
        <f t="shared" ca="1" si="95"/>
        <v>-2.5855999999999999</v>
      </c>
      <c r="O122" s="4">
        <f ca="1">-SUMIFS(INDIRECT("Tab_00.Trial["&amp;O$4&amp;"]"),Tab_00.Trial[CONTA],$B122)</f>
        <v>-19503.13</v>
      </c>
      <c r="P122" s="78">
        <f t="shared" ca="1" si="114"/>
        <v>-3.8E-3</v>
      </c>
      <c r="Q122" s="78">
        <f t="shared" ca="1" si="115"/>
        <v>-9.1499999999999998E-2</v>
      </c>
      <c r="R122" s="4">
        <f ca="1">-SUMIFS(INDIRECT("Tab_00.Trial["&amp;R$4&amp;"]"),Tab_00.Trial[CONTA],$B122)</f>
        <v>-22689.200000000001</v>
      </c>
      <c r="S122" s="78">
        <f t="shared" ca="1" si="98"/>
        <v>-3.2000000000000002E-3</v>
      </c>
      <c r="T122" s="78">
        <f t="shared" ca="1" si="99"/>
        <v>-0.16339999999999999</v>
      </c>
      <c r="U122" s="4">
        <f ca="1">-SUMIFS(INDIRECT("Tab_00.Trial["&amp;U$4&amp;"]"),Tab_00.Trial[CONTA],$B122)</f>
        <v>-22689.200000000001</v>
      </c>
      <c r="V122" s="78">
        <f t="shared" ca="1" si="100"/>
        <v>-3.2000000000000002E-3</v>
      </c>
      <c r="W122" s="78">
        <f t="shared" ca="1" si="101"/>
        <v>0</v>
      </c>
      <c r="X122" s="4">
        <f ca="1">-SUMIFS(INDIRECT("Tab_00.Trial["&amp;X$4&amp;"]"),Tab_00.Trial[CONTA],$B122)</f>
        <v>-22689.200000000001</v>
      </c>
      <c r="Y122" s="78">
        <f t="shared" ca="1" si="116"/>
        <v>-3.2000000000000002E-3</v>
      </c>
      <c r="Z122" s="78">
        <f t="shared" ca="1" si="117"/>
        <v>0</v>
      </c>
      <c r="AA122" s="4">
        <f ca="1">-SUMIFS(INDIRECT("Tab_00.Trial["&amp;AA$4&amp;"]"),Tab_00.Trial[CONTA],$B122)</f>
        <v>-25996.38</v>
      </c>
      <c r="AB122" s="78">
        <f t="shared" ca="1" si="104"/>
        <v>-2.8E-3</v>
      </c>
      <c r="AC122" s="78">
        <f t="shared" ca="1" si="105"/>
        <v>-0.14580000000000001</v>
      </c>
      <c r="AD122" s="4">
        <f ca="1">-SUMIFS(INDIRECT("Tab_00.Trial["&amp;AD$4&amp;"]"),Tab_00.Trial[CONTA],$B122)</f>
        <v>-29110.11</v>
      </c>
      <c r="AE122" s="78">
        <f t="shared" ca="1" si="106"/>
        <v>-2.8E-3</v>
      </c>
      <c r="AF122" s="78">
        <f t="shared" ca="1" si="107"/>
        <v>-0.1198</v>
      </c>
      <c r="AG122" s="4">
        <f ca="1">-SUMIFS(INDIRECT("Tab_00.Trial["&amp;AG$4&amp;"]"),Tab_00.Trial[CONTA],$B122)</f>
        <v>-31008.639999999999</v>
      </c>
      <c r="AH122" s="78">
        <f t="shared" ca="1" si="108"/>
        <v>-2.7000000000000001E-3</v>
      </c>
      <c r="AI122" s="78">
        <f t="shared" ca="1" si="109"/>
        <v>-6.5199999999999994E-2</v>
      </c>
      <c r="AJ122" s="4">
        <f ca="1">-SUMIFS(INDIRECT("Tab_00.Trial["&amp;AJ$4&amp;"]"),Tab_00.Trial[CONTA],$B122)</f>
        <v>-33383.35</v>
      </c>
      <c r="AK122" s="78">
        <f t="shared" ca="1" si="110"/>
        <v>-2.5999999999999999E-3</v>
      </c>
      <c r="AL122" s="78">
        <f t="shared" ca="1" si="111"/>
        <v>-7.6600000000000001E-2</v>
      </c>
    </row>
    <row r="123" spans="2:38" ht="15" customHeight="1" outlineLevel="1" x14ac:dyDescent="0.3">
      <c r="B123" s="14" t="s">
        <v>516</v>
      </c>
      <c r="C123" s="14" t="s">
        <v>517</v>
      </c>
      <c r="D123" s="4">
        <f ca="1">-SUMIFS(INDIRECT("Tab_00.Trial["&amp;D$4&amp;"]"),Tab_00.Trial[CONTA],$B123)</f>
        <v>0</v>
      </c>
      <c r="E123" s="78">
        <f t="shared" ca="1" si="112"/>
        <v>0</v>
      </c>
      <c r="F123" s="4">
        <f ca="1">-SUMIFS(INDIRECT("Tab_00.Trial["&amp;F$4&amp;"]"),Tab_00.Trial[CONTA],$B123)</f>
        <v>0</v>
      </c>
      <c r="G123" s="78">
        <f t="shared" ca="1" si="91"/>
        <v>0</v>
      </c>
      <c r="H123" s="78">
        <f t="shared" ca="1" si="113"/>
        <v>0</v>
      </c>
      <c r="I123" s="4">
        <f ca="1">-SUMIFS(INDIRECT("Tab_00.Trial["&amp;I$4&amp;"]"),Tab_00.Trial[CONTA],$B123)</f>
        <v>0</v>
      </c>
      <c r="J123" s="78">
        <f t="shared" ca="1" si="92"/>
        <v>0</v>
      </c>
      <c r="K123" s="78">
        <f t="shared" ca="1" si="93"/>
        <v>0</v>
      </c>
      <c r="L123" s="4">
        <f ca="1">-SUMIFS(INDIRECT("Tab_00.Trial["&amp;L$4&amp;"]"),Tab_00.Trial[CONTA],$B123)</f>
        <v>0</v>
      </c>
      <c r="M123" s="78">
        <f t="shared" ca="1" si="94"/>
        <v>0</v>
      </c>
      <c r="N123" s="78">
        <f t="shared" ca="1" si="95"/>
        <v>0</v>
      </c>
      <c r="O123" s="4">
        <f ca="1">-SUMIFS(INDIRECT("Tab_00.Trial["&amp;O$4&amp;"]"),Tab_00.Trial[CONTA],$B123)</f>
        <v>0</v>
      </c>
      <c r="P123" s="78">
        <f t="shared" ca="1" si="114"/>
        <v>0</v>
      </c>
      <c r="Q123" s="78">
        <f t="shared" ca="1" si="115"/>
        <v>0</v>
      </c>
      <c r="R123" s="4">
        <f ca="1">-SUMIFS(INDIRECT("Tab_00.Trial["&amp;R$4&amp;"]"),Tab_00.Trial[CONTA],$B123)</f>
        <v>0</v>
      </c>
      <c r="S123" s="78">
        <f t="shared" ca="1" si="98"/>
        <v>0</v>
      </c>
      <c r="T123" s="78">
        <f t="shared" ca="1" si="99"/>
        <v>0</v>
      </c>
      <c r="U123" s="4">
        <f ca="1">-SUMIFS(INDIRECT("Tab_00.Trial["&amp;U$4&amp;"]"),Tab_00.Trial[CONTA],$B123)</f>
        <v>0</v>
      </c>
      <c r="V123" s="78">
        <f t="shared" ca="1" si="100"/>
        <v>0</v>
      </c>
      <c r="W123" s="78">
        <f t="shared" ca="1" si="101"/>
        <v>0</v>
      </c>
      <c r="X123" s="4">
        <f ca="1">-SUMIFS(INDIRECT("Tab_00.Trial["&amp;X$4&amp;"]"),Tab_00.Trial[CONTA],$B123)</f>
        <v>0</v>
      </c>
      <c r="Y123" s="78">
        <f t="shared" ca="1" si="116"/>
        <v>0</v>
      </c>
      <c r="Z123" s="78">
        <f t="shared" ca="1" si="117"/>
        <v>0</v>
      </c>
      <c r="AA123" s="4">
        <f ca="1">-SUMIFS(INDIRECT("Tab_00.Trial["&amp;AA$4&amp;"]"),Tab_00.Trial[CONTA],$B123)</f>
        <v>0</v>
      </c>
      <c r="AB123" s="78">
        <f t="shared" ca="1" si="104"/>
        <v>0</v>
      </c>
      <c r="AC123" s="78">
        <f t="shared" ca="1" si="105"/>
        <v>0</v>
      </c>
      <c r="AD123" s="4">
        <f ca="1">-SUMIFS(INDIRECT("Tab_00.Trial["&amp;AD$4&amp;"]"),Tab_00.Trial[CONTA],$B123)</f>
        <v>0</v>
      </c>
      <c r="AE123" s="78">
        <f t="shared" ca="1" si="106"/>
        <v>0</v>
      </c>
      <c r="AF123" s="78">
        <f t="shared" ca="1" si="107"/>
        <v>0</v>
      </c>
      <c r="AG123" s="4">
        <f ca="1">-SUMIFS(INDIRECT("Tab_00.Trial["&amp;AG$4&amp;"]"),Tab_00.Trial[CONTA],$B123)</f>
        <v>0</v>
      </c>
      <c r="AH123" s="78">
        <f t="shared" ca="1" si="108"/>
        <v>0</v>
      </c>
      <c r="AI123" s="78">
        <f t="shared" ca="1" si="109"/>
        <v>0</v>
      </c>
      <c r="AJ123" s="4">
        <f ca="1">-SUMIFS(INDIRECT("Tab_00.Trial["&amp;AJ$4&amp;"]"),Tab_00.Trial[CONTA],$B123)</f>
        <v>0</v>
      </c>
      <c r="AK123" s="78">
        <f t="shared" ca="1" si="110"/>
        <v>0</v>
      </c>
      <c r="AL123" s="78">
        <f t="shared" ca="1" si="111"/>
        <v>0</v>
      </c>
    </row>
    <row r="124" spans="2:38" ht="15" customHeight="1" outlineLevel="1" x14ac:dyDescent="0.3">
      <c r="B124" s="14" t="s">
        <v>518</v>
      </c>
      <c r="C124" s="14" t="s">
        <v>519</v>
      </c>
      <c r="D124" s="4">
        <f ca="1">-SUMIFS(INDIRECT("Tab_00.Trial["&amp;D$4&amp;"]"),Tab_00.Trial[CONTA],$B124)</f>
        <v>-1467.2</v>
      </c>
      <c r="E124" s="78">
        <f t="shared" ca="1" si="112"/>
        <v>-1.6000000000000001E-3</v>
      </c>
      <c r="F124" s="4">
        <f ca="1">-SUMIFS(INDIRECT("Tab_00.Trial["&amp;F$4&amp;"]"),Tab_00.Trial[CONTA],$B124)</f>
        <v>-3368.58</v>
      </c>
      <c r="G124" s="78">
        <f t="shared" ca="1" si="91"/>
        <v>-2.3E-3</v>
      </c>
      <c r="H124" s="78">
        <f t="shared" ca="1" si="113"/>
        <v>-1.2959000000000001</v>
      </c>
      <c r="I124" s="4">
        <f ca="1">-SUMIFS(INDIRECT("Tab_00.Trial["&amp;I$4&amp;"]"),Tab_00.Trial[CONTA],$B124)</f>
        <v>-4660.51</v>
      </c>
      <c r="J124" s="78">
        <f t="shared" ca="1" si="92"/>
        <v>-1.6000000000000001E-3</v>
      </c>
      <c r="K124" s="78">
        <f t="shared" ca="1" si="93"/>
        <v>-0.38350000000000001</v>
      </c>
      <c r="L124" s="4">
        <f ca="1">-SUMIFS(INDIRECT("Tab_00.Trial["&amp;L$4&amp;"]"),Tab_00.Trial[CONTA],$B124)</f>
        <v>-7137.43</v>
      </c>
      <c r="M124" s="78">
        <f t="shared" ca="1" si="94"/>
        <v>-1.8E-3</v>
      </c>
      <c r="N124" s="78">
        <f t="shared" ca="1" si="95"/>
        <v>-0.53149999999999997</v>
      </c>
      <c r="O124" s="4">
        <f ca="1">-SUMIFS(INDIRECT("Tab_00.Trial["&amp;O$4&amp;"]"),Tab_00.Trial[CONTA],$B124)</f>
        <v>-8588.81</v>
      </c>
      <c r="P124" s="78">
        <f t="shared" ca="1" si="114"/>
        <v>-1.6999999999999999E-3</v>
      </c>
      <c r="Q124" s="78">
        <f t="shared" ca="1" si="115"/>
        <v>-0.20330000000000001</v>
      </c>
      <c r="R124" s="4">
        <f ca="1">-SUMIFS(INDIRECT("Tab_00.Trial["&amp;R$4&amp;"]"),Tab_00.Trial[CONTA],$B124)</f>
        <v>-11741.31</v>
      </c>
      <c r="S124" s="78">
        <f t="shared" ca="1" si="98"/>
        <v>-1.6000000000000001E-3</v>
      </c>
      <c r="T124" s="78">
        <f t="shared" ca="1" si="99"/>
        <v>-0.36699999999999999</v>
      </c>
      <c r="U124" s="4">
        <f ca="1">-SUMIFS(INDIRECT("Tab_00.Trial["&amp;U$4&amp;"]"),Tab_00.Trial[CONTA],$B124)</f>
        <v>-11741.31</v>
      </c>
      <c r="V124" s="78">
        <f t="shared" ca="1" si="100"/>
        <v>-1.6000000000000001E-3</v>
      </c>
      <c r="W124" s="78">
        <f t="shared" ca="1" si="101"/>
        <v>0</v>
      </c>
      <c r="X124" s="4">
        <f ca="1">-SUMIFS(INDIRECT("Tab_00.Trial["&amp;X$4&amp;"]"),Tab_00.Trial[CONTA],$B124)</f>
        <v>-11741.31</v>
      </c>
      <c r="Y124" s="78">
        <f t="shared" ca="1" si="116"/>
        <v>-1.6000000000000001E-3</v>
      </c>
      <c r="Z124" s="78">
        <f t="shared" ca="1" si="117"/>
        <v>0</v>
      </c>
      <c r="AA124" s="4">
        <f ca="1">-SUMIFS(INDIRECT("Tab_00.Trial["&amp;AA$4&amp;"]"),Tab_00.Trial[CONTA],$B124)</f>
        <v>-14314</v>
      </c>
      <c r="AB124" s="78">
        <f t="shared" ca="1" si="104"/>
        <v>-1.6000000000000001E-3</v>
      </c>
      <c r="AC124" s="78">
        <f t="shared" ca="1" si="105"/>
        <v>-0.21909999999999999</v>
      </c>
      <c r="AD124" s="4">
        <f ca="1">-SUMIFS(INDIRECT("Tab_00.Trial["&amp;AD$4&amp;"]"),Tab_00.Trial[CONTA],$B124)</f>
        <v>-26456.14</v>
      </c>
      <c r="AE124" s="78">
        <f t="shared" ca="1" si="106"/>
        <v>-2.5000000000000001E-3</v>
      </c>
      <c r="AF124" s="78">
        <f t="shared" ca="1" si="107"/>
        <v>-0.84830000000000005</v>
      </c>
      <c r="AG124" s="4">
        <f ca="1">-SUMIFS(INDIRECT("Tab_00.Trial["&amp;AG$4&amp;"]"),Tab_00.Trial[CONTA],$B124)</f>
        <v>-27620.18</v>
      </c>
      <c r="AH124" s="78">
        <f t="shared" ca="1" si="108"/>
        <v>-2.3999999999999998E-3</v>
      </c>
      <c r="AI124" s="78">
        <f t="shared" ca="1" si="109"/>
        <v>-4.3999999999999997E-2</v>
      </c>
      <c r="AJ124" s="4">
        <f ca="1">-SUMIFS(INDIRECT("Tab_00.Trial["&amp;AJ$4&amp;"]"),Tab_00.Trial[CONTA],$B124)</f>
        <v>-28499.52</v>
      </c>
      <c r="AK124" s="78">
        <f t="shared" ca="1" si="110"/>
        <v>-2.2000000000000001E-3</v>
      </c>
      <c r="AL124" s="78">
        <f t="shared" ca="1" si="111"/>
        <v>-3.1800000000000002E-2</v>
      </c>
    </row>
    <row r="125" spans="2:38" ht="15" customHeight="1" outlineLevel="1" x14ac:dyDescent="0.3">
      <c r="B125" s="14" t="s">
        <v>528</v>
      </c>
      <c r="C125" s="14" t="s">
        <v>416</v>
      </c>
      <c r="D125" s="4">
        <f ca="1">-SUMIFS(INDIRECT("Tab_00.Trial["&amp;D$4&amp;"]"),Tab_00.Trial[CONTA],$B125)</f>
        <v>-100.59</v>
      </c>
      <c r="E125" s="78">
        <f t="shared" ca="1" si="112"/>
        <v>-1E-4</v>
      </c>
      <c r="F125" s="4">
        <f ca="1">-SUMIFS(INDIRECT("Tab_00.Trial["&amp;F$4&amp;"]"),Tab_00.Trial[CONTA],$B125)</f>
        <v>-100.59</v>
      </c>
      <c r="G125" s="78">
        <f t="shared" ca="1" si="91"/>
        <v>-1E-4</v>
      </c>
      <c r="H125" s="78">
        <f t="shared" ca="1" si="113"/>
        <v>0</v>
      </c>
      <c r="I125" s="4">
        <f ca="1">-SUMIFS(INDIRECT("Tab_00.Trial["&amp;I$4&amp;"]"),Tab_00.Trial[CONTA],$B125)</f>
        <v>-349.64</v>
      </c>
      <c r="J125" s="78">
        <f t="shared" ca="1" si="92"/>
        <v>-1E-4</v>
      </c>
      <c r="K125" s="78">
        <f t="shared" ca="1" si="93"/>
        <v>-2.4759000000000002</v>
      </c>
      <c r="L125" s="4">
        <f ca="1">-SUMIFS(INDIRECT("Tab_00.Trial["&amp;L$4&amp;"]"),Tab_00.Trial[CONTA],$B125)</f>
        <v>-399.64</v>
      </c>
      <c r="M125" s="78">
        <f t="shared" ca="1" si="94"/>
        <v>-1E-4</v>
      </c>
      <c r="N125" s="78">
        <f t="shared" ca="1" si="95"/>
        <v>-0.14299999999999999</v>
      </c>
      <c r="O125" s="4">
        <f ca="1">-SUMIFS(INDIRECT("Tab_00.Trial["&amp;O$4&amp;"]"),Tab_00.Trial[CONTA],$B125)</f>
        <v>-494.45</v>
      </c>
      <c r="P125" s="78">
        <f t="shared" ca="1" si="114"/>
        <v>-1E-4</v>
      </c>
      <c r="Q125" s="78">
        <f t="shared" ca="1" si="115"/>
        <v>-0.23719999999999999</v>
      </c>
      <c r="R125" s="4">
        <f ca="1">-SUMIFS(INDIRECT("Tab_00.Trial["&amp;R$4&amp;"]"),Tab_00.Trial[CONTA],$B125)</f>
        <v>-750.01</v>
      </c>
      <c r="S125" s="78">
        <f t="shared" ca="1" si="98"/>
        <v>-1E-4</v>
      </c>
      <c r="T125" s="78">
        <f t="shared" ca="1" si="99"/>
        <v>-0.51690000000000003</v>
      </c>
      <c r="U125" s="4">
        <f ca="1">-SUMIFS(INDIRECT("Tab_00.Trial["&amp;U$4&amp;"]"),Tab_00.Trial[CONTA],$B125)</f>
        <v>-750.01</v>
      </c>
      <c r="V125" s="78">
        <f t="shared" ca="1" si="100"/>
        <v>-1E-4</v>
      </c>
      <c r="W125" s="78">
        <f t="shared" ca="1" si="101"/>
        <v>0</v>
      </c>
      <c r="X125" s="4">
        <f ca="1">-SUMIFS(INDIRECT("Tab_00.Trial["&amp;X$4&amp;"]"),Tab_00.Trial[CONTA],$B125)</f>
        <v>-750.01</v>
      </c>
      <c r="Y125" s="78">
        <f t="shared" ca="1" si="116"/>
        <v>-1E-4</v>
      </c>
      <c r="Z125" s="78">
        <f t="shared" ca="1" si="117"/>
        <v>0</v>
      </c>
      <c r="AA125" s="4">
        <f ca="1">-SUMIFS(INDIRECT("Tab_00.Trial["&amp;AA$4&amp;"]"),Tab_00.Trial[CONTA],$B125)</f>
        <v>-1677.42</v>
      </c>
      <c r="AB125" s="78">
        <f t="shared" ca="1" si="104"/>
        <v>-2.0000000000000001E-4</v>
      </c>
      <c r="AC125" s="78">
        <f t="shared" ca="1" si="105"/>
        <v>-1.2364999999999999</v>
      </c>
      <c r="AD125" s="4">
        <f ca="1">-SUMIFS(INDIRECT("Tab_00.Trial["&amp;AD$4&amp;"]"),Tab_00.Trial[CONTA],$B125)</f>
        <v>-2464.7399999999998</v>
      </c>
      <c r="AE125" s="78">
        <f t="shared" ca="1" si="106"/>
        <v>-2.0000000000000001E-4</v>
      </c>
      <c r="AF125" s="78">
        <f t="shared" ca="1" si="107"/>
        <v>-0.46939999999999998</v>
      </c>
      <c r="AG125" s="4">
        <f ca="1">-SUMIFS(INDIRECT("Tab_00.Trial["&amp;AG$4&amp;"]"),Tab_00.Trial[CONTA],$B125)</f>
        <v>-2464.7399999999998</v>
      </c>
      <c r="AH125" s="78">
        <f t="shared" ca="1" si="108"/>
        <v>-2.0000000000000001E-4</v>
      </c>
      <c r="AI125" s="78">
        <f t="shared" ca="1" si="109"/>
        <v>0</v>
      </c>
      <c r="AJ125" s="4">
        <f ca="1">-SUMIFS(INDIRECT("Tab_00.Trial["&amp;AJ$4&amp;"]"),Tab_00.Trial[CONTA],$B125)</f>
        <v>-2464.7399999999998</v>
      </c>
      <c r="AK125" s="78">
        <f t="shared" ca="1" si="110"/>
        <v>-2.0000000000000001E-4</v>
      </c>
      <c r="AL125" s="78">
        <f t="shared" ca="1" si="111"/>
        <v>0</v>
      </c>
    </row>
    <row r="126" spans="2:38" ht="15" customHeight="1" outlineLevel="1" x14ac:dyDescent="0.3">
      <c r="B126" s="14" t="s">
        <v>529</v>
      </c>
      <c r="C126" s="14" t="s">
        <v>530</v>
      </c>
      <c r="D126" s="4">
        <f ca="1">-SUMIFS(INDIRECT("Tab_00.Trial["&amp;D$4&amp;"]"),Tab_00.Trial[CONTA],$B126)</f>
        <v>0</v>
      </c>
      <c r="E126" s="78">
        <f t="shared" ca="1" si="112"/>
        <v>0</v>
      </c>
      <c r="F126" s="4">
        <f ca="1">-SUMIFS(INDIRECT("Tab_00.Trial["&amp;F$4&amp;"]"),Tab_00.Trial[CONTA],$B126)</f>
        <v>0</v>
      </c>
      <c r="G126" s="78">
        <f t="shared" ca="1" si="91"/>
        <v>0</v>
      </c>
      <c r="H126" s="78">
        <f t="shared" ca="1" si="113"/>
        <v>0</v>
      </c>
      <c r="I126" s="4">
        <f ca="1">-SUMIFS(INDIRECT("Tab_00.Trial["&amp;I$4&amp;"]"),Tab_00.Trial[CONTA],$B126)</f>
        <v>0</v>
      </c>
      <c r="J126" s="78">
        <f t="shared" ca="1" si="92"/>
        <v>0</v>
      </c>
      <c r="K126" s="78">
        <f t="shared" ca="1" si="93"/>
        <v>0</v>
      </c>
      <c r="L126" s="4">
        <f ca="1">-SUMIFS(INDIRECT("Tab_00.Trial["&amp;L$4&amp;"]"),Tab_00.Trial[CONTA],$B126)</f>
        <v>0</v>
      </c>
      <c r="M126" s="78">
        <f t="shared" ca="1" si="94"/>
        <v>0</v>
      </c>
      <c r="N126" s="78">
        <f t="shared" ca="1" si="95"/>
        <v>0</v>
      </c>
      <c r="O126" s="4">
        <f ca="1">-SUMIFS(INDIRECT("Tab_00.Trial["&amp;O$4&amp;"]"),Tab_00.Trial[CONTA],$B126)</f>
        <v>0</v>
      </c>
      <c r="P126" s="78">
        <f t="shared" ca="1" si="114"/>
        <v>0</v>
      </c>
      <c r="Q126" s="78">
        <f t="shared" ca="1" si="115"/>
        <v>0</v>
      </c>
      <c r="R126" s="4">
        <f ca="1">-SUMIFS(INDIRECT("Tab_00.Trial["&amp;R$4&amp;"]"),Tab_00.Trial[CONTA],$B126)</f>
        <v>-258</v>
      </c>
      <c r="S126" s="78">
        <f t="shared" ca="1" si="98"/>
        <v>0</v>
      </c>
      <c r="T126" s="78">
        <f t="shared" ca="1" si="99"/>
        <v>0</v>
      </c>
      <c r="U126" s="4">
        <f ca="1">-SUMIFS(INDIRECT("Tab_00.Trial["&amp;U$4&amp;"]"),Tab_00.Trial[CONTA],$B126)</f>
        <v>-258</v>
      </c>
      <c r="V126" s="78">
        <f t="shared" ca="1" si="100"/>
        <v>0</v>
      </c>
      <c r="W126" s="78">
        <f t="shared" ca="1" si="101"/>
        <v>0</v>
      </c>
      <c r="X126" s="4">
        <f ca="1">-SUMIFS(INDIRECT("Tab_00.Trial["&amp;X$4&amp;"]"),Tab_00.Trial[CONTA],$B126)</f>
        <v>-258</v>
      </c>
      <c r="Y126" s="78">
        <f t="shared" ca="1" si="116"/>
        <v>0</v>
      </c>
      <c r="Z126" s="78">
        <f t="shared" ca="1" si="117"/>
        <v>0</v>
      </c>
      <c r="AA126" s="4">
        <f ca="1">-SUMIFS(INDIRECT("Tab_00.Trial["&amp;AA$4&amp;"]"),Tab_00.Trial[CONTA],$B126)</f>
        <v>-349.32</v>
      </c>
      <c r="AB126" s="78">
        <f t="shared" ca="1" si="104"/>
        <v>0</v>
      </c>
      <c r="AC126" s="78">
        <f t="shared" ca="1" si="105"/>
        <v>-0.35399999999999998</v>
      </c>
      <c r="AD126" s="4">
        <f ca="1">-SUMIFS(INDIRECT("Tab_00.Trial["&amp;AD$4&amp;"]"),Tab_00.Trial[CONTA],$B126)</f>
        <v>-849.32</v>
      </c>
      <c r="AE126" s="78">
        <f t="shared" ca="1" si="106"/>
        <v>-1E-4</v>
      </c>
      <c r="AF126" s="78">
        <f t="shared" ca="1" si="107"/>
        <v>-1.4314</v>
      </c>
      <c r="AG126" s="4">
        <f ca="1">-SUMIFS(INDIRECT("Tab_00.Trial["&amp;AG$4&amp;"]"),Tab_00.Trial[CONTA],$B126)</f>
        <v>-849.32</v>
      </c>
      <c r="AH126" s="78">
        <f t="shared" ca="1" si="108"/>
        <v>-1E-4</v>
      </c>
      <c r="AI126" s="78">
        <f t="shared" ca="1" si="109"/>
        <v>0</v>
      </c>
      <c r="AJ126" s="4">
        <f ca="1">-SUMIFS(INDIRECT("Tab_00.Trial["&amp;AJ$4&amp;"]"),Tab_00.Trial[CONTA],$B126)</f>
        <v>-849.32</v>
      </c>
      <c r="AK126" s="78">
        <f t="shared" ca="1" si="110"/>
        <v>-1E-4</v>
      </c>
      <c r="AL126" s="78">
        <f t="shared" ca="1" si="111"/>
        <v>0</v>
      </c>
    </row>
    <row r="127" spans="2:38" ht="15" customHeight="1" outlineLevel="1" x14ac:dyDescent="0.3">
      <c r="B127" s="14" t="s">
        <v>531</v>
      </c>
      <c r="C127" s="14" t="s">
        <v>532</v>
      </c>
      <c r="D127" s="4">
        <f ca="1">-SUMIFS(INDIRECT("Tab_00.Trial["&amp;D$4&amp;"]"),Tab_00.Trial[CONTA],$B127)</f>
        <v>-114</v>
      </c>
      <c r="E127" s="78">
        <f t="shared" ca="1" si="112"/>
        <v>-1E-4</v>
      </c>
      <c r="F127" s="4">
        <f ca="1">-SUMIFS(INDIRECT("Tab_00.Trial["&amp;F$4&amp;"]"),Tab_00.Trial[CONTA],$B127)</f>
        <v>-176.97</v>
      </c>
      <c r="G127" s="78">
        <f t="shared" ca="1" si="91"/>
        <v>-1E-4</v>
      </c>
      <c r="H127" s="78">
        <f t="shared" ca="1" si="113"/>
        <v>-0.5524</v>
      </c>
      <c r="I127" s="4">
        <f ca="1">-SUMIFS(INDIRECT("Tab_00.Trial["&amp;I$4&amp;"]"),Tab_00.Trial[CONTA],$B127)</f>
        <v>-176.97</v>
      </c>
      <c r="J127" s="78">
        <f t="shared" ca="1" si="92"/>
        <v>-1E-4</v>
      </c>
      <c r="K127" s="78">
        <f t="shared" ca="1" si="93"/>
        <v>0</v>
      </c>
      <c r="L127" s="4">
        <f ca="1">-SUMIFS(INDIRECT("Tab_00.Trial["&amp;L$4&amp;"]"),Tab_00.Trial[CONTA],$B127)</f>
        <v>-270.23</v>
      </c>
      <c r="M127" s="78">
        <f t="shared" ca="1" si="94"/>
        <v>-1E-4</v>
      </c>
      <c r="N127" s="78">
        <f t="shared" ca="1" si="95"/>
        <v>-0.52700000000000002</v>
      </c>
      <c r="O127" s="4">
        <f ca="1">-SUMIFS(INDIRECT("Tab_00.Trial["&amp;O$4&amp;"]"),Tab_00.Trial[CONTA],$B127)</f>
        <v>-424.04</v>
      </c>
      <c r="P127" s="78">
        <f t="shared" ca="1" si="114"/>
        <v>-1E-4</v>
      </c>
      <c r="Q127" s="78">
        <f t="shared" ca="1" si="115"/>
        <v>-0.56920000000000004</v>
      </c>
      <c r="R127" s="4">
        <f ca="1">-SUMIFS(INDIRECT("Tab_00.Trial["&amp;R$4&amp;"]"),Tab_00.Trial[CONTA],$B127)</f>
        <v>-1090.6300000000001</v>
      </c>
      <c r="S127" s="78">
        <f t="shared" ca="1" si="98"/>
        <v>-2.0000000000000001E-4</v>
      </c>
      <c r="T127" s="78">
        <f t="shared" ca="1" si="99"/>
        <v>-1.5720000000000001</v>
      </c>
      <c r="U127" s="4">
        <f ca="1">-SUMIFS(INDIRECT("Tab_00.Trial["&amp;U$4&amp;"]"),Tab_00.Trial[CONTA],$B127)</f>
        <v>-1090.6300000000001</v>
      </c>
      <c r="V127" s="78">
        <f t="shared" ca="1" si="100"/>
        <v>-2.0000000000000001E-4</v>
      </c>
      <c r="W127" s="78">
        <f t="shared" ca="1" si="101"/>
        <v>0</v>
      </c>
      <c r="X127" s="4">
        <f ca="1">-SUMIFS(INDIRECT("Tab_00.Trial["&amp;X$4&amp;"]"),Tab_00.Trial[CONTA],$B127)</f>
        <v>-1090.6300000000001</v>
      </c>
      <c r="Y127" s="78">
        <f t="shared" ca="1" si="116"/>
        <v>-2.0000000000000001E-4</v>
      </c>
      <c r="Z127" s="78">
        <f t="shared" ca="1" si="117"/>
        <v>0</v>
      </c>
      <c r="AA127" s="4">
        <f ca="1">-SUMIFS(INDIRECT("Tab_00.Trial["&amp;AA$4&amp;"]"),Tab_00.Trial[CONTA],$B127)</f>
        <v>-1437.92</v>
      </c>
      <c r="AB127" s="78">
        <f t="shared" ca="1" si="104"/>
        <v>-2.0000000000000001E-4</v>
      </c>
      <c r="AC127" s="78">
        <f t="shared" ca="1" si="105"/>
        <v>-0.31840000000000002</v>
      </c>
      <c r="AD127" s="4">
        <f ca="1">-SUMIFS(INDIRECT("Tab_00.Trial["&amp;AD$4&amp;"]"),Tab_00.Trial[CONTA],$B127)</f>
        <v>-1607.42</v>
      </c>
      <c r="AE127" s="78">
        <f t="shared" ca="1" si="106"/>
        <v>-2.0000000000000001E-4</v>
      </c>
      <c r="AF127" s="78">
        <f t="shared" ca="1" si="107"/>
        <v>-0.1179</v>
      </c>
      <c r="AG127" s="4">
        <f ca="1">-SUMIFS(INDIRECT("Tab_00.Trial["&amp;AG$4&amp;"]"),Tab_00.Trial[CONTA],$B127)</f>
        <v>-1664.1</v>
      </c>
      <c r="AH127" s="78">
        <f t="shared" ca="1" si="108"/>
        <v>-1E-4</v>
      </c>
      <c r="AI127" s="78">
        <f t="shared" ca="1" si="109"/>
        <v>-3.5299999999999998E-2</v>
      </c>
      <c r="AJ127" s="4">
        <f ca="1">-SUMIFS(INDIRECT("Tab_00.Trial["&amp;AJ$4&amp;"]"),Tab_00.Trial[CONTA],$B127)</f>
        <v>-1708.38</v>
      </c>
      <c r="AK127" s="78">
        <f t="shared" ca="1" si="110"/>
        <v>-1E-4</v>
      </c>
      <c r="AL127" s="78">
        <f t="shared" ca="1" si="111"/>
        <v>-2.6599999999999999E-2</v>
      </c>
    </row>
    <row r="128" spans="2:38" ht="15" customHeight="1" outlineLevel="1" x14ac:dyDescent="0.3">
      <c r="B128" s="14" t="s">
        <v>533</v>
      </c>
      <c r="C128" s="14" t="s">
        <v>534</v>
      </c>
      <c r="D128" s="4">
        <f ca="1">-SUMIFS(INDIRECT("Tab_00.Trial["&amp;D$4&amp;"]"),Tab_00.Trial[CONTA],$B128)</f>
        <v>-350</v>
      </c>
      <c r="E128" s="78">
        <f t="shared" ca="1" si="112"/>
        <v>-4.0000000000000002E-4</v>
      </c>
      <c r="F128" s="4">
        <f ca="1">-SUMIFS(INDIRECT("Tab_00.Trial["&amp;F$4&amp;"]"),Tab_00.Trial[CONTA],$B128)</f>
        <v>-350</v>
      </c>
      <c r="G128" s="78">
        <f t="shared" ca="1" si="91"/>
        <v>-2.0000000000000001E-4</v>
      </c>
      <c r="H128" s="78">
        <f t="shared" ca="1" si="113"/>
        <v>0</v>
      </c>
      <c r="I128" s="4">
        <f ca="1">-SUMIFS(INDIRECT("Tab_00.Trial["&amp;I$4&amp;"]"),Tab_00.Trial[CONTA],$B128)</f>
        <v>-350</v>
      </c>
      <c r="J128" s="78">
        <f t="shared" ca="1" si="92"/>
        <v>-1E-4</v>
      </c>
      <c r="K128" s="78">
        <f t="shared" ca="1" si="93"/>
        <v>0</v>
      </c>
      <c r="L128" s="4">
        <f ca="1">-SUMIFS(INDIRECT("Tab_00.Trial["&amp;L$4&amp;"]"),Tab_00.Trial[CONTA],$B128)</f>
        <v>-350</v>
      </c>
      <c r="M128" s="78">
        <f t="shared" ca="1" si="94"/>
        <v>-1E-4</v>
      </c>
      <c r="N128" s="78">
        <f t="shared" ca="1" si="95"/>
        <v>0</v>
      </c>
      <c r="O128" s="4">
        <f ca="1">-SUMIFS(INDIRECT("Tab_00.Trial["&amp;O$4&amp;"]"),Tab_00.Trial[CONTA],$B128)</f>
        <v>-1750</v>
      </c>
      <c r="P128" s="78">
        <f t="shared" ca="1" si="114"/>
        <v>-2.9999999999999997E-4</v>
      </c>
      <c r="Q128" s="78">
        <f t="shared" ca="1" si="115"/>
        <v>-4</v>
      </c>
      <c r="R128" s="4">
        <f ca="1">-SUMIFS(INDIRECT("Tab_00.Trial["&amp;R$4&amp;"]"),Tab_00.Trial[CONTA],$B128)</f>
        <v>-2100</v>
      </c>
      <c r="S128" s="78">
        <f t="shared" ca="1" si="98"/>
        <v>-2.9999999999999997E-4</v>
      </c>
      <c r="T128" s="78">
        <f t="shared" ca="1" si="99"/>
        <v>-0.2</v>
      </c>
      <c r="U128" s="4">
        <f ca="1">-SUMIFS(INDIRECT("Tab_00.Trial["&amp;U$4&amp;"]"),Tab_00.Trial[CONTA],$B128)</f>
        <v>-2100</v>
      </c>
      <c r="V128" s="78">
        <f t="shared" ca="1" si="100"/>
        <v>-2.9999999999999997E-4</v>
      </c>
      <c r="W128" s="78">
        <f t="shared" ca="1" si="101"/>
        <v>0</v>
      </c>
      <c r="X128" s="4">
        <f ca="1">-SUMIFS(INDIRECT("Tab_00.Trial["&amp;X$4&amp;"]"),Tab_00.Trial[CONTA],$B128)</f>
        <v>-2100</v>
      </c>
      <c r="Y128" s="78">
        <f t="shared" ca="1" si="116"/>
        <v>-2.9999999999999997E-4</v>
      </c>
      <c r="Z128" s="78">
        <f t="shared" ca="1" si="117"/>
        <v>0</v>
      </c>
      <c r="AA128" s="4">
        <f ca="1">-SUMIFS(INDIRECT("Tab_00.Trial["&amp;AA$4&amp;"]"),Tab_00.Trial[CONTA],$B128)</f>
        <v>-3798.91</v>
      </c>
      <c r="AB128" s="78">
        <f t="shared" ca="1" si="104"/>
        <v>-4.0000000000000002E-4</v>
      </c>
      <c r="AC128" s="78">
        <f t="shared" ca="1" si="105"/>
        <v>-0.80900000000000005</v>
      </c>
      <c r="AD128" s="4">
        <f ca="1">-SUMIFS(INDIRECT("Tab_00.Trial["&amp;AD$4&amp;"]"),Tab_00.Trial[CONTA],$B128)</f>
        <v>-4988.91</v>
      </c>
      <c r="AE128" s="78">
        <f t="shared" ca="1" si="106"/>
        <v>-5.0000000000000001E-4</v>
      </c>
      <c r="AF128" s="78">
        <f t="shared" ca="1" si="107"/>
        <v>-0.31319999999999998</v>
      </c>
      <c r="AG128" s="4">
        <f ca="1">-SUMIFS(INDIRECT("Tab_00.Trial["&amp;AG$4&amp;"]"),Tab_00.Trial[CONTA],$B128)</f>
        <v>-7060.19</v>
      </c>
      <c r="AH128" s="78">
        <f t="shared" ca="1" si="108"/>
        <v>-5.9999999999999995E-4</v>
      </c>
      <c r="AI128" s="78">
        <f t="shared" ca="1" si="109"/>
        <v>-0.41520000000000001</v>
      </c>
      <c r="AJ128" s="4">
        <f ca="1">-SUMIFS(INDIRECT("Tab_00.Trial["&amp;AJ$4&amp;"]"),Tab_00.Trial[CONTA],$B128)</f>
        <v>-14070.19</v>
      </c>
      <c r="AK128" s="78">
        <f t="shared" ca="1" si="110"/>
        <v>-1.1000000000000001E-3</v>
      </c>
      <c r="AL128" s="78">
        <f t="shared" ca="1" si="111"/>
        <v>-0.9929</v>
      </c>
    </row>
    <row r="129" spans="2:38" ht="15" customHeight="1" outlineLevel="1" x14ac:dyDescent="0.3">
      <c r="B129" s="14" t="s">
        <v>535</v>
      </c>
      <c r="C129" s="14" t="s">
        <v>536</v>
      </c>
      <c r="D129" s="4">
        <f ca="1">-SUMIFS(INDIRECT("Tab_00.Trial["&amp;D$4&amp;"]"),Tab_00.Trial[CONTA],$B129)</f>
        <v>0</v>
      </c>
      <c r="E129" s="78">
        <f t="shared" ca="1" si="112"/>
        <v>0</v>
      </c>
      <c r="F129" s="4">
        <f ca="1">-SUMIFS(INDIRECT("Tab_00.Trial["&amp;F$4&amp;"]"),Tab_00.Trial[CONTA],$B129)</f>
        <v>0</v>
      </c>
      <c r="G129" s="78">
        <f t="shared" ca="1" si="91"/>
        <v>0</v>
      </c>
      <c r="H129" s="78">
        <f t="shared" ca="1" si="113"/>
        <v>0</v>
      </c>
      <c r="I129" s="4">
        <f ca="1">-SUMIFS(INDIRECT("Tab_00.Trial["&amp;I$4&amp;"]"),Tab_00.Trial[CONTA],$B129)</f>
        <v>0</v>
      </c>
      <c r="J129" s="78">
        <f t="shared" ca="1" si="92"/>
        <v>0</v>
      </c>
      <c r="K129" s="78">
        <f t="shared" ca="1" si="93"/>
        <v>0</v>
      </c>
      <c r="L129" s="4">
        <f ca="1">-SUMIFS(INDIRECT("Tab_00.Trial["&amp;L$4&amp;"]"),Tab_00.Trial[CONTA],$B129)</f>
        <v>0</v>
      </c>
      <c r="M129" s="78">
        <f t="shared" ca="1" si="94"/>
        <v>0</v>
      </c>
      <c r="N129" s="78">
        <f t="shared" ca="1" si="95"/>
        <v>0</v>
      </c>
      <c r="O129" s="4">
        <f ca="1">-SUMIFS(INDIRECT("Tab_00.Trial["&amp;O$4&amp;"]"),Tab_00.Trial[CONTA],$B129)</f>
        <v>0</v>
      </c>
      <c r="P129" s="78">
        <f t="shared" ca="1" si="114"/>
        <v>0</v>
      </c>
      <c r="Q129" s="78">
        <f t="shared" ca="1" si="115"/>
        <v>0</v>
      </c>
      <c r="R129" s="4">
        <f ca="1">-SUMIFS(INDIRECT("Tab_00.Trial["&amp;R$4&amp;"]"),Tab_00.Trial[CONTA],$B129)</f>
        <v>0</v>
      </c>
      <c r="S129" s="78">
        <f t="shared" ca="1" si="98"/>
        <v>0</v>
      </c>
      <c r="T129" s="78">
        <f t="shared" ca="1" si="99"/>
        <v>0</v>
      </c>
      <c r="U129" s="4">
        <f ca="1">-SUMIFS(INDIRECT("Tab_00.Trial["&amp;U$4&amp;"]"),Tab_00.Trial[CONTA],$B129)</f>
        <v>0</v>
      </c>
      <c r="V129" s="78">
        <f t="shared" ca="1" si="100"/>
        <v>0</v>
      </c>
      <c r="W129" s="78">
        <f t="shared" ca="1" si="101"/>
        <v>0</v>
      </c>
      <c r="X129" s="4">
        <f ca="1">-SUMIFS(INDIRECT("Tab_00.Trial["&amp;X$4&amp;"]"),Tab_00.Trial[CONTA],$B129)</f>
        <v>0</v>
      </c>
      <c r="Y129" s="78">
        <f t="shared" ca="1" si="116"/>
        <v>0</v>
      </c>
      <c r="Z129" s="78">
        <f t="shared" ca="1" si="117"/>
        <v>0</v>
      </c>
      <c r="AA129" s="4">
        <f ca="1">-SUMIFS(INDIRECT("Tab_00.Trial["&amp;AA$4&amp;"]"),Tab_00.Trial[CONTA],$B129)</f>
        <v>0</v>
      </c>
      <c r="AB129" s="78">
        <f t="shared" ca="1" si="104"/>
        <v>0</v>
      </c>
      <c r="AC129" s="78">
        <f t="shared" ca="1" si="105"/>
        <v>0</v>
      </c>
      <c r="AD129" s="4">
        <f ca="1">-SUMIFS(INDIRECT("Tab_00.Trial["&amp;AD$4&amp;"]"),Tab_00.Trial[CONTA],$B129)</f>
        <v>0</v>
      </c>
      <c r="AE129" s="78">
        <f t="shared" ca="1" si="106"/>
        <v>0</v>
      </c>
      <c r="AF129" s="78">
        <f t="shared" ca="1" si="107"/>
        <v>0</v>
      </c>
      <c r="AG129" s="4">
        <f ca="1">-SUMIFS(INDIRECT("Tab_00.Trial["&amp;AG$4&amp;"]"),Tab_00.Trial[CONTA],$B129)</f>
        <v>0</v>
      </c>
      <c r="AH129" s="78">
        <f t="shared" ca="1" si="108"/>
        <v>0</v>
      </c>
      <c r="AI129" s="78">
        <f t="shared" ca="1" si="109"/>
        <v>0</v>
      </c>
      <c r="AJ129" s="4">
        <f ca="1">-SUMIFS(INDIRECT("Tab_00.Trial["&amp;AJ$4&amp;"]"),Tab_00.Trial[CONTA],$B129)</f>
        <v>0</v>
      </c>
      <c r="AK129" s="78">
        <f t="shared" ca="1" si="110"/>
        <v>0</v>
      </c>
      <c r="AL129" s="78">
        <f t="shared" ca="1" si="111"/>
        <v>0</v>
      </c>
    </row>
    <row r="130" spans="2:38" ht="15" customHeight="1" outlineLevel="1" x14ac:dyDescent="0.3">
      <c r="B130" s="14" t="s">
        <v>537</v>
      </c>
      <c r="C130" s="14" t="s">
        <v>538</v>
      </c>
      <c r="D130" s="4">
        <f ca="1">-SUMIFS(INDIRECT("Tab_00.Trial["&amp;D$4&amp;"]"),Tab_00.Trial[CONTA],$B130)</f>
        <v>-1059.06</v>
      </c>
      <c r="E130" s="78">
        <f t="shared" ca="1" si="112"/>
        <v>-1.1000000000000001E-3</v>
      </c>
      <c r="F130" s="4">
        <f ca="1">-SUMIFS(INDIRECT("Tab_00.Trial["&amp;F$4&amp;"]"),Tab_00.Trial[CONTA],$B130)</f>
        <v>-1059.06</v>
      </c>
      <c r="G130" s="78">
        <f t="shared" ca="1" si="91"/>
        <v>-6.9999999999999999E-4</v>
      </c>
      <c r="H130" s="78">
        <f t="shared" ca="1" si="113"/>
        <v>0</v>
      </c>
      <c r="I130" s="4">
        <f ca="1">-SUMIFS(INDIRECT("Tab_00.Trial["&amp;I$4&amp;"]"),Tab_00.Trial[CONTA],$B130)</f>
        <v>-4744.78</v>
      </c>
      <c r="J130" s="78">
        <f t="shared" ca="1" si="92"/>
        <v>-1.6000000000000001E-3</v>
      </c>
      <c r="K130" s="78">
        <f t="shared" ca="1" si="93"/>
        <v>-3.4802</v>
      </c>
      <c r="L130" s="4">
        <f ca="1">-SUMIFS(INDIRECT("Tab_00.Trial["&amp;L$4&amp;"]"),Tab_00.Trial[CONTA],$B130)</f>
        <v>-4744.78</v>
      </c>
      <c r="M130" s="78">
        <f t="shared" ca="1" si="94"/>
        <v>-1.1999999999999999E-3</v>
      </c>
      <c r="N130" s="78">
        <f t="shared" ca="1" si="95"/>
        <v>0</v>
      </c>
      <c r="O130" s="4">
        <f ca="1">-SUMIFS(INDIRECT("Tab_00.Trial["&amp;O$4&amp;"]"),Tab_00.Trial[CONTA],$B130)</f>
        <v>-4744.78</v>
      </c>
      <c r="P130" s="78">
        <f t="shared" ca="1" si="114"/>
        <v>-8.9999999999999998E-4</v>
      </c>
      <c r="Q130" s="78">
        <f t="shared" ca="1" si="115"/>
        <v>0</v>
      </c>
      <c r="R130" s="4">
        <f ca="1">-SUMIFS(INDIRECT("Tab_00.Trial["&amp;R$4&amp;"]"),Tab_00.Trial[CONTA],$B130)</f>
        <v>-4749.8900000000003</v>
      </c>
      <c r="S130" s="78">
        <f t="shared" ca="1" si="98"/>
        <v>-6.9999999999999999E-4</v>
      </c>
      <c r="T130" s="78">
        <f t="shared" ca="1" si="99"/>
        <v>-1.1000000000000001E-3</v>
      </c>
      <c r="U130" s="4">
        <f ca="1">-SUMIFS(INDIRECT("Tab_00.Trial["&amp;U$4&amp;"]"),Tab_00.Trial[CONTA],$B130)</f>
        <v>-4749.8900000000003</v>
      </c>
      <c r="V130" s="78">
        <f t="shared" ca="1" si="100"/>
        <v>-6.9999999999999999E-4</v>
      </c>
      <c r="W130" s="78">
        <f t="shared" ca="1" si="101"/>
        <v>0</v>
      </c>
      <c r="X130" s="4">
        <f ca="1">-SUMIFS(INDIRECT("Tab_00.Trial["&amp;X$4&amp;"]"),Tab_00.Trial[CONTA],$B130)</f>
        <v>-4749.8900000000003</v>
      </c>
      <c r="Y130" s="78">
        <f t="shared" ca="1" si="116"/>
        <v>-6.9999999999999999E-4</v>
      </c>
      <c r="Z130" s="78">
        <f t="shared" ca="1" si="117"/>
        <v>0</v>
      </c>
      <c r="AA130" s="4">
        <f ca="1">-SUMIFS(INDIRECT("Tab_00.Trial["&amp;AA$4&amp;"]"),Tab_00.Trial[CONTA],$B130)</f>
        <v>-4749.8900000000003</v>
      </c>
      <c r="AB130" s="78">
        <f t="shared" ca="1" si="104"/>
        <v>-5.0000000000000001E-4</v>
      </c>
      <c r="AC130" s="78">
        <f t="shared" ca="1" si="105"/>
        <v>0</v>
      </c>
      <c r="AD130" s="4">
        <f ca="1">-SUMIFS(INDIRECT("Tab_00.Trial["&amp;AD$4&amp;"]"),Tab_00.Trial[CONTA],$B130)</f>
        <v>-4749.8900000000003</v>
      </c>
      <c r="AE130" s="78">
        <f t="shared" ca="1" si="106"/>
        <v>-5.0000000000000001E-4</v>
      </c>
      <c r="AF130" s="78">
        <f t="shared" ca="1" si="107"/>
        <v>0</v>
      </c>
      <c r="AG130" s="4">
        <f ca="1">-SUMIFS(INDIRECT("Tab_00.Trial["&amp;AG$4&amp;"]"),Tab_00.Trial[CONTA],$B130)</f>
        <v>-4749.8900000000003</v>
      </c>
      <c r="AH130" s="78">
        <f t="shared" ca="1" si="108"/>
        <v>-4.0000000000000002E-4</v>
      </c>
      <c r="AI130" s="78">
        <f t="shared" ca="1" si="109"/>
        <v>0</v>
      </c>
      <c r="AJ130" s="4">
        <f ca="1">-SUMIFS(INDIRECT("Tab_00.Trial["&amp;AJ$4&amp;"]"),Tab_00.Trial[CONTA],$B130)</f>
        <v>-4756.09</v>
      </c>
      <c r="AK130" s="78">
        <f t="shared" ca="1" si="110"/>
        <v>-4.0000000000000002E-4</v>
      </c>
      <c r="AL130" s="78">
        <f t="shared" ca="1" si="111"/>
        <v>-1.2999999999999999E-3</v>
      </c>
    </row>
    <row r="131" spans="2:38" ht="15" customHeight="1" outlineLevel="1" x14ac:dyDescent="0.3">
      <c r="B131" s="14" t="s">
        <v>539</v>
      </c>
      <c r="C131" s="14" t="s">
        <v>540</v>
      </c>
      <c r="D131" s="4">
        <f ca="1">-SUMIFS(INDIRECT("Tab_00.Trial["&amp;D$4&amp;"]"),Tab_00.Trial[CONTA],$B131)</f>
        <v>0</v>
      </c>
      <c r="E131" s="78">
        <f t="shared" ca="1" si="112"/>
        <v>0</v>
      </c>
      <c r="F131" s="4">
        <f ca="1">-SUMIFS(INDIRECT("Tab_00.Trial["&amp;F$4&amp;"]"),Tab_00.Trial[CONTA],$B131)</f>
        <v>-2484.4</v>
      </c>
      <c r="G131" s="78">
        <f t="shared" ca="1" si="91"/>
        <v>-1.6999999999999999E-3</v>
      </c>
      <c r="H131" s="78">
        <f t="shared" ca="1" si="113"/>
        <v>0</v>
      </c>
      <c r="I131" s="4">
        <f ca="1">-SUMIFS(INDIRECT("Tab_00.Trial["&amp;I$4&amp;"]"),Tab_00.Trial[CONTA],$B131)</f>
        <v>-4226.5200000000004</v>
      </c>
      <c r="J131" s="78">
        <f t="shared" ca="1" si="92"/>
        <v>-1.4E-3</v>
      </c>
      <c r="K131" s="78">
        <f t="shared" ca="1" si="93"/>
        <v>-0.70120000000000005</v>
      </c>
      <c r="L131" s="4">
        <f ca="1">-SUMIFS(INDIRECT("Tab_00.Trial["&amp;L$4&amp;"]"),Tab_00.Trial[CONTA],$B131)</f>
        <v>-5480.09</v>
      </c>
      <c r="M131" s="78">
        <f t="shared" ca="1" si="94"/>
        <v>-1.4E-3</v>
      </c>
      <c r="N131" s="78">
        <f t="shared" ca="1" si="95"/>
        <v>-0.29659999999999997</v>
      </c>
      <c r="O131" s="4">
        <f ca="1">-SUMIFS(INDIRECT("Tab_00.Trial["&amp;O$4&amp;"]"),Tab_00.Trial[CONTA],$B131)</f>
        <v>-7128.57</v>
      </c>
      <c r="P131" s="78">
        <f t="shared" ca="1" si="114"/>
        <v>-1.4E-3</v>
      </c>
      <c r="Q131" s="78">
        <f t="shared" ca="1" si="115"/>
        <v>-0.30080000000000001</v>
      </c>
      <c r="R131" s="4">
        <f ca="1">-SUMIFS(INDIRECT("Tab_00.Trial["&amp;R$4&amp;"]"),Tab_00.Trial[CONTA],$B131)</f>
        <v>-10965.13</v>
      </c>
      <c r="S131" s="78">
        <f t="shared" ca="1" si="98"/>
        <v>-1.5E-3</v>
      </c>
      <c r="T131" s="78">
        <f t="shared" ca="1" si="99"/>
        <v>-0.53820000000000001</v>
      </c>
      <c r="U131" s="4">
        <f ca="1">-SUMIFS(INDIRECT("Tab_00.Trial["&amp;U$4&amp;"]"),Tab_00.Trial[CONTA],$B131)</f>
        <v>-10965.13</v>
      </c>
      <c r="V131" s="78">
        <f t="shared" ca="1" si="100"/>
        <v>-1.5E-3</v>
      </c>
      <c r="W131" s="78">
        <f t="shared" ca="1" si="101"/>
        <v>0</v>
      </c>
      <c r="X131" s="4">
        <f ca="1">-SUMIFS(INDIRECT("Tab_00.Trial["&amp;X$4&amp;"]"),Tab_00.Trial[CONTA],$B131)</f>
        <v>-10965.13</v>
      </c>
      <c r="Y131" s="78">
        <f t="shared" ca="1" si="116"/>
        <v>-1.5E-3</v>
      </c>
      <c r="Z131" s="78">
        <f t="shared" ca="1" si="117"/>
        <v>0</v>
      </c>
      <c r="AA131" s="4">
        <f ca="1">-SUMIFS(INDIRECT("Tab_00.Trial["&amp;AA$4&amp;"]"),Tab_00.Trial[CONTA],$B131)</f>
        <v>-13596.8</v>
      </c>
      <c r="AB131" s="78">
        <f t="shared" ca="1" si="104"/>
        <v>-1.5E-3</v>
      </c>
      <c r="AC131" s="78">
        <f t="shared" ca="1" si="105"/>
        <v>-0.24</v>
      </c>
      <c r="AD131" s="4">
        <f ca="1">-SUMIFS(INDIRECT("Tab_00.Trial["&amp;AD$4&amp;"]"),Tab_00.Trial[CONTA],$B131)</f>
        <v>-14901.6</v>
      </c>
      <c r="AE131" s="78">
        <f t="shared" ca="1" si="106"/>
        <v>-1.4E-3</v>
      </c>
      <c r="AF131" s="78">
        <f t="shared" ca="1" si="107"/>
        <v>-9.6000000000000002E-2</v>
      </c>
      <c r="AG131" s="4">
        <f ca="1">-SUMIFS(INDIRECT("Tab_00.Trial["&amp;AG$4&amp;"]"),Tab_00.Trial[CONTA],$B131)</f>
        <v>-16302.77</v>
      </c>
      <c r="AH131" s="78">
        <f t="shared" ca="1" si="108"/>
        <v>-1.4E-3</v>
      </c>
      <c r="AI131" s="78">
        <f t="shared" ca="1" si="109"/>
        <v>-9.4E-2</v>
      </c>
      <c r="AJ131" s="4">
        <f ca="1">-SUMIFS(INDIRECT("Tab_00.Trial["&amp;AJ$4&amp;"]"),Tab_00.Trial[CONTA],$B131)</f>
        <v>-17650.84</v>
      </c>
      <c r="AK131" s="78">
        <f t="shared" ca="1" si="110"/>
        <v>-1.4E-3</v>
      </c>
      <c r="AL131" s="78">
        <f t="shared" ca="1" si="111"/>
        <v>-8.2699999999999996E-2</v>
      </c>
    </row>
    <row r="132" spans="2:38" ht="15" customHeight="1" outlineLevel="1" x14ac:dyDescent="0.3">
      <c r="B132" s="14" t="s">
        <v>541</v>
      </c>
      <c r="C132" s="14" t="s">
        <v>542</v>
      </c>
      <c r="D132" s="4">
        <f ca="1">-SUMIFS(INDIRECT("Tab_00.Trial["&amp;D$4&amp;"]"),Tab_00.Trial[CONTA],$B132)</f>
        <v>-362.82</v>
      </c>
      <c r="E132" s="78">
        <f t="shared" ca="1" si="112"/>
        <v>-4.0000000000000002E-4</v>
      </c>
      <c r="F132" s="4">
        <f ca="1">-SUMIFS(INDIRECT("Tab_00.Trial["&amp;F$4&amp;"]"),Tab_00.Trial[CONTA],$B132)</f>
        <v>-362.82</v>
      </c>
      <c r="G132" s="78">
        <f t="shared" ca="1" si="91"/>
        <v>-2.0000000000000001E-4</v>
      </c>
      <c r="H132" s="78">
        <f t="shared" ca="1" si="113"/>
        <v>0</v>
      </c>
      <c r="I132" s="4">
        <f ca="1">-SUMIFS(INDIRECT("Tab_00.Trial["&amp;I$4&amp;"]"),Tab_00.Trial[CONTA],$B132)</f>
        <v>-540.87</v>
      </c>
      <c r="J132" s="78">
        <f t="shared" ca="1" si="92"/>
        <v>-2.0000000000000001E-4</v>
      </c>
      <c r="K132" s="78">
        <f t="shared" ca="1" si="93"/>
        <v>-0.49070000000000003</v>
      </c>
      <c r="L132" s="4">
        <f ca="1">-SUMIFS(INDIRECT("Tab_00.Trial["&amp;L$4&amp;"]"),Tab_00.Trial[CONTA],$B132)</f>
        <v>-700.87</v>
      </c>
      <c r="M132" s="78">
        <f t="shared" ca="1" si="94"/>
        <v>-2.0000000000000001E-4</v>
      </c>
      <c r="N132" s="78">
        <f t="shared" ca="1" si="95"/>
        <v>-0.29580000000000001</v>
      </c>
      <c r="O132" s="4">
        <f ca="1">-SUMIFS(INDIRECT("Tab_00.Trial["&amp;O$4&amp;"]"),Tab_00.Trial[CONTA],$B132)</f>
        <v>-1000.77</v>
      </c>
      <c r="P132" s="78">
        <f t="shared" ca="1" si="114"/>
        <v>-2.0000000000000001E-4</v>
      </c>
      <c r="Q132" s="78">
        <f t="shared" ca="1" si="115"/>
        <v>-0.4279</v>
      </c>
      <c r="R132" s="4">
        <f ca="1">-SUMIFS(INDIRECT("Tab_00.Trial["&amp;R$4&amp;"]"),Tab_00.Trial[CONTA],$B132)</f>
        <v>-1686.27</v>
      </c>
      <c r="S132" s="78">
        <f t="shared" ca="1" si="98"/>
        <v>-2.0000000000000001E-4</v>
      </c>
      <c r="T132" s="78">
        <f t="shared" ca="1" si="99"/>
        <v>-0.68500000000000005</v>
      </c>
      <c r="U132" s="4">
        <f ca="1">-SUMIFS(INDIRECT("Tab_00.Trial["&amp;U$4&amp;"]"),Tab_00.Trial[CONTA],$B132)</f>
        <v>-1686.27</v>
      </c>
      <c r="V132" s="78">
        <f t="shared" ca="1" si="100"/>
        <v>-2.0000000000000001E-4</v>
      </c>
      <c r="W132" s="78">
        <f t="shared" ca="1" si="101"/>
        <v>0</v>
      </c>
      <c r="X132" s="4">
        <f ca="1">-SUMIFS(INDIRECT("Tab_00.Trial["&amp;X$4&amp;"]"),Tab_00.Trial[CONTA],$B132)</f>
        <v>-1686.27</v>
      </c>
      <c r="Y132" s="78">
        <f t="shared" ca="1" si="116"/>
        <v>-2.0000000000000001E-4</v>
      </c>
      <c r="Z132" s="78">
        <f t="shared" ca="1" si="117"/>
        <v>0</v>
      </c>
      <c r="AA132" s="4">
        <f ca="1">-SUMIFS(INDIRECT("Tab_00.Trial["&amp;AA$4&amp;"]"),Tab_00.Trial[CONTA],$B132)</f>
        <v>-2686.72</v>
      </c>
      <c r="AB132" s="78">
        <f t="shared" ca="1" si="104"/>
        <v>-2.9999999999999997E-4</v>
      </c>
      <c r="AC132" s="78">
        <f t="shared" ca="1" si="105"/>
        <v>-0.59330000000000005</v>
      </c>
      <c r="AD132" s="4">
        <f ca="1">-SUMIFS(INDIRECT("Tab_00.Trial["&amp;AD$4&amp;"]"),Tab_00.Trial[CONTA],$B132)</f>
        <v>-3891.6</v>
      </c>
      <c r="AE132" s="78">
        <f t="shared" ca="1" si="106"/>
        <v>-4.0000000000000002E-4</v>
      </c>
      <c r="AF132" s="78">
        <f t="shared" ca="1" si="107"/>
        <v>-0.44850000000000001</v>
      </c>
      <c r="AG132" s="4">
        <f ca="1">-SUMIFS(INDIRECT("Tab_00.Trial["&amp;AG$4&amp;"]"),Tab_00.Trial[CONTA],$B132)</f>
        <v>-4226.1000000000004</v>
      </c>
      <c r="AH132" s="78">
        <f t="shared" ca="1" si="108"/>
        <v>-4.0000000000000002E-4</v>
      </c>
      <c r="AI132" s="78">
        <f t="shared" ca="1" si="109"/>
        <v>-8.5999999999999993E-2</v>
      </c>
      <c r="AJ132" s="4">
        <f ca="1">-SUMIFS(INDIRECT("Tab_00.Trial["&amp;AJ$4&amp;"]"),Tab_00.Trial[CONTA],$B132)</f>
        <v>-5227.6499999999996</v>
      </c>
      <c r="AK132" s="78">
        <f t="shared" ca="1" si="110"/>
        <v>-4.0000000000000002E-4</v>
      </c>
      <c r="AL132" s="78">
        <f t="shared" ca="1" si="111"/>
        <v>-0.23699999999999999</v>
      </c>
    </row>
    <row r="133" spans="2:38" ht="15" customHeight="1" outlineLevel="1" x14ac:dyDescent="0.3">
      <c r="B133" s="14" t="s">
        <v>739</v>
      </c>
      <c r="C133" s="14" t="s">
        <v>740</v>
      </c>
      <c r="D133" s="4">
        <f ca="1">-SUMIFS(INDIRECT("Tab_00.Trial["&amp;D$4&amp;"]"),Tab_00.Trial[CONTA],$B133)</f>
        <v>-287.74</v>
      </c>
      <c r="E133" s="78">
        <f t="shared" ca="1" si="112"/>
        <v>-2.9999999999999997E-4</v>
      </c>
      <c r="F133" s="4">
        <f ca="1">-SUMIFS(INDIRECT("Tab_00.Trial["&amp;F$4&amp;"]"),Tab_00.Trial[CONTA],$B133)</f>
        <v>-287.74</v>
      </c>
      <c r="G133" s="78">
        <f t="shared" ca="1" si="91"/>
        <v>-2.0000000000000001E-4</v>
      </c>
      <c r="H133" s="78">
        <f t="shared" ca="1" si="113"/>
        <v>0</v>
      </c>
      <c r="I133" s="4">
        <f ca="1">-SUMIFS(INDIRECT("Tab_00.Trial["&amp;I$4&amp;"]"),Tab_00.Trial[CONTA],$B133)</f>
        <v>-863.22</v>
      </c>
      <c r="J133" s="78">
        <f t="shared" ca="1" si="92"/>
        <v>-2.9999999999999997E-4</v>
      </c>
      <c r="K133" s="78">
        <f t="shared" ca="1" si="93"/>
        <v>-2</v>
      </c>
      <c r="L133" s="4">
        <f ca="1">-SUMIFS(INDIRECT("Tab_00.Trial["&amp;L$4&amp;"]"),Tab_00.Trial[CONTA],$B133)</f>
        <v>-1150.96</v>
      </c>
      <c r="M133" s="78">
        <f t="shared" ca="1" si="94"/>
        <v>-2.9999999999999997E-4</v>
      </c>
      <c r="N133" s="78">
        <f t="shared" ca="1" si="95"/>
        <v>-0.33329999999999999</v>
      </c>
      <c r="O133" s="4">
        <f ca="1">-SUMIFS(INDIRECT("Tab_00.Trial["&amp;O$4&amp;"]"),Tab_00.Trial[CONTA],$B133)</f>
        <v>-1438.7</v>
      </c>
      <c r="P133" s="78">
        <f t="shared" ca="1" si="114"/>
        <v>-2.9999999999999997E-4</v>
      </c>
      <c r="Q133" s="78">
        <f t="shared" ca="1" si="115"/>
        <v>-0.25</v>
      </c>
      <c r="R133" s="4">
        <f ca="1">-SUMIFS(INDIRECT("Tab_00.Trial["&amp;R$4&amp;"]"),Tab_00.Trial[CONTA],$B133)</f>
        <v>-2014.18</v>
      </c>
      <c r="S133" s="78">
        <f t="shared" ca="1" si="98"/>
        <v>-2.9999999999999997E-4</v>
      </c>
      <c r="T133" s="78">
        <f t="shared" ca="1" si="99"/>
        <v>-0.4</v>
      </c>
      <c r="U133" s="4">
        <f ca="1">-SUMIFS(INDIRECT("Tab_00.Trial["&amp;U$4&amp;"]"),Tab_00.Trial[CONTA],$B133)</f>
        <v>-2014.18</v>
      </c>
      <c r="V133" s="78">
        <f t="shared" ca="1" si="100"/>
        <v>-2.9999999999999997E-4</v>
      </c>
      <c r="W133" s="78">
        <f t="shared" ca="1" si="101"/>
        <v>0</v>
      </c>
      <c r="X133" s="4">
        <f ca="1">-SUMIFS(INDIRECT("Tab_00.Trial["&amp;X$4&amp;"]"),Tab_00.Trial[CONTA],$B133)</f>
        <v>-2014.18</v>
      </c>
      <c r="Y133" s="78">
        <f t="shared" ca="1" si="116"/>
        <v>-2.9999999999999997E-4</v>
      </c>
      <c r="Z133" s="78">
        <f t="shared" ca="1" si="117"/>
        <v>0</v>
      </c>
      <c r="AA133" s="4">
        <f ca="1">-SUMIFS(INDIRECT("Tab_00.Trial["&amp;AA$4&amp;"]"),Tab_00.Trial[CONTA],$B133)</f>
        <v>-2577.0700000000002</v>
      </c>
      <c r="AB133" s="78">
        <f t="shared" ca="1" si="104"/>
        <v>-2.9999999999999997E-4</v>
      </c>
      <c r="AC133" s="78">
        <f t="shared" ca="1" si="105"/>
        <v>-0.27950000000000003</v>
      </c>
      <c r="AD133" s="4">
        <f ca="1">-SUMIFS(INDIRECT("Tab_00.Trial["&amp;AD$4&amp;"]"),Tab_00.Trial[CONTA],$B133)</f>
        <v>-2868.83</v>
      </c>
      <c r="AE133" s="78">
        <f t="shared" ca="1" si="106"/>
        <v>-2.9999999999999997E-4</v>
      </c>
      <c r="AF133" s="78">
        <f t="shared" ca="1" si="107"/>
        <v>-0.1132</v>
      </c>
      <c r="AG133" s="4">
        <f ca="1">-SUMIFS(INDIRECT("Tab_00.Trial["&amp;AG$4&amp;"]"),Tab_00.Trial[CONTA],$B133)</f>
        <v>-3160.59</v>
      </c>
      <c r="AH133" s="78">
        <f t="shared" ca="1" si="108"/>
        <v>-2.9999999999999997E-4</v>
      </c>
      <c r="AI133" s="78">
        <f t="shared" ca="1" si="109"/>
        <v>-0.1017</v>
      </c>
      <c r="AJ133" s="4">
        <f ca="1">-SUMIFS(INDIRECT("Tab_00.Trial["&amp;AJ$4&amp;"]"),Tab_00.Trial[CONTA],$B133)</f>
        <v>-3452.35</v>
      </c>
      <c r="AK133" s="78">
        <f t="shared" ca="1" si="110"/>
        <v>-2.9999999999999997E-4</v>
      </c>
      <c r="AL133" s="78">
        <f t="shared" ca="1" si="111"/>
        <v>-9.2299999999999993E-2</v>
      </c>
    </row>
    <row r="134" spans="2:38" ht="15" customHeight="1" outlineLevel="1" x14ac:dyDescent="0.3">
      <c r="B134" s="14" t="s">
        <v>741</v>
      </c>
      <c r="C134" s="14" t="s">
        <v>742</v>
      </c>
      <c r="D134" s="4">
        <f ca="1">-SUMIFS(INDIRECT("Tab_00.Trial["&amp;D$4&amp;"]"),Tab_00.Trial[CONTA],$B134)</f>
        <v>-17980.080000000002</v>
      </c>
      <c r="E134" s="78">
        <f t="shared" ca="1" si="112"/>
        <v>-1.9300000000000001E-2</v>
      </c>
      <c r="F134" s="4">
        <f ca="1">-SUMIFS(INDIRECT("Tab_00.Trial["&amp;F$4&amp;"]"),Tab_00.Trial[CONTA],$B134)</f>
        <v>-17980.080000000002</v>
      </c>
      <c r="G134" s="78">
        <f t="shared" ca="1" si="91"/>
        <v>-1.23E-2</v>
      </c>
      <c r="H134" s="78">
        <f t="shared" ca="1" si="113"/>
        <v>0</v>
      </c>
      <c r="I134" s="4">
        <f ca="1">-SUMIFS(INDIRECT("Tab_00.Trial["&amp;I$4&amp;"]"),Tab_00.Trial[CONTA],$B134)</f>
        <v>-53940.24</v>
      </c>
      <c r="J134" s="78">
        <f t="shared" ca="1" si="92"/>
        <v>-1.84E-2</v>
      </c>
      <c r="K134" s="78">
        <f t="shared" ca="1" si="93"/>
        <v>-2</v>
      </c>
      <c r="L134" s="4">
        <f ca="1">-SUMIFS(INDIRECT("Tab_00.Trial["&amp;L$4&amp;"]"),Tab_00.Trial[CONTA],$B134)</f>
        <v>-71920.320000000007</v>
      </c>
      <c r="M134" s="78">
        <f t="shared" ca="1" si="94"/>
        <v>-1.83E-2</v>
      </c>
      <c r="N134" s="78">
        <f t="shared" ca="1" si="95"/>
        <v>-0.33329999999999999</v>
      </c>
      <c r="O134" s="4">
        <f ca="1">-SUMIFS(INDIRECT("Tab_00.Trial["&amp;O$4&amp;"]"),Tab_00.Trial[CONTA],$B134)</f>
        <v>-89900.4</v>
      </c>
      <c r="P134" s="78">
        <f t="shared" ca="1" si="114"/>
        <v>-1.7500000000000002E-2</v>
      </c>
      <c r="Q134" s="78">
        <f t="shared" ca="1" si="115"/>
        <v>-0.25</v>
      </c>
      <c r="R134" s="4">
        <f ca="1">-SUMIFS(INDIRECT("Tab_00.Trial["&amp;R$4&amp;"]"),Tab_00.Trial[CONTA],$B134)</f>
        <v>-125860.56</v>
      </c>
      <c r="S134" s="78">
        <f t="shared" ca="1" si="98"/>
        <v>-1.7500000000000002E-2</v>
      </c>
      <c r="T134" s="78">
        <f t="shared" ca="1" si="99"/>
        <v>-0.4</v>
      </c>
      <c r="U134" s="4">
        <f ca="1">-SUMIFS(INDIRECT("Tab_00.Trial["&amp;U$4&amp;"]"),Tab_00.Trial[CONTA],$B134)</f>
        <v>-125860.56</v>
      </c>
      <c r="V134" s="78">
        <f t="shared" ca="1" si="100"/>
        <v>-1.7500000000000002E-2</v>
      </c>
      <c r="W134" s="78">
        <f t="shared" ca="1" si="101"/>
        <v>0</v>
      </c>
      <c r="X134" s="4">
        <f ca="1">-SUMIFS(INDIRECT("Tab_00.Trial["&amp;X$4&amp;"]"),Tab_00.Trial[CONTA],$B134)</f>
        <v>-125860.56</v>
      </c>
      <c r="Y134" s="78">
        <f t="shared" ca="1" si="116"/>
        <v>-1.7500000000000002E-2</v>
      </c>
      <c r="Z134" s="78">
        <f t="shared" ca="1" si="117"/>
        <v>0</v>
      </c>
      <c r="AA134" s="4">
        <f ca="1">-SUMIFS(INDIRECT("Tab_00.Trial["&amp;AA$4&amp;"]"),Tab_00.Trial[CONTA],$B134)</f>
        <v>-161820.73000000001</v>
      </c>
      <c r="AB134" s="78">
        <f t="shared" ca="1" si="104"/>
        <v>-1.7600000000000001E-2</v>
      </c>
      <c r="AC134" s="78">
        <f t="shared" ca="1" si="105"/>
        <v>-0.28570000000000001</v>
      </c>
      <c r="AD134" s="4">
        <f ca="1">-SUMIFS(INDIRECT("Tab_00.Trial["&amp;AD$4&amp;"]"),Tab_00.Trial[CONTA],$B134)</f>
        <v>-179800.81</v>
      </c>
      <c r="AE134" s="78">
        <f t="shared" ca="1" si="106"/>
        <v>-1.7299999999999999E-2</v>
      </c>
      <c r="AF134" s="78">
        <f t="shared" ca="1" si="107"/>
        <v>-0.1111</v>
      </c>
      <c r="AG134" s="4">
        <f ca="1">-SUMIFS(INDIRECT("Tab_00.Trial["&amp;AG$4&amp;"]"),Tab_00.Trial[CONTA],$B134)</f>
        <v>-197780.89</v>
      </c>
      <c r="AH134" s="78">
        <f t="shared" ca="1" si="108"/>
        <v>-1.7500000000000002E-2</v>
      </c>
      <c r="AI134" s="78">
        <f t="shared" ca="1" si="109"/>
        <v>-0.1</v>
      </c>
      <c r="AJ134" s="4">
        <f ca="1">-SUMIFS(INDIRECT("Tab_00.Trial["&amp;AJ$4&amp;"]"),Tab_00.Trial[CONTA],$B134)</f>
        <v>-215760.97</v>
      </c>
      <c r="AK134" s="78">
        <f t="shared" ca="1" si="110"/>
        <v>-1.6899999999999998E-2</v>
      </c>
      <c r="AL134" s="78">
        <f t="shared" ca="1" si="111"/>
        <v>-9.0899999999999995E-2</v>
      </c>
    </row>
    <row r="135" spans="2:38" ht="15" customHeight="1" outlineLevel="1" x14ac:dyDescent="0.3">
      <c r="B135" s="14" t="s">
        <v>752</v>
      </c>
      <c r="C135" s="14" t="s">
        <v>753</v>
      </c>
      <c r="D135" s="4">
        <f ca="1">-SUMIFS(INDIRECT("Tab_00.Trial["&amp;D$4&amp;"]"),Tab_00.Trial[CONTA],$B135)</f>
        <v>0</v>
      </c>
      <c r="E135" s="78">
        <f t="shared" ca="1" si="112"/>
        <v>0</v>
      </c>
      <c r="F135" s="4">
        <f ca="1">-SUMIFS(INDIRECT("Tab_00.Trial["&amp;F$4&amp;"]"),Tab_00.Trial[CONTA],$B135)</f>
        <v>0</v>
      </c>
      <c r="G135" s="78">
        <f t="shared" ca="1" si="91"/>
        <v>0</v>
      </c>
      <c r="H135" s="78">
        <f t="shared" ca="1" si="113"/>
        <v>0</v>
      </c>
      <c r="I135" s="4">
        <f ca="1">-SUMIFS(INDIRECT("Tab_00.Trial["&amp;I$4&amp;"]"),Tab_00.Trial[CONTA],$B135)</f>
        <v>0</v>
      </c>
      <c r="J135" s="78">
        <f t="shared" ca="1" si="92"/>
        <v>0</v>
      </c>
      <c r="K135" s="78">
        <f t="shared" ca="1" si="93"/>
        <v>0</v>
      </c>
      <c r="L135" s="4">
        <f ca="1">-SUMIFS(INDIRECT("Tab_00.Trial["&amp;L$4&amp;"]"),Tab_00.Trial[CONTA],$B135)</f>
        <v>-5000</v>
      </c>
      <c r="M135" s="78">
        <f t="shared" ca="1" si="94"/>
        <v>-1.2999999999999999E-3</v>
      </c>
      <c r="N135" s="78">
        <f t="shared" ca="1" si="95"/>
        <v>0</v>
      </c>
      <c r="O135" s="4">
        <f ca="1">-SUMIFS(INDIRECT("Tab_00.Trial["&amp;O$4&amp;"]"),Tab_00.Trial[CONTA],$B135)</f>
        <v>-5000</v>
      </c>
      <c r="P135" s="78">
        <f t="shared" ca="1" si="114"/>
        <v>-1E-3</v>
      </c>
      <c r="Q135" s="78">
        <f t="shared" ca="1" si="115"/>
        <v>0</v>
      </c>
      <c r="R135" s="4">
        <f ca="1">-SUMIFS(INDIRECT("Tab_00.Trial["&amp;R$4&amp;"]"),Tab_00.Trial[CONTA],$B135)</f>
        <v>-5000</v>
      </c>
      <c r="S135" s="78">
        <f t="shared" ca="1" si="98"/>
        <v>-6.9999999999999999E-4</v>
      </c>
      <c r="T135" s="78">
        <f t="shared" ca="1" si="99"/>
        <v>0</v>
      </c>
      <c r="U135" s="4">
        <f ca="1">-SUMIFS(INDIRECT("Tab_00.Trial["&amp;U$4&amp;"]"),Tab_00.Trial[CONTA],$B135)</f>
        <v>-5000</v>
      </c>
      <c r="V135" s="78">
        <f t="shared" ca="1" si="100"/>
        <v>-6.9999999999999999E-4</v>
      </c>
      <c r="W135" s="78">
        <f t="shared" ca="1" si="101"/>
        <v>0</v>
      </c>
      <c r="X135" s="4">
        <f ca="1">-SUMIFS(INDIRECT("Tab_00.Trial["&amp;X$4&amp;"]"),Tab_00.Trial[CONTA],$B135)</f>
        <v>-5000</v>
      </c>
      <c r="Y135" s="78">
        <f t="shared" ca="1" si="116"/>
        <v>-6.9999999999999999E-4</v>
      </c>
      <c r="Z135" s="78">
        <f t="shared" ca="1" si="117"/>
        <v>0</v>
      </c>
      <c r="AA135" s="4">
        <f ca="1">-SUMIFS(INDIRECT("Tab_00.Trial["&amp;AA$4&amp;"]"),Tab_00.Trial[CONTA],$B135)</f>
        <v>-5000</v>
      </c>
      <c r="AB135" s="78">
        <f t="shared" ca="1" si="104"/>
        <v>-5.0000000000000001E-4</v>
      </c>
      <c r="AC135" s="78">
        <f t="shared" ca="1" si="105"/>
        <v>0</v>
      </c>
      <c r="AD135" s="4">
        <f ca="1">-SUMIFS(INDIRECT("Tab_00.Trial["&amp;AD$4&amp;"]"),Tab_00.Trial[CONTA],$B135)</f>
        <v>-5000</v>
      </c>
      <c r="AE135" s="78">
        <f t="shared" ca="1" si="106"/>
        <v>-5.0000000000000001E-4</v>
      </c>
      <c r="AF135" s="78">
        <f t="shared" ca="1" si="107"/>
        <v>0</v>
      </c>
      <c r="AG135" s="4">
        <f ca="1">-SUMIFS(INDIRECT("Tab_00.Trial["&amp;AG$4&amp;"]"),Tab_00.Trial[CONTA],$B135)</f>
        <v>-5000</v>
      </c>
      <c r="AH135" s="78">
        <f t="shared" ca="1" si="108"/>
        <v>-4.0000000000000002E-4</v>
      </c>
      <c r="AI135" s="78">
        <f t="shared" ca="1" si="109"/>
        <v>0</v>
      </c>
      <c r="AJ135" s="4">
        <f ca="1">-SUMIFS(INDIRECT("Tab_00.Trial["&amp;AJ$4&amp;"]"),Tab_00.Trial[CONTA],$B135)</f>
        <v>-5000</v>
      </c>
      <c r="AK135" s="78">
        <f t="shared" ca="1" si="110"/>
        <v>-4.0000000000000002E-4</v>
      </c>
      <c r="AL135" s="78">
        <f t="shared" ca="1" si="111"/>
        <v>0</v>
      </c>
    </row>
    <row r="136" spans="2:38" ht="15" customHeight="1" outlineLevel="1" x14ac:dyDescent="0.3">
      <c r="B136" s="14" t="s">
        <v>774</v>
      </c>
      <c r="C136" s="14" t="s">
        <v>435</v>
      </c>
      <c r="D136" s="4">
        <f ca="1">-SUMIFS(INDIRECT("Tab_00.Trial["&amp;D$4&amp;"]"),Tab_00.Trial[CONTA],$B136)</f>
        <v>0</v>
      </c>
      <c r="E136" s="78">
        <f t="shared" ca="1" si="112"/>
        <v>0</v>
      </c>
      <c r="F136" s="4">
        <f ca="1">-SUMIFS(INDIRECT("Tab_00.Trial["&amp;F$4&amp;"]"),Tab_00.Trial[CONTA],$B136)</f>
        <v>0</v>
      </c>
      <c r="G136" s="78">
        <f t="shared" ca="1" si="91"/>
        <v>0</v>
      </c>
      <c r="H136" s="78">
        <f t="shared" ca="1" si="113"/>
        <v>0</v>
      </c>
      <c r="I136" s="4">
        <f ca="1">-SUMIFS(INDIRECT("Tab_00.Trial["&amp;I$4&amp;"]"),Tab_00.Trial[CONTA],$B136)</f>
        <v>0</v>
      </c>
      <c r="J136" s="78">
        <f t="shared" ca="1" si="92"/>
        <v>0</v>
      </c>
      <c r="K136" s="78">
        <f t="shared" ca="1" si="93"/>
        <v>0</v>
      </c>
      <c r="L136" s="4">
        <f ca="1">-SUMIFS(INDIRECT("Tab_00.Trial["&amp;L$4&amp;"]"),Tab_00.Trial[CONTA],$B136)</f>
        <v>0</v>
      </c>
      <c r="M136" s="78">
        <f t="shared" ca="1" si="94"/>
        <v>0</v>
      </c>
      <c r="N136" s="78">
        <f t="shared" ca="1" si="95"/>
        <v>0</v>
      </c>
      <c r="O136" s="4">
        <f ca="1">-SUMIFS(INDIRECT("Tab_00.Trial["&amp;O$4&amp;"]"),Tab_00.Trial[CONTA],$B136)</f>
        <v>0</v>
      </c>
      <c r="P136" s="78">
        <f t="shared" ca="1" si="114"/>
        <v>0</v>
      </c>
      <c r="Q136" s="78">
        <f t="shared" ca="1" si="115"/>
        <v>0</v>
      </c>
      <c r="R136" s="4">
        <f ca="1">-SUMIFS(INDIRECT("Tab_00.Trial["&amp;R$4&amp;"]"),Tab_00.Trial[CONTA],$B136)</f>
        <v>0</v>
      </c>
      <c r="S136" s="78">
        <f t="shared" ca="1" si="98"/>
        <v>0</v>
      </c>
      <c r="T136" s="78">
        <f t="shared" ca="1" si="99"/>
        <v>0</v>
      </c>
      <c r="U136" s="4">
        <f ca="1">-SUMIFS(INDIRECT("Tab_00.Trial["&amp;U$4&amp;"]"),Tab_00.Trial[CONTA],$B136)</f>
        <v>0</v>
      </c>
      <c r="V136" s="78">
        <f t="shared" ca="1" si="100"/>
        <v>0</v>
      </c>
      <c r="W136" s="78">
        <f t="shared" ca="1" si="101"/>
        <v>0</v>
      </c>
      <c r="X136" s="4">
        <f ca="1">-SUMIFS(INDIRECT("Tab_00.Trial["&amp;X$4&amp;"]"),Tab_00.Trial[CONTA],$B136)</f>
        <v>0</v>
      </c>
      <c r="Y136" s="78">
        <f t="shared" ca="1" si="116"/>
        <v>0</v>
      </c>
      <c r="Z136" s="78">
        <f t="shared" ca="1" si="117"/>
        <v>0</v>
      </c>
      <c r="AA136" s="4">
        <f ca="1">-SUMIFS(INDIRECT("Tab_00.Trial["&amp;AA$4&amp;"]"),Tab_00.Trial[CONTA],$B136)</f>
        <v>0</v>
      </c>
      <c r="AB136" s="78">
        <f t="shared" ca="1" si="104"/>
        <v>0</v>
      </c>
      <c r="AC136" s="78">
        <f t="shared" ca="1" si="105"/>
        <v>0</v>
      </c>
      <c r="AD136" s="4">
        <f ca="1">-SUMIFS(INDIRECT("Tab_00.Trial["&amp;AD$4&amp;"]"),Tab_00.Trial[CONTA],$B136)</f>
        <v>0</v>
      </c>
      <c r="AE136" s="78">
        <f t="shared" ca="1" si="106"/>
        <v>0</v>
      </c>
      <c r="AF136" s="78">
        <f t="shared" ca="1" si="107"/>
        <v>0</v>
      </c>
      <c r="AG136" s="4">
        <f ca="1">-SUMIFS(INDIRECT("Tab_00.Trial["&amp;AG$4&amp;"]"),Tab_00.Trial[CONTA],$B136)</f>
        <v>0</v>
      </c>
      <c r="AH136" s="78">
        <f t="shared" ca="1" si="108"/>
        <v>0</v>
      </c>
      <c r="AI136" s="78">
        <f t="shared" ca="1" si="109"/>
        <v>0</v>
      </c>
      <c r="AJ136" s="4">
        <f ca="1">-SUMIFS(INDIRECT("Tab_00.Trial["&amp;AJ$4&amp;"]"),Tab_00.Trial[CONTA],$B136)</f>
        <v>0</v>
      </c>
      <c r="AK136" s="78">
        <f t="shared" ca="1" si="110"/>
        <v>0</v>
      </c>
      <c r="AL136" s="78">
        <f t="shared" ca="1" si="111"/>
        <v>0</v>
      </c>
    </row>
    <row r="137" spans="2:38" ht="15" customHeight="1" outlineLevel="1" x14ac:dyDescent="0.3">
      <c r="B137" s="14" t="s">
        <v>775</v>
      </c>
      <c r="C137" s="14" t="s">
        <v>751</v>
      </c>
      <c r="D137" s="4">
        <f ca="1">-SUMIFS(INDIRECT("Tab_00.Trial["&amp;D$4&amp;"]"),Tab_00.Trial[CONTA],$B137)</f>
        <v>0</v>
      </c>
      <c r="E137" s="78">
        <f t="shared" ca="1" si="112"/>
        <v>0</v>
      </c>
      <c r="F137" s="4">
        <f ca="1">-SUMIFS(INDIRECT("Tab_00.Trial["&amp;F$4&amp;"]"),Tab_00.Trial[CONTA],$B137)</f>
        <v>0</v>
      </c>
      <c r="G137" s="78">
        <f t="shared" ca="1" si="91"/>
        <v>0</v>
      </c>
      <c r="H137" s="78">
        <f t="shared" ca="1" si="113"/>
        <v>0</v>
      </c>
      <c r="I137" s="4">
        <f ca="1">-SUMIFS(INDIRECT("Tab_00.Trial["&amp;I$4&amp;"]"),Tab_00.Trial[CONTA],$B137)</f>
        <v>0</v>
      </c>
      <c r="J137" s="78">
        <f t="shared" ca="1" si="92"/>
        <v>0</v>
      </c>
      <c r="K137" s="78">
        <f t="shared" ca="1" si="93"/>
        <v>0</v>
      </c>
      <c r="L137" s="4">
        <f ca="1">-SUMIFS(INDIRECT("Tab_00.Trial["&amp;L$4&amp;"]"),Tab_00.Trial[CONTA],$B137)</f>
        <v>0</v>
      </c>
      <c r="M137" s="78">
        <f t="shared" ca="1" si="94"/>
        <v>0</v>
      </c>
      <c r="N137" s="78">
        <f t="shared" ca="1" si="95"/>
        <v>0</v>
      </c>
      <c r="O137" s="4">
        <f ca="1">-SUMIFS(INDIRECT("Tab_00.Trial["&amp;O$4&amp;"]"),Tab_00.Trial[CONTA],$B137)</f>
        <v>0</v>
      </c>
      <c r="P137" s="78">
        <f t="shared" ca="1" si="114"/>
        <v>0</v>
      </c>
      <c r="Q137" s="78">
        <f t="shared" ca="1" si="115"/>
        <v>0</v>
      </c>
      <c r="R137" s="4">
        <f ca="1">-SUMIFS(INDIRECT("Tab_00.Trial["&amp;R$4&amp;"]"),Tab_00.Trial[CONTA],$B137)</f>
        <v>0</v>
      </c>
      <c r="S137" s="78">
        <f t="shared" ca="1" si="98"/>
        <v>0</v>
      </c>
      <c r="T137" s="78">
        <f t="shared" ca="1" si="99"/>
        <v>0</v>
      </c>
      <c r="U137" s="4">
        <f ca="1">-SUMIFS(INDIRECT("Tab_00.Trial["&amp;U$4&amp;"]"),Tab_00.Trial[CONTA],$B137)</f>
        <v>0</v>
      </c>
      <c r="V137" s="78">
        <f t="shared" ca="1" si="100"/>
        <v>0</v>
      </c>
      <c r="W137" s="78">
        <f t="shared" ca="1" si="101"/>
        <v>0</v>
      </c>
      <c r="X137" s="4">
        <f ca="1">-SUMIFS(INDIRECT("Tab_00.Trial["&amp;X$4&amp;"]"),Tab_00.Trial[CONTA],$B137)</f>
        <v>0</v>
      </c>
      <c r="Y137" s="78">
        <f t="shared" ca="1" si="116"/>
        <v>0</v>
      </c>
      <c r="Z137" s="78">
        <f t="shared" ca="1" si="117"/>
        <v>0</v>
      </c>
      <c r="AA137" s="4">
        <f ca="1">-SUMIFS(INDIRECT("Tab_00.Trial["&amp;AA$4&amp;"]"),Tab_00.Trial[CONTA],$B137)</f>
        <v>0</v>
      </c>
      <c r="AB137" s="78">
        <f t="shared" ca="1" si="104"/>
        <v>0</v>
      </c>
      <c r="AC137" s="78">
        <f t="shared" ca="1" si="105"/>
        <v>0</v>
      </c>
      <c r="AD137" s="4">
        <f ca="1">-SUMIFS(INDIRECT("Tab_00.Trial["&amp;AD$4&amp;"]"),Tab_00.Trial[CONTA],$B137)</f>
        <v>0</v>
      </c>
      <c r="AE137" s="78">
        <f t="shared" ca="1" si="106"/>
        <v>0</v>
      </c>
      <c r="AF137" s="78">
        <f t="shared" ca="1" si="107"/>
        <v>0</v>
      </c>
      <c r="AG137" s="4">
        <f ca="1">-SUMIFS(INDIRECT("Tab_00.Trial["&amp;AG$4&amp;"]"),Tab_00.Trial[CONTA],$B137)</f>
        <v>0</v>
      </c>
      <c r="AH137" s="78">
        <f t="shared" ca="1" si="108"/>
        <v>0</v>
      </c>
      <c r="AI137" s="78">
        <f t="shared" ca="1" si="109"/>
        <v>0</v>
      </c>
      <c r="AJ137" s="4">
        <f ca="1">-SUMIFS(INDIRECT("Tab_00.Trial["&amp;AJ$4&amp;"]"),Tab_00.Trial[CONTA],$B137)</f>
        <v>0</v>
      </c>
      <c r="AK137" s="78">
        <f t="shared" ca="1" si="110"/>
        <v>0</v>
      </c>
      <c r="AL137" s="78">
        <f t="shared" ca="1" si="111"/>
        <v>0</v>
      </c>
    </row>
    <row r="138" spans="2:38" ht="15" customHeight="1" outlineLevel="1" x14ac:dyDescent="0.3">
      <c r="B138" s="14" t="s">
        <v>839</v>
      </c>
      <c r="C138" s="14" t="s">
        <v>840</v>
      </c>
      <c r="D138" s="165">
        <f ca="1">-SUMIFS(INDIRECT("Tab_00.Trial["&amp;D$4&amp;"]"),Tab_00.Trial[CONTA],$B138)</f>
        <v>-7500</v>
      </c>
      <c r="E138" s="78">
        <f t="shared" ca="1" si="112"/>
        <v>-8.0000000000000002E-3</v>
      </c>
      <c r="F138" s="4">
        <f ca="1">-SUMIFS(INDIRECT("Tab_00.Trial["&amp;F$4&amp;"]"),Tab_00.Trial[CONTA],$B138)</f>
        <v>-7500</v>
      </c>
      <c r="G138" s="78">
        <f t="shared" ca="1" si="91"/>
        <v>-5.1000000000000004E-3</v>
      </c>
      <c r="H138" s="78">
        <f t="shared" ca="1" si="113"/>
        <v>0</v>
      </c>
      <c r="I138" s="4">
        <f ca="1">-SUMIFS(INDIRECT("Tab_00.Trial["&amp;I$4&amp;"]"),Tab_00.Trial[CONTA],$B138)</f>
        <v>-22500</v>
      </c>
      <c r="J138" s="78">
        <f t="shared" ca="1" si="92"/>
        <v>-7.7000000000000002E-3</v>
      </c>
      <c r="K138" s="78">
        <f t="shared" ca="1" si="93"/>
        <v>-2</v>
      </c>
      <c r="L138" s="4">
        <f ca="1">-SUMIFS(INDIRECT("Tab_00.Trial["&amp;L$4&amp;"]"),Tab_00.Trial[CONTA],$B138)</f>
        <v>-30000</v>
      </c>
      <c r="M138" s="78">
        <f t="shared" ca="1" si="94"/>
        <v>-7.6E-3</v>
      </c>
      <c r="N138" s="78">
        <f t="shared" ca="1" si="95"/>
        <v>-0.33329999999999999</v>
      </c>
      <c r="O138" s="4">
        <f ca="1">-SUMIFS(INDIRECT("Tab_00.Trial["&amp;O$4&amp;"]"),Tab_00.Trial[CONTA],$B138)</f>
        <v>-37500</v>
      </c>
      <c r="P138" s="78">
        <f t="shared" ca="1" si="114"/>
        <v>-7.3000000000000001E-3</v>
      </c>
      <c r="Q138" s="78">
        <f t="shared" ca="1" si="115"/>
        <v>-0.25</v>
      </c>
      <c r="R138" s="4">
        <f ca="1">-SUMIFS(INDIRECT("Tab_00.Trial["&amp;R$4&amp;"]"),Tab_00.Trial[CONTA],$B138)</f>
        <v>-52500</v>
      </c>
      <c r="S138" s="78">
        <f t="shared" ca="1" si="98"/>
        <v>-7.3000000000000001E-3</v>
      </c>
      <c r="T138" s="78">
        <f t="shared" ca="1" si="99"/>
        <v>-0.4</v>
      </c>
      <c r="U138" s="4">
        <f ca="1">-SUMIFS(INDIRECT("Tab_00.Trial["&amp;U$4&amp;"]"),Tab_00.Trial[CONTA],$B138)</f>
        <v>-52500</v>
      </c>
      <c r="V138" s="78">
        <f t="shared" ca="1" si="100"/>
        <v>-7.3000000000000001E-3</v>
      </c>
      <c r="W138" s="78">
        <f t="shared" ca="1" si="101"/>
        <v>0</v>
      </c>
      <c r="X138" s="4">
        <f ca="1">-SUMIFS(INDIRECT("Tab_00.Trial["&amp;X$4&amp;"]"),Tab_00.Trial[CONTA],$B138)</f>
        <v>-52500</v>
      </c>
      <c r="Y138" s="78">
        <f t="shared" ca="1" si="116"/>
        <v>-7.3000000000000001E-3</v>
      </c>
      <c r="Z138" s="78">
        <f t="shared" ca="1" si="117"/>
        <v>0</v>
      </c>
      <c r="AA138" s="4">
        <f ca="1">-SUMIFS(INDIRECT("Tab_00.Trial["&amp;AA$4&amp;"]"),Tab_00.Trial[CONTA],$B138)</f>
        <v>-67500</v>
      </c>
      <c r="AB138" s="78">
        <f t="shared" ca="1" si="104"/>
        <v>-7.3000000000000001E-3</v>
      </c>
      <c r="AC138" s="78">
        <f t="shared" ca="1" si="105"/>
        <v>-0.28570000000000001</v>
      </c>
      <c r="AD138" s="4">
        <f ca="1">-SUMIFS(INDIRECT("Tab_00.Trial["&amp;AD$4&amp;"]"),Tab_00.Trial[CONTA],$B138)</f>
        <v>-75000</v>
      </c>
      <c r="AE138" s="78">
        <f t="shared" ca="1" si="106"/>
        <v>-7.1999999999999998E-3</v>
      </c>
      <c r="AF138" s="78">
        <f t="shared" ca="1" si="107"/>
        <v>-0.1111</v>
      </c>
      <c r="AG138" s="4">
        <f ca="1">-SUMIFS(INDIRECT("Tab_00.Trial["&amp;AG$4&amp;"]"),Tab_00.Trial[CONTA],$B138)</f>
        <v>-82500</v>
      </c>
      <c r="AH138" s="78">
        <f t="shared" ca="1" si="108"/>
        <v>-7.3000000000000001E-3</v>
      </c>
      <c r="AI138" s="78">
        <f t="shared" ca="1" si="109"/>
        <v>-0.1</v>
      </c>
      <c r="AJ138" s="4">
        <f ca="1">-SUMIFS(INDIRECT("Tab_00.Trial["&amp;AJ$4&amp;"]"),Tab_00.Trial[CONTA],$B138)</f>
        <v>-90000</v>
      </c>
      <c r="AK138" s="78">
        <f t="shared" ca="1" si="110"/>
        <v>-7.0000000000000001E-3</v>
      </c>
      <c r="AL138" s="78">
        <f t="shared" ca="1" si="111"/>
        <v>-9.0899999999999995E-2</v>
      </c>
    </row>
    <row r="139" spans="2:38" ht="15" customHeight="1" outlineLevel="1" x14ac:dyDescent="0.3">
      <c r="B139" s="14"/>
      <c r="C139" s="14"/>
      <c r="D139" s="4">
        <f ca="1">-SUMIFS(INDIRECT("Tab_00.Trial["&amp;D$4&amp;"]"),Tab_00.Trial[CONTA],$B139)</f>
        <v>0</v>
      </c>
      <c r="E139" s="78">
        <f t="shared" ca="1" si="112"/>
        <v>0</v>
      </c>
      <c r="F139" s="4">
        <f ca="1">-SUMIFS(INDIRECT("Tab_00.Trial["&amp;F$4&amp;"]"),Tab_00.Trial[CONTA],$B139)</f>
        <v>0</v>
      </c>
      <c r="G139" s="78">
        <f t="shared" ca="1" si="91"/>
        <v>0</v>
      </c>
      <c r="H139" s="78">
        <f t="shared" ca="1" si="113"/>
        <v>0</v>
      </c>
      <c r="I139" s="4">
        <f ca="1">-SUMIFS(INDIRECT("Tab_00.Trial["&amp;I$4&amp;"]"),Tab_00.Trial[CONTA],$B139)</f>
        <v>0</v>
      </c>
      <c r="J139" s="78">
        <f t="shared" ca="1" si="92"/>
        <v>0</v>
      </c>
      <c r="K139" s="78">
        <f t="shared" ca="1" si="93"/>
        <v>0</v>
      </c>
      <c r="L139" s="4">
        <f ca="1">-SUMIFS(INDIRECT("Tab_00.Trial["&amp;L$4&amp;"]"),Tab_00.Trial[CONTA],$B139)</f>
        <v>0</v>
      </c>
      <c r="M139" s="78">
        <f t="shared" ca="1" si="94"/>
        <v>0</v>
      </c>
      <c r="N139" s="78">
        <f t="shared" ca="1" si="95"/>
        <v>0</v>
      </c>
      <c r="O139" s="4">
        <f ca="1">-SUMIFS(INDIRECT("Tab_00.Trial["&amp;O$4&amp;"]"),Tab_00.Trial[CONTA],$B139)</f>
        <v>0</v>
      </c>
      <c r="P139" s="78">
        <f t="shared" ca="1" si="114"/>
        <v>0</v>
      </c>
      <c r="Q139" s="78">
        <f t="shared" ca="1" si="115"/>
        <v>0</v>
      </c>
      <c r="R139" s="4">
        <f ca="1">-SUMIFS(INDIRECT("Tab_00.Trial["&amp;R$4&amp;"]"),Tab_00.Trial[CONTA],$B139)</f>
        <v>0</v>
      </c>
      <c r="S139" s="78">
        <f t="shared" ca="1" si="98"/>
        <v>0</v>
      </c>
      <c r="T139" s="78">
        <f t="shared" ca="1" si="99"/>
        <v>0</v>
      </c>
      <c r="U139" s="4">
        <f ca="1">-SUMIFS(INDIRECT("Tab_00.Trial["&amp;U$4&amp;"]"),Tab_00.Trial[CONTA],$B139)</f>
        <v>0</v>
      </c>
      <c r="V139" s="78">
        <f t="shared" ca="1" si="100"/>
        <v>0</v>
      </c>
      <c r="W139" s="78">
        <f t="shared" ca="1" si="101"/>
        <v>0</v>
      </c>
      <c r="X139" s="4">
        <f ca="1">-SUMIFS(INDIRECT("Tab_00.Trial["&amp;X$4&amp;"]"),Tab_00.Trial[CONTA],$B139)</f>
        <v>0</v>
      </c>
      <c r="Y139" s="78">
        <f t="shared" ca="1" si="116"/>
        <v>0</v>
      </c>
      <c r="Z139" s="78">
        <f t="shared" ca="1" si="117"/>
        <v>0</v>
      </c>
      <c r="AA139" s="4">
        <f ca="1">-SUMIFS(INDIRECT("Tab_00.Trial["&amp;AA$4&amp;"]"),Tab_00.Trial[CONTA],$B139)</f>
        <v>0</v>
      </c>
      <c r="AB139" s="78">
        <f t="shared" ca="1" si="104"/>
        <v>0</v>
      </c>
      <c r="AC139" s="78">
        <f t="shared" ca="1" si="105"/>
        <v>0</v>
      </c>
      <c r="AD139" s="4">
        <f ca="1">-SUMIFS(INDIRECT("Tab_00.Trial["&amp;AD$4&amp;"]"),Tab_00.Trial[CONTA],$B139)</f>
        <v>0</v>
      </c>
      <c r="AE139" s="78">
        <f t="shared" ca="1" si="106"/>
        <v>0</v>
      </c>
      <c r="AF139" s="78">
        <f t="shared" ca="1" si="107"/>
        <v>0</v>
      </c>
      <c r="AG139" s="4">
        <f ca="1">-SUMIFS(INDIRECT("Tab_00.Trial["&amp;AG$4&amp;"]"),Tab_00.Trial[CONTA],$B139)</f>
        <v>0</v>
      </c>
      <c r="AH139" s="78">
        <f t="shared" ca="1" si="108"/>
        <v>0</v>
      </c>
      <c r="AI139" s="78">
        <f t="shared" ca="1" si="109"/>
        <v>0</v>
      </c>
      <c r="AJ139" s="4">
        <f ca="1">-SUMIFS(INDIRECT("Tab_00.Trial["&amp;AJ$4&amp;"]"),Tab_00.Trial[CONTA],$B139)</f>
        <v>0</v>
      </c>
      <c r="AK139" s="78">
        <f t="shared" ca="1" si="110"/>
        <v>0</v>
      </c>
      <c r="AL139" s="78">
        <f t="shared" ca="1" si="111"/>
        <v>0</v>
      </c>
    </row>
    <row r="140" spans="2:38" ht="15" customHeight="1" outlineLevel="1" x14ac:dyDescent="0.3">
      <c r="B140" s="14"/>
      <c r="C140" s="14"/>
      <c r="D140" s="4">
        <f ca="1">-SUMIFS(INDIRECT("Tab_00.Trial["&amp;D$4&amp;"]"),Tab_00.Trial[CONTA],$B140)</f>
        <v>0</v>
      </c>
      <c r="E140" s="78">
        <f t="shared" ca="1" si="112"/>
        <v>0</v>
      </c>
      <c r="F140" s="4">
        <f ca="1">-SUMIFS(INDIRECT("Tab_00.Trial["&amp;F$4&amp;"]"),Tab_00.Trial[CONTA],$B140)</f>
        <v>0</v>
      </c>
      <c r="G140" s="78">
        <f t="shared" ca="1" si="91"/>
        <v>0</v>
      </c>
      <c r="H140" s="78">
        <f t="shared" ca="1" si="113"/>
        <v>0</v>
      </c>
      <c r="I140" s="4">
        <f ca="1">-SUMIFS(INDIRECT("Tab_00.Trial["&amp;I$4&amp;"]"),Tab_00.Trial[CONTA],$B140)</f>
        <v>0</v>
      </c>
      <c r="J140" s="78">
        <f t="shared" ca="1" si="92"/>
        <v>0</v>
      </c>
      <c r="K140" s="78">
        <f t="shared" ca="1" si="93"/>
        <v>0</v>
      </c>
      <c r="L140" s="4">
        <f ca="1">-SUMIFS(INDIRECT("Tab_00.Trial["&amp;L$4&amp;"]"),Tab_00.Trial[CONTA],$B140)</f>
        <v>0</v>
      </c>
      <c r="M140" s="78">
        <f t="shared" ca="1" si="94"/>
        <v>0</v>
      </c>
      <c r="N140" s="78">
        <f t="shared" ca="1" si="95"/>
        <v>0</v>
      </c>
      <c r="O140" s="4">
        <f ca="1">-SUMIFS(INDIRECT("Tab_00.Trial["&amp;O$4&amp;"]"),Tab_00.Trial[CONTA],$B140)</f>
        <v>0</v>
      </c>
      <c r="P140" s="78">
        <f t="shared" ca="1" si="114"/>
        <v>0</v>
      </c>
      <c r="Q140" s="78">
        <f t="shared" ca="1" si="115"/>
        <v>0</v>
      </c>
      <c r="R140" s="4">
        <f ca="1">-SUMIFS(INDIRECT("Tab_00.Trial["&amp;R$4&amp;"]"),Tab_00.Trial[CONTA],$B140)</f>
        <v>0</v>
      </c>
      <c r="S140" s="78">
        <f t="shared" ca="1" si="98"/>
        <v>0</v>
      </c>
      <c r="T140" s="78">
        <f t="shared" ca="1" si="99"/>
        <v>0</v>
      </c>
      <c r="U140" s="4">
        <f ca="1">-SUMIFS(INDIRECT("Tab_00.Trial["&amp;U$4&amp;"]"),Tab_00.Trial[CONTA],$B140)</f>
        <v>0</v>
      </c>
      <c r="V140" s="78">
        <f t="shared" ca="1" si="100"/>
        <v>0</v>
      </c>
      <c r="W140" s="78">
        <f t="shared" ca="1" si="101"/>
        <v>0</v>
      </c>
      <c r="X140" s="4">
        <f ca="1">-SUMIFS(INDIRECT("Tab_00.Trial["&amp;X$4&amp;"]"),Tab_00.Trial[CONTA],$B140)</f>
        <v>0</v>
      </c>
      <c r="Y140" s="78">
        <f t="shared" ca="1" si="116"/>
        <v>0</v>
      </c>
      <c r="Z140" s="78">
        <f t="shared" ca="1" si="117"/>
        <v>0</v>
      </c>
      <c r="AA140" s="4">
        <f ca="1">-SUMIFS(INDIRECT("Tab_00.Trial["&amp;AA$4&amp;"]"),Tab_00.Trial[CONTA],$B140)</f>
        <v>0</v>
      </c>
      <c r="AB140" s="78">
        <f t="shared" ca="1" si="104"/>
        <v>0</v>
      </c>
      <c r="AC140" s="78">
        <f t="shared" ca="1" si="105"/>
        <v>0</v>
      </c>
      <c r="AD140" s="4">
        <f ca="1">-SUMIFS(INDIRECT("Tab_00.Trial["&amp;AD$4&amp;"]"),Tab_00.Trial[CONTA],$B140)</f>
        <v>0</v>
      </c>
      <c r="AE140" s="78">
        <f t="shared" ca="1" si="106"/>
        <v>0</v>
      </c>
      <c r="AF140" s="78">
        <f t="shared" ca="1" si="107"/>
        <v>0</v>
      </c>
      <c r="AG140" s="4">
        <f ca="1">-SUMIFS(INDIRECT("Tab_00.Trial["&amp;AG$4&amp;"]"),Tab_00.Trial[CONTA],$B140)</f>
        <v>0</v>
      </c>
      <c r="AH140" s="78">
        <f t="shared" ca="1" si="108"/>
        <v>0</v>
      </c>
      <c r="AI140" s="78">
        <f t="shared" ca="1" si="109"/>
        <v>0</v>
      </c>
      <c r="AJ140" s="4">
        <f ca="1">-SUMIFS(INDIRECT("Tab_00.Trial["&amp;AJ$4&amp;"]"),Tab_00.Trial[CONTA],$B140)</f>
        <v>0</v>
      </c>
      <c r="AK140" s="78">
        <f t="shared" ca="1" si="110"/>
        <v>0</v>
      </c>
      <c r="AL140" s="78">
        <f t="shared" ca="1" si="111"/>
        <v>0</v>
      </c>
    </row>
    <row r="141" spans="2:38" ht="5.0999999999999996" customHeight="1" outlineLevel="1" x14ac:dyDescent="0.3">
      <c r="B141" s="74" t="s">
        <v>169</v>
      </c>
      <c r="C141" s="75" t="s">
        <v>156</v>
      </c>
      <c r="D141" s="76"/>
      <c r="E141" s="77"/>
      <c r="F141" s="76"/>
      <c r="G141" s="77"/>
      <c r="H141" s="77"/>
      <c r="I141" s="76"/>
      <c r="J141" s="77"/>
      <c r="K141" s="77"/>
      <c r="L141" s="76"/>
      <c r="M141" s="77"/>
      <c r="N141" s="77"/>
      <c r="O141" s="76"/>
      <c r="P141" s="77"/>
      <c r="Q141" s="77"/>
      <c r="R141" s="76"/>
      <c r="S141" s="77"/>
      <c r="T141" s="77"/>
      <c r="U141" s="76"/>
      <c r="V141" s="77"/>
      <c r="W141" s="77"/>
      <c r="X141" s="76"/>
      <c r="Y141" s="77"/>
      <c r="Z141" s="77"/>
      <c r="AA141" s="76"/>
      <c r="AB141" s="77"/>
      <c r="AC141" s="77"/>
      <c r="AD141" s="76"/>
      <c r="AE141" s="77"/>
      <c r="AF141" s="77"/>
      <c r="AG141" s="76"/>
      <c r="AH141" s="77"/>
      <c r="AI141" s="77"/>
      <c r="AJ141" s="76"/>
      <c r="AK141" s="77"/>
      <c r="AL141" s="77"/>
    </row>
    <row r="142" spans="2:38" ht="15" customHeight="1" collapsed="1" x14ac:dyDescent="0.3">
      <c r="B142" s="3" t="s">
        <v>106</v>
      </c>
      <c r="C142" s="3" t="s">
        <v>147</v>
      </c>
      <c r="D142" s="4">
        <f ca="1">SUBTOTAL(9,D$143:D$154)</f>
        <v>-40945.24</v>
      </c>
      <c r="E142" s="78">
        <f t="shared" ref="E142:E153" ca="1" si="118">IFERROR($D142/$D$6,0)</f>
        <v>-4.3900000000000002E-2</v>
      </c>
      <c r="F142" s="4">
        <f ca="1">SUBTOTAL(9,F$143:F$154)</f>
        <v>-78308.75</v>
      </c>
      <c r="G142" s="78">
        <f ca="1">IFERROR($F142/$F$6,0)</f>
        <v>-5.3699999999999998E-2</v>
      </c>
      <c r="H142" s="78">
        <f t="shared" ref="H142:H153" ca="1" si="119">IFERROR(($F142-$D142)/ABS($D142),0)</f>
        <v>-0.91249999999999998</v>
      </c>
      <c r="I142" s="4">
        <f ca="1">SUBTOTAL(9,I$143:I$154)</f>
        <v>-115672.26</v>
      </c>
      <c r="J142" s="78">
        <f ca="1">IFERROR($I142/$I$6,0)</f>
        <v>-3.9399999999999998E-2</v>
      </c>
      <c r="K142" s="78">
        <f ca="1">IFERROR(($I142-$F142)/ABS($F142),0)</f>
        <v>-0.47710000000000002</v>
      </c>
      <c r="L142" s="4">
        <f ca="1">SUBTOTAL(9,L$143:L$154)</f>
        <v>-161546.54</v>
      </c>
      <c r="M142" s="78">
        <f ca="1">IFERROR($L142/$L$6,0)</f>
        <v>-4.1000000000000002E-2</v>
      </c>
      <c r="N142" s="78">
        <f ca="1">IFERROR(($L142-$I142)/ABS($I142),0)</f>
        <v>-0.39660000000000001</v>
      </c>
      <c r="O142" s="4">
        <f ca="1">SUBTOTAL(9,O$143:O$154)</f>
        <v>-213804.89</v>
      </c>
      <c r="P142" s="78">
        <f ca="1">IFERROR($O142/$O$6,0)</f>
        <v>-4.1599999999999998E-2</v>
      </c>
      <c r="Q142" s="78">
        <f ca="1">IFERROR(($O142-$L142)/ABS($L142),0)</f>
        <v>-0.32350000000000001</v>
      </c>
      <c r="R142" s="4">
        <f ca="1">SUBTOTAL(9,R$143:R$154)</f>
        <v>-418981.83</v>
      </c>
      <c r="S142" s="78">
        <f ca="1">IFERROR($R142/$R$6,0)</f>
        <v>-5.8299999999999998E-2</v>
      </c>
      <c r="T142" s="78">
        <f ca="1">IFERROR(($R142-$O142)/ABS($O142),0)</f>
        <v>-0.95960000000000001</v>
      </c>
      <c r="U142" s="4">
        <f ca="1">SUBTOTAL(9,U$143:U$154)</f>
        <v>-418981.83</v>
      </c>
      <c r="V142" s="78">
        <f ca="1">IFERROR($U142/$U$6,0)</f>
        <v>-5.8299999999999998E-2</v>
      </c>
      <c r="W142" s="78">
        <f ca="1">IFERROR(($U142-$R142)/ABS($R142),0)</f>
        <v>0</v>
      </c>
      <c r="X142" s="4">
        <f ca="1">SUBTOTAL(9,X$143:X$154)</f>
        <v>-418981.83</v>
      </c>
      <c r="Y142" s="78">
        <f ca="1">IFERROR($X142/$X$6,0)</f>
        <v>-5.8299999999999998E-2</v>
      </c>
      <c r="Z142" s="78">
        <f ca="1">IFERROR(($X142-$U142)/ABS($U142),0)</f>
        <v>0</v>
      </c>
      <c r="AA142" s="4">
        <f ca="1">SUBTOTAL(9,AA$143:AA$154)</f>
        <v>-571694.82999999996</v>
      </c>
      <c r="AB142" s="78">
        <f ca="1">IFERROR($AA142/$AA$6,0)</f>
        <v>-6.2199999999999998E-2</v>
      </c>
      <c r="AC142" s="78">
        <f ca="1">IFERROR(($AA142-$X142)/ABS($X142),0)</f>
        <v>-0.36449999999999999</v>
      </c>
      <c r="AD142" s="4">
        <f ca="1">SUBTOTAL(9,AD$143:AD$154)</f>
        <v>-645759.96</v>
      </c>
      <c r="AE142" s="78">
        <f ca="1">IFERROR($AD142/$AD$6,0)</f>
        <v>-6.2E-2</v>
      </c>
      <c r="AF142" s="78">
        <f ca="1">IFERROR(($AD142-$AA142)/ABS($AA142),0)</f>
        <v>-0.12959999999999999</v>
      </c>
      <c r="AG142" s="4">
        <f ca="1">SUBTOTAL(9,AG$143:AG$154)</f>
        <v>-729247.59</v>
      </c>
      <c r="AH142" s="78">
        <f ca="1">IFERROR($AG142/$AG$6,0)</f>
        <v>-6.4500000000000002E-2</v>
      </c>
      <c r="AI142" s="78">
        <f ca="1">IFERROR(($AG142-$AD142)/ABS($AD142),0)</f>
        <v>-0.1293</v>
      </c>
      <c r="AJ142" s="4">
        <f ca="1">SUBTOTAL(9,AJ$143:AJ$154)</f>
        <v>-802954.04</v>
      </c>
      <c r="AK142" s="78">
        <f ca="1">IFERROR($AJ142/$AJ$6,0)</f>
        <v>-6.2799999999999995E-2</v>
      </c>
      <c r="AL142" s="78">
        <f ca="1">IFERROR(($AJ142-$AG142)/ABS($AG142),0)</f>
        <v>-0.1011</v>
      </c>
    </row>
    <row r="143" spans="2:38" ht="15" hidden="1" customHeight="1" outlineLevel="1" x14ac:dyDescent="0.3">
      <c r="B143" s="14" t="s">
        <v>459</v>
      </c>
      <c r="C143" s="14" t="s">
        <v>460</v>
      </c>
      <c r="D143" s="4">
        <f ca="1">-SUMIFS(INDIRECT("Tab_00.Trial["&amp;D$4&amp;"]"),Tab_00.Trial[CONTA],$B143)</f>
        <v>-7634.62</v>
      </c>
      <c r="E143" s="78">
        <f t="shared" ca="1" si="118"/>
        <v>-8.2000000000000007E-3</v>
      </c>
      <c r="F143" s="4">
        <f ca="1">-SUMIFS(INDIRECT("Tab_00.Trial["&amp;F$4&amp;"]"),Tab_00.Trial[CONTA],$B143)</f>
        <v>-15269.24</v>
      </c>
      <c r="G143" s="78">
        <f t="shared" ca="1" si="91"/>
        <v>-1.0500000000000001E-2</v>
      </c>
      <c r="H143" s="78">
        <f t="shared" ca="1" si="119"/>
        <v>-1</v>
      </c>
      <c r="I143" s="4">
        <f ca="1">-SUMIFS(INDIRECT("Tab_00.Trial["&amp;I$4&amp;"]"),Tab_00.Trial[CONTA],$B143)</f>
        <v>-22903.86</v>
      </c>
      <c r="J143" s="78">
        <f t="shared" ca="1" si="92"/>
        <v>-7.7999999999999996E-3</v>
      </c>
      <c r="K143" s="78">
        <f t="shared" ca="1" si="93"/>
        <v>-0.5</v>
      </c>
      <c r="L143" s="4">
        <f ca="1">-SUMIFS(INDIRECT("Tab_00.Trial["&amp;L$4&amp;"]"),Tab_00.Trial[CONTA],$B143)</f>
        <v>-30582.58</v>
      </c>
      <c r="M143" s="78">
        <f t="shared" ca="1" si="94"/>
        <v>-7.7999999999999996E-3</v>
      </c>
      <c r="N143" s="78">
        <f t="shared" ca="1" si="95"/>
        <v>-0.33529999999999999</v>
      </c>
      <c r="O143" s="4">
        <f ca="1">-SUMIFS(INDIRECT("Tab_00.Trial["&amp;O$4&amp;"]"),Tab_00.Trial[CONTA],$B143)</f>
        <v>-38217.199999999997</v>
      </c>
      <c r="P143" s="78">
        <f t="shared" ref="P143:P153" ca="1" si="120">IFERROR($O143/$O$6,0)</f>
        <v>-7.4000000000000003E-3</v>
      </c>
      <c r="Q143" s="78">
        <f t="shared" ref="Q143:Q153" ca="1" si="121">IFERROR(($O143-$L143)/ABS($L143),0)</f>
        <v>-0.24959999999999999</v>
      </c>
      <c r="R143" s="4">
        <f ca="1">-SUMIFS(INDIRECT("Tab_00.Trial["&amp;R$4&amp;"]"),Tab_00.Trial[CONTA],$B143)</f>
        <v>-53486.44</v>
      </c>
      <c r="S143" s="78">
        <f t="shared" ca="1" si="98"/>
        <v>-7.4000000000000003E-3</v>
      </c>
      <c r="T143" s="78">
        <f t="shared" ca="1" si="99"/>
        <v>-0.39950000000000002</v>
      </c>
      <c r="U143" s="4">
        <f ca="1">-SUMIFS(INDIRECT("Tab_00.Trial["&amp;U$4&amp;"]"),Tab_00.Trial[CONTA],$B143)</f>
        <v>-53486.44</v>
      </c>
      <c r="V143" s="78">
        <f t="shared" ca="1" si="100"/>
        <v>-7.4000000000000003E-3</v>
      </c>
      <c r="W143" s="78">
        <f t="shared" ca="1" si="101"/>
        <v>0</v>
      </c>
      <c r="X143" s="4">
        <f ca="1">-SUMIFS(INDIRECT("Tab_00.Trial["&amp;X$4&amp;"]"),Tab_00.Trial[CONTA],$B143)</f>
        <v>-53486.44</v>
      </c>
      <c r="Y143" s="78">
        <f t="shared" ref="Y143:Y153" ca="1" si="122">IFERROR($X143/$X$6,0)</f>
        <v>-7.4000000000000003E-3</v>
      </c>
      <c r="Z143" s="78">
        <f t="shared" ref="Z143:Z153" ca="1" si="123">IFERROR(($X143-$U143)/ABS($U143),0)</f>
        <v>0</v>
      </c>
      <c r="AA143" s="4">
        <f ca="1">-SUMIFS(INDIRECT("Tab_00.Trial["&amp;AA$4&amp;"]"),Tab_00.Trial[CONTA],$B143)</f>
        <v>-70601.56</v>
      </c>
      <c r="AB143" s="78">
        <f t="shared" ca="1" si="104"/>
        <v>-7.7000000000000002E-3</v>
      </c>
      <c r="AC143" s="78">
        <f t="shared" ca="1" si="105"/>
        <v>-0.32</v>
      </c>
      <c r="AD143" s="4">
        <f ca="1">-SUMIFS(INDIRECT("Tab_00.Trial["&amp;AD$4&amp;"]"),Tab_00.Trial[CONTA],$B143)</f>
        <v>-79759.12</v>
      </c>
      <c r="AE143" s="78">
        <f t="shared" ca="1" si="106"/>
        <v>-7.7000000000000002E-3</v>
      </c>
      <c r="AF143" s="78">
        <f t="shared" ca="1" si="107"/>
        <v>-0.12970000000000001</v>
      </c>
      <c r="AG143" s="4">
        <f ca="1">-SUMIFS(INDIRECT("Tab_00.Trial["&amp;AG$4&amp;"]"),Tab_00.Trial[CONTA],$B143)</f>
        <v>-96874.240000000005</v>
      </c>
      <c r="AH143" s="78">
        <f t="shared" ca="1" si="108"/>
        <v>-8.6E-3</v>
      </c>
      <c r="AI143" s="78">
        <f t="shared" ca="1" si="109"/>
        <v>-0.21460000000000001</v>
      </c>
      <c r="AJ143" s="4">
        <f ca="1">-SUMIFS(INDIRECT("Tab_00.Trial["&amp;AJ$4&amp;"]"),Tab_00.Trial[CONTA],$B143)</f>
        <v>-106031.8</v>
      </c>
      <c r="AK143" s="78">
        <f t="shared" ca="1" si="110"/>
        <v>-8.3000000000000001E-3</v>
      </c>
      <c r="AL143" s="78">
        <f t="shared" ca="1" si="111"/>
        <v>-9.4500000000000001E-2</v>
      </c>
    </row>
    <row r="144" spans="2:38" ht="15" hidden="1" customHeight="1" outlineLevel="1" x14ac:dyDescent="0.3">
      <c r="B144" s="14" t="s">
        <v>461</v>
      </c>
      <c r="C144" s="14" t="s">
        <v>462</v>
      </c>
      <c r="D144" s="4">
        <f ca="1">-SUMIFS(INDIRECT("Tab_00.Trial["&amp;D$4&amp;"]"),Tab_00.Trial[CONTA],$B144)</f>
        <v>-17299.38</v>
      </c>
      <c r="E144" s="78">
        <f t="shared" ca="1" si="118"/>
        <v>-1.8499999999999999E-2</v>
      </c>
      <c r="F144" s="4">
        <f ca="1">-SUMIFS(INDIRECT("Tab_00.Trial["&amp;F$4&amp;"]"),Tab_00.Trial[CONTA],$B144)</f>
        <v>-31107.03</v>
      </c>
      <c r="G144" s="78">
        <f t="shared" ca="1" si="91"/>
        <v>-2.1299999999999999E-2</v>
      </c>
      <c r="H144" s="78">
        <f t="shared" ca="1" si="119"/>
        <v>-0.79820000000000002</v>
      </c>
      <c r="I144" s="4">
        <f ca="1">-SUMIFS(INDIRECT("Tab_00.Trial["&amp;I$4&amp;"]"),Tab_00.Trial[CONTA],$B144)</f>
        <v>-44914.68</v>
      </c>
      <c r="J144" s="78">
        <f t="shared" ca="1" si="92"/>
        <v>-1.5299999999999999E-2</v>
      </c>
      <c r="K144" s="78">
        <f t="shared" ca="1" si="93"/>
        <v>-0.44390000000000002</v>
      </c>
      <c r="L144" s="4">
        <f ca="1">-SUMIFS(INDIRECT("Tab_00.Trial["&amp;L$4&amp;"]"),Tab_00.Trial[CONTA],$B144)</f>
        <v>-58572.33</v>
      </c>
      <c r="M144" s="78">
        <f t="shared" ca="1" si="94"/>
        <v>-1.49E-2</v>
      </c>
      <c r="N144" s="78">
        <f t="shared" ca="1" si="95"/>
        <v>-0.30409999999999998</v>
      </c>
      <c r="O144" s="4">
        <f ca="1">-SUMIFS(INDIRECT("Tab_00.Trial["&amp;O$4&amp;"]"),Tab_00.Trial[CONTA],$B144)</f>
        <v>-79526.759999999995</v>
      </c>
      <c r="P144" s="78">
        <f t="shared" ca="1" si="120"/>
        <v>-1.55E-2</v>
      </c>
      <c r="Q144" s="78">
        <f t="shared" ca="1" si="121"/>
        <v>-0.35780000000000001</v>
      </c>
      <c r="R144" s="4">
        <f ca="1">-SUMIFS(INDIRECT("Tab_00.Trial["&amp;R$4&amp;"]"),Tab_00.Trial[CONTA],$B144)</f>
        <v>-105046.48</v>
      </c>
      <c r="S144" s="78">
        <f t="shared" ca="1" si="98"/>
        <v>-1.46E-2</v>
      </c>
      <c r="T144" s="78">
        <f t="shared" ca="1" si="99"/>
        <v>-0.32090000000000002</v>
      </c>
      <c r="U144" s="4">
        <f ca="1">-SUMIFS(INDIRECT("Tab_00.Trial["&amp;U$4&amp;"]"),Tab_00.Trial[CONTA],$B144)</f>
        <v>-105046.48</v>
      </c>
      <c r="V144" s="78">
        <f t="shared" ca="1" si="100"/>
        <v>-1.46E-2</v>
      </c>
      <c r="W144" s="78">
        <f t="shared" ca="1" si="101"/>
        <v>0</v>
      </c>
      <c r="X144" s="4">
        <f ca="1">-SUMIFS(INDIRECT("Tab_00.Trial["&amp;X$4&amp;"]"),Tab_00.Trial[CONTA],$B144)</f>
        <v>-105046.48</v>
      </c>
      <c r="Y144" s="78">
        <f t="shared" ca="1" si="122"/>
        <v>-1.46E-2</v>
      </c>
      <c r="Z144" s="78">
        <f t="shared" ca="1" si="123"/>
        <v>0</v>
      </c>
      <c r="AA144" s="4">
        <f ca="1">-SUMIFS(INDIRECT("Tab_00.Trial["&amp;AA$4&amp;"]"),Tab_00.Trial[CONTA],$B144)</f>
        <v>-131622.1</v>
      </c>
      <c r="AB144" s="78">
        <f t="shared" ca="1" si="104"/>
        <v>-1.43E-2</v>
      </c>
      <c r="AC144" s="78">
        <f t="shared" ca="1" si="105"/>
        <v>-0.253</v>
      </c>
      <c r="AD144" s="4">
        <f ca="1">-SUMIFS(INDIRECT("Tab_00.Trial["&amp;AD$4&amp;"]"),Tab_00.Trial[CONTA],$B144)</f>
        <v>-143972.1</v>
      </c>
      <c r="AE144" s="78">
        <f t="shared" ca="1" si="106"/>
        <v>-1.38E-2</v>
      </c>
      <c r="AF144" s="78">
        <f t="shared" ca="1" si="107"/>
        <v>-9.3799999999999994E-2</v>
      </c>
      <c r="AG144" s="4">
        <f ca="1">-SUMIFS(INDIRECT("Tab_00.Trial["&amp;AG$4&amp;"]"),Tab_00.Trial[CONTA],$B144)</f>
        <v>-156172.1</v>
      </c>
      <c r="AH144" s="78">
        <f t="shared" ca="1" si="108"/>
        <v>-1.38E-2</v>
      </c>
      <c r="AI144" s="78">
        <f t="shared" ca="1" si="109"/>
        <v>-8.4699999999999998E-2</v>
      </c>
      <c r="AJ144" s="4">
        <f ca="1">-SUMIFS(INDIRECT("Tab_00.Trial["&amp;AJ$4&amp;"]"),Tab_00.Trial[CONTA],$B144)</f>
        <v>-168522.1</v>
      </c>
      <c r="AK144" s="78">
        <f t="shared" ca="1" si="110"/>
        <v>-1.32E-2</v>
      </c>
      <c r="AL144" s="78">
        <f t="shared" ca="1" si="111"/>
        <v>-7.9100000000000004E-2</v>
      </c>
    </row>
    <row r="145" spans="2:38" ht="15" hidden="1" customHeight="1" outlineLevel="1" x14ac:dyDescent="0.3">
      <c r="B145" s="14" t="s">
        <v>463</v>
      </c>
      <c r="C145" s="14" t="s">
        <v>464</v>
      </c>
      <c r="D145" s="4">
        <f ca="1">-SUMIFS(INDIRECT("Tab_00.Trial["&amp;D$4&amp;"]"),Tab_00.Trial[CONTA],$B145)</f>
        <v>0</v>
      </c>
      <c r="E145" s="78">
        <f t="shared" ca="1" si="118"/>
        <v>0</v>
      </c>
      <c r="F145" s="4">
        <f ca="1">-SUMIFS(INDIRECT("Tab_00.Trial["&amp;F$4&amp;"]"),Tab_00.Trial[CONTA],$B145)</f>
        <v>0</v>
      </c>
      <c r="G145" s="78">
        <f t="shared" ca="1" si="91"/>
        <v>0</v>
      </c>
      <c r="H145" s="78">
        <f t="shared" ca="1" si="119"/>
        <v>0</v>
      </c>
      <c r="I145" s="4">
        <f ca="1">-SUMIFS(INDIRECT("Tab_00.Trial["&amp;I$4&amp;"]"),Tab_00.Trial[CONTA],$B145)</f>
        <v>0</v>
      </c>
      <c r="J145" s="78">
        <f t="shared" ca="1" si="92"/>
        <v>0</v>
      </c>
      <c r="K145" s="78">
        <f t="shared" ca="1" si="93"/>
        <v>0</v>
      </c>
      <c r="L145" s="4">
        <f ca="1">-SUMIFS(INDIRECT("Tab_00.Trial["&amp;L$4&amp;"]"),Tab_00.Trial[CONTA],$B145)</f>
        <v>-7166.67</v>
      </c>
      <c r="M145" s="78">
        <f t="shared" ca="1" si="94"/>
        <v>-1.8E-3</v>
      </c>
      <c r="N145" s="78">
        <f t="shared" ca="1" si="95"/>
        <v>0</v>
      </c>
      <c r="O145" s="4">
        <f ca="1">-SUMIFS(INDIRECT("Tab_00.Trial["&amp;O$4&amp;"]"),Tab_00.Trial[CONTA],$B145)</f>
        <v>-14333.34</v>
      </c>
      <c r="P145" s="78">
        <f t="shared" ca="1" si="120"/>
        <v>-2.8E-3</v>
      </c>
      <c r="Q145" s="78">
        <f t="shared" ca="1" si="121"/>
        <v>-1</v>
      </c>
      <c r="R145" s="4">
        <f ca="1">-SUMIFS(INDIRECT("Tab_00.Trial["&amp;R$4&amp;"]"),Tab_00.Trial[CONTA],$B145)</f>
        <v>-21500.01</v>
      </c>
      <c r="S145" s="78">
        <f t="shared" ca="1" si="98"/>
        <v>-3.0000000000000001E-3</v>
      </c>
      <c r="T145" s="78">
        <f t="shared" ca="1" si="99"/>
        <v>-0.5</v>
      </c>
      <c r="U145" s="4">
        <f ca="1">-SUMIFS(INDIRECT("Tab_00.Trial["&amp;U$4&amp;"]"),Tab_00.Trial[CONTA],$B145)</f>
        <v>-21500.01</v>
      </c>
      <c r="V145" s="78">
        <f t="shared" ca="1" si="100"/>
        <v>-3.0000000000000001E-3</v>
      </c>
      <c r="W145" s="78">
        <f t="shared" ca="1" si="101"/>
        <v>0</v>
      </c>
      <c r="X145" s="4">
        <f ca="1">-SUMIFS(INDIRECT("Tab_00.Trial["&amp;X$4&amp;"]"),Tab_00.Trial[CONTA],$B145)</f>
        <v>-21500.01</v>
      </c>
      <c r="Y145" s="78">
        <f t="shared" ca="1" si="122"/>
        <v>-3.0000000000000001E-3</v>
      </c>
      <c r="Z145" s="78">
        <f t="shared" ca="1" si="123"/>
        <v>0</v>
      </c>
      <c r="AA145" s="4">
        <f ca="1">-SUMIFS(INDIRECT("Tab_00.Trial["&amp;AA$4&amp;"]"),Tab_00.Trial[CONTA],$B145)</f>
        <v>-21500.01</v>
      </c>
      <c r="AB145" s="78">
        <f t="shared" ca="1" si="104"/>
        <v>-2.3E-3</v>
      </c>
      <c r="AC145" s="78">
        <f t="shared" ca="1" si="105"/>
        <v>0</v>
      </c>
      <c r="AD145" s="4">
        <f ca="1">-SUMIFS(INDIRECT("Tab_00.Trial["&amp;AD$4&amp;"]"),Tab_00.Trial[CONTA],$B145)</f>
        <v>-21500.01</v>
      </c>
      <c r="AE145" s="78">
        <f t="shared" ca="1" si="106"/>
        <v>-2.0999999999999999E-3</v>
      </c>
      <c r="AF145" s="78">
        <f t="shared" ca="1" si="107"/>
        <v>0</v>
      </c>
      <c r="AG145" s="4">
        <f ca="1">-SUMIFS(INDIRECT("Tab_00.Trial["&amp;AG$4&amp;"]"),Tab_00.Trial[CONTA],$B145)</f>
        <v>-21500.01</v>
      </c>
      <c r="AH145" s="78">
        <f t="shared" ca="1" si="108"/>
        <v>-1.9E-3</v>
      </c>
      <c r="AI145" s="78">
        <f t="shared" ca="1" si="109"/>
        <v>0</v>
      </c>
      <c r="AJ145" s="4">
        <f ca="1">-SUMIFS(INDIRECT("Tab_00.Trial["&amp;AJ$4&amp;"]"),Tab_00.Trial[CONTA],$B145)</f>
        <v>-21500.01</v>
      </c>
      <c r="AK145" s="78">
        <f t="shared" ca="1" si="110"/>
        <v>-1.6999999999999999E-3</v>
      </c>
      <c r="AL145" s="78">
        <f t="shared" ca="1" si="111"/>
        <v>0</v>
      </c>
    </row>
    <row r="146" spans="2:38" ht="15" hidden="1" customHeight="1" outlineLevel="1" x14ac:dyDescent="0.3">
      <c r="B146" s="14" t="s">
        <v>465</v>
      </c>
      <c r="C146" s="14" t="s">
        <v>466</v>
      </c>
      <c r="D146" s="4">
        <f ca="1">-SUMIFS(INDIRECT("Tab_00.Trial["&amp;D$4&amp;"]"),Tab_00.Trial[CONTA],$B146)</f>
        <v>-4524.45</v>
      </c>
      <c r="E146" s="78">
        <f t="shared" ca="1" si="118"/>
        <v>-4.7999999999999996E-3</v>
      </c>
      <c r="F146" s="4">
        <f ca="1">-SUMIFS(INDIRECT("Tab_00.Trial["&amp;F$4&amp;"]"),Tab_00.Trial[CONTA],$B146)</f>
        <v>-8958.9</v>
      </c>
      <c r="G146" s="78">
        <f t="shared" ca="1" si="91"/>
        <v>-6.1000000000000004E-3</v>
      </c>
      <c r="H146" s="78">
        <f t="shared" ca="1" si="119"/>
        <v>-0.98009999999999997</v>
      </c>
      <c r="I146" s="4">
        <f ca="1">-SUMIFS(INDIRECT("Tab_00.Trial["&amp;I$4&amp;"]"),Tab_00.Trial[CONTA],$B146)</f>
        <v>-13393.35</v>
      </c>
      <c r="J146" s="78">
        <f t="shared" ca="1" si="92"/>
        <v>-4.5999999999999999E-3</v>
      </c>
      <c r="K146" s="78">
        <f t="shared" ca="1" si="93"/>
        <v>-0.495</v>
      </c>
      <c r="L146" s="4">
        <f ca="1">-SUMIFS(INDIRECT("Tab_00.Trial["&amp;L$4&amp;"]"),Tab_00.Trial[CONTA],$B146)</f>
        <v>-19277.8</v>
      </c>
      <c r="M146" s="78">
        <f t="shared" ca="1" si="94"/>
        <v>-4.8999999999999998E-3</v>
      </c>
      <c r="N146" s="78">
        <f t="shared" ca="1" si="95"/>
        <v>-0.43940000000000001</v>
      </c>
      <c r="O146" s="4">
        <f ca="1">-SUMIFS(INDIRECT("Tab_00.Trial["&amp;O$4&amp;"]"),Tab_00.Trial[CONTA],$B146)</f>
        <v>-24293.64</v>
      </c>
      <c r="P146" s="78">
        <f t="shared" ca="1" si="120"/>
        <v>-4.7000000000000002E-3</v>
      </c>
      <c r="Q146" s="78">
        <f t="shared" ca="1" si="121"/>
        <v>-0.26019999999999999</v>
      </c>
      <c r="R146" s="4">
        <f ca="1">-SUMIFS(INDIRECT("Tab_00.Trial["&amp;R$4&amp;"]"),Tab_00.Trial[CONTA],$B146)</f>
        <v>-157895.04000000001</v>
      </c>
      <c r="S146" s="78">
        <f t="shared" ca="1" si="98"/>
        <v>-2.1999999999999999E-2</v>
      </c>
      <c r="T146" s="78">
        <f t="shared" ca="1" si="99"/>
        <v>-5.4993999999999996</v>
      </c>
      <c r="U146" s="4">
        <f ca="1">-SUMIFS(INDIRECT("Tab_00.Trial["&amp;U$4&amp;"]"),Tab_00.Trial[CONTA],$B146)</f>
        <v>-157895.04000000001</v>
      </c>
      <c r="V146" s="78">
        <f t="shared" ca="1" si="100"/>
        <v>-2.1999999999999999E-2</v>
      </c>
      <c r="W146" s="78">
        <f t="shared" ca="1" si="101"/>
        <v>0</v>
      </c>
      <c r="X146" s="4">
        <f ca="1">-SUMIFS(INDIRECT("Tab_00.Trial["&amp;X$4&amp;"]"),Tab_00.Trial[CONTA],$B146)</f>
        <v>-157895.04000000001</v>
      </c>
      <c r="Y146" s="78">
        <f t="shared" ca="1" si="122"/>
        <v>-2.1999999999999999E-2</v>
      </c>
      <c r="Z146" s="78">
        <f t="shared" ca="1" si="123"/>
        <v>0</v>
      </c>
      <c r="AA146" s="4">
        <f ca="1">-SUMIFS(INDIRECT("Tab_00.Trial["&amp;AA$4&amp;"]"),Tab_00.Trial[CONTA],$B146)</f>
        <v>-246320.03</v>
      </c>
      <c r="AB146" s="78">
        <f t="shared" ca="1" si="104"/>
        <v>-2.6800000000000001E-2</v>
      </c>
      <c r="AC146" s="78">
        <f t="shared" ca="1" si="105"/>
        <v>-0.56000000000000005</v>
      </c>
      <c r="AD146" s="4">
        <f ca="1">-SUMIFS(INDIRECT("Tab_00.Trial["&amp;AD$4&amp;"]"),Tab_00.Trial[CONTA],$B146)</f>
        <v>-288394.3</v>
      </c>
      <c r="AE146" s="78">
        <f t="shared" ca="1" si="106"/>
        <v>-2.7699999999999999E-2</v>
      </c>
      <c r="AF146" s="78">
        <f t="shared" ca="1" si="107"/>
        <v>-0.17080000000000001</v>
      </c>
      <c r="AG146" s="4">
        <f ca="1">-SUMIFS(INDIRECT("Tab_00.Trial["&amp;AG$4&amp;"]"),Tab_00.Trial[CONTA],$B146)</f>
        <v>-332452.84000000003</v>
      </c>
      <c r="AH146" s="78">
        <f t="shared" ca="1" si="108"/>
        <v>-2.9399999999999999E-2</v>
      </c>
      <c r="AI146" s="78">
        <f t="shared" ca="1" si="109"/>
        <v>-0.15279999999999999</v>
      </c>
      <c r="AJ146" s="4">
        <f ca="1">-SUMIFS(INDIRECT("Tab_00.Trial["&amp;AJ$4&amp;"]"),Tab_00.Trial[CONTA],$B146)</f>
        <v>-374527.11</v>
      </c>
      <c r="AK146" s="78">
        <f t="shared" ca="1" si="110"/>
        <v>-2.93E-2</v>
      </c>
      <c r="AL146" s="78">
        <f t="shared" ca="1" si="111"/>
        <v>-0.12659999999999999</v>
      </c>
    </row>
    <row r="147" spans="2:38" ht="15" hidden="1" customHeight="1" outlineLevel="1" x14ac:dyDescent="0.3">
      <c r="B147" s="14" t="s">
        <v>467</v>
      </c>
      <c r="C147" s="14" t="s">
        <v>468</v>
      </c>
      <c r="D147" s="4">
        <f ca="1">-SUMIFS(INDIRECT("Tab_00.Trial["&amp;D$4&amp;"]"),Tab_00.Trial[CONTA],$B147)</f>
        <v>-223.56</v>
      </c>
      <c r="E147" s="78">
        <f t="shared" ca="1" si="118"/>
        <v>-2.0000000000000001E-4</v>
      </c>
      <c r="F147" s="4">
        <f ca="1">-SUMIFS(INDIRECT("Tab_00.Trial["&amp;F$4&amp;"]"),Tab_00.Trial[CONTA],$B147)</f>
        <v>-447.12</v>
      </c>
      <c r="G147" s="78">
        <f t="shared" ca="1" si="91"/>
        <v>-2.9999999999999997E-4</v>
      </c>
      <c r="H147" s="78">
        <f t="shared" ca="1" si="119"/>
        <v>-1</v>
      </c>
      <c r="I147" s="4">
        <f ca="1">-SUMIFS(INDIRECT("Tab_00.Trial["&amp;I$4&amp;"]"),Tab_00.Trial[CONTA],$B147)</f>
        <v>-670.68</v>
      </c>
      <c r="J147" s="78">
        <f t="shared" ca="1" si="92"/>
        <v>-2.0000000000000001E-4</v>
      </c>
      <c r="K147" s="78">
        <f t="shared" ca="1" si="93"/>
        <v>-0.5</v>
      </c>
      <c r="L147" s="4">
        <f ca="1">-SUMIFS(INDIRECT("Tab_00.Trial["&amp;L$4&amp;"]"),Tab_00.Trial[CONTA],$B147)</f>
        <v>-894.24</v>
      </c>
      <c r="M147" s="78">
        <f t="shared" ca="1" si="94"/>
        <v>-2.0000000000000001E-4</v>
      </c>
      <c r="N147" s="78">
        <f t="shared" ca="1" si="95"/>
        <v>-0.33329999999999999</v>
      </c>
      <c r="O147" s="4">
        <f ca="1">-SUMIFS(INDIRECT("Tab_00.Trial["&amp;O$4&amp;"]"),Tab_00.Trial[CONTA],$B147)</f>
        <v>-1117.8</v>
      </c>
      <c r="P147" s="78">
        <f t="shared" ca="1" si="120"/>
        <v>-2.0000000000000001E-4</v>
      </c>
      <c r="Q147" s="78">
        <f t="shared" ca="1" si="121"/>
        <v>-0.25</v>
      </c>
      <c r="R147" s="4">
        <f ca="1">-SUMIFS(INDIRECT("Tab_00.Trial["&amp;R$4&amp;"]"),Tab_00.Trial[CONTA],$B147)</f>
        <v>-1564.92</v>
      </c>
      <c r="S147" s="78">
        <f t="shared" ca="1" si="98"/>
        <v>-2.0000000000000001E-4</v>
      </c>
      <c r="T147" s="78">
        <f t="shared" ca="1" si="99"/>
        <v>-0.4</v>
      </c>
      <c r="U147" s="4">
        <f ca="1">-SUMIFS(INDIRECT("Tab_00.Trial["&amp;U$4&amp;"]"),Tab_00.Trial[CONTA],$B147)</f>
        <v>-1564.92</v>
      </c>
      <c r="V147" s="78">
        <f t="shared" ca="1" si="100"/>
        <v>-2.0000000000000001E-4</v>
      </c>
      <c r="W147" s="78">
        <f t="shared" ca="1" si="101"/>
        <v>0</v>
      </c>
      <c r="X147" s="4">
        <f ca="1">-SUMIFS(INDIRECT("Tab_00.Trial["&amp;X$4&amp;"]"),Tab_00.Trial[CONTA],$B147)</f>
        <v>-1564.92</v>
      </c>
      <c r="Y147" s="78">
        <f t="shared" ca="1" si="122"/>
        <v>-2.0000000000000001E-4</v>
      </c>
      <c r="Z147" s="78">
        <f t="shared" ca="1" si="123"/>
        <v>0</v>
      </c>
      <c r="AA147" s="4">
        <f ca="1">-SUMIFS(INDIRECT("Tab_00.Trial["&amp;AA$4&amp;"]"),Tab_00.Trial[CONTA],$B147)</f>
        <v>-2012.04</v>
      </c>
      <c r="AB147" s="78">
        <f t="shared" ca="1" si="104"/>
        <v>-2.0000000000000001E-4</v>
      </c>
      <c r="AC147" s="78">
        <f t="shared" ca="1" si="105"/>
        <v>-0.28570000000000001</v>
      </c>
      <c r="AD147" s="4">
        <f ca="1">-SUMIFS(INDIRECT("Tab_00.Trial["&amp;AD$4&amp;"]"),Tab_00.Trial[CONTA],$B147)</f>
        <v>-2235.6</v>
      </c>
      <c r="AE147" s="78">
        <f t="shared" ca="1" si="106"/>
        <v>-2.0000000000000001E-4</v>
      </c>
      <c r="AF147" s="78">
        <f t="shared" ca="1" si="107"/>
        <v>-0.1111</v>
      </c>
      <c r="AG147" s="4">
        <f ca="1">-SUMIFS(INDIRECT("Tab_00.Trial["&amp;AG$4&amp;"]"),Tab_00.Trial[CONTA],$B147)</f>
        <v>-2459.16</v>
      </c>
      <c r="AH147" s="78">
        <f t="shared" ca="1" si="108"/>
        <v>-2.0000000000000001E-4</v>
      </c>
      <c r="AI147" s="78">
        <f t="shared" ca="1" si="109"/>
        <v>-0.1</v>
      </c>
      <c r="AJ147" s="4">
        <f ca="1">-SUMIFS(INDIRECT("Tab_00.Trial["&amp;AJ$4&amp;"]"),Tab_00.Trial[CONTA],$B147)</f>
        <v>-2693.37</v>
      </c>
      <c r="AK147" s="78">
        <f t="shared" ca="1" si="110"/>
        <v>-2.0000000000000001E-4</v>
      </c>
      <c r="AL147" s="78">
        <f t="shared" ca="1" si="111"/>
        <v>-9.5200000000000007E-2</v>
      </c>
    </row>
    <row r="148" spans="2:38" ht="15" hidden="1" customHeight="1" outlineLevel="1" x14ac:dyDescent="0.3">
      <c r="B148" s="14" t="s">
        <v>469</v>
      </c>
      <c r="C148" s="14" t="s">
        <v>470</v>
      </c>
      <c r="D148" s="4">
        <f ca="1">-SUMIFS(INDIRECT("Tab_00.Trial["&amp;D$4&amp;"]"),Tab_00.Trial[CONTA],$B148)</f>
        <v>-6599.82</v>
      </c>
      <c r="E148" s="78">
        <f t="shared" ca="1" si="118"/>
        <v>-7.1000000000000004E-3</v>
      </c>
      <c r="F148" s="4">
        <f ca="1">-SUMIFS(INDIRECT("Tab_00.Trial["&amp;F$4&amp;"]"),Tab_00.Trial[CONTA],$B148)</f>
        <v>-13199.64</v>
      </c>
      <c r="G148" s="78">
        <f t="shared" ca="1" si="91"/>
        <v>-9.1000000000000004E-3</v>
      </c>
      <c r="H148" s="78">
        <f t="shared" ca="1" si="119"/>
        <v>-1</v>
      </c>
      <c r="I148" s="4">
        <f ca="1">-SUMIFS(INDIRECT("Tab_00.Trial["&amp;I$4&amp;"]"),Tab_00.Trial[CONTA],$B148)</f>
        <v>-19799.46</v>
      </c>
      <c r="J148" s="78">
        <f t="shared" ca="1" si="92"/>
        <v>-6.7000000000000002E-3</v>
      </c>
      <c r="K148" s="78">
        <f t="shared" ca="1" si="93"/>
        <v>-0.5</v>
      </c>
      <c r="L148" s="4">
        <f ca="1">-SUMIFS(INDIRECT("Tab_00.Trial["&amp;L$4&amp;"]"),Tab_00.Trial[CONTA],$B148)</f>
        <v>-26399.279999999999</v>
      </c>
      <c r="M148" s="78">
        <f t="shared" ca="1" si="94"/>
        <v>-6.7000000000000002E-3</v>
      </c>
      <c r="N148" s="78">
        <f t="shared" ca="1" si="95"/>
        <v>-0.33329999999999999</v>
      </c>
      <c r="O148" s="4">
        <f ca="1">-SUMIFS(INDIRECT("Tab_00.Trial["&amp;O$4&amp;"]"),Tab_00.Trial[CONTA],$B148)</f>
        <v>-32999.1</v>
      </c>
      <c r="P148" s="78">
        <f t="shared" ca="1" si="120"/>
        <v>-6.4000000000000003E-3</v>
      </c>
      <c r="Q148" s="78">
        <f t="shared" ca="1" si="121"/>
        <v>-0.25</v>
      </c>
      <c r="R148" s="4">
        <f ca="1">-SUMIFS(INDIRECT("Tab_00.Trial["&amp;R$4&amp;"]"),Tab_00.Trial[CONTA],$B148)</f>
        <v>-46198.74</v>
      </c>
      <c r="S148" s="78">
        <f t="shared" ca="1" si="98"/>
        <v>-6.4000000000000003E-3</v>
      </c>
      <c r="T148" s="78">
        <f t="shared" ca="1" si="99"/>
        <v>-0.4</v>
      </c>
      <c r="U148" s="4">
        <f ca="1">-SUMIFS(INDIRECT("Tab_00.Trial["&amp;U$4&amp;"]"),Tab_00.Trial[CONTA],$B148)</f>
        <v>-46198.74</v>
      </c>
      <c r="V148" s="78">
        <f t="shared" ca="1" si="100"/>
        <v>-6.4000000000000003E-3</v>
      </c>
      <c r="W148" s="78">
        <f t="shared" ca="1" si="101"/>
        <v>0</v>
      </c>
      <c r="X148" s="4">
        <f ca="1">-SUMIFS(INDIRECT("Tab_00.Trial["&amp;X$4&amp;"]"),Tab_00.Trial[CONTA],$B148)</f>
        <v>-46198.74</v>
      </c>
      <c r="Y148" s="78">
        <f t="shared" ca="1" si="122"/>
        <v>-6.4000000000000003E-3</v>
      </c>
      <c r="Z148" s="78">
        <f t="shared" ca="1" si="123"/>
        <v>0</v>
      </c>
      <c r="AA148" s="4">
        <f ca="1">-SUMIFS(INDIRECT("Tab_00.Trial["&amp;AA$4&amp;"]"),Tab_00.Trial[CONTA],$B148)</f>
        <v>-56098.74</v>
      </c>
      <c r="AB148" s="78">
        <f t="shared" ca="1" si="104"/>
        <v>-6.1000000000000004E-3</v>
      </c>
      <c r="AC148" s="78">
        <f t="shared" ca="1" si="105"/>
        <v>-0.21429999999999999</v>
      </c>
      <c r="AD148" s="4">
        <f ca="1">-SUMIFS(INDIRECT("Tab_00.Trial["&amp;AD$4&amp;"]"),Tab_00.Trial[CONTA],$B148)</f>
        <v>-61048.74</v>
      </c>
      <c r="AE148" s="78">
        <f t="shared" ca="1" si="106"/>
        <v>-5.8999999999999999E-3</v>
      </c>
      <c r="AF148" s="78">
        <f t="shared" ca="1" si="107"/>
        <v>-8.8200000000000001E-2</v>
      </c>
      <c r="AG148" s="4">
        <f ca="1">-SUMIFS(INDIRECT("Tab_00.Trial["&amp;AG$4&amp;"]"),Tab_00.Trial[CONTA],$B148)</f>
        <v>-65998.740000000005</v>
      </c>
      <c r="AH148" s="78">
        <f t="shared" ca="1" si="108"/>
        <v>-5.7999999999999996E-3</v>
      </c>
      <c r="AI148" s="78">
        <f t="shared" ca="1" si="109"/>
        <v>-8.1100000000000005E-2</v>
      </c>
      <c r="AJ148" s="4">
        <f ca="1">-SUMIFS(INDIRECT("Tab_00.Trial["&amp;AJ$4&amp;"]"),Tab_00.Trial[CONTA],$B148)</f>
        <v>-70948.740000000005</v>
      </c>
      <c r="AK148" s="78">
        <f t="shared" ca="1" si="110"/>
        <v>-5.4999999999999997E-3</v>
      </c>
      <c r="AL148" s="78">
        <f t="shared" ca="1" si="111"/>
        <v>-7.4999999999999997E-2</v>
      </c>
    </row>
    <row r="149" spans="2:38" ht="15" hidden="1" customHeight="1" outlineLevel="1" x14ac:dyDescent="0.3">
      <c r="B149" s="14" t="s">
        <v>471</v>
      </c>
      <c r="C149" s="14" t="s">
        <v>472</v>
      </c>
      <c r="D149" s="4">
        <f ca="1">-SUMIFS(INDIRECT("Tab_00.Trial["&amp;D$4&amp;"]"),Tab_00.Trial[CONTA],$B149)</f>
        <v>-4663.41</v>
      </c>
      <c r="E149" s="78">
        <f t="shared" ca="1" si="118"/>
        <v>-5.0000000000000001E-3</v>
      </c>
      <c r="F149" s="4">
        <f ca="1">-SUMIFS(INDIRECT("Tab_00.Trial["&amp;F$4&amp;"]"),Tab_00.Trial[CONTA],$B149)</f>
        <v>-9326.82</v>
      </c>
      <c r="G149" s="78">
        <f t="shared" ca="1" si="91"/>
        <v>-6.4000000000000003E-3</v>
      </c>
      <c r="H149" s="78">
        <f t="shared" ca="1" si="119"/>
        <v>-1</v>
      </c>
      <c r="I149" s="4">
        <f ca="1">-SUMIFS(INDIRECT("Tab_00.Trial["&amp;I$4&amp;"]"),Tab_00.Trial[CONTA],$B149)</f>
        <v>-13990.23</v>
      </c>
      <c r="J149" s="78">
        <f t="shared" ca="1" si="92"/>
        <v>-4.7999999999999996E-3</v>
      </c>
      <c r="K149" s="78">
        <f t="shared" ca="1" si="93"/>
        <v>-0.5</v>
      </c>
      <c r="L149" s="4">
        <f ca="1">-SUMIFS(INDIRECT("Tab_00.Trial["&amp;L$4&amp;"]"),Tab_00.Trial[CONTA],$B149)</f>
        <v>-18653.64</v>
      </c>
      <c r="M149" s="78">
        <f t="shared" ca="1" si="94"/>
        <v>-4.7000000000000002E-3</v>
      </c>
      <c r="N149" s="78">
        <f t="shared" ca="1" si="95"/>
        <v>-0.33329999999999999</v>
      </c>
      <c r="O149" s="4">
        <f ca="1">-SUMIFS(INDIRECT("Tab_00.Trial["&amp;O$4&amp;"]"),Tab_00.Trial[CONTA],$B149)</f>
        <v>-23317.05</v>
      </c>
      <c r="P149" s="78">
        <f t="shared" ca="1" si="120"/>
        <v>-4.4999999999999997E-3</v>
      </c>
      <c r="Q149" s="78">
        <f t="shared" ca="1" si="121"/>
        <v>-0.25</v>
      </c>
      <c r="R149" s="4">
        <f ca="1">-SUMIFS(INDIRECT("Tab_00.Trial["&amp;R$4&amp;"]"),Tab_00.Trial[CONTA],$B149)</f>
        <v>-33290.199999999997</v>
      </c>
      <c r="S149" s="78">
        <f t="shared" ca="1" si="98"/>
        <v>-4.5999999999999999E-3</v>
      </c>
      <c r="T149" s="78">
        <f t="shared" ca="1" si="99"/>
        <v>-0.42770000000000002</v>
      </c>
      <c r="U149" s="4">
        <f ca="1">-SUMIFS(INDIRECT("Tab_00.Trial["&amp;U$4&amp;"]"),Tab_00.Trial[CONTA],$B149)</f>
        <v>-33290.199999999997</v>
      </c>
      <c r="V149" s="78">
        <f t="shared" ca="1" si="100"/>
        <v>-4.5999999999999999E-3</v>
      </c>
      <c r="W149" s="78">
        <f t="shared" ca="1" si="101"/>
        <v>0</v>
      </c>
      <c r="X149" s="4">
        <f ca="1">-SUMIFS(INDIRECT("Tab_00.Trial["&amp;X$4&amp;"]"),Tab_00.Trial[CONTA],$B149)</f>
        <v>-33290.199999999997</v>
      </c>
      <c r="Y149" s="78">
        <f t="shared" ca="1" si="122"/>
        <v>-4.5999999999999999E-3</v>
      </c>
      <c r="Z149" s="78">
        <f t="shared" ca="1" si="123"/>
        <v>0</v>
      </c>
      <c r="AA149" s="4">
        <f ca="1">-SUMIFS(INDIRECT("Tab_00.Trial["&amp;AA$4&amp;"]"),Tab_00.Trial[CONTA],$B149)</f>
        <v>-43540.35</v>
      </c>
      <c r="AB149" s="78">
        <f t="shared" ca="1" si="104"/>
        <v>-4.7000000000000002E-3</v>
      </c>
      <c r="AC149" s="78">
        <f t="shared" ca="1" si="105"/>
        <v>-0.30790000000000001</v>
      </c>
      <c r="AD149" s="4">
        <f ca="1">-SUMIFS(INDIRECT("Tab_00.Trial["&amp;AD$4&amp;"]"),Tab_00.Trial[CONTA],$B149)</f>
        <v>-48850.09</v>
      </c>
      <c r="AE149" s="78">
        <f t="shared" ca="1" si="106"/>
        <v>-4.7000000000000002E-3</v>
      </c>
      <c r="AF149" s="78">
        <f t="shared" ca="1" si="107"/>
        <v>-0.12189999999999999</v>
      </c>
      <c r="AG149" s="4">
        <f ca="1">-SUMIFS(INDIRECT("Tab_00.Trial["&amp;AG$4&amp;"]"),Tab_00.Trial[CONTA],$B149)</f>
        <v>-53790.5</v>
      </c>
      <c r="AH149" s="78">
        <f t="shared" ca="1" si="108"/>
        <v>-4.7999999999999996E-3</v>
      </c>
      <c r="AI149" s="78">
        <f t="shared" ca="1" si="109"/>
        <v>-0.1011</v>
      </c>
      <c r="AJ149" s="4">
        <f ca="1">-SUMIFS(INDIRECT("Tab_00.Trial["&amp;AJ$4&amp;"]"),Tab_00.Trial[CONTA],$B149)</f>
        <v>-58730.91</v>
      </c>
      <c r="AK149" s="78">
        <f t="shared" ca="1" si="110"/>
        <v>-4.5999999999999999E-3</v>
      </c>
      <c r="AL149" s="78">
        <f t="shared" ca="1" si="111"/>
        <v>-9.1800000000000007E-2</v>
      </c>
    </row>
    <row r="150" spans="2:38" ht="15" hidden="1" customHeight="1" outlineLevel="1" x14ac:dyDescent="0.3">
      <c r="B150" s="14" t="s">
        <v>479</v>
      </c>
      <c r="C150" s="14" t="s">
        <v>408</v>
      </c>
      <c r="D150" s="4">
        <f ca="1">-SUMIFS(INDIRECT("Tab_00.Trial["&amp;D$4&amp;"]"),Tab_00.Trial[CONTA],$B150)</f>
        <v>0</v>
      </c>
      <c r="E150" s="78">
        <f t="shared" ca="1" si="118"/>
        <v>0</v>
      </c>
      <c r="F150" s="4">
        <f ca="1">-SUMIFS(INDIRECT("Tab_00.Trial["&amp;F$4&amp;"]"),Tab_00.Trial[CONTA],$B150)</f>
        <v>0</v>
      </c>
      <c r="G150" s="78">
        <f t="shared" ca="1" si="91"/>
        <v>0</v>
      </c>
      <c r="H150" s="78">
        <f t="shared" ca="1" si="119"/>
        <v>0</v>
      </c>
      <c r="I150" s="4">
        <f ca="1">-SUMIFS(INDIRECT("Tab_00.Trial["&amp;I$4&amp;"]"),Tab_00.Trial[CONTA],$B150)</f>
        <v>0</v>
      </c>
      <c r="J150" s="78">
        <f t="shared" ca="1" si="92"/>
        <v>0</v>
      </c>
      <c r="K150" s="78">
        <f t="shared" ca="1" si="93"/>
        <v>0</v>
      </c>
      <c r="L150" s="4">
        <f ca="1">-SUMIFS(INDIRECT("Tab_00.Trial["&amp;L$4&amp;"]"),Tab_00.Trial[CONTA],$B150)</f>
        <v>0</v>
      </c>
      <c r="M150" s="78">
        <f t="shared" ca="1" si="94"/>
        <v>0</v>
      </c>
      <c r="N150" s="78">
        <f t="shared" ca="1" si="95"/>
        <v>0</v>
      </c>
      <c r="O150" s="4">
        <f ca="1">-SUMIFS(INDIRECT("Tab_00.Trial["&amp;O$4&amp;"]"),Tab_00.Trial[CONTA],$B150)</f>
        <v>0</v>
      </c>
      <c r="P150" s="78">
        <f t="shared" ca="1" si="120"/>
        <v>0</v>
      </c>
      <c r="Q150" s="78">
        <f t="shared" ca="1" si="121"/>
        <v>0</v>
      </c>
      <c r="R150" s="4">
        <f ca="1">-SUMIFS(INDIRECT("Tab_00.Trial["&amp;R$4&amp;"]"),Tab_00.Trial[CONTA],$B150)</f>
        <v>0</v>
      </c>
      <c r="S150" s="78">
        <f t="shared" ca="1" si="98"/>
        <v>0</v>
      </c>
      <c r="T150" s="78">
        <f t="shared" ca="1" si="99"/>
        <v>0</v>
      </c>
      <c r="U150" s="4">
        <f ca="1">-SUMIFS(INDIRECT("Tab_00.Trial["&amp;U$4&amp;"]"),Tab_00.Trial[CONTA],$B150)</f>
        <v>0</v>
      </c>
      <c r="V150" s="78">
        <f t="shared" ca="1" si="100"/>
        <v>0</v>
      </c>
      <c r="W150" s="78">
        <f t="shared" ca="1" si="101"/>
        <v>0</v>
      </c>
      <c r="X150" s="4">
        <f ca="1">-SUMIFS(INDIRECT("Tab_00.Trial["&amp;X$4&amp;"]"),Tab_00.Trial[CONTA],$B150)</f>
        <v>0</v>
      </c>
      <c r="Y150" s="78">
        <f t="shared" ca="1" si="122"/>
        <v>0</v>
      </c>
      <c r="Z150" s="78">
        <f t="shared" ca="1" si="123"/>
        <v>0</v>
      </c>
      <c r="AA150" s="4">
        <f ca="1">-SUMIFS(INDIRECT("Tab_00.Trial["&amp;AA$4&amp;"]"),Tab_00.Trial[CONTA],$B150)</f>
        <v>0</v>
      </c>
      <c r="AB150" s="78">
        <f t="shared" ca="1" si="104"/>
        <v>0</v>
      </c>
      <c r="AC150" s="78">
        <f t="shared" ca="1" si="105"/>
        <v>0</v>
      </c>
      <c r="AD150" s="4">
        <f ca="1">-SUMIFS(INDIRECT("Tab_00.Trial["&amp;AD$4&amp;"]"),Tab_00.Trial[CONTA],$B150)</f>
        <v>0</v>
      </c>
      <c r="AE150" s="78">
        <f t="shared" ca="1" si="106"/>
        <v>0</v>
      </c>
      <c r="AF150" s="78">
        <f t="shared" ca="1" si="107"/>
        <v>0</v>
      </c>
      <c r="AG150" s="4">
        <f ca="1">-SUMIFS(INDIRECT("Tab_00.Trial["&amp;AG$4&amp;"]"),Tab_00.Trial[CONTA],$B150)</f>
        <v>0</v>
      </c>
      <c r="AH150" s="78">
        <f t="shared" ca="1" si="108"/>
        <v>0</v>
      </c>
      <c r="AI150" s="78">
        <f t="shared" ca="1" si="109"/>
        <v>0</v>
      </c>
      <c r="AJ150" s="4">
        <f ca="1">-SUMIFS(INDIRECT("Tab_00.Trial["&amp;AJ$4&amp;"]"),Tab_00.Trial[CONTA],$B150)</f>
        <v>0</v>
      </c>
      <c r="AK150" s="78">
        <f t="shared" ca="1" si="110"/>
        <v>0</v>
      </c>
      <c r="AL150" s="78">
        <f t="shared" ca="1" si="111"/>
        <v>0</v>
      </c>
    </row>
    <row r="151" spans="2:38" ht="15" hidden="1" customHeight="1" outlineLevel="1" x14ac:dyDescent="0.3">
      <c r="B151" s="14"/>
      <c r="C151" s="14"/>
      <c r="D151" s="4">
        <f ca="1">-SUMIFS(INDIRECT("Tab_00.Trial["&amp;D$4&amp;"]"),Tab_00.Trial[CONTA],$B151)</f>
        <v>0</v>
      </c>
      <c r="E151" s="78">
        <f t="shared" ca="1" si="118"/>
        <v>0</v>
      </c>
      <c r="F151" s="4">
        <f ca="1">-SUMIFS(INDIRECT("Tab_00.Trial["&amp;F$4&amp;"]"),Tab_00.Trial[CONTA],$B151)</f>
        <v>0</v>
      </c>
      <c r="G151" s="78">
        <f t="shared" ca="1" si="91"/>
        <v>0</v>
      </c>
      <c r="H151" s="78">
        <f t="shared" ca="1" si="119"/>
        <v>0</v>
      </c>
      <c r="I151" s="4">
        <f ca="1">-SUMIFS(INDIRECT("Tab_00.Trial["&amp;I$4&amp;"]"),Tab_00.Trial[CONTA],$B151)</f>
        <v>0</v>
      </c>
      <c r="J151" s="78">
        <f t="shared" ca="1" si="92"/>
        <v>0</v>
      </c>
      <c r="K151" s="78">
        <f t="shared" ca="1" si="93"/>
        <v>0</v>
      </c>
      <c r="L151" s="4">
        <f ca="1">-SUMIFS(INDIRECT("Tab_00.Trial["&amp;L$4&amp;"]"),Tab_00.Trial[CONTA],$B151)</f>
        <v>0</v>
      </c>
      <c r="M151" s="78">
        <f t="shared" ca="1" si="94"/>
        <v>0</v>
      </c>
      <c r="N151" s="78">
        <f t="shared" ca="1" si="95"/>
        <v>0</v>
      </c>
      <c r="O151" s="4">
        <f ca="1">-SUMIFS(INDIRECT("Tab_00.Trial["&amp;O$4&amp;"]"),Tab_00.Trial[CONTA],$B151)</f>
        <v>0</v>
      </c>
      <c r="P151" s="78">
        <f t="shared" ca="1" si="120"/>
        <v>0</v>
      </c>
      <c r="Q151" s="78">
        <f t="shared" ca="1" si="121"/>
        <v>0</v>
      </c>
      <c r="R151" s="4">
        <f ca="1">-SUMIFS(INDIRECT("Tab_00.Trial["&amp;R$4&amp;"]"),Tab_00.Trial[CONTA],$B151)</f>
        <v>0</v>
      </c>
      <c r="S151" s="78">
        <f t="shared" ca="1" si="98"/>
        <v>0</v>
      </c>
      <c r="T151" s="78">
        <f t="shared" ca="1" si="99"/>
        <v>0</v>
      </c>
      <c r="U151" s="4">
        <f ca="1">-SUMIFS(INDIRECT("Tab_00.Trial["&amp;U$4&amp;"]"),Tab_00.Trial[CONTA],$B151)</f>
        <v>0</v>
      </c>
      <c r="V151" s="78">
        <f t="shared" ca="1" si="100"/>
        <v>0</v>
      </c>
      <c r="W151" s="78">
        <f t="shared" ca="1" si="101"/>
        <v>0</v>
      </c>
      <c r="X151" s="4">
        <f ca="1">-SUMIFS(INDIRECT("Tab_00.Trial["&amp;X$4&amp;"]"),Tab_00.Trial[CONTA],$B151)</f>
        <v>0</v>
      </c>
      <c r="Y151" s="78">
        <f t="shared" ca="1" si="122"/>
        <v>0</v>
      </c>
      <c r="Z151" s="78">
        <f t="shared" ca="1" si="123"/>
        <v>0</v>
      </c>
      <c r="AA151" s="4">
        <f ca="1">-SUMIFS(INDIRECT("Tab_00.Trial["&amp;AA$4&amp;"]"),Tab_00.Trial[CONTA],$B151)</f>
        <v>0</v>
      </c>
      <c r="AB151" s="78">
        <f t="shared" ca="1" si="104"/>
        <v>0</v>
      </c>
      <c r="AC151" s="78">
        <f t="shared" ca="1" si="105"/>
        <v>0</v>
      </c>
      <c r="AD151" s="4">
        <f ca="1">-SUMIFS(INDIRECT("Tab_00.Trial["&amp;AD$4&amp;"]"),Tab_00.Trial[CONTA],$B151)</f>
        <v>0</v>
      </c>
      <c r="AE151" s="78">
        <f t="shared" ca="1" si="106"/>
        <v>0</v>
      </c>
      <c r="AF151" s="78">
        <f t="shared" ca="1" si="107"/>
        <v>0</v>
      </c>
      <c r="AG151" s="4">
        <f ca="1">-SUMIFS(INDIRECT("Tab_00.Trial["&amp;AG$4&amp;"]"),Tab_00.Trial[CONTA],$B151)</f>
        <v>0</v>
      </c>
      <c r="AH151" s="78">
        <f t="shared" ca="1" si="108"/>
        <v>0</v>
      </c>
      <c r="AI151" s="78">
        <f t="shared" ca="1" si="109"/>
        <v>0</v>
      </c>
      <c r="AJ151" s="4">
        <f ca="1">-SUMIFS(INDIRECT("Tab_00.Trial["&amp;AJ$4&amp;"]"),Tab_00.Trial[CONTA],$B151)</f>
        <v>0</v>
      </c>
      <c r="AK151" s="78">
        <f t="shared" ca="1" si="110"/>
        <v>0</v>
      </c>
      <c r="AL151" s="78">
        <f t="shared" ca="1" si="111"/>
        <v>0</v>
      </c>
    </row>
    <row r="152" spans="2:38" ht="15" hidden="1" customHeight="1" outlineLevel="1" x14ac:dyDescent="0.3">
      <c r="B152" s="14"/>
      <c r="C152" s="14"/>
      <c r="D152" s="4">
        <f ca="1">-SUMIFS(INDIRECT("Tab_00.Trial["&amp;D$4&amp;"]"),Tab_00.Trial[CONTA],$B152)</f>
        <v>0</v>
      </c>
      <c r="E152" s="78">
        <f t="shared" ca="1" si="118"/>
        <v>0</v>
      </c>
      <c r="F152" s="4">
        <f ca="1">-SUMIFS(INDIRECT("Tab_00.Trial["&amp;F$4&amp;"]"),Tab_00.Trial[CONTA],$B152)</f>
        <v>0</v>
      </c>
      <c r="G152" s="78">
        <f t="shared" ca="1" si="91"/>
        <v>0</v>
      </c>
      <c r="H152" s="78">
        <f t="shared" ca="1" si="119"/>
        <v>0</v>
      </c>
      <c r="I152" s="4">
        <f ca="1">-SUMIFS(INDIRECT("Tab_00.Trial["&amp;I$4&amp;"]"),Tab_00.Trial[CONTA],$B152)</f>
        <v>0</v>
      </c>
      <c r="J152" s="78">
        <f t="shared" ca="1" si="92"/>
        <v>0</v>
      </c>
      <c r="K152" s="78">
        <f t="shared" ca="1" si="93"/>
        <v>0</v>
      </c>
      <c r="L152" s="4">
        <f ca="1">-SUMIFS(INDIRECT("Tab_00.Trial["&amp;L$4&amp;"]"),Tab_00.Trial[CONTA],$B152)</f>
        <v>0</v>
      </c>
      <c r="M152" s="78">
        <f t="shared" ca="1" si="94"/>
        <v>0</v>
      </c>
      <c r="N152" s="78">
        <f t="shared" ca="1" si="95"/>
        <v>0</v>
      </c>
      <c r="O152" s="4">
        <f ca="1">-SUMIFS(INDIRECT("Tab_00.Trial["&amp;O$4&amp;"]"),Tab_00.Trial[CONTA],$B152)</f>
        <v>0</v>
      </c>
      <c r="P152" s="78">
        <f t="shared" ca="1" si="120"/>
        <v>0</v>
      </c>
      <c r="Q152" s="78">
        <f t="shared" ca="1" si="121"/>
        <v>0</v>
      </c>
      <c r="R152" s="4">
        <f ca="1">-SUMIFS(INDIRECT("Tab_00.Trial["&amp;R$4&amp;"]"),Tab_00.Trial[CONTA],$B152)</f>
        <v>0</v>
      </c>
      <c r="S152" s="78">
        <f t="shared" ca="1" si="98"/>
        <v>0</v>
      </c>
      <c r="T152" s="78">
        <f t="shared" ca="1" si="99"/>
        <v>0</v>
      </c>
      <c r="U152" s="4">
        <f ca="1">-SUMIFS(INDIRECT("Tab_00.Trial["&amp;U$4&amp;"]"),Tab_00.Trial[CONTA],$B152)</f>
        <v>0</v>
      </c>
      <c r="V152" s="78">
        <f t="shared" ca="1" si="100"/>
        <v>0</v>
      </c>
      <c r="W152" s="78">
        <f t="shared" ca="1" si="101"/>
        <v>0</v>
      </c>
      <c r="X152" s="4">
        <f ca="1">-SUMIFS(INDIRECT("Tab_00.Trial["&amp;X$4&amp;"]"),Tab_00.Trial[CONTA],$B152)</f>
        <v>0</v>
      </c>
      <c r="Y152" s="78">
        <f t="shared" ca="1" si="122"/>
        <v>0</v>
      </c>
      <c r="Z152" s="78">
        <f t="shared" ca="1" si="123"/>
        <v>0</v>
      </c>
      <c r="AA152" s="4">
        <f ca="1">-SUMIFS(INDIRECT("Tab_00.Trial["&amp;AA$4&amp;"]"),Tab_00.Trial[CONTA],$B152)</f>
        <v>0</v>
      </c>
      <c r="AB152" s="78">
        <f t="shared" ca="1" si="104"/>
        <v>0</v>
      </c>
      <c r="AC152" s="78">
        <f t="shared" ca="1" si="105"/>
        <v>0</v>
      </c>
      <c r="AD152" s="4">
        <f ca="1">-SUMIFS(INDIRECT("Tab_00.Trial["&amp;AD$4&amp;"]"),Tab_00.Trial[CONTA],$B152)</f>
        <v>0</v>
      </c>
      <c r="AE152" s="78">
        <f t="shared" ca="1" si="106"/>
        <v>0</v>
      </c>
      <c r="AF152" s="78">
        <f t="shared" ca="1" si="107"/>
        <v>0</v>
      </c>
      <c r="AG152" s="4">
        <f ca="1">-SUMIFS(INDIRECT("Tab_00.Trial["&amp;AG$4&amp;"]"),Tab_00.Trial[CONTA],$B152)</f>
        <v>0</v>
      </c>
      <c r="AH152" s="78">
        <f t="shared" ca="1" si="108"/>
        <v>0</v>
      </c>
      <c r="AI152" s="78">
        <f t="shared" ca="1" si="109"/>
        <v>0</v>
      </c>
      <c r="AJ152" s="4">
        <f ca="1">-SUMIFS(INDIRECT("Tab_00.Trial["&amp;AJ$4&amp;"]"),Tab_00.Trial[CONTA],$B152)</f>
        <v>0</v>
      </c>
      <c r="AK152" s="78">
        <f t="shared" ca="1" si="110"/>
        <v>0</v>
      </c>
      <c r="AL152" s="78">
        <f t="shared" ca="1" si="111"/>
        <v>0</v>
      </c>
    </row>
    <row r="153" spans="2:38" ht="15" hidden="1" customHeight="1" outlineLevel="1" x14ac:dyDescent="0.3">
      <c r="B153" s="14"/>
      <c r="C153" s="14"/>
      <c r="D153" s="4">
        <f ca="1">-SUMIFS(INDIRECT("Tab_00.Trial["&amp;D$4&amp;"]"),Tab_00.Trial[CONTA],$B153)</f>
        <v>0</v>
      </c>
      <c r="E153" s="78">
        <f t="shared" ca="1" si="118"/>
        <v>0</v>
      </c>
      <c r="F153" s="4">
        <f ca="1">-SUMIFS(INDIRECT("Tab_00.Trial["&amp;F$4&amp;"]"),Tab_00.Trial[CONTA],$B153)</f>
        <v>0</v>
      </c>
      <c r="G153" s="78">
        <f t="shared" ca="1" si="91"/>
        <v>0</v>
      </c>
      <c r="H153" s="78">
        <f t="shared" ca="1" si="119"/>
        <v>0</v>
      </c>
      <c r="I153" s="4">
        <f ca="1">-SUMIFS(INDIRECT("Tab_00.Trial["&amp;I$4&amp;"]"),Tab_00.Trial[CONTA],$B153)</f>
        <v>0</v>
      </c>
      <c r="J153" s="78">
        <f t="shared" ca="1" si="92"/>
        <v>0</v>
      </c>
      <c r="K153" s="78">
        <f t="shared" ca="1" si="93"/>
        <v>0</v>
      </c>
      <c r="L153" s="4">
        <f ca="1">-SUMIFS(INDIRECT("Tab_00.Trial["&amp;L$4&amp;"]"),Tab_00.Trial[CONTA],$B153)</f>
        <v>0</v>
      </c>
      <c r="M153" s="78">
        <f t="shared" ca="1" si="94"/>
        <v>0</v>
      </c>
      <c r="N153" s="78">
        <f t="shared" ca="1" si="95"/>
        <v>0</v>
      </c>
      <c r="O153" s="4">
        <f ca="1">-SUMIFS(INDIRECT("Tab_00.Trial["&amp;O$4&amp;"]"),Tab_00.Trial[CONTA],$B153)</f>
        <v>0</v>
      </c>
      <c r="P153" s="78">
        <f t="shared" ca="1" si="120"/>
        <v>0</v>
      </c>
      <c r="Q153" s="78">
        <f t="shared" ca="1" si="121"/>
        <v>0</v>
      </c>
      <c r="R153" s="4">
        <f ca="1">-SUMIFS(INDIRECT("Tab_00.Trial["&amp;R$4&amp;"]"),Tab_00.Trial[CONTA],$B153)</f>
        <v>0</v>
      </c>
      <c r="S153" s="78">
        <f t="shared" ca="1" si="98"/>
        <v>0</v>
      </c>
      <c r="T153" s="78">
        <f t="shared" ca="1" si="99"/>
        <v>0</v>
      </c>
      <c r="U153" s="4">
        <f ca="1">-SUMIFS(INDIRECT("Tab_00.Trial["&amp;U$4&amp;"]"),Tab_00.Trial[CONTA],$B153)</f>
        <v>0</v>
      </c>
      <c r="V153" s="78">
        <f t="shared" ca="1" si="100"/>
        <v>0</v>
      </c>
      <c r="W153" s="78">
        <f t="shared" ca="1" si="101"/>
        <v>0</v>
      </c>
      <c r="X153" s="4">
        <f ca="1">-SUMIFS(INDIRECT("Tab_00.Trial["&amp;X$4&amp;"]"),Tab_00.Trial[CONTA],$B153)</f>
        <v>0</v>
      </c>
      <c r="Y153" s="78">
        <f t="shared" ca="1" si="122"/>
        <v>0</v>
      </c>
      <c r="Z153" s="78">
        <f t="shared" ca="1" si="123"/>
        <v>0</v>
      </c>
      <c r="AA153" s="4">
        <f ca="1">-SUMIFS(INDIRECT("Tab_00.Trial["&amp;AA$4&amp;"]"),Tab_00.Trial[CONTA],$B153)</f>
        <v>0</v>
      </c>
      <c r="AB153" s="78">
        <f t="shared" ca="1" si="104"/>
        <v>0</v>
      </c>
      <c r="AC153" s="78">
        <f t="shared" ca="1" si="105"/>
        <v>0</v>
      </c>
      <c r="AD153" s="4">
        <f ca="1">-SUMIFS(INDIRECT("Tab_00.Trial["&amp;AD$4&amp;"]"),Tab_00.Trial[CONTA],$B153)</f>
        <v>0</v>
      </c>
      <c r="AE153" s="78">
        <f t="shared" ca="1" si="106"/>
        <v>0</v>
      </c>
      <c r="AF153" s="78">
        <f t="shared" ca="1" si="107"/>
        <v>0</v>
      </c>
      <c r="AG153" s="4">
        <f ca="1">-SUMIFS(INDIRECT("Tab_00.Trial["&amp;AG$4&amp;"]"),Tab_00.Trial[CONTA],$B153)</f>
        <v>0</v>
      </c>
      <c r="AH153" s="78">
        <f t="shared" ca="1" si="108"/>
        <v>0</v>
      </c>
      <c r="AI153" s="78">
        <f t="shared" ca="1" si="109"/>
        <v>0</v>
      </c>
      <c r="AJ153" s="4">
        <f ca="1">-SUMIFS(INDIRECT("Tab_00.Trial["&amp;AJ$4&amp;"]"),Tab_00.Trial[CONTA],$B153)</f>
        <v>0</v>
      </c>
      <c r="AK153" s="78">
        <f t="shared" ca="1" si="110"/>
        <v>0</v>
      </c>
      <c r="AL153" s="78">
        <f t="shared" ca="1" si="111"/>
        <v>0</v>
      </c>
    </row>
    <row r="154" spans="2:38" ht="5.0999999999999996" hidden="1" customHeight="1" outlineLevel="1" x14ac:dyDescent="0.3">
      <c r="B154" s="74"/>
      <c r="C154" s="75"/>
      <c r="D154" s="76"/>
      <c r="E154" s="77"/>
      <c r="F154" s="76"/>
      <c r="G154" s="77"/>
      <c r="H154" s="77"/>
      <c r="I154" s="76"/>
      <c r="J154" s="77"/>
      <c r="K154" s="77"/>
      <c r="L154" s="76"/>
      <c r="M154" s="77"/>
      <c r="N154" s="77"/>
      <c r="O154" s="76"/>
      <c r="P154" s="77"/>
      <c r="Q154" s="77"/>
      <c r="R154" s="76"/>
      <c r="S154" s="77"/>
      <c r="T154" s="77"/>
      <c r="U154" s="76"/>
      <c r="V154" s="77"/>
      <c r="W154" s="77"/>
      <c r="X154" s="76"/>
      <c r="Y154" s="77"/>
      <c r="Z154" s="77"/>
      <c r="AA154" s="76"/>
      <c r="AB154" s="77"/>
      <c r="AC154" s="77"/>
      <c r="AD154" s="76"/>
      <c r="AE154" s="77"/>
      <c r="AF154" s="77"/>
      <c r="AG154" s="76"/>
      <c r="AH154" s="77"/>
      <c r="AI154" s="77"/>
      <c r="AJ154" s="76"/>
      <c r="AK154" s="77"/>
      <c r="AL154" s="77"/>
    </row>
    <row r="155" spans="2:38" ht="15" customHeight="1" collapsed="1" x14ac:dyDescent="0.3">
      <c r="B155" s="3" t="s">
        <v>107</v>
      </c>
      <c r="C155" s="3" t="s">
        <v>167</v>
      </c>
      <c r="D155" s="4">
        <f ca="1">SUBTOTAL(9,D$156:D$164)</f>
        <v>0</v>
      </c>
      <c r="E155" s="78">
        <f t="shared" ref="E155:E163" ca="1" si="124">IFERROR($D155/$D$6,0)</f>
        <v>0</v>
      </c>
      <c r="F155" s="4">
        <f ca="1">SUBTOTAL(9,F$156:F$164)</f>
        <v>0</v>
      </c>
      <c r="G155" s="78">
        <f ca="1">IFERROR($F155/$F$6,0)</f>
        <v>0</v>
      </c>
      <c r="H155" s="78">
        <f t="shared" ref="H155:H163" ca="1" si="125">IFERROR(($F155-$D155)/ABS($D155),0)</f>
        <v>0</v>
      </c>
      <c r="I155" s="4">
        <f ca="1">SUBTOTAL(9,I$156:I$164)</f>
        <v>0</v>
      </c>
      <c r="J155" s="78">
        <f ca="1">IFERROR($I155/$I$6,0)</f>
        <v>0</v>
      </c>
      <c r="K155" s="78">
        <f ca="1">IFERROR(($I155-$F155)/ABS($F155),0)</f>
        <v>0</v>
      </c>
      <c r="L155" s="4">
        <f ca="1">SUBTOTAL(9,L$156:L$164)</f>
        <v>0</v>
      </c>
      <c r="M155" s="78">
        <f ca="1">IFERROR($L155/$L$6,0)</f>
        <v>0</v>
      </c>
      <c r="N155" s="78">
        <f ca="1">IFERROR(($L155-$I155)/ABS($I155),0)</f>
        <v>0</v>
      </c>
      <c r="O155" s="4">
        <f ca="1">SUBTOTAL(9,O$156:O$164)</f>
        <v>0</v>
      </c>
      <c r="P155" s="78">
        <f ca="1">IFERROR($O155/$O$6,0)</f>
        <v>0</v>
      </c>
      <c r="Q155" s="78">
        <f ca="1">IFERROR(($O155-$L155)/ABS($L155),0)</f>
        <v>0</v>
      </c>
      <c r="R155" s="4">
        <f ca="1">SUBTOTAL(9,R$156:R$164)</f>
        <v>0</v>
      </c>
      <c r="S155" s="78">
        <f ca="1">IFERROR($R155/$R$6,0)</f>
        <v>0</v>
      </c>
      <c r="T155" s="78">
        <f ca="1">IFERROR(($R155-$O155)/ABS($O155),0)</f>
        <v>0</v>
      </c>
      <c r="U155" s="4">
        <f ca="1">SUBTOTAL(9,U$156:U$164)</f>
        <v>0</v>
      </c>
      <c r="V155" s="78">
        <f ca="1">IFERROR($U155/$U$6,0)</f>
        <v>0</v>
      </c>
      <c r="W155" s="78">
        <f ca="1">IFERROR(($U155-$R155)/ABS($R155),0)</f>
        <v>0</v>
      </c>
      <c r="X155" s="4">
        <f ca="1">SUBTOTAL(9,X$156:X$164)</f>
        <v>0</v>
      </c>
      <c r="Y155" s="78">
        <f ca="1">IFERROR($X155/$X$6,0)</f>
        <v>0</v>
      </c>
      <c r="Z155" s="78">
        <f ca="1">IFERROR(($X155-$U155)/ABS($U155),0)</f>
        <v>0</v>
      </c>
      <c r="AA155" s="4">
        <f ca="1">SUBTOTAL(9,AA$156:AA$164)</f>
        <v>0</v>
      </c>
      <c r="AB155" s="78">
        <f ca="1">IFERROR($AA155/$AA$6,0)</f>
        <v>0</v>
      </c>
      <c r="AC155" s="78">
        <f ca="1">IFERROR(($AA155-$X155)/ABS($X155),0)</f>
        <v>0</v>
      </c>
      <c r="AD155" s="4">
        <f ca="1">SUBTOTAL(9,AD$156:AD$164)</f>
        <v>0</v>
      </c>
      <c r="AE155" s="78">
        <f ca="1">IFERROR($AD155/$AD$6,0)</f>
        <v>0</v>
      </c>
      <c r="AF155" s="78">
        <f ca="1">IFERROR(($AD155-$AA155)/ABS($AA155),0)</f>
        <v>0</v>
      </c>
      <c r="AG155" s="4">
        <f ca="1">SUBTOTAL(9,AG$156:AG$164)</f>
        <v>0</v>
      </c>
      <c r="AH155" s="78">
        <f ca="1">IFERROR($AG155/$AG$6,0)</f>
        <v>0</v>
      </c>
      <c r="AI155" s="78">
        <f ca="1">IFERROR(($AG155-$AD155)/ABS($AD155),0)</f>
        <v>0</v>
      </c>
      <c r="AJ155" s="4">
        <f ca="1">SUBTOTAL(9,AJ$156:AJ$164)</f>
        <v>0</v>
      </c>
      <c r="AK155" s="78">
        <f ca="1">IFERROR($AJ155/$AJ$6,0)</f>
        <v>0</v>
      </c>
      <c r="AL155" s="78">
        <f ca="1">IFERROR(($AJ155-$AG155)/ABS($AG155),0)</f>
        <v>0</v>
      </c>
    </row>
    <row r="156" spans="2:38" ht="15" hidden="1" customHeight="1" outlineLevel="1" x14ac:dyDescent="0.3">
      <c r="B156" s="14"/>
      <c r="C156" s="14"/>
      <c r="D156" s="4">
        <f ca="1">-SUMIFS(INDIRECT("Tab_00.Trial["&amp;D$4&amp;"]"),Tab_00.Trial[CONTA],$B156)</f>
        <v>0</v>
      </c>
      <c r="E156" s="78">
        <f t="shared" ca="1" si="124"/>
        <v>0</v>
      </c>
      <c r="F156" s="4">
        <f ca="1">-SUMIFS(INDIRECT("Tab_00.Trial["&amp;F$4&amp;"]"),Tab_00.Trial[CONTA],$B156)</f>
        <v>0</v>
      </c>
      <c r="G156" s="78">
        <f t="shared" ca="1" si="91"/>
        <v>0</v>
      </c>
      <c r="H156" s="78">
        <f t="shared" ca="1" si="125"/>
        <v>0</v>
      </c>
      <c r="I156" s="4">
        <f ca="1">-SUMIFS(INDIRECT("Tab_00.Trial["&amp;I$4&amp;"]"),Tab_00.Trial[CONTA],$B156)</f>
        <v>0</v>
      </c>
      <c r="J156" s="78">
        <f t="shared" ca="1" si="92"/>
        <v>0</v>
      </c>
      <c r="K156" s="78">
        <f t="shared" ca="1" si="93"/>
        <v>0</v>
      </c>
      <c r="L156" s="4">
        <f ca="1">-SUMIFS(INDIRECT("Tab_00.Trial["&amp;L$4&amp;"]"),Tab_00.Trial[CONTA],$B156)</f>
        <v>0</v>
      </c>
      <c r="M156" s="78">
        <f t="shared" ca="1" si="94"/>
        <v>0</v>
      </c>
      <c r="N156" s="78">
        <f t="shared" ca="1" si="95"/>
        <v>0</v>
      </c>
      <c r="O156" s="4">
        <f ca="1">-SUMIFS(INDIRECT("Tab_00.Trial["&amp;O$4&amp;"]"),Tab_00.Trial[CONTA],$B156)</f>
        <v>0</v>
      </c>
      <c r="P156" s="78">
        <f t="shared" ref="P156:P163" ca="1" si="126">IFERROR($O156/$O$6,0)</f>
        <v>0</v>
      </c>
      <c r="Q156" s="78">
        <f t="shared" ref="Q156:Q163" ca="1" si="127">IFERROR(($O156-$L156)/ABS($L156),0)</f>
        <v>0</v>
      </c>
      <c r="R156" s="4">
        <f ca="1">-SUMIFS(INDIRECT("Tab_00.Trial["&amp;R$4&amp;"]"),Tab_00.Trial[CONTA],$B156)</f>
        <v>0</v>
      </c>
      <c r="S156" s="78">
        <f t="shared" ca="1" si="98"/>
        <v>0</v>
      </c>
      <c r="T156" s="78">
        <f t="shared" ca="1" si="99"/>
        <v>0</v>
      </c>
      <c r="U156" s="4">
        <f ca="1">-SUMIFS(INDIRECT("Tab_00.Trial["&amp;U$4&amp;"]"),Tab_00.Trial[CONTA],$B156)</f>
        <v>0</v>
      </c>
      <c r="V156" s="78">
        <f t="shared" ca="1" si="100"/>
        <v>0</v>
      </c>
      <c r="W156" s="78">
        <f t="shared" ca="1" si="101"/>
        <v>0</v>
      </c>
      <c r="X156" s="4">
        <f ca="1">-SUMIFS(INDIRECT("Tab_00.Trial["&amp;X$4&amp;"]"),Tab_00.Trial[CONTA],$B156)</f>
        <v>0</v>
      </c>
      <c r="Y156" s="78">
        <f t="shared" ref="Y156:Y163" ca="1" si="128">IFERROR($X156/$X$6,0)</f>
        <v>0</v>
      </c>
      <c r="Z156" s="78">
        <f t="shared" ref="Z156:Z163" ca="1" si="129">IFERROR(($X156-$U156)/ABS($U156),0)</f>
        <v>0</v>
      </c>
      <c r="AA156" s="4">
        <f ca="1">-SUMIFS(INDIRECT("Tab_00.Trial["&amp;AA$4&amp;"]"),Tab_00.Trial[CONTA],$B156)</f>
        <v>0</v>
      </c>
      <c r="AB156" s="78">
        <f t="shared" ca="1" si="104"/>
        <v>0</v>
      </c>
      <c r="AC156" s="78">
        <f t="shared" ca="1" si="105"/>
        <v>0</v>
      </c>
      <c r="AD156" s="4">
        <f ca="1">-SUMIFS(INDIRECT("Tab_00.Trial["&amp;AD$4&amp;"]"),Tab_00.Trial[CONTA],$B156)</f>
        <v>0</v>
      </c>
      <c r="AE156" s="78">
        <f t="shared" ca="1" si="106"/>
        <v>0</v>
      </c>
      <c r="AF156" s="78">
        <f t="shared" ca="1" si="107"/>
        <v>0</v>
      </c>
      <c r="AG156" s="4">
        <f ca="1">-SUMIFS(INDIRECT("Tab_00.Trial["&amp;AG$4&amp;"]"),Tab_00.Trial[CONTA],$B156)</f>
        <v>0</v>
      </c>
      <c r="AH156" s="78">
        <f t="shared" ca="1" si="108"/>
        <v>0</v>
      </c>
      <c r="AI156" s="78">
        <f t="shared" ca="1" si="109"/>
        <v>0</v>
      </c>
      <c r="AJ156" s="4">
        <f ca="1">-SUMIFS(INDIRECT("Tab_00.Trial["&amp;AJ$4&amp;"]"),Tab_00.Trial[CONTA],$B156)</f>
        <v>0</v>
      </c>
      <c r="AK156" s="78">
        <f t="shared" ca="1" si="110"/>
        <v>0</v>
      </c>
      <c r="AL156" s="78">
        <f t="shared" ca="1" si="111"/>
        <v>0</v>
      </c>
    </row>
    <row r="157" spans="2:38" ht="15" hidden="1" customHeight="1" outlineLevel="1" x14ac:dyDescent="0.3">
      <c r="B157" s="14"/>
      <c r="C157" s="14"/>
      <c r="D157" s="4">
        <f ca="1">-SUMIFS(INDIRECT("Tab_00.Trial["&amp;D$4&amp;"]"),Tab_00.Trial[CONTA],$B157)</f>
        <v>0</v>
      </c>
      <c r="E157" s="78">
        <f t="shared" ca="1" si="124"/>
        <v>0</v>
      </c>
      <c r="F157" s="4">
        <f ca="1">-SUMIFS(INDIRECT("Tab_00.Trial["&amp;F$4&amp;"]"),Tab_00.Trial[CONTA],$B157)</f>
        <v>0</v>
      </c>
      <c r="G157" s="78">
        <f t="shared" ca="1" si="91"/>
        <v>0</v>
      </c>
      <c r="H157" s="78">
        <f t="shared" ca="1" si="125"/>
        <v>0</v>
      </c>
      <c r="I157" s="4">
        <f ca="1">-SUMIFS(INDIRECT("Tab_00.Trial["&amp;I$4&amp;"]"),Tab_00.Trial[CONTA],$B157)</f>
        <v>0</v>
      </c>
      <c r="J157" s="78">
        <f t="shared" ca="1" si="92"/>
        <v>0</v>
      </c>
      <c r="K157" s="78">
        <f t="shared" ca="1" si="93"/>
        <v>0</v>
      </c>
      <c r="L157" s="4">
        <f ca="1">-SUMIFS(INDIRECT("Tab_00.Trial["&amp;L$4&amp;"]"),Tab_00.Trial[CONTA],$B157)</f>
        <v>0</v>
      </c>
      <c r="M157" s="78">
        <f t="shared" ca="1" si="94"/>
        <v>0</v>
      </c>
      <c r="N157" s="78">
        <f t="shared" ca="1" si="95"/>
        <v>0</v>
      </c>
      <c r="O157" s="4">
        <f ca="1">-SUMIFS(INDIRECT("Tab_00.Trial["&amp;O$4&amp;"]"),Tab_00.Trial[CONTA],$B157)</f>
        <v>0</v>
      </c>
      <c r="P157" s="78">
        <f t="shared" ca="1" si="126"/>
        <v>0</v>
      </c>
      <c r="Q157" s="78">
        <f t="shared" ca="1" si="127"/>
        <v>0</v>
      </c>
      <c r="R157" s="4">
        <f ca="1">-SUMIFS(INDIRECT("Tab_00.Trial["&amp;R$4&amp;"]"),Tab_00.Trial[CONTA],$B157)</f>
        <v>0</v>
      </c>
      <c r="S157" s="78">
        <f t="shared" ca="1" si="98"/>
        <v>0</v>
      </c>
      <c r="T157" s="78">
        <f t="shared" ca="1" si="99"/>
        <v>0</v>
      </c>
      <c r="U157" s="4">
        <f ca="1">-SUMIFS(INDIRECT("Tab_00.Trial["&amp;U$4&amp;"]"),Tab_00.Trial[CONTA],$B157)</f>
        <v>0</v>
      </c>
      <c r="V157" s="78">
        <f t="shared" ca="1" si="100"/>
        <v>0</v>
      </c>
      <c r="W157" s="78">
        <f t="shared" ca="1" si="101"/>
        <v>0</v>
      </c>
      <c r="X157" s="4">
        <f ca="1">-SUMIFS(INDIRECT("Tab_00.Trial["&amp;X$4&amp;"]"),Tab_00.Trial[CONTA],$B157)</f>
        <v>0</v>
      </c>
      <c r="Y157" s="78">
        <f t="shared" ca="1" si="128"/>
        <v>0</v>
      </c>
      <c r="Z157" s="78">
        <f t="shared" ca="1" si="129"/>
        <v>0</v>
      </c>
      <c r="AA157" s="4">
        <f ca="1">-SUMIFS(INDIRECT("Tab_00.Trial["&amp;AA$4&amp;"]"),Tab_00.Trial[CONTA],$B157)</f>
        <v>0</v>
      </c>
      <c r="AB157" s="78">
        <f t="shared" ca="1" si="104"/>
        <v>0</v>
      </c>
      <c r="AC157" s="78">
        <f t="shared" ca="1" si="105"/>
        <v>0</v>
      </c>
      <c r="AD157" s="4">
        <f ca="1">-SUMIFS(INDIRECT("Tab_00.Trial["&amp;AD$4&amp;"]"),Tab_00.Trial[CONTA],$B157)</f>
        <v>0</v>
      </c>
      <c r="AE157" s="78">
        <f t="shared" ca="1" si="106"/>
        <v>0</v>
      </c>
      <c r="AF157" s="78">
        <f t="shared" ca="1" si="107"/>
        <v>0</v>
      </c>
      <c r="AG157" s="4">
        <f ca="1">-SUMIFS(INDIRECT("Tab_00.Trial["&amp;AG$4&amp;"]"),Tab_00.Trial[CONTA],$B157)</f>
        <v>0</v>
      </c>
      <c r="AH157" s="78">
        <f t="shared" ca="1" si="108"/>
        <v>0</v>
      </c>
      <c r="AI157" s="78">
        <f t="shared" ca="1" si="109"/>
        <v>0</v>
      </c>
      <c r="AJ157" s="4">
        <f ca="1">-SUMIFS(INDIRECT("Tab_00.Trial["&amp;AJ$4&amp;"]"),Tab_00.Trial[CONTA],$B157)</f>
        <v>0</v>
      </c>
      <c r="AK157" s="78">
        <f t="shared" ca="1" si="110"/>
        <v>0</v>
      </c>
      <c r="AL157" s="78">
        <f t="shared" ca="1" si="111"/>
        <v>0</v>
      </c>
    </row>
    <row r="158" spans="2:38" ht="15" hidden="1" customHeight="1" outlineLevel="1" x14ac:dyDescent="0.3">
      <c r="B158" s="14"/>
      <c r="C158" s="14"/>
      <c r="D158" s="4">
        <f ca="1">-SUMIFS(INDIRECT("Tab_00.Trial["&amp;D$4&amp;"]"),Tab_00.Trial[CONTA],$B158)</f>
        <v>0</v>
      </c>
      <c r="E158" s="78">
        <f t="shared" ca="1" si="124"/>
        <v>0</v>
      </c>
      <c r="F158" s="4">
        <f ca="1">-SUMIFS(INDIRECT("Tab_00.Trial["&amp;F$4&amp;"]"),Tab_00.Trial[CONTA],$B158)</f>
        <v>0</v>
      </c>
      <c r="G158" s="78">
        <f t="shared" ca="1" si="91"/>
        <v>0</v>
      </c>
      <c r="H158" s="78">
        <f t="shared" ca="1" si="125"/>
        <v>0</v>
      </c>
      <c r="I158" s="4">
        <f ca="1">-SUMIFS(INDIRECT("Tab_00.Trial["&amp;I$4&amp;"]"),Tab_00.Trial[CONTA],$B158)</f>
        <v>0</v>
      </c>
      <c r="J158" s="78">
        <f t="shared" ca="1" si="92"/>
        <v>0</v>
      </c>
      <c r="K158" s="78">
        <f t="shared" ca="1" si="93"/>
        <v>0</v>
      </c>
      <c r="L158" s="4">
        <f ca="1">-SUMIFS(INDIRECT("Tab_00.Trial["&amp;L$4&amp;"]"),Tab_00.Trial[CONTA],$B158)</f>
        <v>0</v>
      </c>
      <c r="M158" s="78">
        <f t="shared" ca="1" si="94"/>
        <v>0</v>
      </c>
      <c r="N158" s="78">
        <f t="shared" ca="1" si="95"/>
        <v>0</v>
      </c>
      <c r="O158" s="4">
        <f ca="1">-SUMIFS(INDIRECT("Tab_00.Trial["&amp;O$4&amp;"]"),Tab_00.Trial[CONTA],$B158)</f>
        <v>0</v>
      </c>
      <c r="P158" s="78">
        <f t="shared" ca="1" si="126"/>
        <v>0</v>
      </c>
      <c r="Q158" s="78">
        <f t="shared" ca="1" si="127"/>
        <v>0</v>
      </c>
      <c r="R158" s="4">
        <f ca="1">-SUMIFS(INDIRECT("Tab_00.Trial["&amp;R$4&amp;"]"),Tab_00.Trial[CONTA],$B158)</f>
        <v>0</v>
      </c>
      <c r="S158" s="78">
        <f t="shared" ca="1" si="98"/>
        <v>0</v>
      </c>
      <c r="T158" s="78">
        <f t="shared" ca="1" si="99"/>
        <v>0</v>
      </c>
      <c r="U158" s="4">
        <f ca="1">-SUMIFS(INDIRECT("Tab_00.Trial["&amp;U$4&amp;"]"),Tab_00.Trial[CONTA],$B158)</f>
        <v>0</v>
      </c>
      <c r="V158" s="78">
        <f t="shared" ca="1" si="100"/>
        <v>0</v>
      </c>
      <c r="W158" s="78">
        <f t="shared" ca="1" si="101"/>
        <v>0</v>
      </c>
      <c r="X158" s="4">
        <f ca="1">-SUMIFS(INDIRECT("Tab_00.Trial["&amp;X$4&amp;"]"),Tab_00.Trial[CONTA],$B158)</f>
        <v>0</v>
      </c>
      <c r="Y158" s="78">
        <f t="shared" ca="1" si="128"/>
        <v>0</v>
      </c>
      <c r="Z158" s="78">
        <f t="shared" ca="1" si="129"/>
        <v>0</v>
      </c>
      <c r="AA158" s="4">
        <f ca="1">-SUMIFS(INDIRECT("Tab_00.Trial["&amp;AA$4&amp;"]"),Tab_00.Trial[CONTA],$B158)</f>
        <v>0</v>
      </c>
      <c r="AB158" s="78">
        <f t="shared" ca="1" si="104"/>
        <v>0</v>
      </c>
      <c r="AC158" s="78">
        <f t="shared" ca="1" si="105"/>
        <v>0</v>
      </c>
      <c r="AD158" s="4">
        <f ca="1">-SUMIFS(INDIRECT("Tab_00.Trial["&amp;AD$4&amp;"]"),Tab_00.Trial[CONTA],$B158)</f>
        <v>0</v>
      </c>
      <c r="AE158" s="78">
        <f t="shared" ca="1" si="106"/>
        <v>0</v>
      </c>
      <c r="AF158" s="78">
        <f t="shared" ca="1" si="107"/>
        <v>0</v>
      </c>
      <c r="AG158" s="4">
        <f ca="1">-SUMIFS(INDIRECT("Tab_00.Trial["&amp;AG$4&amp;"]"),Tab_00.Trial[CONTA],$B158)</f>
        <v>0</v>
      </c>
      <c r="AH158" s="78">
        <f t="shared" ca="1" si="108"/>
        <v>0</v>
      </c>
      <c r="AI158" s="78">
        <f t="shared" ca="1" si="109"/>
        <v>0</v>
      </c>
      <c r="AJ158" s="4">
        <f ca="1">-SUMIFS(INDIRECT("Tab_00.Trial["&amp;AJ$4&amp;"]"),Tab_00.Trial[CONTA],$B158)</f>
        <v>0</v>
      </c>
      <c r="AK158" s="78">
        <f t="shared" ca="1" si="110"/>
        <v>0</v>
      </c>
      <c r="AL158" s="78">
        <f t="shared" ca="1" si="111"/>
        <v>0</v>
      </c>
    </row>
    <row r="159" spans="2:38" ht="15" hidden="1" customHeight="1" outlineLevel="1" x14ac:dyDescent="0.3">
      <c r="B159" s="14"/>
      <c r="C159" s="14"/>
      <c r="D159" s="4">
        <f ca="1">-SUMIFS(INDIRECT("Tab_00.Trial["&amp;D$4&amp;"]"),Tab_00.Trial[CONTA],$B159)</f>
        <v>0</v>
      </c>
      <c r="E159" s="78">
        <f t="shared" ca="1" si="124"/>
        <v>0</v>
      </c>
      <c r="F159" s="4">
        <f ca="1">-SUMIFS(INDIRECT("Tab_00.Trial["&amp;F$4&amp;"]"),Tab_00.Trial[CONTA],$B159)</f>
        <v>0</v>
      </c>
      <c r="G159" s="78">
        <f t="shared" ca="1" si="91"/>
        <v>0</v>
      </c>
      <c r="H159" s="78">
        <f t="shared" ca="1" si="125"/>
        <v>0</v>
      </c>
      <c r="I159" s="4">
        <f ca="1">-SUMIFS(INDIRECT("Tab_00.Trial["&amp;I$4&amp;"]"),Tab_00.Trial[CONTA],$B159)</f>
        <v>0</v>
      </c>
      <c r="J159" s="78">
        <f t="shared" ca="1" si="92"/>
        <v>0</v>
      </c>
      <c r="K159" s="78">
        <f t="shared" ca="1" si="93"/>
        <v>0</v>
      </c>
      <c r="L159" s="4">
        <f ca="1">-SUMIFS(INDIRECT("Tab_00.Trial["&amp;L$4&amp;"]"),Tab_00.Trial[CONTA],$B159)</f>
        <v>0</v>
      </c>
      <c r="M159" s="78">
        <f t="shared" ca="1" si="94"/>
        <v>0</v>
      </c>
      <c r="N159" s="78">
        <f t="shared" ca="1" si="95"/>
        <v>0</v>
      </c>
      <c r="O159" s="4">
        <f ca="1">-SUMIFS(INDIRECT("Tab_00.Trial["&amp;O$4&amp;"]"),Tab_00.Trial[CONTA],$B159)</f>
        <v>0</v>
      </c>
      <c r="P159" s="78">
        <f t="shared" ca="1" si="126"/>
        <v>0</v>
      </c>
      <c r="Q159" s="78">
        <f t="shared" ca="1" si="127"/>
        <v>0</v>
      </c>
      <c r="R159" s="4">
        <f ca="1">-SUMIFS(INDIRECT("Tab_00.Trial["&amp;R$4&amp;"]"),Tab_00.Trial[CONTA],$B159)</f>
        <v>0</v>
      </c>
      <c r="S159" s="78">
        <f t="shared" ca="1" si="98"/>
        <v>0</v>
      </c>
      <c r="T159" s="78">
        <f t="shared" ca="1" si="99"/>
        <v>0</v>
      </c>
      <c r="U159" s="4">
        <f ca="1">-SUMIFS(INDIRECT("Tab_00.Trial["&amp;U$4&amp;"]"),Tab_00.Trial[CONTA],$B159)</f>
        <v>0</v>
      </c>
      <c r="V159" s="78">
        <f t="shared" ca="1" si="100"/>
        <v>0</v>
      </c>
      <c r="W159" s="78">
        <f t="shared" ca="1" si="101"/>
        <v>0</v>
      </c>
      <c r="X159" s="4">
        <f ca="1">-SUMIFS(INDIRECT("Tab_00.Trial["&amp;X$4&amp;"]"),Tab_00.Trial[CONTA],$B159)</f>
        <v>0</v>
      </c>
      <c r="Y159" s="78">
        <f t="shared" ca="1" si="128"/>
        <v>0</v>
      </c>
      <c r="Z159" s="78">
        <f t="shared" ca="1" si="129"/>
        <v>0</v>
      </c>
      <c r="AA159" s="4">
        <f ca="1">-SUMIFS(INDIRECT("Tab_00.Trial["&amp;AA$4&amp;"]"),Tab_00.Trial[CONTA],$B159)</f>
        <v>0</v>
      </c>
      <c r="AB159" s="78">
        <f t="shared" ca="1" si="104"/>
        <v>0</v>
      </c>
      <c r="AC159" s="78">
        <f t="shared" ca="1" si="105"/>
        <v>0</v>
      </c>
      <c r="AD159" s="4">
        <f ca="1">-SUMIFS(INDIRECT("Tab_00.Trial["&amp;AD$4&amp;"]"),Tab_00.Trial[CONTA],$B159)</f>
        <v>0</v>
      </c>
      <c r="AE159" s="78">
        <f t="shared" ca="1" si="106"/>
        <v>0</v>
      </c>
      <c r="AF159" s="78">
        <f t="shared" ca="1" si="107"/>
        <v>0</v>
      </c>
      <c r="AG159" s="4">
        <f ca="1">-SUMIFS(INDIRECT("Tab_00.Trial["&amp;AG$4&amp;"]"),Tab_00.Trial[CONTA],$B159)</f>
        <v>0</v>
      </c>
      <c r="AH159" s="78">
        <f t="shared" ca="1" si="108"/>
        <v>0</v>
      </c>
      <c r="AI159" s="78">
        <f t="shared" ca="1" si="109"/>
        <v>0</v>
      </c>
      <c r="AJ159" s="4">
        <f ca="1">-SUMIFS(INDIRECT("Tab_00.Trial["&amp;AJ$4&amp;"]"),Tab_00.Trial[CONTA],$B159)</f>
        <v>0</v>
      </c>
      <c r="AK159" s="78">
        <f t="shared" ca="1" si="110"/>
        <v>0</v>
      </c>
      <c r="AL159" s="78">
        <f t="shared" ca="1" si="111"/>
        <v>0</v>
      </c>
    </row>
    <row r="160" spans="2:38" ht="15" hidden="1" customHeight="1" outlineLevel="1" x14ac:dyDescent="0.3">
      <c r="B160" s="14"/>
      <c r="C160" s="14"/>
      <c r="D160" s="4">
        <f ca="1">-SUMIFS(INDIRECT("Tab_00.Trial["&amp;D$4&amp;"]"),Tab_00.Trial[CONTA],$B160)</f>
        <v>0</v>
      </c>
      <c r="E160" s="78">
        <f t="shared" ca="1" si="124"/>
        <v>0</v>
      </c>
      <c r="F160" s="4">
        <f ca="1">-SUMIFS(INDIRECT("Tab_00.Trial["&amp;F$4&amp;"]"),Tab_00.Trial[CONTA],$B160)</f>
        <v>0</v>
      </c>
      <c r="G160" s="78">
        <f t="shared" ca="1" si="91"/>
        <v>0</v>
      </c>
      <c r="H160" s="78">
        <f t="shared" ca="1" si="125"/>
        <v>0</v>
      </c>
      <c r="I160" s="4">
        <f ca="1">-SUMIFS(INDIRECT("Tab_00.Trial["&amp;I$4&amp;"]"),Tab_00.Trial[CONTA],$B160)</f>
        <v>0</v>
      </c>
      <c r="J160" s="78">
        <f t="shared" ca="1" si="92"/>
        <v>0</v>
      </c>
      <c r="K160" s="78">
        <f t="shared" ca="1" si="93"/>
        <v>0</v>
      </c>
      <c r="L160" s="4">
        <f ca="1">-SUMIFS(INDIRECT("Tab_00.Trial["&amp;L$4&amp;"]"),Tab_00.Trial[CONTA],$B160)</f>
        <v>0</v>
      </c>
      <c r="M160" s="78">
        <f t="shared" ca="1" si="94"/>
        <v>0</v>
      </c>
      <c r="N160" s="78">
        <f t="shared" ca="1" si="95"/>
        <v>0</v>
      </c>
      <c r="O160" s="4">
        <f ca="1">-SUMIFS(INDIRECT("Tab_00.Trial["&amp;O$4&amp;"]"),Tab_00.Trial[CONTA],$B160)</f>
        <v>0</v>
      </c>
      <c r="P160" s="78">
        <f t="shared" ca="1" si="126"/>
        <v>0</v>
      </c>
      <c r="Q160" s="78">
        <f t="shared" ca="1" si="127"/>
        <v>0</v>
      </c>
      <c r="R160" s="4">
        <f ca="1">-SUMIFS(INDIRECT("Tab_00.Trial["&amp;R$4&amp;"]"),Tab_00.Trial[CONTA],$B160)</f>
        <v>0</v>
      </c>
      <c r="S160" s="78">
        <f t="shared" ca="1" si="98"/>
        <v>0</v>
      </c>
      <c r="T160" s="78">
        <f t="shared" ca="1" si="99"/>
        <v>0</v>
      </c>
      <c r="U160" s="4">
        <f ca="1">-SUMIFS(INDIRECT("Tab_00.Trial["&amp;U$4&amp;"]"),Tab_00.Trial[CONTA],$B160)</f>
        <v>0</v>
      </c>
      <c r="V160" s="78">
        <f t="shared" ca="1" si="100"/>
        <v>0</v>
      </c>
      <c r="W160" s="78">
        <f t="shared" ca="1" si="101"/>
        <v>0</v>
      </c>
      <c r="X160" s="4">
        <f ca="1">-SUMIFS(INDIRECT("Tab_00.Trial["&amp;X$4&amp;"]"),Tab_00.Trial[CONTA],$B160)</f>
        <v>0</v>
      </c>
      <c r="Y160" s="78">
        <f t="shared" ca="1" si="128"/>
        <v>0</v>
      </c>
      <c r="Z160" s="78">
        <f t="shared" ca="1" si="129"/>
        <v>0</v>
      </c>
      <c r="AA160" s="4">
        <f ca="1">-SUMIFS(INDIRECT("Tab_00.Trial["&amp;AA$4&amp;"]"),Tab_00.Trial[CONTA],$B160)</f>
        <v>0</v>
      </c>
      <c r="AB160" s="78">
        <f t="shared" ca="1" si="104"/>
        <v>0</v>
      </c>
      <c r="AC160" s="78">
        <f t="shared" ca="1" si="105"/>
        <v>0</v>
      </c>
      <c r="AD160" s="4">
        <f ca="1">-SUMIFS(INDIRECT("Tab_00.Trial["&amp;AD$4&amp;"]"),Tab_00.Trial[CONTA],$B160)</f>
        <v>0</v>
      </c>
      <c r="AE160" s="78">
        <f t="shared" ca="1" si="106"/>
        <v>0</v>
      </c>
      <c r="AF160" s="78">
        <f t="shared" ca="1" si="107"/>
        <v>0</v>
      </c>
      <c r="AG160" s="4">
        <f ca="1">-SUMIFS(INDIRECT("Tab_00.Trial["&amp;AG$4&amp;"]"),Tab_00.Trial[CONTA],$B160)</f>
        <v>0</v>
      </c>
      <c r="AH160" s="78">
        <f t="shared" ca="1" si="108"/>
        <v>0</v>
      </c>
      <c r="AI160" s="78">
        <f t="shared" ca="1" si="109"/>
        <v>0</v>
      </c>
      <c r="AJ160" s="4">
        <f ca="1">-SUMIFS(INDIRECT("Tab_00.Trial["&amp;AJ$4&amp;"]"),Tab_00.Trial[CONTA],$B160)</f>
        <v>0</v>
      </c>
      <c r="AK160" s="78">
        <f t="shared" ca="1" si="110"/>
        <v>0</v>
      </c>
      <c r="AL160" s="78">
        <f t="shared" ca="1" si="111"/>
        <v>0</v>
      </c>
    </row>
    <row r="161" spans="2:38" ht="15" hidden="1" customHeight="1" outlineLevel="1" x14ac:dyDescent="0.3">
      <c r="B161" s="14"/>
      <c r="C161" s="14"/>
      <c r="D161" s="4">
        <f ca="1">-SUMIFS(INDIRECT("Tab_00.Trial["&amp;D$4&amp;"]"),Tab_00.Trial[CONTA],$B161)</f>
        <v>0</v>
      </c>
      <c r="E161" s="78">
        <f t="shared" ca="1" si="124"/>
        <v>0</v>
      </c>
      <c r="F161" s="4">
        <f ca="1">-SUMIFS(INDIRECT("Tab_00.Trial["&amp;F$4&amp;"]"),Tab_00.Trial[CONTA],$B161)</f>
        <v>0</v>
      </c>
      <c r="G161" s="78">
        <f t="shared" ca="1" si="91"/>
        <v>0</v>
      </c>
      <c r="H161" s="78">
        <f t="shared" ca="1" si="125"/>
        <v>0</v>
      </c>
      <c r="I161" s="4">
        <f ca="1">-SUMIFS(INDIRECT("Tab_00.Trial["&amp;I$4&amp;"]"),Tab_00.Trial[CONTA],$B161)</f>
        <v>0</v>
      </c>
      <c r="J161" s="78">
        <f t="shared" ca="1" si="92"/>
        <v>0</v>
      </c>
      <c r="K161" s="78">
        <f t="shared" ca="1" si="93"/>
        <v>0</v>
      </c>
      <c r="L161" s="4">
        <f ca="1">-SUMIFS(INDIRECT("Tab_00.Trial["&amp;L$4&amp;"]"),Tab_00.Trial[CONTA],$B161)</f>
        <v>0</v>
      </c>
      <c r="M161" s="78">
        <f t="shared" ca="1" si="94"/>
        <v>0</v>
      </c>
      <c r="N161" s="78">
        <f t="shared" ca="1" si="95"/>
        <v>0</v>
      </c>
      <c r="O161" s="4">
        <f ca="1">-SUMIFS(INDIRECT("Tab_00.Trial["&amp;O$4&amp;"]"),Tab_00.Trial[CONTA],$B161)</f>
        <v>0</v>
      </c>
      <c r="P161" s="78">
        <f t="shared" ca="1" si="126"/>
        <v>0</v>
      </c>
      <c r="Q161" s="78">
        <f t="shared" ca="1" si="127"/>
        <v>0</v>
      </c>
      <c r="R161" s="4">
        <f ca="1">-SUMIFS(INDIRECT("Tab_00.Trial["&amp;R$4&amp;"]"),Tab_00.Trial[CONTA],$B161)</f>
        <v>0</v>
      </c>
      <c r="S161" s="78">
        <f t="shared" ca="1" si="98"/>
        <v>0</v>
      </c>
      <c r="T161" s="78">
        <f t="shared" ca="1" si="99"/>
        <v>0</v>
      </c>
      <c r="U161" s="4">
        <f ca="1">-SUMIFS(INDIRECT("Tab_00.Trial["&amp;U$4&amp;"]"),Tab_00.Trial[CONTA],$B161)</f>
        <v>0</v>
      </c>
      <c r="V161" s="78">
        <f t="shared" ca="1" si="100"/>
        <v>0</v>
      </c>
      <c r="W161" s="78">
        <f t="shared" ca="1" si="101"/>
        <v>0</v>
      </c>
      <c r="X161" s="4">
        <f ca="1">-SUMIFS(INDIRECT("Tab_00.Trial["&amp;X$4&amp;"]"),Tab_00.Trial[CONTA],$B161)</f>
        <v>0</v>
      </c>
      <c r="Y161" s="78">
        <f t="shared" ca="1" si="128"/>
        <v>0</v>
      </c>
      <c r="Z161" s="78">
        <f t="shared" ca="1" si="129"/>
        <v>0</v>
      </c>
      <c r="AA161" s="4">
        <f ca="1">-SUMIFS(INDIRECT("Tab_00.Trial["&amp;AA$4&amp;"]"),Tab_00.Trial[CONTA],$B161)</f>
        <v>0</v>
      </c>
      <c r="AB161" s="78">
        <f t="shared" ca="1" si="104"/>
        <v>0</v>
      </c>
      <c r="AC161" s="78">
        <f t="shared" ca="1" si="105"/>
        <v>0</v>
      </c>
      <c r="AD161" s="4">
        <f ca="1">-SUMIFS(INDIRECT("Tab_00.Trial["&amp;AD$4&amp;"]"),Tab_00.Trial[CONTA],$B161)</f>
        <v>0</v>
      </c>
      <c r="AE161" s="78">
        <f t="shared" ca="1" si="106"/>
        <v>0</v>
      </c>
      <c r="AF161" s="78">
        <f t="shared" ca="1" si="107"/>
        <v>0</v>
      </c>
      <c r="AG161" s="4">
        <f ca="1">-SUMIFS(INDIRECT("Tab_00.Trial["&amp;AG$4&amp;"]"),Tab_00.Trial[CONTA],$B161)</f>
        <v>0</v>
      </c>
      <c r="AH161" s="78">
        <f t="shared" ca="1" si="108"/>
        <v>0</v>
      </c>
      <c r="AI161" s="78">
        <f t="shared" ca="1" si="109"/>
        <v>0</v>
      </c>
      <c r="AJ161" s="4">
        <f ca="1">-SUMIFS(INDIRECT("Tab_00.Trial["&amp;AJ$4&amp;"]"),Tab_00.Trial[CONTA],$B161)</f>
        <v>0</v>
      </c>
      <c r="AK161" s="78">
        <f t="shared" ca="1" si="110"/>
        <v>0</v>
      </c>
      <c r="AL161" s="78">
        <f t="shared" ca="1" si="111"/>
        <v>0</v>
      </c>
    </row>
    <row r="162" spans="2:38" ht="15" hidden="1" customHeight="1" outlineLevel="1" x14ac:dyDescent="0.3">
      <c r="B162" s="14"/>
      <c r="C162" s="14"/>
      <c r="D162" s="4">
        <f ca="1">-SUMIFS(INDIRECT("Tab_00.Trial["&amp;D$4&amp;"]"),Tab_00.Trial[CONTA],$B162)</f>
        <v>0</v>
      </c>
      <c r="E162" s="78">
        <f t="shared" ca="1" si="124"/>
        <v>0</v>
      </c>
      <c r="F162" s="4">
        <f ca="1">-SUMIFS(INDIRECT("Tab_00.Trial["&amp;F$4&amp;"]"),Tab_00.Trial[CONTA],$B162)</f>
        <v>0</v>
      </c>
      <c r="G162" s="78">
        <f t="shared" ca="1" si="91"/>
        <v>0</v>
      </c>
      <c r="H162" s="78">
        <f t="shared" ca="1" si="125"/>
        <v>0</v>
      </c>
      <c r="I162" s="4">
        <f ca="1">-SUMIFS(INDIRECT("Tab_00.Trial["&amp;I$4&amp;"]"),Tab_00.Trial[CONTA],$B162)</f>
        <v>0</v>
      </c>
      <c r="J162" s="78">
        <f t="shared" ca="1" si="92"/>
        <v>0</v>
      </c>
      <c r="K162" s="78">
        <f t="shared" ca="1" si="93"/>
        <v>0</v>
      </c>
      <c r="L162" s="4">
        <f ca="1">-SUMIFS(INDIRECT("Tab_00.Trial["&amp;L$4&amp;"]"),Tab_00.Trial[CONTA],$B162)</f>
        <v>0</v>
      </c>
      <c r="M162" s="78">
        <f t="shared" ca="1" si="94"/>
        <v>0</v>
      </c>
      <c r="N162" s="78">
        <f t="shared" ca="1" si="95"/>
        <v>0</v>
      </c>
      <c r="O162" s="4">
        <f ca="1">-SUMIFS(INDIRECT("Tab_00.Trial["&amp;O$4&amp;"]"),Tab_00.Trial[CONTA],$B162)</f>
        <v>0</v>
      </c>
      <c r="P162" s="78">
        <f t="shared" ca="1" si="126"/>
        <v>0</v>
      </c>
      <c r="Q162" s="78">
        <f t="shared" ca="1" si="127"/>
        <v>0</v>
      </c>
      <c r="R162" s="4">
        <f ca="1">-SUMIFS(INDIRECT("Tab_00.Trial["&amp;R$4&amp;"]"),Tab_00.Trial[CONTA],$B162)</f>
        <v>0</v>
      </c>
      <c r="S162" s="78">
        <f t="shared" ca="1" si="98"/>
        <v>0</v>
      </c>
      <c r="T162" s="78">
        <f t="shared" ca="1" si="99"/>
        <v>0</v>
      </c>
      <c r="U162" s="4">
        <f ca="1">-SUMIFS(INDIRECT("Tab_00.Trial["&amp;U$4&amp;"]"),Tab_00.Trial[CONTA],$B162)</f>
        <v>0</v>
      </c>
      <c r="V162" s="78">
        <f t="shared" ca="1" si="100"/>
        <v>0</v>
      </c>
      <c r="W162" s="78">
        <f t="shared" ca="1" si="101"/>
        <v>0</v>
      </c>
      <c r="X162" s="4">
        <f ca="1">-SUMIFS(INDIRECT("Tab_00.Trial["&amp;X$4&amp;"]"),Tab_00.Trial[CONTA],$B162)</f>
        <v>0</v>
      </c>
      <c r="Y162" s="78">
        <f t="shared" ca="1" si="128"/>
        <v>0</v>
      </c>
      <c r="Z162" s="78">
        <f t="shared" ca="1" si="129"/>
        <v>0</v>
      </c>
      <c r="AA162" s="4">
        <f ca="1">-SUMIFS(INDIRECT("Tab_00.Trial["&amp;AA$4&amp;"]"),Tab_00.Trial[CONTA],$B162)</f>
        <v>0</v>
      </c>
      <c r="AB162" s="78">
        <f t="shared" ca="1" si="104"/>
        <v>0</v>
      </c>
      <c r="AC162" s="78">
        <f t="shared" ca="1" si="105"/>
        <v>0</v>
      </c>
      <c r="AD162" s="4">
        <f ca="1">-SUMIFS(INDIRECT("Tab_00.Trial["&amp;AD$4&amp;"]"),Tab_00.Trial[CONTA],$B162)</f>
        <v>0</v>
      </c>
      <c r="AE162" s="78">
        <f t="shared" ca="1" si="106"/>
        <v>0</v>
      </c>
      <c r="AF162" s="78">
        <f t="shared" ca="1" si="107"/>
        <v>0</v>
      </c>
      <c r="AG162" s="4">
        <f ca="1">-SUMIFS(INDIRECT("Tab_00.Trial["&amp;AG$4&amp;"]"),Tab_00.Trial[CONTA],$B162)</f>
        <v>0</v>
      </c>
      <c r="AH162" s="78">
        <f t="shared" ca="1" si="108"/>
        <v>0</v>
      </c>
      <c r="AI162" s="78">
        <f t="shared" ca="1" si="109"/>
        <v>0</v>
      </c>
      <c r="AJ162" s="4">
        <f ca="1">-SUMIFS(INDIRECT("Tab_00.Trial["&amp;AJ$4&amp;"]"),Tab_00.Trial[CONTA],$B162)</f>
        <v>0</v>
      </c>
      <c r="AK162" s="78">
        <f t="shared" ca="1" si="110"/>
        <v>0</v>
      </c>
      <c r="AL162" s="78">
        <f t="shared" ca="1" si="111"/>
        <v>0</v>
      </c>
    </row>
    <row r="163" spans="2:38" ht="15" hidden="1" customHeight="1" outlineLevel="1" x14ac:dyDescent="0.3">
      <c r="B163" s="14"/>
      <c r="C163" s="14"/>
      <c r="D163" s="4">
        <f ca="1">-SUMIFS(INDIRECT("Tab_00.Trial["&amp;D$4&amp;"]"),Tab_00.Trial[CONTA],$B163)</f>
        <v>0</v>
      </c>
      <c r="E163" s="78">
        <f t="shared" ca="1" si="124"/>
        <v>0</v>
      </c>
      <c r="F163" s="4">
        <f ca="1">-SUMIFS(INDIRECT("Tab_00.Trial["&amp;F$4&amp;"]"),Tab_00.Trial[CONTA],$B163)</f>
        <v>0</v>
      </c>
      <c r="G163" s="78">
        <f t="shared" ca="1" si="91"/>
        <v>0</v>
      </c>
      <c r="H163" s="78">
        <f t="shared" ca="1" si="125"/>
        <v>0</v>
      </c>
      <c r="I163" s="4">
        <f ca="1">-SUMIFS(INDIRECT("Tab_00.Trial["&amp;I$4&amp;"]"),Tab_00.Trial[CONTA],$B163)</f>
        <v>0</v>
      </c>
      <c r="J163" s="78">
        <f t="shared" ca="1" si="92"/>
        <v>0</v>
      </c>
      <c r="K163" s="78">
        <f t="shared" ca="1" si="93"/>
        <v>0</v>
      </c>
      <c r="L163" s="4">
        <f ca="1">-SUMIFS(INDIRECT("Tab_00.Trial["&amp;L$4&amp;"]"),Tab_00.Trial[CONTA],$B163)</f>
        <v>0</v>
      </c>
      <c r="M163" s="78">
        <f t="shared" ca="1" si="94"/>
        <v>0</v>
      </c>
      <c r="N163" s="78">
        <f t="shared" ca="1" si="95"/>
        <v>0</v>
      </c>
      <c r="O163" s="4">
        <f ca="1">-SUMIFS(INDIRECT("Tab_00.Trial["&amp;O$4&amp;"]"),Tab_00.Trial[CONTA],$B163)</f>
        <v>0</v>
      </c>
      <c r="P163" s="78">
        <f t="shared" ca="1" si="126"/>
        <v>0</v>
      </c>
      <c r="Q163" s="78">
        <f t="shared" ca="1" si="127"/>
        <v>0</v>
      </c>
      <c r="R163" s="4">
        <f ca="1">-SUMIFS(INDIRECT("Tab_00.Trial["&amp;R$4&amp;"]"),Tab_00.Trial[CONTA],$B163)</f>
        <v>0</v>
      </c>
      <c r="S163" s="78">
        <f t="shared" ca="1" si="98"/>
        <v>0</v>
      </c>
      <c r="T163" s="78">
        <f t="shared" ca="1" si="99"/>
        <v>0</v>
      </c>
      <c r="U163" s="4">
        <f ca="1">-SUMIFS(INDIRECT("Tab_00.Trial["&amp;U$4&amp;"]"),Tab_00.Trial[CONTA],$B163)</f>
        <v>0</v>
      </c>
      <c r="V163" s="78">
        <f t="shared" ca="1" si="100"/>
        <v>0</v>
      </c>
      <c r="W163" s="78">
        <f t="shared" ca="1" si="101"/>
        <v>0</v>
      </c>
      <c r="X163" s="4">
        <f ca="1">-SUMIFS(INDIRECT("Tab_00.Trial["&amp;X$4&amp;"]"),Tab_00.Trial[CONTA],$B163)</f>
        <v>0</v>
      </c>
      <c r="Y163" s="78">
        <f t="shared" ca="1" si="128"/>
        <v>0</v>
      </c>
      <c r="Z163" s="78">
        <f t="shared" ca="1" si="129"/>
        <v>0</v>
      </c>
      <c r="AA163" s="4">
        <f ca="1">-SUMIFS(INDIRECT("Tab_00.Trial["&amp;AA$4&amp;"]"),Tab_00.Trial[CONTA],$B163)</f>
        <v>0</v>
      </c>
      <c r="AB163" s="78">
        <f t="shared" ca="1" si="104"/>
        <v>0</v>
      </c>
      <c r="AC163" s="78">
        <f t="shared" ca="1" si="105"/>
        <v>0</v>
      </c>
      <c r="AD163" s="4">
        <f ca="1">-SUMIFS(INDIRECT("Tab_00.Trial["&amp;AD$4&amp;"]"),Tab_00.Trial[CONTA],$B163)</f>
        <v>0</v>
      </c>
      <c r="AE163" s="78">
        <f t="shared" ca="1" si="106"/>
        <v>0</v>
      </c>
      <c r="AF163" s="78">
        <f t="shared" ca="1" si="107"/>
        <v>0</v>
      </c>
      <c r="AG163" s="4">
        <f ca="1">-SUMIFS(INDIRECT("Tab_00.Trial["&amp;AG$4&amp;"]"),Tab_00.Trial[CONTA],$B163)</f>
        <v>0</v>
      </c>
      <c r="AH163" s="78">
        <f t="shared" ca="1" si="108"/>
        <v>0</v>
      </c>
      <c r="AI163" s="78">
        <f t="shared" ca="1" si="109"/>
        <v>0</v>
      </c>
      <c r="AJ163" s="4">
        <f ca="1">-SUMIFS(INDIRECT("Tab_00.Trial["&amp;AJ$4&amp;"]"),Tab_00.Trial[CONTA],$B163)</f>
        <v>0</v>
      </c>
      <c r="AK163" s="78">
        <f t="shared" ca="1" si="110"/>
        <v>0</v>
      </c>
      <c r="AL163" s="78">
        <f t="shared" ca="1" si="111"/>
        <v>0</v>
      </c>
    </row>
    <row r="164" spans="2:38" ht="5.0999999999999996" hidden="1" customHeight="1" outlineLevel="1" x14ac:dyDescent="0.3">
      <c r="B164" s="74"/>
      <c r="C164" s="75"/>
      <c r="D164" s="76"/>
      <c r="E164" s="77"/>
      <c r="F164" s="76"/>
      <c r="G164" s="77"/>
      <c r="H164" s="77"/>
      <c r="I164" s="76"/>
      <c r="J164" s="77"/>
      <c r="K164" s="77"/>
      <c r="L164" s="76"/>
      <c r="M164" s="77"/>
      <c r="N164" s="77"/>
      <c r="O164" s="76"/>
      <c r="P164" s="77"/>
      <c r="Q164" s="77"/>
      <c r="R164" s="76"/>
      <c r="S164" s="77"/>
      <c r="T164" s="77"/>
      <c r="U164" s="76"/>
      <c r="V164" s="77"/>
      <c r="W164" s="77"/>
      <c r="X164" s="76"/>
      <c r="Y164" s="77"/>
      <c r="Z164" s="77"/>
      <c r="AA164" s="76"/>
      <c r="AB164" s="77"/>
      <c r="AC164" s="77"/>
      <c r="AD164" s="76"/>
      <c r="AE164" s="77"/>
      <c r="AF164" s="77"/>
      <c r="AG164" s="76"/>
      <c r="AH164" s="77"/>
      <c r="AI164" s="77"/>
      <c r="AJ164" s="76"/>
      <c r="AK164" s="77"/>
      <c r="AL164" s="77"/>
    </row>
    <row r="165" spans="2:38" ht="15" customHeight="1" collapsed="1" x14ac:dyDescent="0.3">
      <c r="B165" s="3" t="s">
        <v>108</v>
      </c>
      <c r="C165" s="3" t="s">
        <v>149</v>
      </c>
      <c r="D165" s="4">
        <f ca="1">SUBTOTAL(9,D$166:D$171)</f>
        <v>-1075.6099999999999</v>
      </c>
      <c r="E165" s="78">
        <f t="shared" ref="E165:E170" ca="1" si="130">IFERROR($D165/$D$6,0)</f>
        <v>-1.1999999999999999E-3</v>
      </c>
      <c r="F165" s="4">
        <f ca="1">SUBTOTAL(9,F$166:F$171)</f>
        <v>-2404.58</v>
      </c>
      <c r="G165" s="78">
        <f ca="1">IFERROR($F165/$F$6,0)</f>
        <v>-1.6000000000000001E-3</v>
      </c>
      <c r="H165" s="78">
        <f t="shared" ref="H165:H170" ca="1" si="131">IFERROR(($F165-$D165)/ABS($D165),0)</f>
        <v>-1.2356</v>
      </c>
      <c r="I165" s="4">
        <f ca="1">SUBTOTAL(9,I$166:I$171)</f>
        <v>-15412.24</v>
      </c>
      <c r="J165" s="78">
        <f ca="1">IFERROR($I165/$I$6,0)</f>
        <v>-5.3E-3</v>
      </c>
      <c r="K165" s="78">
        <f ca="1">IFERROR(($I165-$F165)/ABS($F165),0)</f>
        <v>-5.4095000000000004</v>
      </c>
      <c r="L165" s="4">
        <f ca="1">SUBTOTAL(9,L$166:L$171)</f>
        <v>-15412.24</v>
      </c>
      <c r="M165" s="78">
        <f ca="1">IFERROR($L165/$L$6,0)</f>
        <v>-3.8999999999999998E-3</v>
      </c>
      <c r="N165" s="78">
        <f ca="1">IFERROR(($L165-$I165)/ABS($I165),0)</f>
        <v>0</v>
      </c>
      <c r="O165" s="4">
        <f ca="1">SUBTOTAL(9,O$166:O$171)</f>
        <v>-15527.74</v>
      </c>
      <c r="P165" s="78">
        <f ca="1">IFERROR($O165/$O$6,0)</f>
        <v>-3.0000000000000001E-3</v>
      </c>
      <c r="Q165" s="78">
        <f ca="1">IFERROR(($O165-$L165)/ABS($L165),0)</f>
        <v>-7.4999999999999997E-3</v>
      </c>
      <c r="R165" s="4">
        <f ca="1">SUBTOTAL(9,R$166:R$171)</f>
        <v>-15527.74</v>
      </c>
      <c r="S165" s="78">
        <f ca="1">IFERROR($R165/$R$6,0)</f>
        <v>-2.2000000000000001E-3</v>
      </c>
      <c r="T165" s="78">
        <f ca="1">IFERROR(($R165-$O165)/ABS($O165),0)</f>
        <v>0</v>
      </c>
      <c r="U165" s="4">
        <f ca="1">SUBTOTAL(9,U$166:U$171)</f>
        <v>-15527.74</v>
      </c>
      <c r="V165" s="78">
        <f ca="1">IFERROR($U165/$U$6,0)</f>
        <v>-2.2000000000000001E-3</v>
      </c>
      <c r="W165" s="78">
        <f ca="1">IFERROR(($U165-$R165)/ABS($R165),0)</f>
        <v>0</v>
      </c>
      <c r="X165" s="4">
        <f ca="1">SUBTOTAL(9,X$166:X$171)</f>
        <v>-15527.74</v>
      </c>
      <c r="Y165" s="78">
        <f ca="1">IFERROR($X165/$X$6,0)</f>
        <v>-2.2000000000000001E-3</v>
      </c>
      <c r="Z165" s="78">
        <f ca="1">IFERROR(($X165-$U165)/ABS($U165),0)</f>
        <v>0</v>
      </c>
      <c r="AA165" s="4">
        <f ca="1">SUBTOTAL(9,AA$166:AA$171)</f>
        <v>-15527.74</v>
      </c>
      <c r="AB165" s="78">
        <f ca="1">IFERROR($AA165/$AA$6,0)</f>
        <v>-1.6999999999999999E-3</v>
      </c>
      <c r="AC165" s="78">
        <f ca="1">IFERROR(($AA165-$X165)/ABS($X165),0)</f>
        <v>0</v>
      </c>
      <c r="AD165" s="4">
        <f ca="1">SUBTOTAL(9,AD$166:AD$171)</f>
        <v>-15527.74</v>
      </c>
      <c r="AE165" s="78">
        <f ca="1">IFERROR($AD165/$AD$6,0)</f>
        <v>-1.5E-3</v>
      </c>
      <c r="AF165" s="78">
        <f ca="1">IFERROR(($AD165-$AA165)/ABS($AA165),0)</f>
        <v>0</v>
      </c>
      <c r="AG165" s="4">
        <f ca="1">SUBTOTAL(9,AG$166:AG$171)</f>
        <v>-16854.34</v>
      </c>
      <c r="AH165" s="78">
        <f ca="1">IFERROR($AG165/$AG$6,0)</f>
        <v>-1.5E-3</v>
      </c>
      <c r="AI165" s="78">
        <f ca="1">IFERROR(($AG165-$AD165)/ABS($AD165),0)</f>
        <v>-8.5400000000000004E-2</v>
      </c>
      <c r="AJ165" s="4">
        <f ca="1">SUBTOTAL(9,AJ$166:AJ$171)</f>
        <v>-16854.34</v>
      </c>
      <c r="AK165" s="78">
        <f ca="1">IFERROR($AJ165/$AJ$6,0)</f>
        <v>-1.2999999999999999E-3</v>
      </c>
      <c r="AL165" s="78">
        <f ca="1">IFERROR(($AJ165-$AG165)/ABS($AG165),0)</f>
        <v>0</v>
      </c>
    </row>
    <row r="166" spans="2:38" ht="15" hidden="1" customHeight="1" outlineLevel="1" x14ac:dyDescent="0.3">
      <c r="B166" s="14" t="s">
        <v>522</v>
      </c>
      <c r="C166" s="14" t="s">
        <v>523</v>
      </c>
      <c r="D166" s="4">
        <f ca="1">-SUMIFS(INDIRECT("Tab_00.Trial["&amp;D$4&amp;"]"),Tab_00.Trial[CONTA],$B166)</f>
        <v>-1075.6099999999999</v>
      </c>
      <c r="E166" s="78">
        <f t="shared" ca="1" si="130"/>
        <v>-1.1999999999999999E-3</v>
      </c>
      <c r="F166" s="4">
        <f ca="1">-SUMIFS(INDIRECT("Tab_00.Trial["&amp;F$4&amp;"]"),Tab_00.Trial[CONTA],$B166)</f>
        <v>-2404.58</v>
      </c>
      <c r="G166" s="78">
        <f t="shared" ca="1" si="91"/>
        <v>-1.6000000000000001E-3</v>
      </c>
      <c r="H166" s="78">
        <f t="shared" ca="1" si="131"/>
        <v>-1.2356</v>
      </c>
      <c r="I166" s="4">
        <f ca="1">-SUMIFS(INDIRECT("Tab_00.Trial["&amp;I$4&amp;"]"),Tab_00.Trial[CONTA],$B166)</f>
        <v>-15412.24</v>
      </c>
      <c r="J166" s="78">
        <f t="shared" ca="1" si="92"/>
        <v>-5.3E-3</v>
      </c>
      <c r="K166" s="78">
        <f t="shared" ca="1" si="93"/>
        <v>-5.4095000000000004</v>
      </c>
      <c r="L166" s="4">
        <f ca="1">-SUMIFS(INDIRECT("Tab_00.Trial["&amp;L$4&amp;"]"),Tab_00.Trial[CONTA],$B166)</f>
        <v>-15412.24</v>
      </c>
      <c r="M166" s="78">
        <f t="shared" ca="1" si="94"/>
        <v>-3.8999999999999998E-3</v>
      </c>
      <c r="N166" s="78">
        <f t="shared" ca="1" si="95"/>
        <v>0</v>
      </c>
      <c r="O166" s="4">
        <f ca="1">-SUMIFS(INDIRECT("Tab_00.Trial["&amp;O$4&amp;"]"),Tab_00.Trial[CONTA],$B166)</f>
        <v>-15527.74</v>
      </c>
      <c r="P166" s="78">
        <f t="shared" ref="P166:P170" ca="1" si="132">IFERROR($O166/$O$6,0)</f>
        <v>-3.0000000000000001E-3</v>
      </c>
      <c r="Q166" s="78">
        <f t="shared" ref="Q166:Q170" ca="1" si="133">IFERROR(($O166-$L166)/ABS($L166),0)</f>
        <v>-7.4999999999999997E-3</v>
      </c>
      <c r="R166" s="4">
        <f ca="1">-SUMIFS(INDIRECT("Tab_00.Trial["&amp;R$4&amp;"]"),Tab_00.Trial[CONTA],$B166)</f>
        <v>-15527.74</v>
      </c>
      <c r="S166" s="78">
        <f t="shared" ca="1" si="98"/>
        <v>-2.2000000000000001E-3</v>
      </c>
      <c r="T166" s="78">
        <f t="shared" ca="1" si="99"/>
        <v>0</v>
      </c>
      <c r="U166" s="4">
        <f ca="1">-SUMIFS(INDIRECT("Tab_00.Trial["&amp;U$4&amp;"]"),Tab_00.Trial[CONTA],$B166)</f>
        <v>-15527.74</v>
      </c>
      <c r="V166" s="78">
        <f t="shared" ca="1" si="100"/>
        <v>-2.2000000000000001E-3</v>
      </c>
      <c r="W166" s="78">
        <f t="shared" ca="1" si="101"/>
        <v>0</v>
      </c>
      <c r="X166" s="4">
        <f ca="1">-SUMIFS(INDIRECT("Tab_00.Trial["&amp;X$4&amp;"]"),Tab_00.Trial[CONTA],$B166)</f>
        <v>-15527.74</v>
      </c>
      <c r="Y166" s="78">
        <f t="shared" ref="Y166:Y170" ca="1" si="134">IFERROR($X166/$X$6,0)</f>
        <v>-2.2000000000000001E-3</v>
      </c>
      <c r="Z166" s="78">
        <f t="shared" ref="Z166:Z170" ca="1" si="135">IFERROR(($X166-$U166)/ABS($U166),0)</f>
        <v>0</v>
      </c>
      <c r="AA166" s="4">
        <f ca="1">-SUMIFS(INDIRECT("Tab_00.Trial["&amp;AA$4&amp;"]"),Tab_00.Trial[CONTA],$B166)</f>
        <v>-15527.74</v>
      </c>
      <c r="AB166" s="78">
        <f t="shared" ca="1" si="104"/>
        <v>-1.6999999999999999E-3</v>
      </c>
      <c r="AC166" s="78">
        <f t="shared" ca="1" si="105"/>
        <v>0</v>
      </c>
      <c r="AD166" s="4">
        <f ca="1">-SUMIFS(INDIRECT("Tab_00.Trial["&amp;AD$4&amp;"]"),Tab_00.Trial[CONTA],$B166)</f>
        <v>-15527.74</v>
      </c>
      <c r="AE166" s="78">
        <f t="shared" ca="1" si="106"/>
        <v>-1.5E-3</v>
      </c>
      <c r="AF166" s="78">
        <f t="shared" ca="1" si="107"/>
        <v>0</v>
      </c>
      <c r="AG166" s="4">
        <f ca="1">-SUMIFS(INDIRECT("Tab_00.Trial["&amp;AG$4&amp;"]"),Tab_00.Trial[CONTA],$B166)</f>
        <v>-16854.34</v>
      </c>
      <c r="AH166" s="78">
        <f t="shared" ca="1" si="108"/>
        <v>-1.5E-3</v>
      </c>
      <c r="AI166" s="78">
        <f t="shared" ca="1" si="109"/>
        <v>-8.5400000000000004E-2</v>
      </c>
      <c r="AJ166" s="4">
        <f ca="1">-SUMIFS(INDIRECT("Tab_00.Trial["&amp;AJ$4&amp;"]"),Tab_00.Trial[CONTA],$B166)</f>
        <v>-16854.34</v>
      </c>
      <c r="AK166" s="78">
        <f t="shared" ca="1" si="110"/>
        <v>-1.2999999999999999E-3</v>
      </c>
      <c r="AL166" s="78">
        <f t="shared" ca="1" si="111"/>
        <v>0</v>
      </c>
    </row>
    <row r="167" spans="2:38" ht="15" hidden="1" customHeight="1" outlineLevel="1" x14ac:dyDescent="0.3">
      <c r="B167" s="14" t="s">
        <v>526</v>
      </c>
      <c r="C167" s="14" t="s">
        <v>527</v>
      </c>
      <c r="D167" s="4">
        <f ca="1">-SUMIFS(INDIRECT("Tab_00.Trial["&amp;D$4&amp;"]"),Tab_00.Trial[CONTA],$B167)</f>
        <v>0</v>
      </c>
      <c r="E167" s="78">
        <f t="shared" ca="1" si="130"/>
        <v>0</v>
      </c>
      <c r="F167" s="4">
        <f ca="1">-SUMIFS(INDIRECT("Tab_00.Trial["&amp;F$4&amp;"]"),Tab_00.Trial[CONTA],$B167)</f>
        <v>0</v>
      </c>
      <c r="G167" s="78">
        <f t="shared" ca="1" si="91"/>
        <v>0</v>
      </c>
      <c r="H167" s="78">
        <f t="shared" ca="1" si="131"/>
        <v>0</v>
      </c>
      <c r="I167" s="4">
        <f ca="1">-SUMIFS(INDIRECT("Tab_00.Trial["&amp;I$4&amp;"]"),Tab_00.Trial[CONTA],$B167)</f>
        <v>0</v>
      </c>
      <c r="J167" s="78">
        <f t="shared" ca="1" si="92"/>
        <v>0</v>
      </c>
      <c r="K167" s="78">
        <f t="shared" ca="1" si="93"/>
        <v>0</v>
      </c>
      <c r="L167" s="4">
        <f ca="1">-SUMIFS(INDIRECT("Tab_00.Trial["&amp;L$4&amp;"]"),Tab_00.Trial[CONTA],$B167)</f>
        <v>0</v>
      </c>
      <c r="M167" s="78">
        <f t="shared" ca="1" si="94"/>
        <v>0</v>
      </c>
      <c r="N167" s="78">
        <f t="shared" ca="1" si="95"/>
        <v>0</v>
      </c>
      <c r="O167" s="4">
        <f ca="1">-SUMIFS(INDIRECT("Tab_00.Trial["&amp;O$4&amp;"]"),Tab_00.Trial[CONTA],$B167)</f>
        <v>0</v>
      </c>
      <c r="P167" s="78">
        <f t="shared" ca="1" si="132"/>
        <v>0</v>
      </c>
      <c r="Q167" s="78">
        <f t="shared" ca="1" si="133"/>
        <v>0</v>
      </c>
      <c r="R167" s="4">
        <f ca="1">-SUMIFS(INDIRECT("Tab_00.Trial["&amp;R$4&amp;"]"),Tab_00.Trial[CONTA],$B167)</f>
        <v>0</v>
      </c>
      <c r="S167" s="78">
        <f t="shared" ca="1" si="98"/>
        <v>0</v>
      </c>
      <c r="T167" s="78">
        <f t="shared" ca="1" si="99"/>
        <v>0</v>
      </c>
      <c r="U167" s="4">
        <f ca="1">-SUMIFS(INDIRECT("Tab_00.Trial["&amp;U$4&amp;"]"),Tab_00.Trial[CONTA],$B167)</f>
        <v>0</v>
      </c>
      <c r="V167" s="78">
        <f t="shared" ca="1" si="100"/>
        <v>0</v>
      </c>
      <c r="W167" s="78">
        <f t="shared" ca="1" si="101"/>
        <v>0</v>
      </c>
      <c r="X167" s="4">
        <f ca="1">-SUMIFS(INDIRECT("Tab_00.Trial["&amp;X$4&amp;"]"),Tab_00.Trial[CONTA],$B167)</f>
        <v>0</v>
      </c>
      <c r="Y167" s="78">
        <f t="shared" ca="1" si="134"/>
        <v>0</v>
      </c>
      <c r="Z167" s="78">
        <f t="shared" ca="1" si="135"/>
        <v>0</v>
      </c>
      <c r="AA167" s="4">
        <f ca="1">-SUMIFS(INDIRECT("Tab_00.Trial["&amp;AA$4&amp;"]"),Tab_00.Trial[CONTA],$B167)</f>
        <v>0</v>
      </c>
      <c r="AB167" s="78">
        <f t="shared" ca="1" si="104"/>
        <v>0</v>
      </c>
      <c r="AC167" s="78">
        <f t="shared" ca="1" si="105"/>
        <v>0</v>
      </c>
      <c r="AD167" s="4">
        <f ca="1">-SUMIFS(INDIRECT("Tab_00.Trial["&amp;AD$4&amp;"]"),Tab_00.Trial[CONTA],$B167)</f>
        <v>0</v>
      </c>
      <c r="AE167" s="78">
        <f t="shared" ca="1" si="106"/>
        <v>0</v>
      </c>
      <c r="AF167" s="78">
        <f t="shared" ca="1" si="107"/>
        <v>0</v>
      </c>
      <c r="AG167" s="4">
        <f ca="1">-SUMIFS(INDIRECT("Tab_00.Trial["&amp;AG$4&amp;"]"),Tab_00.Trial[CONTA],$B167)</f>
        <v>0</v>
      </c>
      <c r="AH167" s="78">
        <f t="shared" ca="1" si="108"/>
        <v>0</v>
      </c>
      <c r="AI167" s="78">
        <f t="shared" ca="1" si="109"/>
        <v>0</v>
      </c>
      <c r="AJ167" s="4">
        <f ca="1">-SUMIFS(INDIRECT("Tab_00.Trial["&amp;AJ$4&amp;"]"),Tab_00.Trial[CONTA],$B167)</f>
        <v>0</v>
      </c>
      <c r="AK167" s="78">
        <f t="shared" ca="1" si="110"/>
        <v>0</v>
      </c>
      <c r="AL167" s="78">
        <f t="shared" ca="1" si="111"/>
        <v>0</v>
      </c>
    </row>
    <row r="168" spans="2:38" ht="15" hidden="1" customHeight="1" outlineLevel="1" x14ac:dyDescent="0.3">
      <c r="B168" s="14"/>
      <c r="C168" s="14"/>
      <c r="D168" s="4">
        <f ca="1">-SUMIFS(INDIRECT("Tab_00.Trial["&amp;D$4&amp;"]"),Tab_00.Trial[CONTA],$B168)</f>
        <v>0</v>
      </c>
      <c r="E168" s="78">
        <f t="shared" ca="1" si="130"/>
        <v>0</v>
      </c>
      <c r="F168" s="4">
        <f ca="1">-SUMIFS(INDIRECT("Tab_00.Trial["&amp;F$4&amp;"]"),Tab_00.Trial[CONTA],$B168)</f>
        <v>0</v>
      </c>
      <c r="G168" s="78">
        <f t="shared" ca="1" si="91"/>
        <v>0</v>
      </c>
      <c r="H168" s="78">
        <f t="shared" ca="1" si="131"/>
        <v>0</v>
      </c>
      <c r="I168" s="4">
        <f ca="1">-SUMIFS(INDIRECT("Tab_00.Trial["&amp;I$4&amp;"]"),Tab_00.Trial[CONTA],$B168)</f>
        <v>0</v>
      </c>
      <c r="J168" s="78">
        <f t="shared" ca="1" si="92"/>
        <v>0</v>
      </c>
      <c r="K168" s="78">
        <f t="shared" ca="1" si="93"/>
        <v>0</v>
      </c>
      <c r="L168" s="4">
        <f ca="1">-SUMIFS(INDIRECT("Tab_00.Trial["&amp;L$4&amp;"]"),Tab_00.Trial[CONTA],$B168)</f>
        <v>0</v>
      </c>
      <c r="M168" s="78">
        <f t="shared" ca="1" si="94"/>
        <v>0</v>
      </c>
      <c r="N168" s="78">
        <f t="shared" ca="1" si="95"/>
        <v>0</v>
      </c>
      <c r="O168" s="4">
        <f ca="1">-SUMIFS(INDIRECT("Tab_00.Trial["&amp;O$4&amp;"]"),Tab_00.Trial[CONTA],$B168)</f>
        <v>0</v>
      </c>
      <c r="P168" s="78">
        <f t="shared" ca="1" si="132"/>
        <v>0</v>
      </c>
      <c r="Q168" s="78">
        <f t="shared" ca="1" si="133"/>
        <v>0</v>
      </c>
      <c r="R168" s="4">
        <f ca="1">-SUMIFS(INDIRECT("Tab_00.Trial["&amp;R$4&amp;"]"),Tab_00.Trial[CONTA],$B168)</f>
        <v>0</v>
      </c>
      <c r="S168" s="78">
        <f t="shared" ca="1" si="98"/>
        <v>0</v>
      </c>
      <c r="T168" s="78">
        <f t="shared" ca="1" si="99"/>
        <v>0</v>
      </c>
      <c r="U168" s="4">
        <f ca="1">-SUMIFS(INDIRECT("Tab_00.Trial["&amp;U$4&amp;"]"),Tab_00.Trial[CONTA],$B168)</f>
        <v>0</v>
      </c>
      <c r="V168" s="78">
        <f t="shared" ca="1" si="100"/>
        <v>0</v>
      </c>
      <c r="W168" s="78">
        <f t="shared" ca="1" si="101"/>
        <v>0</v>
      </c>
      <c r="X168" s="4">
        <f ca="1">-SUMIFS(INDIRECT("Tab_00.Trial["&amp;X$4&amp;"]"),Tab_00.Trial[CONTA],$B168)</f>
        <v>0</v>
      </c>
      <c r="Y168" s="78">
        <f t="shared" ca="1" si="134"/>
        <v>0</v>
      </c>
      <c r="Z168" s="78">
        <f t="shared" ca="1" si="135"/>
        <v>0</v>
      </c>
      <c r="AA168" s="4">
        <f ca="1">-SUMIFS(INDIRECT("Tab_00.Trial["&amp;AA$4&amp;"]"),Tab_00.Trial[CONTA],$B168)</f>
        <v>0</v>
      </c>
      <c r="AB168" s="78">
        <f t="shared" ca="1" si="104"/>
        <v>0</v>
      </c>
      <c r="AC168" s="78">
        <f t="shared" ca="1" si="105"/>
        <v>0</v>
      </c>
      <c r="AD168" s="4">
        <f ca="1">-SUMIFS(INDIRECT("Tab_00.Trial["&amp;AD$4&amp;"]"),Tab_00.Trial[CONTA],$B168)</f>
        <v>0</v>
      </c>
      <c r="AE168" s="78">
        <f t="shared" ca="1" si="106"/>
        <v>0</v>
      </c>
      <c r="AF168" s="78">
        <f t="shared" ca="1" si="107"/>
        <v>0</v>
      </c>
      <c r="AG168" s="4">
        <f ca="1">-SUMIFS(INDIRECT("Tab_00.Trial["&amp;AG$4&amp;"]"),Tab_00.Trial[CONTA],$B168)</f>
        <v>0</v>
      </c>
      <c r="AH168" s="78">
        <f t="shared" ca="1" si="108"/>
        <v>0</v>
      </c>
      <c r="AI168" s="78">
        <f t="shared" ca="1" si="109"/>
        <v>0</v>
      </c>
      <c r="AJ168" s="4">
        <f ca="1">-SUMIFS(INDIRECT("Tab_00.Trial["&amp;AJ$4&amp;"]"),Tab_00.Trial[CONTA],$B168)</f>
        <v>0</v>
      </c>
      <c r="AK168" s="78">
        <f t="shared" ca="1" si="110"/>
        <v>0</v>
      </c>
      <c r="AL168" s="78">
        <f t="shared" ca="1" si="111"/>
        <v>0</v>
      </c>
    </row>
    <row r="169" spans="2:38" ht="15" hidden="1" customHeight="1" outlineLevel="1" x14ac:dyDescent="0.3">
      <c r="B169" s="14"/>
      <c r="C169" s="14"/>
      <c r="D169" s="4">
        <f ca="1">-SUMIFS(INDIRECT("Tab_00.Trial["&amp;D$4&amp;"]"),Tab_00.Trial[CONTA],$B169)</f>
        <v>0</v>
      </c>
      <c r="E169" s="78">
        <f t="shared" ca="1" si="130"/>
        <v>0</v>
      </c>
      <c r="F169" s="4">
        <f ca="1">-SUMIFS(INDIRECT("Tab_00.Trial["&amp;F$4&amp;"]"),Tab_00.Trial[CONTA],$B169)</f>
        <v>0</v>
      </c>
      <c r="G169" s="78">
        <f t="shared" ca="1" si="91"/>
        <v>0</v>
      </c>
      <c r="H169" s="78">
        <f t="shared" ca="1" si="131"/>
        <v>0</v>
      </c>
      <c r="I169" s="4">
        <f ca="1">-SUMIFS(INDIRECT("Tab_00.Trial["&amp;I$4&amp;"]"),Tab_00.Trial[CONTA],$B169)</f>
        <v>0</v>
      </c>
      <c r="J169" s="78">
        <f t="shared" ca="1" si="92"/>
        <v>0</v>
      </c>
      <c r="K169" s="78">
        <f t="shared" ca="1" si="93"/>
        <v>0</v>
      </c>
      <c r="L169" s="4">
        <f ca="1">-SUMIFS(INDIRECT("Tab_00.Trial["&amp;L$4&amp;"]"),Tab_00.Trial[CONTA],$B169)</f>
        <v>0</v>
      </c>
      <c r="M169" s="78">
        <f t="shared" ca="1" si="94"/>
        <v>0</v>
      </c>
      <c r="N169" s="78">
        <f t="shared" ca="1" si="95"/>
        <v>0</v>
      </c>
      <c r="O169" s="4">
        <f ca="1">-SUMIFS(INDIRECT("Tab_00.Trial["&amp;O$4&amp;"]"),Tab_00.Trial[CONTA],$B169)</f>
        <v>0</v>
      </c>
      <c r="P169" s="78">
        <f t="shared" ca="1" si="132"/>
        <v>0</v>
      </c>
      <c r="Q169" s="78">
        <f t="shared" ca="1" si="133"/>
        <v>0</v>
      </c>
      <c r="R169" s="4">
        <f ca="1">-SUMIFS(INDIRECT("Tab_00.Trial["&amp;R$4&amp;"]"),Tab_00.Trial[CONTA],$B169)</f>
        <v>0</v>
      </c>
      <c r="S169" s="78">
        <f t="shared" ca="1" si="98"/>
        <v>0</v>
      </c>
      <c r="T169" s="78">
        <f t="shared" ca="1" si="99"/>
        <v>0</v>
      </c>
      <c r="U169" s="4">
        <f ca="1">-SUMIFS(INDIRECT("Tab_00.Trial["&amp;U$4&amp;"]"),Tab_00.Trial[CONTA],$B169)</f>
        <v>0</v>
      </c>
      <c r="V169" s="78">
        <f t="shared" ca="1" si="100"/>
        <v>0</v>
      </c>
      <c r="W169" s="78">
        <f t="shared" ca="1" si="101"/>
        <v>0</v>
      </c>
      <c r="X169" s="4">
        <f ca="1">-SUMIFS(INDIRECT("Tab_00.Trial["&amp;X$4&amp;"]"),Tab_00.Trial[CONTA],$B169)</f>
        <v>0</v>
      </c>
      <c r="Y169" s="78">
        <f t="shared" ca="1" si="134"/>
        <v>0</v>
      </c>
      <c r="Z169" s="78">
        <f t="shared" ca="1" si="135"/>
        <v>0</v>
      </c>
      <c r="AA169" s="4">
        <f ca="1">-SUMIFS(INDIRECT("Tab_00.Trial["&amp;AA$4&amp;"]"),Tab_00.Trial[CONTA],$B169)</f>
        <v>0</v>
      </c>
      <c r="AB169" s="78">
        <f t="shared" ca="1" si="104"/>
        <v>0</v>
      </c>
      <c r="AC169" s="78">
        <f t="shared" ca="1" si="105"/>
        <v>0</v>
      </c>
      <c r="AD169" s="4">
        <f ca="1">-SUMIFS(INDIRECT("Tab_00.Trial["&amp;AD$4&amp;"]"),Tab_00.Trial[CONTA],$B169)</f>
        <v>0</v>
      </c>
      <c r="AE169" s="78">
        <f t="shared" ca="1" si="106"/>
        <v>0</v>
      </c>
      <c r="AF169" s="78">
        <f t="shared" ca="1" si="107"/>
        <v>0</v>
      </c>
      <c r="AG169" s="4">
        <f ca="1">-SUMIFS(INDIRECT("Tab_00.Trial["&amp;AG$4&amp;"]"),Tab_00.Trial[CONTA],$B169)</f>
        <v>0</v>
      </c>
      <c r="AH169" s="78">
        <f t="shared" ca="1" si="108"/>
        <v>0</v>
      </c>
      <c r="AI169" s="78">
        <f t="shared" ca="1" si="109"/>
        <v>0</v>
      </c>
      <c r="AJ169" s="4">
        <f ca="1">-SUMIFS(INDIRECT("Tab_00.Trial["&amp;AJ$4&amp;"]"),Tab_00.Trial[CONTA],$B169)</f>
        <v>0</v>
      </c>
      <c r="AK169" s="78">
        <f t="shared" ca="1" si="110"/>
        <v>0</v>
      </c>
      <c r="AL169" s="78">
        <f t="shared" ca="1" si="111"/>
        <v>0</v>
      </c>
    </row>
    <row r="170" spans="2:38" ht="15" hidden="1" customHeight="1" outlineLevel="1" x14ac:dyDescent="0.3">
      <c r="B170" s="14"/>
      <c r="C170" s="14"/>
      <c r="D170" s="4">
        <f ca="1">-SUMIFS(INDIRECT("Tab_00.Trial["&amp;D$4&amp;"]"),Tab_00.Trial[CONTA],$B170)</f>
        <v>0</v>
      </c>
      <c r="E170" s="78">
        <f t="shared" ca="1" si="130"/>
        <v>0</v>
      </c>
      <c r="F170" s="4">
        <f ca="1">-SUMIFS(INDIRECT("Tab_00.Trial["&amp;F$4&amp;"]"),Tab_00.Trial[CONTA],$B170)</f>
        <v>0</v>
      </c>
      <c r="G170" s="78">
        <f t="shared" ca="1" si="91"/>
        <v>0</v>
      </c>
      <c r="H170" s="78">
        <f t="shared" ca="1" si="131"/>
        <v>0</v>
      </c>
      <c r="I170" s="4">
        <f ca="1">-SUMIFS(INDIRECT("Tab_00.Trial["&amp;I$4&amp;"]"),Tab_00.Trial[CONTA],$B170)</f>
        <v>0</v>
      </c>
      <c r="J170" s="78">
        <f t="shared" ca="1" si="92"/>
        <v>0</v>
      </c>
      <c r="K170" s="78">
        <f t="shared" ca="1" si="93"/>
        <v>0</v>
      </c>
      <c r="L170" s="4">
        <f ca="1">-SUMIFS(INDIRECT("Tab_00.Trial["&amp;L$4&amp;"]"),Tab_00.Trial[CONTA],$B170)</f>
        <v>0</v>
      </c>
      <c r="M170" s="78">
        <f t="shared" ca="1" si="94"/>
        <v>0</v>
      </c>
      <c r="N170" s="78">
        <f t="shared" ca="1" si="95"/>
        <v>0</v>
      </c>
      <c r="O170" s="4">
        <f ca="1">-SUMIFS(INDIRECT("Tab_00.Trial["&amp;O$4&amp;"]"),Tab_00.Trial[CONTA],$B170)</f>
        <v>0</v>
      </c>
      <c r="P170" s="78">
        <f t="shared" ca="1" si="132"/>
        <v>0</v>
      </c>
      <c r="Q170" s="78">
        <f t="shared" ca="1" si="133"/>
        <v>0</v>
      </c>
      <c r="R170" s="4">
        <f ca="1">-SUMIFS(INDIRECT("Tab_00.Trial["&amp;R$4&amp;"]"),Tab_00.Trial[CONTA],$B170)</f>
        <v>0</v>
      </c>
      <c r="S170" s="78">
        <f t="shared" ca="1" si="98"/>
        <v>0</v>
      </c>
      <c r="T170" s="78">
        <f t="shared" ca="1" si="99"/>
        <v>0</v>
      </c>
      <c r="U170" s="4">
        <f ca="1">-SUMIFS(INDIRECT("Tab_00.Trial["&amp;U$4&amp;"]"),Tab_00.Trial[CONTA],$B170)</f>
        <v>0</v>
      </c>
      <c r="V170" s="78">
        <f t="shared" ca="1" si="100"/>
        <v>0</v>
      </c>
      <c r="W170" s="78">
        <f t="shared" ca="1" si="101"/>
        <v>0</v>
      </c>
      <c r="X170" s="4">
        <f ca="1">-SUMIFS(INDIRECT("Tab_00.Trial["&amp;X$4&amp;"]"),Tab_00.Trial[CONTA],$B170)</f>
        <v>0</v>
      </c>
      <c r="Y170" s="78">
        <f t="shared" ca="1" si="134"/>
        <v>0</v>
      </c>
      <c r="Z170" s="78">
        <f t="shared" ca="1" si="135"/>
        <v>0</v>
      </c>
      <c r="AA170" s="4">
        <f ca="1">-SUMIFS(INDIRECT("Tab_00.Trial["&amp;AA$4&amp;"]"),Tab_00.Trial[CONTA],$B170)</f>
        <v>0</v>
      </c>
      <c r="AB170" s="78">
        <f t="shared" ca="1" si="104"/>
        <v>0</v>
      </c>
      <c r="AC170" s="78">
        <f t="shared" ca="1" si="105"/>
        <v>0</v>
      </c>
      <c r="AD170" s="4">
        <f ca="1">-SUMIFS(INDIRECT("Tab_00.Trial["&amp;AD$4&amp;"]"),Tab_00.Trial[CONTA],$B170)</f>
        <v>0</v>
      </c>
      <c r="AE170" s="78">
        <f t="shared" ca="1" si="106"/>
        <v>0</v>
      </c>
      <c r="AF170" s="78">
        <f t="shared" ca="1" si="107"/>
        <v>0</v>
      </c>
      <c r="AG170" s="4">
        <f ca="1">-SUMIFS(INDIRECT("Tab_00.Trial["&amp;AG$4&amp;"]"),Tab_00.Trial[CONTA],$B170)</f>
        <v>0</v>
      </c>
      <c r="AH170" s="78">
        <f t="shared" ca="1" si="108"/>
        <v>0</v>
      </c>
      <c r="AI170" s="78">
        <f t="shared" ca="1" si="109"/>
        <v>0</v>
      </c>
      <c r="AJ170" s="4">
        <f ca="1">-SUMIFS(INDIRECT("Tab_00.Trial["&amp;AJ$4&amp;"]"),Tab_00.Trial[CONTA],$B170)</f>
        <v>0</v>
      </c>
      <c r="AK170" s="78">
        <f t="shared" ca="1" si="110"/>
        <v>0</v>
      </c>
      <c r="AL170" s="78">
        <f t="shared" ca="1" si="111"/>
        <v>0</v>
      </c>
    </row>
    <row r="171" spans="2:38" ht="5.0999999999999996" hidden="1" customHeight="1" outlineLevel="1" x14ac:dyDescent="0.3">
      <c r="B171" s="74"/>
      <c r="C171" s="75"/>
      <c r="D171" s="76"/>
      <c r="E171" s="77"/>
      <c r="F171" s="76"/>
      <c r="G171" s="77"/>
      <c r="H171" s="77"/>
      <c r="I171" s="76"/>
      <c r="J171" s="77"/>
      <c r="K171" s="77"/>
      <c r="L171" s="76"/>
      <c r="M171" s="77"/>
      <c r="N171" s="77"/>
      <c r="O171" s="76"/>
      <c r="P171" s="77"/>
      <c r="Q171" s="77"/>
      <c r="R171" s="76"/>
      <c r="S171" s="77"/>
      <c r="T171" s="77"/>
      <c r="U171" s="76"/>
      <c r="V171" s="77"/>
      <c r="W171" s="77"/>
      <c r="X171" s="76"/>
      <c r="Y171" s="77"/>
      <c r="Z171" s="77"/>
      <c r="AA171" s="76"/>
      <c r="AB171" s="77"/>
      <c r="AC171" s="77"/>
      <c r="AD171" s="76"/>
      <c r="AE171" s="77"/>
      <c r="AF171" s="77"/>
      <c r="AG171" s="76"/>
      <c r="AH171" s="77"/>
      <c r="AI171" s="77"/>
      <c r="AJ171" s="76"/>
      <c r="AK171" s="77"/>
      <c r="AL171" s="77"/>
    </row>
    <row r="172" spans="2:38" ht="15" customHeight="1" collapsed="1" x14ac:dyDescent="0.3">
      <c r="B172" s="3" t="s">
        <v>109</v>
      </c>
      <c r="C172" s="3" t="s">
        <v>150</v>
      </c>
      <c r="D172" s="4">
        <f ca="1">SUBTOTAL(9,D$173:D$180)</f>
        <v>-5364.1</v>
      </c>
      <c r="E172" s="78">
        <f t="shared" ref="E172:E179" ca="1" si="136">IFERROR($D172/$D$6,0)</f>
        <v>-5.7000000000000002E-3</v>
      </c>
      <c r="F172" s="4">
        <f ca="1">SUBTOTAL(9,F$173:F$180)</f>
        <v>-5364.1</v>
      </c>
      <c r="G172" s="78">
        <f ca="1">IFERROR($F172/$F$6,0)</f>
        <v>-3.7000000000000002E-3</v>
      </c>
      <c r="H172" s="78">
        <f t="shared" ref="H172:H179" ca="1" si="137">IFERROR(($F172-$D172)/ABS($D172),0)</f>
        <v>0</v>
      </c>
      <c r="I172" s="4">
        <f ca="1">SUBTOTAL(9,I$173:I$180)</f>
        <v>-14280.89</v>
      </c>
      <c r="J172" s="78">
        <f ca="1">IFERROR($I172/$I$6,0)</f>
        <v>-4.8999999999999998E-3</v>
      </c>
      <c r="K172" s="78">
        <f ca="1">IFERROR(($I172-$F172)/ABS($F172),0)</f>
        <v>-1.6623000000000001</v>
      </c>
      <c r="L172" s="4">
        <f ca="1">SUBTOTAL(9,L$173:L$180)</f>
        <v>-17947.939999999999</v>
      </c>
      <c r="M172" s="78">
        <f ca="1">IFERROR($L172/$L$6,0)</f>
        <v>-4.5999999999999999E-3</v>
      </c>
      <c r="N172" s="78">
        <f ca="1">IFERROR(($L172-$I172)/ABS($I172),0)</f>
        <v>-0.25679999999999997</v>
      </c>
      <c r="O172" s="4">
        <f ca="1">SUBTOTAL(9,O$173:O$180)</f>
        <v>-21614.99</v>
      </c>
      <c r="P172" s="78">
        <f ca="1">IFERROR($O172/$O$6,0)</f>
        <v>-4.1999999999999997E-3</v>
      </c>
      <c r="Q172" s="78">
        <f ca="1">IFERROR(($O172-$L172)/ABS($L172),0)</f>
        <v>-0.20430000000000001</v>
      </c>
      <c r="R172" s="4">
        <f ca="1">SUBTOTAL(9,R$173:R$180)</f>
        <v>-28948.49</v>
      </c>
      <c r="S172" s="78">
        <f ca="1">IFERROR($R172/$R$6,0)</f>
        <v>-4.0000000000000001E-3</v>
      </c>
      <c r="T172" s="78">
        <f ca="1">IFERROR(($R172-$O172)/ABS($O172),0)</f>
        <v>-0.33929999999999999</v>
      </c>
      <c r="U172" s="4">
        <f ca="1">SUBTOTAL(9,U$173:U$180)</f>
        <v>-28948.49</v>
      </c>
      <c r="V172" s="78">
        <f ca="1">IFERROR($U172/$U$6,0)</f>
        <v>-4.0000000000000001E-3</v>
      </c>
      <c r="W172" s="78">
        <f ca="1">IFERROR(($U172-$R172)/ABS($R172),0)</f>
        <v>0</v>
      </c>
      <c r="X172" s="4">
        <f ca="1">SUBTOTAL(9,X$173:X$180)</f>
        <v>-28948.49</v>
      </c>
      <c r="Y172" s="78">
        <f ca="1">IFERROR($X172/$X$6,0)</f>
        <v>-4.0000000000000001E-3</v>
      </c>
      <c r="Z172" s="78">
        <f ca="1">IFERROR(($X172-$U172)/ABS($U172),0)</f>
        <v>0</v>
      </c>
      <c r="AA172" s="4">
        <f ca="1">SUBTOTAL(9,AA$173:AA$180)</f>
        <v>-36281.99</v>
      </c>
      <c r="AB172" s="78">
        <f ca="1">IFERROR($AA172/$AA$6,0)</f>
        <v>-3.8999999999999998E-3</v>
      </c>
      <c r="AC172" s="78">
        <f ca="1">IFERROR(($AA172-$X172)/ABS($X172),0)</f>
        <v>-0.25330000000000003</v>
      </c>
      <c r="AD172" s="4">
        <f ca="1">SUBTOTAL(9,AD$173:AD$180)</f>
        <v>-39948.74</v>
      </c>
      <c r="AE172" s="78">
        <f ca="1">IFERROR($AD172/$AD$6,0)</f>
        <v>-3.8E-3</v>
      </c>
      <c r="AF172" s="78">
        <f ca="1">IFERROR(($AD172-$AA172)/ABS($AA172),0)</f>
        <v>-0.1011</v>
      </c>
      <c r="AG172" s="4">
        <f ca="1">SUBTOTAL(9,AG$173:AG$180)</f>
        <v>-43615.49</v>
      </c>
      <c r="AH172" s="78">
        <f ca="1">IFERROR($AG172/$AG$6,0)</f>
        <v>-3.8999999999999998E-3</v>
      </c>
      <c r="AI172" s="78">
        <f ca="1">IFERROR(($AG172-$AD172)/ABS($AD172),0)</f>
        <v>-9.1800000000000007E-2</v>
      </c>
      <c r="AJ172" s="4">
        <f ca="1">SUBTOTAL(9,AJ$173:AJ$180)</f>
        <v>-47282.239999999998</v>
      </c>
      <c r="AK172" s="78">
        <f ca="1">IFERROR($AJ172/$AJ$6,0)</f>
        <v>-3.7000000000000002E-3</v>
      </c>
      <c r="AL172" s="78">
        <f ca="1">IFERROR(($AJ172-$AG172)/ABS($AG172),0)</f>
        <v>-8.4099999999999994E-2</v>
      </c>
    </row>
    <row r="173" spans="2:38" ht="15" hidden="1" customHeight="1" outlineLevel="1" x14ac:dyDescent="0.3">
      <c r="B173" s="14" t="s">
        <v>520</v>
      </c>
      <c r="C173" s="14" t="s">
        <v>521</v>
      </c>
      <c r="D173" s="4">
        <f ca="1">-SUMIFS(INDIRECT("Tab_00.Trial["&amp;D$4&amp;"]"),Tab_00.Trial[CONTA],$B173)</f>
        <v>-5364.1</v>
      </c>
      <c r="E173" s="78">
        <f t="shared" ca="1" si="136"/>
        <v>-5.7000000000000002E-3</v>
      </c>
      <c r="F173" s="4">
        <f ca="1">-SUMIFS(INDIRECT("Tab_00.Trial["&amp;F$4&amp;"]"),Tab_00.Trial[CONTA],$B173)</f>
        <v>-5364.1</v>
      </c>
      <c r="G173" s="78">
        <f t="shared" ca="1" si="91"/>
        <v>-3.7000000000000002E-3</v>
      </c>
      <c r="H173" s="78">
        <f t="shared" ca="1" si="137"/>
        <v>0</v>
      </c>
      <c r="I173" s="4">
        <f ca="1">-SUMIFS(INDIRECT("Tab_00.Trial["&amp;I$4&amp;"]"),Tab_00.Trial[CONTA],$B173)</f>
        <v>-14280.89</v>
      </c>
      <c r="J173" s="78">
        <f t="shared" ca="1" si="92"/>
        <v>-4.8999999999999998E-3</v>
      </c>
      <c r="K173" s="78">
        <f t="shared" ca="1" si="93"/>
        <v>-1.6623000000000001</v>
      </c>
      <c r="L173" s="4">
        <f ca="1">-SUMIFS(INDIRECT("Tab_00.Trial["&amp;L$4&amp;"]"),Tab_00.Trial[CONTA],$B173)</f>
        <v>-17947.939999999999</v>
      </c>
      <c r="M173" s="78">
        <f t="shared" ca="1" si="94"/>
        <v>-4.5999999999999999E-3</v>
      </c>
      <c r="N173" s="78">
        <f t="shared" ca="1" si="95"/>
        <v>-0.25679999999999997</v>
      </c>
      <c r="O173" s="4">
        <f ca="1">-SUMIFS(INDIRECT("Tab_00.Trial["&amp;O$4&amp;"]"),Tab_00.Trial[CONTA],$B173)</f>
        <v>-21614.99</v>
      </c>
      <c r="P173" s="78">
        <f t="shared" ref="P173:P179" ca="1" si="138">IFERROR($O173/$O$6,0)</f>
        <v>-4.1999999999999997E-3</v>
      </c>
      <c r="Q173" s="78">
        <f t="shared" ref="Q173:Q179" ca="1" si="139">IFERROR(($O173-$L173)/ABS($L173),0)</f>
        <v>-0.20430000000000001</v>
      </c>
      <c r="R173" s="4">
        <f ca="1">-SUMIFS(INDIRECT("Tab_00.Trial["&amp;R$4&amp;"]"),Tab_00.Trial[CONTA],$B173)</f>
        <v>-28948.49</v>
      </c>
      <c r="S173" s="78">
        <f t="shared" ca="1" si="98"/>
        <v>-4.0000000000000001E-3</v>
      </c>
      <c r="T173" s="78">
        <f t="shared" ca="1" si="99"/>
        <v>-0.33929999999999999</v>
      </c>
      <c r="U173" s="4">
        <f ca="1">-SUMIFS(INDIRECT("Tab_00.Trial["&amp;U$4&amp;"]"),Tab_00.Trial[CONTA],$B173)</f>
        <v>-28948.49</v>
      </c>
      <c r="V173" s="78">
        <f t="shared" ca="1" si="100"/>
        <v>-4.0000000000000001E-3</v>
      </c>
      <c r="W173" s="78">
        <f t="shared" ca="1" si="101"/>
        <v>0</v>
      </c>
      <c r="X173" s="4">
        <f ca="1">-SUMIFS(INDIRECT("Tab_00.Trial["&amp;X$4&amp;"]"),Tab_00.Trial[CONTA],$B173)</f>
        <v>-28948.49</v>
      </c>
      <c r="Y173" s="78">
        <f t="shared" ref="Y173:Y179" ca="1" si="140">IFERROR($X173/$X$6,0)</f>
        <v>-4.0000000000000001E-3</v>
      </c>
      <c r="Z173" s="78">
        <f t="shared" ref="Z173:Z179" ca="1" si="141">IFERROR(($X173-$U173)/ABS($U173),0)</f>
        <v>0</v>
      </c>
      <c r="AA173" s="4">
        <f ca="1">-SUMIFS(INDIRECT("Tab_00.Trial["&amp;AA$4&amp;"]"),Tab_00.Trial[CONTA],$B173)</f>
        <v>-36281.99</v>
      </c>
      <c r="AB173" s="78">
        <f t="shared" ca="1" si="104"/>
        <v>-3.8999999999999998E-3</v>
      </c>
      <c r="AC173" s="78">
        <f t="shared" ca="1" si="105"/>
        <v>-0.25330000000000003</v>
      </c>
      <c r="AD173" s="4">
        <f ca="1">-SUMIFS(INDIRECT("Tab_00.Trial["&amp;AD$4&amp;"]"),Tab_00.Trial[CONTA],$B173)</f>
        <v>-39948.74</v>
      </c>
      <c r="AE173" s="78">
        <f t="shared" ca="1" si="106"/>
        <v>-3.8E-3</v>
      </c>
      <c r="AF173" s="78">
        <f t="shared" ca="1" si="107"/>
        <v>-0.1011</v>
      </c>
      <c r="AG173" s="4">
        <f ca="1">-SUMIFS(INDIRECT("Tab_00.Trial["&amp;AG$4&amp;"]"),Tab_00.Trial[CONTA],$B173)</f>
        <v>-43615.49</v>
      </c>
      <c r="AH173" s="78">
        <f t="shared" ca="1" si="108"/>
        <v>-3.8999999999999998E-3</v>
      </c>
      <c r="AI173" s="78">
        <f t="shared" ca="1" si="109"/>
        <v>-9.1800000000000007E-2</v>
      </c>
      <c r="AJ173" s="4">
        <f ca="1">-SUMIFS(INDIRECT("Tab_00.Trial["&amp;AJ$4&amp;"]"),Tab_00.Trial[CONTA],$B173)</f>
        <v>-47282.239999999998</v>
      </c>
      <c r="AK173" s="78">
        <f t="shared" ca="1" si="110"/>
        <v>-3.7000000000000002E-3</v>
      </c>
      <c r="AL173" s="78">
        <f t="shared" ca="1" si="111"/>
        <v>-8.4099999999999994E-2</v>
      </c>
    </row>
    <row r="174" spans="2:38" ht="15" hidden="1" customHeight="1" outlineLevel="1" x14ac:dyDescent="0.3">
      <c r="B174" s="14"/>
      <c r="C174" s="14"/>
      <c r="D174" s="4">
        <f ca="1">-SUMIFS(INDIRECT("Tab_00.Trial["&amp;D$4&amp;"]"),Tab_00.Trial[CONTA],$B174)</f>
        <v>0</v>
      </c>
      <c r="E174" s="78">
        <f t="shared" ca="1" si="136"/>
        <v>0</v>
      </c>
      <c r="F174" s="4">
        <f ca="1">-SUMIFS(INDIRECT("Tab_00.Trial["&amp;F$4&amp;"]"),Tab_00.Trial[CONTA],$B174)</f>
        <v>0</v>
      </c>
      <c r="G174" s="78">
        <f t="shared" ca="1" si="91"/>
        <v>0</v>
      </c>
      <c r="H174" s="78">
        <f t="shared" ca="1" si="137"/>
        <v>0</v>
      </c>
      <c r="I174" s="4">
        <f ca="1">-SUMIFS(INDIRECT("Tab_00.Trial["&amp;I$4&amp;"]"),Tab_00.Trial[CONTA],$B174)</f>
        <v>0</v>
      </c>
      <c r="J174" s="78">
        <f t="shared" ca="1" si="92"/>
        <v>0</v>
      </c>
      <c r="K174" s="78">
        <f t="shared" ca="1" si="93"/>
        <v>0</v>
      </c>
      <c r="L174" s="4">
        <f ca="1">-SUMIFS(INDIRECT("Tab_00.Trial["&amp;L$4&amp;"]"),Tab_00.Trial[CONTA],$B174)</f>
        <v>0</v>
      </c>
      <c r="M174" s="78">
        <f t="shared" ca="1" si="94"/>
        <v>0</v>
      </c>
      <c r="N174" s="78">
        <f t="shared" ca="1" si="95"/>
        <v>0</v>
      </c>
      <c r="O174" s="4">
        <f ca="1">-SUMIFS(INDIRECT("Tab_00.Trial["&amp;O$4&amp;"]"),Tab_00.Trial[CONTA],$B174)</f>
        <v>0</v>
      </c>
      <c r="P174" s="78">
        <f t="shared" ca="1" si="138"/>
        <v>0</v>
      </c>
      <c r="Q174" s="78">
        <f t="shared" ca="1" si="139"/>
        <v>0</v>
      </c>
      <c r="R174" s="4">
        <f ca="1">-SUMIFS(INDIRECT("Tab_00.Trial["&amp;R$4&amp;"]"),Tab_00.Trial[CONTA],$B174)</f>
        <v>0</v>
      </c>
      <c r="S174" s="78">
        <f t="shared" ca="1" si="98"/>
        <v>0</v>
      </c>
      <c r="T174" s="78">
        <f t="shared" ca="1" si="99"/>
        <v>0</v>
      </c>
      <c r="U174" s="4">
        <f ca="1">-SUMIFS(INDIRECT("Tab_00.Trial["&amp;U$4&amp;"]"),Tab_00.Trial[CONTA],$B174)</f>
        <v>0</v>
      </c>
      <c r="V174" s="78">
        <f t="shared" ca="1" si="100"/>
        <v>0</v>
      </c>
      <c r="W174" s="78">
        <f t="shared" ca="1" si="101"/>
        <v>0</v>
      </c>
      <c r="X174" s="4">
        <f ca="1">-SUMIFS(INDIRECT("Tab_00.Trial["&amp;X$4&amp;"]"),Tab_00.Trial[CONTA],$B174)</f>
        <v>0</v>
      </c>
      <c r="Y174" s="78">
        <f t="shared" ca="1" si="140"/>
        <v>0</v>
      </c>
      <c r="Z174" s="78">
        <f t="shared" ca="1" si="141"/>
        <v>0</v>
      </c>
      <c r="AA174" s="4">
        <f ca="1">-SUMIFS(INDIRECT("Tab_00.Trial["&amp;AA$4&amp;"]"),Tab_00.Trial[CONTA],$B174)</f>
        <v>0</v>
      </c>
      <c r="AB174" s="78">
        <f t="shared" ca="1" si="104"/>
        <v>0</v>
      </c>
      <c r="AC174" s="78">
        <f t="shared" ca="1" si="105"/>
        <v>0</v>
      </c>
      <c r="AD174" s="4">
        <f ca="1">-SUMIFS(INDIRECT("Tab_00.Trial["&amp;AD$4&amp;"]"),Tab_00.Trial[CONTA],$B174)</f>
        <v>0</v>
      </c>
      <c r="AE174" s="78">
        <f t="shared" ca="1" si="106"/>
        <v>0</v>
      </c>
      <c r="AF174" s="78">
        <f t="shared" ca="1" si="107"/>
        <v>0</v>
      </c>
      <c r="AG174" s="4">
        <f ca="1">-SUMIFS(INDIRECT("Tab_00.Trial["&amp;AG$4&amp;"]"),Tab_00.Trial[CONTA],$B174)</f>
        <v>0</v>
      </c>
      <c r="AH174" s="78">
        <f t="shared" ca="1" si="108"/>
        <v>0</v>
      </c>
      <c r="AI174" s="78">
        <f t="shared" ca="1" si="109"/>
        <v>0</v>
      </c>
      <c r="AJ174" s="4">
        <f ca="1">-SUMIFS(INDIRECT("Tab_00.Trial["&amp;AJ$4&amp;"]"),Tab_00.Trial[CONTA],$B174)</f>
        <v>0</v>
      </c>
      <c r="AK174" s="78">
        <f t="shared" ca="1" si="110"/>
        <v>0</v>
      </c>
      <c r="AL174" s="78">
        <f t="shared" ca="1" si="111"/>
        <v>0</v>
      </c>
    </row>
    <row r="175" spans="2:38" ht="15" hidden="1" customHeight="1" outlineLevel="1" x14ac:dyDescent="0.3">
      <c r="B175" s="14"/>
      <c r="C175" s="14"/>
      <c r="D175" s="4">
        <f ca="1">-SUMIFS(INDIRECT("Tab_00.Trial["&amp;D$4&amp;"]"),Tab_00.Trial[CONTA],$B175)</f>
        <v>0</v>
      </c>
      <c r="E175" s="78">
        <f t="shared" ca="1" si="136"/>
        <v>0</v>
      </c>
      <c r="F175" s="4">
        <f ca="1">-SUMIFS(INDIRECT("Tab_00.Trial["&amp;F$4&amp;"]"),Tab_00.Trial[CONTA],$B175)</f>
        <v>0</v>
      </c>
      <c r="G175" s="78">
        <f t="shared" ca="1" si="91"/>
        <v>0</v>
      </c>
      <c r="H175" s="78">
        <f t="shared" ca="1" si="137"/>
        <v>0</v>
      </c>
      <c r="I175" s="4">
        <f ca="1">-SUMIFS(INDIRECT("Tab_00.Trial["&amp;I$4&amp;"]"),Tab_00.Trial[CONTA],$B175)</f>
        <v>0</v>
      </c>
      <c r="J175" s="78">
        <f t="shared" ca="1" si="92"/>
        <v>0</v>
      </c>
      <c r="K175" s="78">
        <f t="shared" ca="1" si="93"/>
        <v>0</v>
      </c>
      <c r="L175" s="4">
        <f ca="1">-SUMIFS(INDIRECT("Tab_00.Trial["&amp;L$4&amp;"]"),Tab_00.Trial[CONTA],$B175)</f>
        <v>0</v>
      </c>
      <c r="M175" s="78">
        <f t="shared" ca="1" si="94"/>
        <v>0</v>
      </c>
      <c r="N175" s="78">
        <f t="shared" ca="1" si="95"/>
        <v>0</v>
      </c>
      <c r="O175" s="4">
        <f ca="1">-SUMIFS(INDIRECT("Tab_00.Trial["&amp;O$4&amp;"]"),Tab_00.Trial[CONTA],$B175)</f>
        <v>0</v>
      </c>
      <c r="P175" s="78">
        <f t="shared" ca="1" si="138"/>
        <v>0</v>
      </c>
      <c r="Q175" s="78">
        <f t="shared" ca="1" si="139"/>
        <v>0</v>
      </c>
      <c r="R175" s="4">
        <f ca="1">-SUMIFS(INDIRECT("Tab_00.Trial["&amp;R$4&amp;"]"),Tab_00.Trial[CONTA],$B175)</f>
        <v>0</v>
      </c>
      <c r="S175" s="78">
        <f t="shared" ca="1" si="98"/>
        <v>0</v>
      </c>
      <c r="T175" s="78">
        <f t="shared" ca="1" si="99"/>
        <v>0</v>
      </c>
      <c r="U175" s="4">
        <f ca="1">-SUMIFS(INDIRECT("Tab_00.Trial["&amp;U$4&amp;"]"),Tab_00.Trial[CONTA],$B175)</f>
        <v>0</v>
      </c>
      <c r="V175" s="78">
        <f t="shared" ca="1" si="100"/>
        <v>0</v>
      </c>
      <c r="W175" s="78">
        <f t="shared" ca="1" si="101"/>
        <v>0</v>
      </c>
      <c r="X175" s="4">
        <f ca="1">-SUMIFS(INDIRECT("Tab_00.Trial["&amp;X$4&amp;"]"),Tab_00.Trial[CONTA],$B175)</f>
        <v>0</v>
      </c>
      <c r="Y175" s="78">
        <f t="shared" ca="1" si="140"/>
        <v>0</v>
      </c>
      <c r="Z175" s="78">
        <f t="shared" ca="1" si="141"/>
        <v>0</v>
      </c>
      <c r="AA175" s="4">
        <f ca="1">-SUMIFS(INDIRECT("Tab_00.Trial["&amp;AA$4&amp;"]"),Tab_00.Trial[CONTA],$B175)</f>
        <v>0</v>
      </c>
      <c r="AB175" s="78">
        <f t="shared" ca="1" si="104"/>
        <v>0</v>
      </c>
      <c r="AC175" s="78">
        <f t="shared" ca="1" si="105"/>
        <v>0</v>
      </c>
      <c r="AD175" s="4">
        <f ca="1">-SUMIFS(INDIRECT("Tab_00.Trial["&amp;AD$4&amp;"]"),Tab_00.Trial[CONTA],$B175)</f>
        <v>0</v>
      </c>
      <c r="AE175" s="78">
        <f t="shared" ca="1" si="106"/>
        <v>0</v>
      </c>
      <c r="AF175" s="78">
        <f t="shared" ca="1" si="107"/>
        <v>0</v>
      </c>
      <c r="AG175" s="4">
        <f ca="1">-SUMIFS(INDIRECT("Tab_00.Trial["&amp;AG$4&amp;"]"),Tab_00.Trial[CONTA],$B175)</f>
        <v>0</v>
      </c>
      <c r="AH175" s="78">
        <f t="shared" ca="1" si="108"/>
        <v>0</v>
      </c>
      <c r="AI175" s="78">
        <f t="shared" ca="1" si="109"/>
        <v>0</v>
      </c>
      <c r="AJ175" s="4">
        <f ca="1">-SUMIFS(INDIRECT("Tab_00.Trial["&amp;AJ$4&amp;"]"),Tab_00.Trial[CONTA],$B175)</f>
        <v>0</v>
      </c>
      <c r="AK175" s="78">
        <f t="shared" ca="1" si="110"/>
        <v>0</v>
      </c>
      <c r="AL175" s="78">
        <f t="shared" ca="1" si="111"/>
        <v>0</v>
      </c>
    </row>
    <row r="176" spans="2:38" ht="15" hidden="1" customHeight="1" outlineLevel="1" x14ac:dyDescent="0.3">
      <c r="B176" s="14"/>
      <c r="C176" s="14"/>
      <c r="D176" s="4">
        <f ca="1">-SUMIFS(INDIRECT("Tab_00.Trial["&amp;D$4&amp;"]"),Tab_00.Trial[CONTA],$B176)</f>
        <v>0</v>
      </c>
      <c r="E176" s="78">
        <f t="shared" ca="1" si="136"/>
        <v>0</v>
      </c>
      <c r="F176" s="4">
        <f ca="1">-SUMIFS(INDIRECT("Tab_00.Trial["&amp;F$4&amp;"]"),Tab_00.Trial[CONTA],$B176)</f>
        <v>0</v>
      </c>
      <c r="G176" s="78">
        <f t="shared" ca="1" si="91"/>
        <v>0</v>
      </c>
      <c r="H176" s="78">
        <f t="shared" ca="1" si="137"/>
        <v>0</v>
      </c>
      <c r="I176" s="4">
        <f ca="1">-SUMIFS(INDIRECT("Tab_00.Trial["&amp;I$4&amp;"]"),Tab_00.Trial[CONTA],$B176)</f>
        <v>0</v>
      </c>
      <c r="J176" s="78">
        <f t="shared" ca="1" si="92"/>
        <v>0</v>
      </c>
      <c r="K176" s="78">
        <f t="shared" ca="1" si="93"/>
        <v>0</v>
      </c>
      <c r="L176" s="4">
        <f ca="1">-SUMIFS(INDIRECT("Tab_00.Trial["&amp;L$4&amp;"]"),Tab_00.Trial[CONTA],$B176)</f>
        <v>0</v>
      </c>
      <c r="M176" s="78">
        <f t="shared" ca="1" si="94"/>
        <v>0</v>
      </c>
      <c r="N176" s="78">
        <f t="shared" ca="1" si="95"/>
        <v>0</v>
      </c>
      <c r="O176" s="4">
        <f ca="1">-SUMIFS(INDIRECT("Tab_00.Trial["&amp;O$4&amp;"]"),Tab_00.Trial[CONTA],$B176)</f>
        <v>0</v>
      </c>
      <c r="P176" s="78">
        <f t="shared" ca="1" si="138"/>
        <v>0</v>
      </c>
      <c r="Q176" s="78">
        <f t="shared" ca="1" si="139"/>
        <v>0</v>
      </c>
      <c r="R176" s="4">
        <f ca="1">-SUMIFS(INDIRECT("Tab_00.Trial["&amp;R$4&amp;"]"),Tab_00.Trial[CONTA],$B176)</f>
        <v>0</v>
      </c>
      <c r="S176" s="78">
        <f t="shared" ca="1" si="98"/>
        <v>0</v>
      </c>
      <c r="T176" s="78">
        <f t="shared" ca="1" si="99"/>
        <v>0</v>
      </c>
      <c r="U176" s="4">
        <f ca="1">-SUMIFS(INDIRECT("Tab_00.Trial["&amp;U$4&amp;"]"),Tab_00.Trial[CONTA],$B176)</f>
        <v>0</v>
      </c>
      <c r="V176" s="78">
        <f t="shared" ca="1" si="100"/>
        <v>0</v>
      </c>
      <c r="W176" s="78">
        <f t="shared" ca="1" si="101"/>
        <v>0</v>
      </c>
      <c r="X176" s="4">
        <f ca="1">-SUMIFS(INDIRECT("Tab_00.Trial["&amp;X$4&amp;"]"),Tab_00.Trial[CONTA],$B176)</f>
        <v>0</v>
      </c>
      <c r="Y176" s="78">
        <f t="shared" ca="1" si="140"/>
        <v>0</v>
      </c>
      <c r="Z176" s="78">
        <f t="shared" ca="1" si="141"/>
        <v>0</v>
      </c>
      <c r="AA176" s="4">
        <f ca="1">-SUMIFS(INDIRECT("Tab_00.Trial["&amp;AA$4&amp;"]"),Tab_00.Trial[CONTA],$B176)</f>
        <v>0</v>
      </c>
      <c r="AB176" s="78">
        <f t="shared" ca="1" si="104"/>
        <v>0</v>
      </c>
      <c r="AC176" s="78">
        <f t="shared" ca="1" si="105"/>
        <v>0</v>
      </c>
      <c r="AD176" s="4">
        <f ca="1">-SUMIFS(INDIRECT("Tab_00.Trial["&amp;AD$4&amp;"]"),Tab_00.Trial[CONTA],$B176)</f>
        <v>0</v>
      </c>
      <c r="AE176" s="78">
        <f t="shared" ca="1" si="106"/>
        <v>0</v>
      </c>
      <c r="AF176" s="78">
        <f t="shared" ca="1" si="107"/>
        <v>0</v>
      </c>
      <c r="AG176" s="4">
        <f ca="1">-SUMIFS(INDIRECT("Tab_00.Trial["&amp;AG$4&amp;"]"),Tab_00.Trial[CONTA],$B176)</f>
        <v>0</v>
      </c>
      <c r="AH176" s="78">
        <f t="shared" ca="1" si="108"/>
        <v>0</v>
      </c>
      <c r="AI176" s="78">
        <f t="shared" ca="1" si="109"/>
        <v>0</v>
      </c>
      <c r="AJ176" s="4">
        <f ca="1">-SUMIFS(INDIRECT("Tab_00.Trial["&amp;AJ$4&amp;"]"),Tab_00.Trial[CONTA],$B176)</f>
        <v>0</v>
      </c>
      <c r="AK176" s="78">
        <f t="shared" ca="1" si="110"/>
        <v>0</v>
      </c>
      <c r="AL176" s="78">
        <f t="shared" ca="1" si="111"/>
        <v>0</v>
      </c>
    </row>
    <row r="177" spans="2:38" ht="15" hidden="1" customHeight="1" outlineLevel="1" x14ac:dyDescent="0.3">
      <c r="B177" s="14"/>
      <c r="C177" s="14"/>
      <c r="D177" s="4">
        <f ca="1">-SUMIFS(INDIRECT("Tab_00.Trial["&amp;D$4&amp;"]"),Tab_00.Trial[CONTA],$B177)</f>
        <v>0</v>
      </c>
      <c r="E177" s="78">
        <f t="shared" ca="1" si="136"/>
        <v>0</v>
      </c>
      <c r="F177" s="4">
        <f ca="1">-SUMIFS(INDIRECT("Tab_00.Trial["&amp;F$4&amp;"]"),Tab_00.Trial[CONTA],$B177)</f>
        <v>0</v>
      </c>
      <c r="G177" s="78">
        <f t="shared" ca="1" si="91"/>
        <v>0</v>
      </c>
      <c r="H177" s="78">
        <f t="shared" ca="1" si="137"/>
        <v>0</v>
      </c>
      <c r="I177" s="4">
        <f ca="1">-SUMIFS(INDIRECT("Tab_00.Trial["&amp;I$4&amp;"]"),Tab_00.Trial[CONTA],$B177)</f>
        <v>0</v>
      </c>
      <c r="J177" s="78">
        <f t="shared" ca="1" si="92"/>
        <v>0</v>
      </c>
      <c r="K177" s="78">
        <f t="shared" ca="1" si="93"/>
        <v>0</v>
      </c>
      <c r="L177" s="4">
        <f ca="1">-SUMIFS(INDIRECT("Tab_00.Trial["&amp;L$4&amp;"]"),Tab_00.Trial[CONTA],$B177)</f>
        <v>0</v>
      </c>
      <c r="M177" s="78">
        <f t="shared" ca="1" si="94"/>
        <v>0</v>
      </c>
      <c r="N177" s="78">
        <f t="shared" ca="1" si="95"/>
        <v>0</v>
      </c>
      <c r="O177" s="4">
        <f ca="1">-SUMIFS(INDIRECT("Tab_00.Trial["&amp;O$4&amp;"]"),Tab_00.Trial[CONTA],$B177)</f>
        <v>0</v>
      </c>
      <c r="P177" s="78">
        <f t="shared" ca="1" si="138"/>
        <v>0</v>
      </c>
      <c r="Q177" s="78">
        <f t="shared" ca="1" si="139"/>
        <v>0</v>
      </c>
      <c r="R177" s="4">
        <f ca="1">-SUMIFS(INDIRECT("Tab_00.Trial["&amp;R$4&amp;"]"),Tab_00.Trial[CONTA],$B177)</f>
        <v>0</v>
      </c>
      <c r="S177" s="78">
        <f t="shared" ca="1" si="98"/>
        <v>0</v>
      </c>
      <c r="T177" s="78">
        <f t="shared" ca="1" si="99"/>
        <v>0</v>
      </c>
      <c r="U177" s="4">
        <f ca="1">-SUMIFS(INDIRECT("Tab_00.Trial["&amp;U$4&amp;"]"),Tab_00.Trial[CONTA],$B177)</f>
        <v>0</v>
      </c>
      <c r="V177" s="78">
        <f t="shared" ca="1" si="100"/>
        <v>0</v>
      </c>
      <c r="W177" s="78">
        <f t="shared" ca="1" si="101"/>
        <v>0</v>
      </c>
      <c r="X177" s="4">
        <f ca="1">-SUMIFS(INDIRECT("Tab_00.Trial["&amp;X$4&amp;"]"),Tab_00.Trial[CONTA],$B177)</f>
        <v>0</v>
      </c>
      <c r="Y177" s="78">
        <f t="shared" ca="1" si="140"/>
        <v>0</v>
      </c>
      <c r="Z177" s="78">
        <f t="shared" ca="1" si="141"/>
        <v>0</v>
      </c>
      <c r="AA177" s="4">
        <f ca="1">-SUMIFS(INDIRECT("Tab_00.Trial["&amp;AA$4&amp;"]"),Tab_00.Trial[CONTA],$B177)</f>
        <v>0</v>
      </c>
      <c r="AB177" s="78">
        <f t="shared" ca="1" si="104"/>
        <v>0</v>
      </c>
      <c r="AC177" s="78">
        <f t="shared" ca="1" si="105"/>
        <v>0</v>
      </c>
      <c r="AD177" s="4">
        <f ca="1">-SUMIFS(INDIRECT("Tab_00.Trial["&amp;AD$4&amp;"]"),Tab_00.Trial[CONTA],$B177)</f>
        <v>0</v>
      </c>
      <c r="AE177" s="78">
        <f t="shared" ca="1" si="106"/>
        <v>0</v>
      </c>
      <c r="AF177" s="78">
        <f t="shared" ca="1" si="107"/>
        <v>0</v>
      </c>
      <c r="AG177" s="4">
        <f ca="1">-SUMIFS(INDIRECT("Tab_00.Trial["&amp;AG$4&amp;"]"),Tab_00.Trial[CONTA],$B177)</f>
        <v>0</v>
      </c>
      <c r="AH177" s="78">
        <f t="shared" ca="1" si="108"/>
        <v>0</v>
      </c>
      <c r="AI177" s="78">
        <f t="shared" ca="1" si="109"/>
        <v>0</v>
      </c>
      <c r="AJ177" s="4">
        <f ca="1">-SUMIFS(INDIRECT("Tab_00.Trial["&amp;AJ$4&amp;"]"),Tab_00.Trial[CONTA],$B177)</f>
        <v>0</v>
      </c>
      <c r="AK177" s="78">
        <f t="shared" ca="1" si="110"/>
        <v>0</v>
      </c>
      <c r="AL177" s="78">
        <f t="shared" ca="1" si="111"/>
        <v>0</v>
      </c>
    </row>
    <row r="178" spans="2:38" ht="15" hidden="1" customHeight="1" outlineLevel="1" x14ac:dyDescent="0.3">
      <c r="B178" s="14"/>
      <c r="C178" s="14"/>
      <c r="D178" s="4">
        <f ca="1">-SUMIFS(INDIRECT("Tab_00.Trial["&amp;D$4&amp;"]"),Tab_00.Trial[CONTA],$B178)</f>
        <v>0</v>
      </c>
      <c r="E178" s="78">
        <f t="shared" ca="1" si="136"/>
        <v>0</v>
      </c>
      <c r="F178" s="4">
        <f ca="1">-SUMIFS(INDIRECT("Tab_00.Trial["&amp;F$4&amp;"]"),Tab_00.Trial[CONTA],$B178)</f>
        <v>0</v>
      </c>
      <c r="G178" s="78">
        <f t="shared" ca="1" si="91"/>
        <v>0</v>
      </c>
      <c r="H178" s="78">
        <f t="shared" ca="1" si="137"/>
        <v>0</v>
      </c>
      <c r="I178" s="4">
        <f ca="1">-SUMIFS(INDIRECT("Tab_00.Trial["&amp;I$4&amp;"]"),Tab_00.Trial[CONTA],$B178)</f>
        <v>0</v>
      </c>
      <c r="J178" s="78">
        <f t="shared" ca="1" si="92"/>
        <v>0</v>
      </c>
      <c r="K178" s="78">
        <f t="shared" ca="1" si="93"/>
        <v>0</v>
      </c>
      <c r="L178" s="4">
        <f ca="1">-SUMIFS(INDIRECT("Tab_00.Trial["&amp;L$4&amp;"]"),Tab_00.Trial[CONTA],$B178)</f>
        <v>0</v>
      </c>
      <c r="M178" s="78">
        <f t="shared" ca="1" si="94"/>
        <v>0</v>
      </c>
      <c r="N178" s="78">
        <f t="shared" ca="1" si="95"/>
        <v>0</v>
      </c>
      <c r="O178" s="4">
        <f ca="1">-SUMIFS(INDIRECT("Tab_00.Trial["&amp;O$4&amp;"]"),Tab_00.Trial[CONTA],$B178)</f>
        <v>0</v>
      </c>
      <c r="P178" s="78">
        <f t="shared" ca="1" si="138"/>
        <v>0</v>
      </c>
      <c r="Q178" s="78">
        <f t="shared" ca="1" si="139"/>
        <v>0</v>
      </c>
      <c r="R178" s="4">
        <f ca="1">-SUMIFS(INDIRECT("Tab_00.Trial["&amp;R$4&amp;"]"),Tab_00.Trial[CONTA],$B178)</f>
        <v>0</v>
      </c>
      <c r="S178" s="78">
        <f t="shared" ca="1" si="98"/>
        <v>0</v>
      </c>
      <c r="T178" s="78">
        <f t="shared" ca="1" si="99"/>
        <v>0</v>
      </c>
      <c r="U178" s="4">
        <f ca="1">-SUMIFS(INDIRECT("Tab_00.Trial["&amp;U$4&amp;"]"),Tab_00.Trial[CONTA],$B178)</f>
        <v>0</v>
      </c>
      <c r="V178" s="78">
        <f t="shared" ca="1" si="100"/>
        <v>0</v>
      </c>
      <c r="W178" s="78">
        <f t="shared" ca="1" si="101"/>
        <v>0</v>
      </c>
      <c r="X178" s="4">
        <f ca="1">-SUMIFS(INDIRECT("Tab_00.Trial["&amp;X$4&amp;"]"),Tab_00.Trial[CONTA],$B178)</f>
        <v>0</v>
      </c>
      <c r="Y178" s="78">
        <f t="shared" ca="1" si="140"/>
        <v>0</v>
      </c>
      <c r="Z178" s="78">
        <f t="shared" ca="1" si="141"/>
        <v>0</v>
      </c>
      <c r="AA178" s="4">
        <f ca="1">-SUMIFS(INDIRECT("Tab_00.Trial["&amp;AA$4&amp;"]"),Tab_00.Trial[CONTA],$B178)</f>
        <v>0</v>
      </c>
      <c r="AB178" s="78">
        <f t="shared" ca="1" si="104"/>
        <v>0</v>
      </c>
      <c r="AC178" s="78">
        <f t="shared" ca="1" si="105"/>
        <v>0</v>
      </c>
      <c r="AD178" s="4">
        <f ca="1">-SUMIFS(INDIRECT("Tab_00.Trial["&amp;AD$4&amp;"]"),Tab_00.Trial[CONTA],$B178)</f>
        <v>0</v>
      </c>
      <c r="AE178" s="78">
        <f t="shared" ca="1" si="106"/>
        <v>0</v>
      </c>
      <c r="AF178" s="78">
        <f t="shared" ca="1" si="107"/>
        <v>0</v>
      </c>
      <c r="AG178" s="4">
        <f ca="1">-SUMIFS(INDIRECT("Tab_00.Trial["&amp;AG$4&amp;"]"),Tab_00.Trial[CONTA],$B178)</f>
        <v>0</v>
      </c>
      <c r="AH178" s="78">
        <f t="shared" ca="1" si="108"/>
        <v>0</v>
      </c>
      <c r="AI178" s="78">
        <f t="shared" ca="1" si="109"/>
        <v>0</v>
      </c>
      <c r="AJ178" s="4">
        <f ca="1">-SUMIFS(INDIRECT("Tab_00.Trial["&amp;AJ$4&amp;"]"),Tab_00.Trial[CONTA],$B178)</f>
        <v>0</v>
      </c>
      <c r="AK178" s="78">
        <f t="shared" ca="1" si="110"/>
        <v>0</v>
      </c>
      <c r="AL178" s="78">
        <f t="shared" ca="1" si="111"/>
        <v>0</v>
      </c>
    </row>
    <row r="179" spans="2:38" ht="15" hidden="1" customHeight="1" outlineLevel="1" x14ac:dyDescent="0.3">
      <c r="B179" s="14"/>
      <c r="C179" s="14"/>
      <c r="D179" s="4">
        <f ca="1">-SUMIFS(INDIRECT("Tab_00.Trial["&amp;D$4&amp;"]"),Tab_00.Trial[CONTA],$B179)</f>
        <v>0</v>
      </c>
      <c r="E179" s="78">
        <f t="shared" ca="1" si="136"/>
        <v>0</v>
      </c>
      <c r="F179" s="4">
        <f ca="1">-SUMIFS(INDIRECT("Tab_00.Trial["&amp;F$4&amp;"]"),Tab_00.Trial[CONTA],$B179)</f>
        <v>0</v>
      </c>
      <c r="G179" s="78">
        <f t="shared" ca="1" si="91"/>
        <v>0</v>
      </c>
      <c r="H179" s="78">
        <f t="shared" ca="1" si="137"/>
        <v>0</v>
      </c>
      <c r="I179" s="4">
        <f ca="1">-SUMIFS(INDIRECT("Tab_00.Trial["&amp;I$4&amp;"]"),Tab_00.Trial[CONTA],$B179)</f>
        <v>0</v>
      </c>
      <c r="J179" s="78">
        <f t="shared" ca="1" si="92"/>
        <v>0</v>
      </c>
      <c r="K179" s="78">
        <f t="shared" ca="1" si="93"/>
        <v>0</v>
      </c>
      <c r="L179" s="4">
        <f ca="1">-SUMIFS(INDIRECT("Tab_00.Trial["&amp;L$4&amp;"]"),Tab_00.Trial[CONTA],$B179)</f>
        <v>0</v>
      </c>
      <c r="M179" s="78">
        <f t="shared" ca="1" si="94"/>
        <v>0</v>
      </c>
      <c r="N179" s="78">
        <f t="shared" ca="1" si="95"/>
        <v>0</v>
      </c>
      <c r="O179" s="4">
        <f ca="1">-SUMIFS(INDIRECT("Tab_00.Trial["&amp;O$4&amp;"]"),Tab_00.Trial[CONTA],$B179)</f>
        <v>0</v>
      </c>
      <c r="P179" s="78">
        <f t="shared" ca="1" si="138"/>
        <v>0</v>
      </c>
      <c r="Q179" s="78">
        <f t="shared" ca="1" si="139"/>
        <v>0</v>
      </c>
      <c r="R179" s="4">
        <f ca="1">-SUMIFS(INDIRECT("Tab_00.Trial["&amp;R$4&amp;"]"),Tab_00.Trial[CONTA],$B179)</f>
        <v>0</v>
      </c>
      <c r="S179" s="78">
        <f t="shared" ca="1" si="98"/>
        <v>0</v>
      </c>
      <c r="T179" s="78">
        <f t="shared" ca="1" si="99"/>
        <v>0</v>
      </c>
      <c r="U179" s="4">
        <f ca="1">-SUMIFS(INDIRECT("Tab_00.Trial["&amp;U$4&amp;"]"),Tab_00.Trial[CONTA],$B179)</f>
        <v>0</v>
      </c>
      <c r="V179" s="78">
        <f t="shared" ca="1" si="100"/>
        <v>0</v>
      </c>
      <c r="W179" s="78">
        <f t="shared" ca="1" si="101"/>
        <v>0</v>
      </c>
      <c r="X179" s="4">
        <f ca="1">-SUMIFS(INDIRECT("Tab_00.Trial["&amp;X$4&amp;"]"),Tab_00.Trial[CONTA],$B179)</f>
        <v>0</v>
      </c>
      <c r="Y179" s="78">
        <f t="shared" ca="1" si="140"/>
        <v>0</v>
      </c>
      <c r="Z179" s="78">
        <f t="shared" ca="1" si="141"/>
        <v>0</v>
      </c>
      <c r="AA179" s="4">
        <f ca="1">-SUMIFS(INDIRECT("Tab_00.Trial["&amp;AA$4&amp;"]"),Tab_00.Trial[CONTA],$B179)</f>
        <v>0</v>
      </c>
      <c r="AB179" s="78">
        <f t="shared" ca="1" si="104"/>
        <v>0</v>
      </c>
      <c r="AC179" s="78">
        <f t="shared" ca="1" si="105"/>
        <v>0</v>
      </c>
      <c r="AD179" s="4">
        <f ca="1">-SUMIFS(INDIRECT("Tab_00.Trial["&amp;AD$4&amp;"]"),Tab_00.Trial[CONTA],$B179)</f>
        <v>0</v>
      </c>
      <c r="AE179" s="78">
        <f t="shared" ca="1" si="106"/>
        <v>0</v>
      </c>
      <c r="AF179" s="78">
        <f t="shared" ca="1" si="107"/>
        <v>0</v>
      </c>
      <c r="AG179" s="4">
        <f ca="1">-SUMIFS(INDIRECT("Tab_00.Trial["&amp;AG$4&amp;"]"),Tab_00.Trial[CONTA],$B179)</f>
        <v>0</v>
      </c>
      <c r="AH179" s="78">
        <f t="shared" ca="1" si="108"/>
        <v>0</v>
      </c>
      <c r="AI179" s="78">
        <f t="shared" ca="1" si="109"/>
        <v>0</v>
      </c>
      <c r="AJ179" s="4">
        <f ca="1">-SUMIFS(INDIRECT("Tab_00.Trial["&amp;AJ$4&amp;"]"),Tab_00.Trial[CONTA],$B179)</f>
        <v>0</v>
      </c>
      <c r="AK179" s="78">
        <f t="shared" ca="1" si="110"/>
        <v>0</v>
      </c>
      <c r="AL179" s="78">
        <f t="shared" ca="1" si="111"/>
        <v>0</v>
      </c>
    </row>
    <row r="180" spans="2:38" ht="5.0999999999999996" hidden="1" customHeight="1" outlineLevel="1" x14ac:dyDescent="0.3">
      <c r="B180" s="74"/>
      <c r="C180" s="75"/>
      <c r="D180" s="76"/>
      <c r="E180" s="77"/>
      <c r="F180" s="76"/>
      <c r="G180" s="77"/>
      <c r="H180" s="77"/>
      <c r="I180" s="76"/>
      <c r="J180" s="77"/>
      <c r="K180" s="77"/>
      <c r="L180" s="76"/>
      <c r="M180" s="77"/>
      <c r="N180" s="77"/>
      <c r="O180" s="76"/>
      <c r="P180" s="77"/>
      <c r="Q180" s="77"/>
      <c r="R180" s="76"/>
      <c r="S180" s="77"/>
      <c r="T180" s="77"/>
      <c r="U180" s="76"/>
      <c r="V180" s="77"/>
      <c r="W180" s="77"/>
      <c r="X180" s="76"/>
      <c r="Y180" s="77"/>
      <c r="Z180" s="77"/>
      <c r="AA180" s="76"/>
      <c r="AB180" s="77"/>
      <c r="AC180" s="77"/>
      <c r="AD180" s="76"/>
      <c r="AE180" s="77"/>
      <c r="AF180" s="77"/>
      <c r="AG180" s="76"/>
      <c r="AH180" s="77"/>
      <c r="AI180" s="77"/>
      <c r="AJ180" s="76"/>
      <c r="AK180" s="77"/>
      <c r="AL180" s="77"/>
    </row>
    <row r="181" spans="2:38" ht="15" customHeight="1" collapsed="1" x14ac:dyDescent="0.3">
      <c r="B181" s="3" t="s">
        <v>66</v>
      </c>
      <c r="C181" s="3" t="s">
        <v>83</v>
      </c>
      <c r="D181" s="4">
        <f ca="1">SUBTOTAL(9,D$182:D$188)</f>
        <v>189</v>
      </c>
      <c r="E181" s="78">
        <f ca="1">IFERROR($D181/$D$6,0)</f>
        <v>2.0000000000000001E-4</v>
      </c>
      <c r="F181" s="4">
        <f ca="1">SUBTOTAL(9,F$182:F$188)</f>
        <v>-81</v>
      </c>
      <c r="G181" s="78">
        <f ca="1">IFERROR($F181/$F$6,0)</f>
        <v>-1E-4</v>
      </c>
      <c r="H181" s="78">
        <f ca="1">IFERROR(($F181-$D181)/ABS($D181),0)</f>
        <v>-1.4286000000000001</v>
      </c>
      <c r="I181" s="4">
        <f ca="1">SUBTOTAL(9,I$182:I$188)</f>
        <v>-81</v>
      </c>
      <c r="J181" s="78">
        <f ca="1">IFERROR($I181/$I$6,0)</f>
        <v>0</v>
      </c>
      <c r="K181" s="78">
        <f ca="1">IFERROR(($I181-$F181)/ABS($F181),0)</f>
        <v>0</v>
      </c>
      <c r="L181" s="4">
        <f ca="1">SUBTOTAL(9,L$182:L$188)</f>
        <v>-81</v>
      </c>
      <c r="M181" s="78">
        <f ca="1">IFERROR($L181/$L$6,0)</f>
        <v>0</v>
      </c>
      <c r="N181" s="78">
        <f ca="1">IFERROR(($L181-$I181)/ABS($I181),0)</f>
        <v>0</v>
      </c>
      <c r="O181" s="4">
        <f ca="1">SUBTOTAL(9,O$182:O$188)</f>
        <v>-81</v>
      </c>
      <c r="P181" s="78">
        <f ca="1">IFERROR($O181/$O$6,0)</f>
        <v>0</v>
      </c>
      <c r="Q181" s="78">
        <f ca="1">IFERROR(($O181-$L181)/ABS($L181),0)</f>
        <v>0</v>
      </c>
      <c r="R181" s="4">
        <f ca="1">SUBTOTAL(9,R$182:R$188)</f>
        <v>-216</v>
      </c>
      <c r="S181" s="78">
        <f ca="1">IFERROR($R181/$R$6,0)</f>
        <v>0</v>
      </c>
      <c r="T181" s="78">
        <f ca="1">IFERROR(($R181-$O181)/ABS($O181),0)</f>
        <v>-1.6667000000000001</v>
      </c>
      <c r="U181" s="4">
        <f ca="1">SUBTOTAL(9,U$182:U$188)</f>
        <v>-216</v>
      </c>
      <c r="V181" s="78">
        <f ca="1">IFERROR($U181/$U$6,0)</f>
        <v>0</v>
      </c>
      <c r="W181" s="78">
        <f ca="1">IFERROR(($U181-$R181)/ABS($R181),0)</f>
        <v>0</v>
      </c>
      <c r="X181" s="4">
        <f ca="1">SUBTOTAL(9,X$182:X$188)</f>
        <v>-216</v>
      </c>
      <c r="Y181" s="78">
        <f ca="1">IFERROR($X181/$X$6,0)</f>
        <v>0</v>
      </c>
      <c r="Z181" s="78">
        <f ca="1">IFERROR(($X181-$U181)/ABS($U181),0)</f>
        <v>0</v>
      </c>
      <c r="AA181" s="4">
        <f ca="1">SUBTOTAL(9,AA$182:AA$188)</f>
        <v>-216</v>
      </c>
      <c r="AB181" s="78">
        <f ca="1">IFERROR($AA181/$AA$6,0)</f>
        <v>0</v>
      </c>
      <c r="AC181" s="78">
        <f ca="1">IFERROR(($AA181-$X181)/ABS($X181),0)</f>
        <v>0</v>
      </c>
      <c r="AD181" s="4">
        <f ca="1">SUBTOTAL(9,AD$182:AD$188)</f>
        <v>-216</v>
      </c>
      <c r="AE181" s="78">
        <f ca="1">IFERROR($AD181/$AD$6,0)</f>
        <v>0</v>
      </c>
      <c r="AF181" s="78">
        <f ca="1">IFERROR(($AD181-$AA181)/ABS($AA181),0)</f>
        <v>0</v>
      </c>
      <c r="AG181" s="4">
        <f ca="1">SUBTOTAL(9,AG$182:AG$188)</f>
        <v>-216</v>
      </c>
      <c r="AH181" s="78">
        <f ca="1">IFERROR($AG181/$AG$6,0)</f>
        <v>0</v>
      </c>
      <c r="AI181" s="78">
        <f ca="1">IFERROR(($AG181-$AD181)/ABS($AD181),0)</f>
        <v>0</v>
      </c>
      <c r="AJ181" s="4">
        <f ca="1">SUBTOTAL(9,AJ$182:AJ$188)</f>
        <v>-216</v>
      </c>
      <c r="AK181" s="78">
        <f ca="1">IFERROR($AJ181/$AJ$6,0)</f>
        <v>0</v>
      </c>
      <c r="AL181" s="78">
        <f ca="1">IFERROR(($AJ181-$AG181)/ABS($AG181),0)</f>
        <v>0</v>
      </c>
    </row>
    <row r="182" spans="2:38" ht="15" hidden="1" customHeight="1" outlineLevel="1" x14ac:dyDescent="0.3">
      <c r="B182" s="14" t="s">
        <v>543</v>
      </c>
      <c r="C182" s="14" t="s">
        <v>544</v>
      </c>
      <c r="D182" s="4">
        <f ca="1">-SUMIFS(INDIRECT("Tab_00.Trial["&amp;D$4&amp;"]"),Tab_00.Trial[CONTA],$B182)</f>
        <v>0</v>
      </c>
      <c r="E182" s="78">
        <f ca="1">IFERROR($D182/$D$6,0)</f>
        <v>0</v>
      </c>
      <c r="F182" s="4">
        <f ca="1">-SUMIFS(INDIRECT("Tab_00.Trial["&amp;F$4&amp;"]"),Tab_00.Trial[CONTA],$B182)</f>
        <v>0</v>
      </c>
      <c r="G182" s="78">
        <f t="shared" ca="1" si="91"/>
        <v>0</v>
      </c>
      <c r="H182" s="78">
        <f ca="1">IFERROR(($F182-$D182)/ABS($D182),0)</f>
        <v>0</v>
      </c>
      <c r="I182" s="4">
        <f ca="1">-SUMIFS(INDIRECT("Tab_00.Trial["&amp;I$4&amp;"]"),Tab_00.Trial[CONTA],$B182)</f>
        <v>0</v>
      </c>
      <c r="J182" s="78">
        <f t="shared" ca="1" si="92"/>
        <v>0</v>
      </c>
      <c r="K182" s="78">
        <f t="shared" ca="1" si="93"/>
        <v>0</v>
      </c>
      <c r="L182" s="4">
        <f ca="1">-SUMIFS(INDIRECT("Tab_00.Trial["&amp;L$4&amp;"]"),Tab_00.Trial[CONTA],$B182)</f>
        <v>0</v>
      </c>
      <c r="M182" s="78">
        <f t="shared" ca="1" si="94"/>
        <v>0</v>
      </c>
      <c r="N182" s="78">
        <f t="shared" ca="1" si="95"/>
        <v>0</v>
      </c>
      <c r="O182" s="4">
        <f ca="1">-SUMIFS(INDIRECT("Tab_00.Trial["&amp;O$4&amp;"]"),Tab_00.Trial[CONTA],$B182)</f>
        <v>0</v>
      </c>
      <c r="P182" s="78">
        <f t="shared" ref="P182:P186" ca="1" si="142">IFERROR($O182/$O$6,0)</f>
        <v>0</v>
      </c>
      <c r="Q182" s="78">
        <f t="shared" ref="Q182:Q186" ca="1" si="143">IFERROR(($O182-$L182)/ABS($L182),0)</f>
        <v>0</v>
      </c>
      <c r="R182" s="4">
        <f ca="1">-SUMIFS(INDIRECT("Tab_00.Trial["&amp;R$4&amp;"]"),Tab_00.Trial[CONTA],$B182)</f>
        <v>0</v>
      </c>
      <c r="S182" s="78">
        <f t="shared" ca="1" si="98"/>
        <v>0</v>
      </c>
      <c r="T182" s="78">
        <f t="shared" ca="1" si="99"/>
        <v>0</v>
      </c>
      <c r="U182" s="4">
        <f ca="1">-SUMIFS(INDIRECT("Tab_00.Trial["&amp;U$4&amp;"]"),Tab_00.Trial[CONTA],$B182)</f>
        <v>0</v>
      </c>
      <c r="V182" s="78">
        <f t="shared" ca="1" si="100"/>
        <v>0</v>
      </c>
      <c r="W182" s="78">
        <f t="shared" ca="1" si="101"/>
        <v>0</v>
      </c>
      <c r="X182" s="4">
        <f ca="1">-SUMIFS(INDIRECT("Tab_00.Trial["&amp;X$4&amp;"]"),Tab_00.Trial[CONTA],$B182)</f>
        <v>0</v>
      </c>
      <c r="Y182" s="78">
        <f t="shared" ref="Y182:Y186" ca="1" si="144">IFERROR($X182/$X$6,0)</f>
        <v>0</v>
      </c>
      <c r="Z182" s="78">
        <f t="shared" ref="Z182:Z186" ca="1" si="145">IFERROR(($X182-$U182)/ABS($U182),0)</f>
        <v>0</v>
      </c>
      <c r="AA182" s="4">
        <f ca="1">-SUMIFS(INDIRECT("Tab_00.Trial["&amp;AA$4&amp;"]"),Tab_00.Trial[CONTA],$B182)</f>
        <v>0</v>
      </c>
      <c r="AB182" s="78">
        <f t="shared" ca="1" si="104"/>
        <v>0</v>
      </c>
      <c r="AC182" s="78">
        <f t="shared" ca="1" si="105"/>
        <v>0</v>
      </c>
      <c r="AD182" s="4">
        <f ca="1">-SUMIFS(INDIRECT("Tab_00.Trial["&amp;AD$4&amp;"]"),Tab_00.Trial[CONTA],$B182)</f>
        <v>0</v>
      </c>
      <c r="AE182" s="78">
        <f t="shared" ca="1" si="106"/>
        <v>0</v>
      </c>
      <c r="AF182" s="78">
        <f t="shared" ca="1" si="107"/>
        <v>0</v>
      </c>
      <c r="AG182" s="4">
        <f ca="1">-SUMIFS(INDIRECT("Tab_00.Trial["&amp;AG$4&amp;"]"),Tab_00.Trial[CONTA],$B182)</f>
        <v>0</v>
      </c>
      <c r="AH182" s="78">
        <f t="shared" ca="1" si="108"/>
        <v>0</v>
      </c>
      <c r="AI182" s="78">
        <f t="shared" ca="1" si="109"/>
        <v>0</v>
      </c>
      <c r="AJ182" s="4">
        <f ca="1">-SUMIFS(INDIRECT("Tab_00.Trial["&amp;AJ$4&amp;"]"),Tab_00.Trial[CONTA],$B182)</f>
        <v>0</v>
      </c>
      <c r="AK182" s="78">
        <f t="shared" ca="1" si="110"/>
        <v>0</v>
      </c>
      <c r="AL182" s="78">
        <f t="shared" ca="1" si="111"/>
        <v>0</v>
      </c>
    </row>
    <row r="183" spans="2:38" ht="15" hidden="1" customHeight="1" outlineLevel="1" x14ac:dyDescent="0.3">
      <c r="B183" s="14" t="s">
        <v>547</v>
      </c>
      <c r="C183" s="14" t="s">
        <v>548</v>
      </c>
      <c r="D183" s="4">
        <f ca="1">-SUMIFS(INDIRECT("Tab_00.Trial["&amp;D$4&amp;"]"),Tab_00.Trial[CONTA],$B183)</f>
        <v>0</v>
      </c>
      <c r="E183" s="78">
        <f t="shared" ref="E183:E186" ca="1" si="146">IFERROR($D183/$D$6,0)</f>
        <v>0</v>
      </c>
      <c r="F183" s="4">
        <f ca="1">-SUMIFS(INDIRECT("Tab_00.Trial["&amp;F$4&amp;"]"),Tab_00.Trial[CONTA],$B183)</f>
        <v>-270</v>
      </c>
      <c r="G183" s="78">
        <f t="shared" ca="1" si="91"/>
        <v>-2.0000000000000001E-4</v>
      </c>
      <c r="H183" s="78">
        <f t="shared" ref="H183:H186" ca="1" si="147">IFERROR(($F183-$D183)/ABS($D183),0)</f>
        <v>0</v>
      </c>
      <c r="I183" s="4">
        <f ca="1">-SUMIFS(INDIRECT("Tab_00.Trial["&amp;I$4&amp;"]"),Tab_00.Trial[CONTA],$B183)</f>
        <v>-270</v>
      </c>
      <c r="J183" s="78">
        <f t="shared" ca="1" si="92"/>
        <v>-1E-4</v>
      </c>
      <c r="K183" s="78">
        <f t="shared" ca="1" si="93"/>
        <v>0</v>
      </c>
      <c r="L183" s="4">
        <f ca="1">-SUMIFS(INDIRECT("Tab_00.Trial["&amp;L$4&amp;"]"),Tab_00.Trial[CONTA],$B183)</f>
        <v>-270</v>
      </c>
      <c r="M183" s="78">
        <f t="shared" ca="1" si="94"/>
        <v>-1E-4</v>
      </c>
      <c r="N183" s="78">
        <f t="shared" ca="1" si="95"/>
        <v>0</v>
      </c>
      <c r="O183" s="4">
        <f ca="1">-SUMIFS(INDIRECT("Tab_00.Trial["&amp;O$4&amp;"]"),Tab_00.Trial[CONTA],$B183)</f>
        <v>-270</v>
      </c>
      <c r="P183" s="78">
        <f t="shared" ca="1" si="142"/>
        <v>-1E-4</v>
      </c>
      <c r="Q183" s="78">
        <f t="shared" ca="1" si="143"/>
        <v>0</v>
      </c>
      <c r="R183" s="4">
        <f ca="1">-SUMIFS(INDIRECT("Tab_00.Trial["&amp;R$4&amp;"]"),Tab_00.Trial[CONTA],$B183)</f>
        <v>-405</v>
      </c>
      <c r="S183" s="78">
        <f t="shared" ca="1" si="98"/>
        <v>-1E-4</v>
      </c>
      <c r="T183" s="78">
        <f t="shared" ca="1" si="99"/>
        <v>-0.5</v>
      </c>
      <c r="U183" s="4">
        <f ca="1">-SUMIFS(INDIRECT("Tab_00.Trial["&amp;U$4&amp;"]"),Tab_00.Trial[CONTA],$B183)</f>
        <v>-405</v>
      </c>
      <c r="V183" s="78">
        <f t="shared" ca="1" si="100"/>
        <v>-1E-4</v>
      </c>
      <c r="W183" s="78">
        <f t="shared" ca="1" si="101"/>
        <v>0</v>
      </c>
      <c r="X183" s="4">
        <f ca="1">-SUMIFS(INDIRECT("Tab_00.Trial["&amp;X$4&amp;"]"),Tab_00.Trial[CONTA],$B183)</f>
        <v>-405</v>
      </c>
      <c r="Y183" s="78">
        <f t="shared" ca="1" si="144"/>
        <v>-1E-4</v>
      </c>
      <c r="Z183" s="78">
        <f t="shared" ca="1" si="145"/>
        <v>0</v>
      </c>
      <c r="AA183" s="4">
        <f ca="1">-SUMIFS(INDIRECT("Tab_00.Trial["&amp;AA$4&amp;"]"),Tab_00.Trial[CONTA],$B183)</f>
        <v>-405</v>
      </c>
      <c r="AB183" s="78">
        <f t="shared" ca="1" si="104"/>
        <v>0</v>
      </c>
      <c r="AC183" s="78">
        <f t="shared" ca="1" si="105"/>
        <v>0</v>
      </c>
      <c r="AD183" s="4">
        <f ca="1">-SUMIFS(INDIRECT("Tab_00.Trial["&amp;AD$4&amp;"]"),Tab_00.Trial[CONTA],$B183)</f>
        <v>-405</v>
      </c>
      <c r="AE183" s="78">
        <f t="shared" ca="1" si="106"/>
        <v>0</v>
      </c>
      <c r="AF183" s="78">
        <f t="shared" ca="1" si="107"/>
        <v>0</v>
      </c>
      <c r="AG183" s="4">
        <f ca="1">-SUMIFS(INDIRECT("Tab_00.Trial["&amp;AG$4&amp;"]"),Tab_00.Trial[CONTA],$B183)</f>
        <v>-405</v>
      </c>
      <c r="AH183" s="78">
        <f t="shared" ca="1" si="108"/>
        <v>0</v>
      </c>
      <c r="AI183" s="78">
        <f t="shared" ca="1" si="109"/>
        <v>0</v>
      </c>
      <c r="AJ183" s="4">
        <f ca="1">-SUMIFS(INDIRECT("Tab_00.Trial["&amp;AJ$4&amp;"]"),Tab_00.Trial[CONTA],$B183)</f>
        <v>-405</v>
      </c>
      <c r="AK183" s="78">
        <f t="shared" ca="1" si="110"/>
        <v>0</v>
      </c>
      <c r="AL183" s="78">
        <f t="shared" ca="1" si="111"/>
        <v>0</v>
      </c>
    </row>
    <row r="184" spans="2:38" ht="15" hidden="1" customHeight="1" outlineLevel="1" x14ac:dyDescent="0.3">
      <c r="B184" s="14" t="s">
        <v>549</v>
      </c>
      <c r="C184" s="14" t="s">
        <v>550</v>
      </c>
      <c r="D184" s="4">
        <f ca="1">-SUMIFS(INDIRECT("Tab_00.Trial["&amp;D$4&amp;"]"),Tab_00.Trial[CONTA],$B184)</f>
        <v>0</v>
      </c>
      <c r="E184" s="78">
        <f t="shared" ca="1" si="146"/>
        <v>0</v>
      </c>
      <c r="F184" s="4">
        <f ca="1">-SUMIFS(INDIRECT("Tab_00.Trial["&amp;F$4&amp;"]"),Tab_00.Trial[CONTA],$B184)</f>
        <v>0</v>
      </c>
      <c r="G184" s="78">
        <f t="shared" ca="1" si="91"/>
        <v>0</v>
      </c>
      <c r="H184" s="78">
        <f t="shared" ca="1" si="147"/>
        <v>0</v>
      </c>
      <c r="I184" s="4">
        <f ca="1">-SUMIFS(INDIRECT("Tab_00.Trial["&amp;I$4&amp;"]"),Tab_00.Trial[CONTA],$B184)</f>
        <v>0</v>
      </c>
      <c r="J184" s="78">
        <f t="shared" ca="1" si="92"/>
        <v>0</v>
      </c>
      <c r="K184" s="78">
        <f t="shared" ca="1" si="93"/>
        <v>0</v>
      </c>
      <c r="L184" s="4">
        <f ca="1">-SUMIFS(INDIRECT("Tab_00.Trial["&amp;L$4&amp;"]"),Tab_00.Trial[CONTA],$B184)</f>
        <v>0</v>
      </c>
      <c r="M184" s="78">
        <f t="shared" ca="1" si="94"/>
        <v>0</v>
      </c>
      <c r="N184" s="78">
        <f t="shared" ca="1" si="95"/>
        <v>0</v>
      </c>
      <c r="O184" s="4">
        <f ca="1">-SUMIFS(INDIRECT("Tab_00.Trial["&amp;O$4&amp;"]"),Tab_00.Trial[CONTA],$B184)</f>
        <v>0</v>
      </c>
      <c r="P184" s="78">
        <f t="shared" ca="1" si="142"/>
        <v>0</v>
      </c>
      <c r="Q184" s="78">
        <f t="shared" ca="1" si="143"/>
        <v>0</v>
      </c>
      <c r="R184" s="4">
        <f ca="1">-SUMIFS(INDIRECT("Tab_00.Trial["&amp;R$4&amp;"]"),Tab_00.Trial[CONTA],$B184)</f>
        <v>0</v>
      </c>
      <c r="S184" s="78">
        <f t="shared" ca="1" si="98"/>
        <v>0</v>
      </c>
      <c r="T184" s="78">
        <f t="shared" ca="1" si="99"/>
        <v>0</v>
      </c>
      <c r="U184" s="4">
        <f ca="1">-SUMIFS(INDIRECT("Tab_00.Trial["&amp;U$4&amp;"]"),Tab_00.Trial[CONTA],$B184)</f>
        <v>0</v>
      </c>
      <c r="V184" s="78">
        <f t="shared" ca="1" si="100"/>
        <v>0</v>
      </c>
      <c r="W184" s="78">
        <f t="shared" ca="1" si="101"/>
        <v>0</v>
      </c>
      <c r="X184" s="4">
        <f ca="1">-SUMIFS(INDIRECT("Tab_00.Trial["&amp;X$4&amp;"]"),Tab_00.Trial[CONTA],$B184)</f>
        <v>0</v>
      </c>
      <c r="Y184" s="78">
        <f t="shared" ca="1" si="144"/>
        <v>0</v>
      </c>
      <c r="Z184" s="78">
        <f t="shared" ca="1" si="145"/>
        <v>0</v>
      </c>
      <c r="AA184" s="4">
        <f ca="1">-SUMIFS(INDIRECT("Tab_00.Trial["&amp;AA$4&amp;"]"),Tab_00.Trial[CONTA],$B184)</f>
        <v>0</v>
      </c>
      <c r="AB184" s="78">
        <f t="shared" ca="1" si="104"/>
        <v>0</v>
      </c>
      <c r="AC184" s="78">
        <f t="shared" ca="1" si="105"/>
        <v>0</v>
      </c>
      <c r="AD184" s="4">
        <f ca="1">-SUMIFS(INDIRECT("Tab_00.Trial["&amp;AD$4&amp;"]"),Tab_00.Trial[CONTA],$B184)</f>
        <v>0</v>
      </c>
      <c r="AE184" s="78">
        <f t="shared" ca="1" si="106"/>
        <v>0</v>
      </c>
      <c r="AF184" s="78">
        <f t="shared" ca="1" si="107"/>
        <v>0</v>
      </c>
      <c r="AG184" s="4">
        <f ca="1">-SUMIFS(INDIRECT("Tab_00.Trial["&amp;AG$4&amp;"]"),Tab_00.Trial[CONTA],$B184)</f>
        <v>0</v>
      </c>
      <c r="AH184" s="78">
        <f t="shared" ca="1" si="108"/>
        <v>0</v>
      </c>
      <c r="AI184" s="78">
        <f t="shared" ca="1" si="109"/>
        <v>0</v>
      </c>
      <c r="AJ184" s="4">
        <f ca="1">-SUMIFS(INDIRECT("Tab_00.Trial["&amp;AJ$4&amp;"]"),Tab_00.Trial[CONTA],$B184)</f>
        <v>0</v>
      </c>
      <c r="AK184" s="78">
        <f t="shared" ca="1" si="110"/>
        <v>0</v>
      </c>
      <c r="AL184" s="78">
        <f t="shared" ca="1" si="111"/>
        <v>0</v>
      </c>
    </row>
    <row r="185" spans="2:38" ht="15" hidden="1" customHeight="1" outlineLevel="1" x14ac:dyDescent="0.3">
      <c r="B185" s="14" t="s">
        <v>834</v>
      </c>
      <c r="C185" s="14" t="s">
        <v>835</v>
      </c>
      <c r="D185" s="4">
        <f ca="1">-SUMIFS(INDIRECT("Tab_00.Trial["&amp;D$4&amp;"]"),Tab_00.Trial[CONTA],$B185)</f>
        <v>189</v>
      </c>
      <c r="E185" s="78">
        <f t="shared" ca="1" si="146"/>
        <v>2.0000000000000001E-4</v>
      </c>
      <c r="F185" s="4">
        <f ca="1">-SUMIFS(INDIRECT("Tab_00.Trial["&amp;F$4&amp;"]"),Tab_00.Trial[CONTA],$B185)</f>
        <v>189</v>
      </c>
      <c r="G185" s="78">
        <f t="shared" ca="1" si="91"/>
        <v>1E-4</v>
      </c>
      <c r="H185" s="78">
        <f t="shared" ca="1" si="147"/>
        <v>0</v>
      </c>
      <c r="I185" s="4">
        <f ca="1">-SUMIFS(INDIRECT("Tab_00.Trial["&amp;I$4&amp;"]"),Tab_00.Trial[CONTA],$B185)</f>
        <v>189</v>
      </c>
      <c r="J185" s="78">
        <f t="shared" ca="1" si="92"/>
        <v>1E-4</v>
      </c>
      <c r="K185" s="78">
        <f t="shared" ca="1" si="93"/>
        <v>0</v>
      </c>
      <c r="L185" s="4">
        <f ca="1">-SUMIFS(INDIRECT("Tab_00.Trial["&amp;L$4&amp;"]"),Tab_00.Trial[CONTA],$B185)</f>
        <v>189</v>
      </c>
      <c r="M185" s="78">
        <f t="shared" ca="1" si="94"/>
        <v>0</v>
      </c>
      <c r="N185" s="78">
        <f t="shared" ca="1" si="95"/>
        <v>0</v>
      </c>
      <c r="O185" s="4">
        <f ca="1">-SUMIFS(INDIRECT("Tab_00.Trial["&amp;O$4&amp;"]"),Tab_00.Trial[CONTA],$B185)</f>
        <v>189</v>
      </c>
      <c r="P185" s="78">
        <f t="shared" ca="1" si="142"/>
        <v>0</v>
      </c>
      <c r="Q185" s="78">
        <f t="shared" ca="1" si="143"/>
        <v>0</v>
      </c>
      <c r="R185" s="4">
        <f ca="1">-SUMIFS(INDIRECT("Tab_00.Trial["&amp;R$4&amp;"]"),Tab_00.Trial[CONTA],$B185)</f>
        <v>189</v>
      </c>
      <c r="S185" s="78">
        <f t="shared" ca="1" si="98"/>
        <v>0</v>
      </c>
      <c r="T185" s="78">
        <f t="shared" ca="1" si="99"/>
        <v>0</v>
      </c>
      <c r="U185" s="4">
        <f ca="1">-SUMIFS(INDIRECT("Tab_00.Trial["&amp;U$4&amp;"]"),Tab_00.Trial[CONTA],$B185)</f>
        <v>189</v>
      </c>
      <c r="V185" s="78">
        <f t="shared" ca="1" si="100"/>
        <v>0</v>
      </c>
      <c r="W185" s="78">
        <f t="shared" ca="1" si="101"/>
        <v>0</v>
      </c>
      <c r="X185" s="4">
        <f ca="1">-SUMIFS(INDIRECT("Tab_00.Trial["&amp;X$4&amp;"]"),Tab_00.Trial[CONTA],$B185)</f>
        <v>189</v>
      </c>
      <c r="Y185" s="78">
        <f t="shared" ca="1" si="144"/>
        <v>0</v>
      </c>
      <c r="Z185" s="78">
        <f t="shared" ca="1" si="145"/>
        <v>0</v>
      </c>
      <c r="AA185" s="4">
        <f ca="1">-SUMIFS(INDIRECT("Tab_00.Trial["&amp;AA$4&amp;"]"),Tab_00.Trial[CONTA],$B185)</f>
        <v>189</v>
      </c>
      <c r="AB185" s="78">
        <f t="shared" ca="1" si="104"/>
        <v>0</v>
      </c>
      <c r="AC185" s="78">
        <f t="shared" ca="1" si="105"/>
        <v>0</v>
      </c>
      <c r="AD185" s="4">
        <f ca="1">-SUMIFS(INDIRECT("Tab_00.Trial["&amp;AD$4&amp;"]"),Tab_00.Trial[CONTA],$B185)</f>
        <v>189</v>
      </c>
      <c r="AE185" s="78">
        <f t="shared" ca="1" si="106"/>
        <v>0</v>
      </c>
      <c r="AF185" s="78">
        <f t="shared" ca="1" si="107"/>
        <v>0</v>
      </c>
      <c r="AG185" s="4">
        <f ca="1">-SUMIFS(INDIRECT("Tab_00.Trial["&amp;AG$4&amp;"]"),Tab_00.Trial[CONTA],$B185)</f>
        <v>189</v>
      </c>
      <c r="AH185" s="78">
        <f t="shared" ca="1" si="108"/>
        <v>0</v>
      </c>
      <c r="AI185" s="78">
        <f t="shared" ca="1" si="109"/>
        <v>0</v>
      </c>
      <c r="AJ185" s="4">
        <f ca="1">-SUMIFS(INDIRECT("Tab_00.Trial["&amp;AJ$4&amp;"]"),Tab_00.Trial[CONTA],$B185)</f>
        <v>189</v>
      </c>
      <c r="AK185" s="78">
        <f t="shared" ca="1" si="110"/>
        <v>0</v>
      </c>
      <c r="AL185" s="78">
        <f t="shared" ca="1" si="111"/>
        <v>0</v>
      </c>
    </row>
    <row r="186" spans="2:38" ht="15" hidden="1" customHeight="1" outlineLevel="1" x14ac:dyDescent="0.3">
      <c r="B186" s="14" t="s">
        <v>830</v>
      </c>
      <c r="C186" s="14" t="s">
        <v>829</v>
      </c>
      <c r="D186" s="4">
        <f ca="1">-SUMIFS(INDIRECT("Tab_00.Trial["&amp;D$4&amp;"]"),Tab_00.Trial[CONTA],$B186)</f>
        <v>0</v>
      </c>
      <c r="E186" s="78">
        <f t="shared" ca="1" si="146"/>
        <v>0</v>
      </c>
      <c r="F186" s="4">
        <f ca="1">-SUMIFS(INDIRECT("Tab_00.Trial["&amp;F$4&amp;"]"),Tab_00.Trial[CONTA],$B186)</f>
        <v>0</v>
      </c>
      <c r="G186" s="78">
        <f t="shared" ca="1" si="91"/>
        <v>0</v>
      </c>
      <c r="H186" s="78">
        <f t="shared" ca="1" si="147"/>
        <v>0</v>
      </c>
      <c r="I186" s="4">
        <f ca="1">-SUMIFS(INDIRECT("Tab_00.Trial["&amp;I$4&amp;"]"),Tab_00.Trial[CONTA],$B186)</f>
        <v>0</v>
      </c>
      <c r="J186" s="78">
        <f t="shared" ca="1" si="92"/>
        <v>0</v>
      </c>
      <c r="K186" s="78">
        <f t="shared" ca="1" si="93"/>
        <v>0</v>
      </c>
      <c r="L186" s="4">
        <f ca="1">-SUMIFS(INDIRECT("Tab_00.Trial["&amp;L$4&amp;"]"),Tab_00.Trial[CONTA],$B186)</f>
        <v>0</v>
      </c>
      <c r="M186" s="78">
        <f t="shared" ca="1" si="94"/>
        <v>0</v>
      </c>
      <c r="N186" s="78">
        <f t="shared" ca="1" si="95"/>
        <v>0</v>
      </c>
      <c r="O186" s="4">
        <f ca="1">-SUMIFS(INDIRECT("Tab_00.Trial["&amp;O$4&amp;"]"),Tab_00.Trial[CONTA],$B186)</f>
        <v>0</v>
      </c>
      <c r="P186" s="78">
        <f t="shared" ca="1" si="142"/>
        <v>0</v>
      </c>
      <c r="Q186" s="78">
        <f t="shared" ca="1" si="143"/>
        <v>0</v>
      </c>
      <c r="R186" s="4">
        <f ca="1">-SUMIFS(INDIRECT("Tab_00.Trial["&amp;R$4&amp;"]"),Tab_00.Trial[CONTA],$B186)</f>
        <v>0</v>
      </c>
      <c r="S186" s="78">
        <f t="shared" ca="1" si="98"/>
        <v>0</v>
      </c>
      <c r="T186" s="78">
        <f t="shared" ca="1" si="99"/>
        <v>0</v>
      </c>
      <c r="U186" s="4">
        <f ca="1">-SUMIFS(INDIRECT("Tab_00.Trial["&amp;U$4&amp;"]"),Tab_00.Trial[CONTA],$B186)</f>
        <v>0</v>
      </c>
      <c r="V186" s="78">
        <f t="shared" ca="1" si="100"/>
        <v>0</v>
      </c>
      <c r="W186" s="78">
        <f t="shared" ca="1" si="101"/>
        <v>0</v>
      </c>
      <c r="X186" s="4">
        <f ca="1">-SUMIFS(INDIRECT("Tab_00.Trial["&amp;X$4&amp;"]"),Tab_00.Trial[CONTA],$B186)</f>
        <v>0</v>
      </c>
      <c r="Y186" s="78">
        <f t="shared" ca="1" si="144"/>
        <v>0</v>
      </c>
      <c r="Z186" s="78">
        <f t="shared" ca="1" si="145"/>
        <v>0</v>
      </c>
      <c r="AA186" s="4">
        <f ca="1">-SUMIFS(INDIRECT("Tab_00.Trial["&amp;AA$4&amp;"]"),Tab_00.Trial[CONTA],$B186)</f>
        <v>0</v>
      </c>
      <c r="AB186" s="78">
        <f t="shared" ca="1" si="104"/>
        <v>0</v>
      </c>
      <c r="AC186" s="78">
        <f t="shared" ca="1" si="105"/>
        <v>0</v>
      </c>
      <c r="AD186" s="4">
        <f ca="1">-SUMIFS(INDIRECT("Tab_00.Trial["&amp;AD$4&amp;"]"),Tab_00.Trial[CONTA],$B186)</f>
        <v>0</v>
      </c>
      <c r="AE186" s="78">
        <f t="shared" ca="1" si="106"/>
        <v>0</v>
      </c>
      <c r="AF186" s="78">
        <f t="shared" ca="1" si="107"/>
        <v>0</v>
      </c>
      <c r="AG186" s="4">
        <f ca="1">-SUMIFS(INDIRECT("Tab_00.Trial["&amp;AG$4&amp;"]"),Tab_00.Trial[CONTA],$B186)</f>
        <v>0</v>
      </c>
      <c r="AH186" s="78">
        <f t="shared" ca="1" si="108"/>
        <v>0</v>
      </c>
      <c r="AI186" s="78">
        <f t="shared" ca="1" si="109"/>
        <v>0</v>
      </c>
      <c r="AJ186" s="4">
        <f ca="1">-SUMIFS(INDIRECT("Tab_00.Trial["&amp;AJ$4&amp;"]"),Tab_00.Trial[CONTA],$B186)</f>
        <v>0</v>
      </c>
      <c r="AK186" s="78">
        <f t="shared" ca="1" si="110"/>
        <v>0</v>
      </c>
      <c r="AL186" s="78">
        <f t="shared" ca="1" si="111"/>
        <v>0</v>
      </c>
    </row>
    <row r="187" spans="2:38" ht="15" hidden="1" customHeight="1" outlineLevel="1" x14ac:dyDescent="0.3">
      <c r="B187" s="14"/>
      <c r="C187" s="14"/>
    </row>
    <row r="188" spans="2:38" ht="5.0999999999999996" hidden="1" customHeight="1" outlineLevel="1" x14ac:dyDescent="0.3">
      <c r="B188" s="74"/>
      <c r="C188" s="75"/>
      <c r="D188" s="76"/>
      <c r="E188" s="77"/>
      <c r="F188" s="76"/>
      <c r="G188" s="77"/>
      <c r="H188" s="77"/>
      <c r="I188" s="76"/>
      <c r="J188" s="77"/>
      <c r="K188" s="77"/>
      <c r="L188" s="76"/>
      <c r="M188" s="77"/>
      <c r="N188" s="77"/>
      <c r="O188" s="76"/>
      <c r="P188" s="77"/>
      <c r="Q188" s="77"/>
      <c r="R188" s="76"/>
      <c r="S188" s="77"/>
      <c r="T188" s="77"/>
      <c r="U188" s="76"/>
      <c r="V188" s="77"/>
      <c r="W188" s="77"/>
      <c r="X188" s="76"/>
      <c r="Y188" s="77"/>
      <c r="Z188" s="77"/>
      <c r="AA188" s="76"/>
      <c r="AB188" s="77"/>
      <c r="AC188" s="77"/>
      <c r="AD188" s="76"/>
      <c r="AE188" s="77"/>
      <c r="AF188" s="77"/>
      <c r="AG188" s="76"/>
      <c r="AH188" s="77"/>
      <c r="AI188" s="77"/>
      <c r="AJ188" s="76"/>
      <c r="AK188" s="77"/>
      <c r="AL188" s="77"/>
    </row>
    <row r="189" spans="2:38" ht="15" customHeight="1" collapsed="1" x14ac:dyDescent="0.3">
      <c r="D189" s="8">
        <f ca="1">SUBTOTAL(9,D$62:D$188)</f>
        <v>-356008.71</v>
      </c>
      <c r="E189" s="83">
        <f ca="1">IFERROR($D189/$D$6,0)</f>
        <v>-0.38150000000000001</v>
      </c>
      <c r="F189" s="8">
        <f ca="1">SUBTOTAL(9,F$62:F$188)</f>
        <v>-623001.53</v>
      </c>
      <c r="G189" s="83">
        <f t="shared" ca="1" si="91"/>
        <v>-0.42730000000000001</v>
      </c>
      <c r="H189" s="83">
        <f ca="1">IFERROR(($F189-$D189)/ABS($D189),0)</f>
        <v>-0.75</v>
      </c>
      <c r="I189" s="8">
        <f ca="1">SUBTOTAL(9,I$62:I$188)</f>
        <v>-1351370.25</v>
      </c>
      <c r="J189" s="83">
        <f t="shared" ca="1" si="92"/>
        <v>-0.46039999999999998</v>
      </c>
      <c r="K189" s="83">
        <f ca="1">IFERROR(($I189-$F189)/ABS($F189),0)</f>
        <v>-1.1691</v>
      </c>
      <c r="L189" s="8">
        <f ca="1">SUBTOTAL(9,L$62:L$188)</f>
        <v>-1714848.12</v>
      </c>
      <c r="M189" s="83">
        <f t="shared" ca="1" si="94"/>
        <v>-0.43569999999999998</v>
      </c>
      <c r="N189" s="83">
        <f ca="1">IFERROR(($L189-$I189)/ABS($I189),0)</f>
        <v>-0.26900000000000002</v>
      </c>
      <c r="O189" s="8">
        <f ca="1">SUBTOTAL(9,O$62:O$188)</f>
        <v>-2058126.9</v>
      </c>
      <c r="P189" s="83">
        <f t="shared" ref="P189" ca="1" si="148">IFERROR($O189/$O$6,0)</f>
        <v>-0.40060000000000001</v>
      </c>
      <c r="Q189" s="83">
        <f ca="1">IFERROR(($O189-$L189)/ABS($L189),0)</f>
        <v>-0.20019999999999999</v>
      </c>
      <c r="R189" s="8">
        <f ca="1">SUBTOTAL(9,R$62:R$188)</f>
        <v>-2833361.15</v>
      </c>
      <c r="S189" s="83">
        <f t="shared" ca="1" si="98"/>
        <v>-0.39419999999999999</v>
      </c>
      <c r="T189" s="83">
        <f ca="1">IFERROR(($R189-$O189)/ABS($O189),0)</f>
        <v>-0.37669999999999998</v>
      </c>
      <c r="U189" s="8">
        <f ca="1">SUBTOTAL(9,U$62:U$188)</f>
        <v>-2833361.15</v>
      </c>
      <c r="V189" s="83">
        <f t="shared" ca="1" si="100"/>
        <v>-0.39419999999999999</v>
      </c>
      <c r="W189" s="83">
        <f ca="1">IFERROR(($U189-$R189)/ABS($R189),0)</f>
        <v>0</v>
      </c>
      <c r="X189" s="8">
        <f ca="1">SUBTOTAL(9,X$62:X$188)</f>
        <v>-2833361.15</v>
      </c>
      <c r="Y189" s="83">
        <f t="shared" ref="Y189" ca="1" si="149">IFERROR($X189/$X$6,0)</f>
        <v>-0.39419999999999999</v>
      </c>
      <c r="Z189" s="83">
        <f ca="1">IFERROR(($X189-$U189)/ABS($U189),0)</f>
        <v>0</v>
      </c>
      <c r="AA189" s="8">
        <f ca="1">SUBTOTAL(9,AA$62:AA$188)</f>
        <v>-3593947.75</v>
      </c>
      <c r="AB189" s="83">
        <f t="shared" ca="1" si="104"/>
        <v>-0.39129999999999998</v>
      </c>
      <c r="AC189" s="83">
        <f ca="1">IFERROR(($AA189-$X189)/ABS($X189),0)</f>
        <v>-0.26840000000000003</v>
      </c>
      <c r="AD189" s="8">
        <f ca="1">SUBTOTAL(9,AD$62:AD$188)</f>
        <v>-3962348.51</v>
      </c>
      <c r="AE189" s="83">
        <f t="shared" ca="1" si="106"/>
        <v>-0.38059999999999999</v>
      </c>
      <c r="AF189" s="83">
        <f ca="1">IFERROR(($AD189-$AA189)/ABS($AA189),0)</f>
        <v>-0.10249999999999999</v>
      </c>
      <c r="AG189" s="8">
        <f ca="1">SUBTOTAL(9,AG$62:AG$188)</f>
        <v>-4349002.3899999997</v>
      </c>
      <c r="AH189" s="83">
        <f t="shared" ca="1" si="108"/>
        <v>-0.38440000000000002</v>
      </c>
      <c r="AI189" s="83">
        <f ca="1">IFERROR(($AG189-$AD189)/ABS($AD189),0)</f>
        <v>-9.7600000000000006E-2</v>
      </c>
      <c r="AJ189" s="8">
        <f ca="1">SUBTOTAL(9,AJ$62:AJ$188)</f>
        <v>-4732996</v>
      </c>
      <c r="AK189" s="83">
        <f t="shared" ca="1" si="110"/>
        <v>-0.37009999999999998</v>
      </c>
      <c r="AL189" s="83">
        <f ca="1">IFERROR(($AJ189-$AG189)/ABS($AG189),0)</f>
        <v>-8.8300000000000003E-2</v>
      </c>
    </row>
    <row r="190" spans="2:38" ht="5.0999999999999996" customHeight="1" x14ac:dyDescent="0.3"/>
    <row r="191" spans="2:38" ht="15" customHeight="1" x14ac:dyDescent="0.3">
      <c r="C191" s="17" t="s">
        <v>84</v>
      </c>
      <c r="D191" s="16">
        <f ca="1">SUBTOTAL(9,D$5:D$190)</f>
        <v>-313631.42</v>
      </c>
      <c r="E191" s="80">
        <f ca="1">IFERROR($D191/$D$6,0)</f>
        <v>-0.33610000000000001</v>
      </c>
      <c r="F191" s="16">
        <f ca="1">SUBTOTAL(9,F$5:F$190)</f>
        <v>-263295.68</v>
      </c>
      <c r="G191" s="80">
        <f ca="1">IFERROR($F191/$F$6,0)</f>
        <v>-0.18060000000000001</v>
      </c>
      <c r="H191" s="80">
        <f ca="1">IFERROR(($F191-$D191)/ABS($D191),0)</f>
        <v>0.1605</v>
      </c>
      <c r="I191" s="16">
        <f ca="1">SUBTOTAL(9,I$5:I$190)</f>
        <v>-798736.76</v>
      </c>
      <c r="J191" s="80">
        <f ca="1">IFERROR($I191/$I$6,0)</f>
        <v>-0.27210000000000001</v>
      </c>
      <c r="K191" s="80">
        <f t="shared" ref="K191" ca="1" si="150">IFERROR(($I191-$F191)/ABS($F191),0)</f>
        <v>-2.0335999999999999</v>
      </c>
      <c r="L191" s="16">
        <f ca="1">SUBTOTAL(9,L$5:L$190)</f>
        <v>-860189.33</v>
      </c>
      <c r="M191" s="80">
        <f ca="1">IFERROR($L191/$L$6,0)</f>
        <v>-0.2185</v>
      </c>
      <c r="N191" s="80">
        <f t="shared" ref="N191" ca="1" si="151">IFERROR(($L191-$I191)/ABS($I191),0)</f>
        <v>-7.6899999999999996E-2</v>
      </c>
      <c r="O191" s="16">
        <f ca="1">SUBTOTAL(9,O$5:O$190)</f>
        <v>-723461.87</v>
      </c>
      <c r="P191" s="80">
        <f ca="1">IFERROR($O191/$O$6,0)</f>
        <v>-0.14080000000000001</v>
      </c>
      <c r="Q191" s="80">
        <f t="shared" ref="Q191" ca="1" si="152">IFERROR(($O191-$L191)/ABS($L191),0)</f>
        <v>0.159</v>
      </c>
      <c r="R191" s="16">
        <f ca="1">SUBTOTAL(9,R$5:R$190)</f>
        <v>-600669.98</v>
      </c>
      <c r="S191" s="80">
        <f ca="1">IFERROR($R191/$R$6,0)</f>
        <v>-8.3599999999999994E-2</v>
      </c>
      <c r="T191" s="80">
        <f t="shared" ref="T191" ca="1" si="153">IFERROR(($R191-$O191)/ABS($O191),0)</f>
        <v>0.16969999999999999</v>
      </c>
      <c r="U191" s="16">
        <f ca="1">SUBTOTAL(9,U$5:U$190)</f>
        <v>-600669.98</v>
      </c>
      <c r="V191" s="80">
        <f ca="1">IFERROR($U191/$U$6,0)</f>
        <v>-8.3599999999999994E-2</v>
      </c>
      <c r="W191" s="80">
        <f t="shared" ref="W191" ca="1" si="154">IFERROR(($U191-$R191)/ABS($R191),0)</f>
        <v>0</v>
      </c>
      <c r="X191" s="16">
        <f ca="1">SUBTOTAL(9,X$5:X$190)</f>
        <v>-600669.98</v>
      </c>
      <c r="Y191" s="80">
        <f ca="1">IFERROR($X191/$X$6,0)</f>
        <v>-8.3599999999999994E-2</v>
      </c>
      <c r="Z191" s="80">
        <f t="shared" ref="Z191" ca="1" si="155">IFERROR(($X191-$U191)/ABS($U191),0)</f>
        <v>0</v>
      </c>
      <c r="AA191" s="16">
        <f ca="1">SUBTOTAL(9,AA$5:AA$190)</f>
        <v>-677878.73</v>
      </c>
      <c r="AB191" s="80">
        <f ca="1">IFERROR($AA191/$AA$6,0)</f>
        <v>-7.3800000000000004E-2</v>
      </c>
      <c r="AC191" s="80">
        <f t="shared" ref="AC191" ca="1" si="156">IFERROR(($AA191-$X191)/ABS($X191),0)</f>
        <v>-0.1285</v>
      </c>
      <c r="AD191" s="16">
        <f ca="1">SUBTOTAL(9,AD$5:AD$190)</f>
        <v>-661541.46</v>
      </c>
      <c r="AE191" s="80">
        <f ca="1">IFERROR($AD191/$AD$6,0)</f>
        <v>-6.3500000000000001E-2</v>
      </c>
      <c r="AF191" s="80">
        <f t="shared" ref="AF191" ca="1" si="157">IFERROR(($AD191-$AA191)/ABS($AA191),0)</f>
        <v>2.41E-2</v>
      </c>
      <c r="AG191" s="16">
        <f ca="1">SUBTOTAL(9,AG$5:AG$190)</f>
        <v>-490193.09</v>
      </c>
      <c r="AH191" s="80">
        <f ca="1">IFERROR($AG191/$AG$6,0)</f>
        <v>-4.3299999999999998E-2</v>
      </c>
      <c r="AI191" s="80">
        <f t="shared" ref="AI191" ca="1" si="158">IFERROR(($AG191-$AD191)/ABS($AD191),0)</f>
        <v>0.25900000000000001</v>
      </c>
      <c r="AJ191" s="16">
        <f ca="1">SUBTOTAL(9,AJ$5:AJ$190)</f>
        <v>-885030.74</v>
      </c>
      <c r="AK191" s="80">
        <f ca="1">IFERROR($AJ191/$AJ$6,0)</f>
        <v>-6.9199999999999998E-2</v>
      </c>
      <c r="AL191" s="80">
        <f t="shared" ref="AL191" ca="1" si="159">IFERROR(($AJ191-$AG191)/ABS($AG191),0)</f>
        <v>-0.80549999999999999</v>
      </c>
    </row>
    <row r="192" spans="2:38" ht="5.0999999999999996" customHeight="1" x14ac:dyDescent="0.3"/>
    <row r="193" spans="2:38" ht="15" customHeight="1" x14ac:dyDescent="0.3">
      <c r="C193" s="17" t="s">
        <v>68</v>
      </c>
    </row>
    <row r="194" spans="2:38" ht="15" customHeight="1" collapsed="1" x14ac:dyDescent="0.3">
      <c r="B194" s="3" t="s">
        <v>67</v>
      </c>
      <c r="C194" s="3" t="s">
        <v>70</v>
      </c>
      <c r="D194" s="4">
        <f ca="1">SUBTOTAL(9,D$195:D$200)</f>
        <v>-662.87</v>
      </c>
      <c r="E194" s="78">
        <f t="shared" ref="E194:E199" ca="1" si="160">IFERROR($D194/$D$6,0)</f>
        <v>-6.9999999999999999E-4</v>
      </c>
      <c r="F194" s="4">
        <f ca="1">SUBTOTAL(9,F$195:F$200)</f>
        <v>-1282.48</v>
      </c>
      <c r="G194" s="78">
        <f t="shared" ref="G194:G199" ca="1" si="161">IFERROR($F194/$F$6,0)</f>
        <v>-8.9999999999999998E-4</v>
      </c>
      <c r="H194" s="78">
        <f t="shared" ref="H194:H199" ca="1" si="162">IFERROR(($F194-$D194)/ABS($D194),0)</f>
        <v>-0.93469999999999998</v>
      </c>
      <c r="I194" s="4">
        <f ca="1">SUBTOTAL(9,I$195:I$200)</f>
        <v>-1897.18</v>
      </c>
      <c r="J194" s="78">
        <f t="shared" ref="J194:J199" ca="1" si="163">IFERROR($I194/$I$6,0)</f>
        <v>-5.9999999999999995E-4</v>
      </c>
      <c r="K194" s="78">
        <f t="shared" ref="K194:K199" ca="1" si="164">IFERROR(($I194-$F194)/ABS($F194),0)</f>
        <v>-0.4793</v>
      </c>
      <c r="L194" s="4">
        <f ca="1">SUBTOTAL(9,L$195:L$200)</f>
        <v>-2963.74</v>
      </c>
      <c r="M194" s="78">
        <f t="shared" ref="M194:M199" ca="1" si="165">IFERROR($L194/$L$6,0)</f>
        <v>-8.0000000000000004E-4</v>
      </c>
      <c r="N194" s="78">
        <f t="shared" ref="N194:N199" ca="1" si="166">IFERROR(($L194-$I194)/ABS($I194),0)</f>
        <v>-0.56220000000000003</v>
      </c>
      <c r="O194" s="4">
        <f ca="1">SUBTOTAL(9,O$195:O$200)</f>
        <v>-3420.35</v>
      </c>
      <c r="P194" s="78">
        <f t="shared" ref="P194:P199" ca="1" si="167">IFERROR($O194/$O$6,0)</f>
        <v>-6.9999999999999999E-4</v>
      </c>
      <c r="Q194" s="78">
        <f t="shared" ref="Q194:Q199" ca="1" si="168">IFERROR(($O194-$L194)/ABS($L194),0)</f>
        <v>-0.15409999999999999</v>
      </c>
      <c r="R194" s="4">
        <f ca="1">SUBTOTAL(9,R$195:R$200)</f>
        <v>-4253</v>
      </c>
      <c r="S194" s="78">
        <f t="shared" ref="S194:S199" ca="1" si="169">IFERROR($R194/$R$6,0)</f>
        <v>-5.9999999999999995E-4</v>
      </c>
      <c r="T194" s="78">
        <f t="shared" ref="T194:T199" ca="1" si="170">IFERROR(($R194-$O194)/ABS($O194),0)</f>
        <v>-0.24340000000000001</v>
      </c>
      <c r="U194" s="4">
        <f ca="1">SUBTOTAL(9,U$195:U$200)</f>
        <v>-4253</v>
      </c>
      <c r="V194" s="78">
        <f t="shared" ref="V194:V199" ca="1" si="171">IFERROR($U194/$U$6,0)</f>
        <v>-5.9999999999999995E-4</v>
      </c>
      <c r="W194" s="78">
        <f t="shared" ref="W194:W199" ca="1" si="172">IFERROR(($U194-$R194)/ABS($R194),0)</f>
        <v>0</v>
      </c>
      <c r="X194" s="4">
        <f ca="1">SUBTOTAL(9,X$195:X$200)</f>
        <v>-4253</v>
      </c>
      <c r="Y194" s="78">
        <f t="shared" ref="Y194:Y199" ca="1" si="173">IFERROR($X194/$X$6,0)</f>
        <v>-5.9999999999999995E-4</v>
      </c>
      <c r="Z194" s="78">
        <f t="shared" ref="Z194:Z199" ca="1" si="174">IFERROR(($X194-$U194)/ABS($U194),0)</f>
        <v>0</v>
      </c>
      <c r="AA194" s="4">
        <f ca="1">SUBTOTAL(9,AA$195:AA$200)</f>
        <v>-10220.11</v>
      </c>
      <c r="AB194" s="78">
        <f t="shared" ref="AB194:AB199" ca="1" si="175">IFERROR($AA194/$AA$6,0)</f>
        <v>-1.1000000000000001E-3</v>
      </c>
      <c r="AC194" s="78">
        <f t="shared" ref="AC194:AC199" ca="1" si="176">IFERROR(($AA194-$X194)/ABS($X194),0)</f>
        <v>-1.403</v>
      </c>
      <c r="AD194" s="4">
        <f ca="1">SUBTOTAL(9,AD$195:AD$200)</f>
        <v>-13236.79</v>
      </c>
      <c r="AE194" s="78">
        <f t="shared" ref="AE194:AE199" ca="1" si="177">IFERROR($AD194/$AD$6,0)</f>
        <v>-1.2999999999999999E-3</v>
      </c>
      <c r="AF194" s="78">
        <f t="shared" ref="AF194:AF199" ca="1" si="178">IFERROR(($AD194-$AA194)/ABS($AA194),0)</f>
        <v>-0.29520000000000002</v>
      </c>
      <c r="AG194" s="4">
        <f ca="1">SUBTOTAL(9,AG$195:AG$200)</f>
        <v>-16159.88</v>
      </c>
      <c r="AH194" s="78">
        <f t="shared" ref="AH194:AH199" ca="1" si="179">IFERROR($AG194/$AG$6,0)</f>
        <v>-1.4E-3</v>
      </c>
      <c r="AI194" s="78">
        <f t="shared" ref="AI194:AI199" ca="1" si="180">IFERROR(($AG194-$AD194)/ABS($AD194),0)</f>
        <v>-0.2208</v>
      </c>
      <c r="AJ194" s="4">
        <f ca="1">SUBTOTAL(9,AJ$195:AJ$200)</f>
        <v>-18976.77</v>
      </c>
      <c r="AK194" s="78">
        <f t="shared" ref="AK194:AK199" ca="1" si="181">IFERROR($AJ194/$AJ$6,0)</f>
        <v>-1.5E-3</v>
      </c>
      <c r="AL194" s="78">
        <f t="shared" ref="AL194:AL199" ca="1" si="182">IFERROR(($AJ194-$AG194)/ABS($AG194),0)</f>
        <v>-0.17430000000000001</v>
      </c>
    </row>
    <row r="195" spans="2:38" ht="15" hidden="1" customHeight="1" outlineLevel="1" x14ac:dyDescent="0.3">
      <c r="B195" s="14" t="s">
        <v>503</v>
      </c>
      <c r="C195" s="14" t="s">
        <v>504</v>
      </c>
      <c r="D195" s="4">
        <f ca="1">-SUMIFS(INDIRECT("Tab_00.Trial["&amp;D$4&amp;"]"),Tab_00.Trial[CONTA],$B195)</f>
        <v>-662.87</v>
      </c>
      <c r="E195" s="78">
        <f t="shared" ca="1" si="160"/>
        <v>-6.9999999999999999E-4</v>
      </c>
      <c r="F195" s="4">
        <f ca="1">-SUMIFS(INDIRECT("Tab_00.Trial["&amp;F$4&amp;"]"),Tab_00.Trial[CONTA],$B195)</f>
        <v>-1267.1500000000001</v>
      </c>
      <c r="G195" s="78">
        <f t="shared" ca="1" si="161"/>
        <v>-8.9999999999999998E-4</v>
      </c>
      <c r="H195" s="78">
        <f t="shared" ca="1" si="162"/>
        <v>-0.91159999999999997</v>
      </c>
      <c r="I195" s="4">
        <f ca="1">-SUMIFS(INDIRECT("Tab_00.Trial["&amp;I$4&amp;"]"),Tab_00.Trial[CONTA],$B195)</f>
        <v>-1866.52</v>
      </c>
      <c r="J195" s="78">
        <f t="shared" ca="1" si="163"/>
        <v>-5.9999999999999995E-4</v>
      </c>
      <c r="K195" s="78">
        <f t="shared" ca="1" si="164"/>
        <v>-0.47299999999999998</v>
      </c>
      <c r="L195" s="4">
        <f ca="1">-SUMIFS(INDIRECT("Tab_00.Trial["&amp;L$4&amp;"]"),Tab_00.Trial[CONTA],$B195)</f>
        <v>-2507.63</v>
      </c>
      <c r="M195" s="78">
        <f t="shared" ca="1" si="165"/>
        <v>-5.9999999999999995E-4</v>
      </c>
      <c r="N195" s="78">
        <f t="shared" ca="1" si="166"/>
        <v>-0.34350000000000003</v>
      </c>
      <c r="O195" s="4">
        <f ca="1">-SUMIFS(INDIRECT("Tab_00.Trial["&amp;O$4&amp;"]"),Tab_00.Trial[CONTA],$B195)</f>
        <v>-2964.24</v>
      </c>
      <c r="P195" s="78">
        <f t="shared" ca="1" si="167"/>
        <v>-5.9999999999999995E-4</v>
      </c>
      <c r="Q195" s="78">
        <f t="shared" ca="1" si="168"/>
        <v>-0.18210000000000001</v>
      </c>
      <c r="R195" s="4">
        <f ca="1">-SUMIFS(INDIRECT("Tab_00.Trial["&amp;R$4&amp;"]"),Tab_00.Trial[CONTA],$B195)</f>
        <v>-3683.93</v>
      </c>
      <c r="S195" s="78">
        <f t="shared" ca="1" si="169"/>
        <v>-5.0000000000000001E-4</v>
      </c>
      <c r="T195" s="78">
        <f t="shared" ca="1" si="170"/>
        <v>-0.24279999999999999</v>
      </c>
      <c r="U195" s="4">
        <f ca="1">-SUMIFS(INDIRECT("Tab_00.Trial["&amp;U$4&amp;"]"),Tab_00.Trial[CONTA],$B195)</f>
        <v>-3683.93</v>
      </c>
      <c r="V195" s="78">
        <f t="shared" ca="1" si="171"/>
        <v>-5.0000000000000001E-4</v>
      </c>
      <c r="W195" s="78">
        <f t="shared" ca="1" si="172"/>
        <v>0</v>
      </c>
      <c r="X195" s="4">
        <f ca="1">-SUMIFS(INDIRECT("Tab_00.Trial["&amp;X$4&amp;"]"),Tab_00.Trial[CONTA],$B195)</f>
        <v>-3683.93</v>
      </c>
      <c r="Y195" s="78">
        <f t="shared" ca="1" si="173"/>
        <v>-5.0000000000000001E-4</v>
      </c>
      <c r="Z195" s="78">
        <f t="shared" ca="1" si="174"/>
        <v>0</v>
      </c>
      <c r="AA195" s="4">
        <f ca="1">-SUMIFS(INDIRECT("Tab_00.Trial["&amp;AA$4&amp;"]"),Tab_00.Trial[CONTA],$B195)</f>
        <v>-9529.7800000000007</v>
      </c>
      <c r="AB195" s="78">
        <f t="shared" ca="1" si="175"/>
        <v>-1E-3</v>
      </c>
      <c r="AC195" s="78">
        <f t="shared" ca="1" si="176"/>
        <v>-1.5869</v>
      </c>
      <c r="AD195" s="4">
        <f ca="1">-SUMIFS(INDIRECT("Tab_00.Trial["&amp;AD$4&amp;"]"),Tab_00.Trial[CONTA],$B195)</f>
        <v>-12546.46</v>
      </c>
      <c r="AE195" s="78">
        <f t="shared" ca="1" si="177"/>
        <v>-1.1999999999999999E-3</v>
      </c>
      <c r="AF195" s="78">
        <f t="shared" ca="1" si="178"/>
        <v>-0.31659999999999999</v>
      </c>
      <c r="AG195" s="4">
        <f ca="1">-SUMIFS(INDIRECT("Tab_00.Trial["&amp;AG$4&amp;"]"),Tab_00.Trial[CONTA],$B195)</f>
        <v>-15313.37</v>
      </c>
      <c r="AH195" s="78">
        <f t="shared" ca="1" si="179"/>
        <v>-1.4E-3</v>
      </c>
      <c r="AI195" s="78">
        <f t="shared" ca="1" si="180"/>
        <v>-0.2205</v>
      </c>
      <c r="AJ195" s="4">
        <f ca="1">-SUMIFS(INDIRECT("Tab_00.Trial["&amp;AJ$4&amp;"]"),Tab_00.Trial[CONTA],$B195)</f>
        <v>-18105.64</v>
      </c>
      <c r="AK195" s="78">
        <f t="shared" ca="1" si="181"/>
        <v>-1.4E-3</v>
      </c>
      <c r="AL195" s="78">
        <f t="shared" ca="1" si="182"/>
        <v>-0.18229999999999999</v>
      </c>
    </row>
    <row r="196" spans="2:38" ht="15" hidden="1" customHeight="1" outlineLevel="1" x14ac:dyDescent="0.3">
      <c r="B196" s="14" t="s">
        <v>505</v>
      </c>
      <c r="C196" s="14" t="s">
        <v>506</v>
      </c>
      <c r="D196" s="4">
        <f ca="1">-SUMIFS(INDIRECT("Tab_00.Trial["&amp;D$4&amp;"]"),Tab_00.Trial[CONTA],$B196)</f>
        <v>0</v>
      </c>
      <c r="E196" s="78">
        <f t="shared" ca="1" si="160"/>
        <v>0</v>
      </c>
      <c r="F196" s="4">
        <f ca="1">-SUMIFS(INDIRECT("Tab_00.Trial["&amp;F$4&amp;"]"),Tab_00.Trial[CONTA],$B196)</f>
        <v>0</v>
      </c>
      <c r="G196" s="78">
        <f t="shared" ca="1" si="161"/>
        <v>0</v>
      </c>
      <c r="H196" s="78">
        <f t="shared" ca="1" si="162"/>
        <v>0</v>
      </c>
      <c r="I196" s="4">
        <f ca="1">-SUMIFS(INDIRECT("Tab_00.Trial["&amp;I$4&amp;"]"),Tab_00.Trial[CONTA],$B196)</f>
        <v>0</v>
      </c>
      <c r="J196" s="78">
        <f t="shared" ca="1" si="163"/>
        <v>0</v>
      </c>
      <c r="K196" s="78">
        <f t="shared" ca="1" si="164"/>
        <v>0</v>
      </c>
      <c r="L196" s="4">
        <f ca="1">-SUMIFS(INDIRECT("Tab_00.Trial["&amp;L$4&amp;"]"),Tab_00.Trial[CONTA],$B196)</f>
        <v>0</v>
      </c>
      <c r="M196" s="78">
        <f t="shared" ca="1" si="165"/>
        <v>0</v>
      </c>
      <c r="N196" s="78">
        <f t="shared" ca="1" si="166"/>
        <v>0</v>
      </c>
      <c r="O196" s="4">
        <f ca="1">-SUMIFS(INDIRECT("Tab_00.Trial["&amp;O$4&amp;"]"),Tab_00.Trial[CONTA],$B196)</f>
        <v>0</v>
      </c>
      <c r="P196" s="78">
        <f t="shared" ca="1" si="167"/>
        <v>0</v>
      </c>
      <c r="Q196" s="78">
        <f t="shared" ca="1" si="168"/>
        <v>0</v>
      </c>
      <c r="R196" s="4">
        <f ca="1">-SUMIFS(INDIRECT("Tab_00.Trial["&amp;R$4&amp;"]"),Tab_00.Trial[CONTA],$B196)</f>
        <v>0</v>
      </c>
      <c r="S196" s="78">
        <f t="shared" ca="1" si="169"/>
        <v>0</v>
      </c>
      <c r="T196" s="78">
        <f t="shared" ca="1" si="170"/>
        <v>0</v>
      </c>
      <c r="U196" s="4">
        <f ca="1">-SUMIFS(INDIRECT("Tab_00.Trial["&amp;U$4&amp;"]"),Tab_00.Trial[CONTA],$B196)</f>
        <v>0</v>
      </c>
      <c r="V196" s="78">
        <f t="shared" ca="1" si="171"/>
        <v>0</v>
      </c>
      <c r="W196" s="78">
        <f t="shared" ca="1" si="172"/>
        <v>0</v>
      </c>
      <c r="X196" s="4">
        <f ca="1">-SUMIFS(INDIRECT("Tab_00.Trial["&amp;X$4&amp;"]"),Tab_00.Trial[CONTA],$B196)</f>
        <v>0</v>
      </c>
      <c r="Y196" s="78">
        <f t="shared" ca="1" si="173"/>
        <v>0</v>
      </c>
      <c r="Z196" s="78">
        <f t="shared" ca="1" si="174"/>
        <v>0</v>
      </c>
      <c r="AA196" s="4">
        <f ca="1">-SUMIFS(INDIRECT("Tab_00.Trial["&amp;AA$4&amp;"]"),Tab_00.Trial[CONTA],$B196)</f>
        <v>-20.16</v>
      </c>
      <c r="AB196" s="78">
        <f t="shared" ca="1" si="175"/>
        <v>0</v>
      </c>
      <c r="AC196" s="78">
        <f t="shared" ca="1" si="176"/>
        <v>0</v>
      </c>
      <c r="AD196" s="4">
        <f ca="1">-SUMIFS(INDIRECT("Tab_00.Trial["&amp;AD$4&amp;"]"),Tab_00.Trial[CONTA],$B196)</f>
        <v>-20.16</v>
      </c>
      <c r="AE196" s="78">
        <f t="shared" ca="1" si="177"/>
        <v>0</v>
      </c>
      <c r="AF196" s="78">
        <f t="shared" ca="1" si="178"/>
        <v>0</v>
      </c>
      <c r="AG196" s="4">
        <f ca="1">-SUMIFS(INDIRECT("Tab_00.Trial["&amp;AG$4&amp;"]"),Tab_00.Trial[CONTA],$B196)</f>
        <v>-159.69999999999999</v>
      </c>
      <c r="AH196" s="78">
        <f t="shared" ca="1" si="179"/>
        <v>0</v>
      </c>
      <c r="AI196" s="78">
        <f t="shared" ca="1" si="180"/>
        <v>-6.9215999999999998</v>
      </c>
      <c r="AJ196" s="4">
        <f ca="1">-SUMIFS(INDIRECT("Tab_00.Trial["&amp;AJ$4&amp;"]"),Tab_00.Trial[CONTA],$B196)</f>
        <v>-159.69999999999999</v>
      </c>
      <c r="AK196" s="78">
        <f t="shared" ca="1" si="181"/>
        <v>0</v>
      </c>
      <c r="AL196" s="78">
        <f t="shared" ca="1" si="182"/>
        <v>0</v>
      </c>
    </row>
    <row r="197" spans="2:38" ht="15" hidden="1" customHeight="1" outlineLevel="1" x14ac:dyDescent="0.3">
      <c r="B197" s="14" t="s">
        <v>524</v>
      </c>
      <c r="C197" s="14" t="s">
        <v>525</v>
      </c>
      <c r="D197" s="4">
        <f ca="1">-SUMIFS(INDIRECT("Tab_00.Trial["&amp;D$4&amp;"]"),Tab_00.Trial[CONTA],$B197)</f>
        <v>0</v>
      </c>
      <c r="E197" s="78">
        <f t="shared" ca="1" si="160"/>
        <v>0</v>
      </c>
      <c r="F197" s="4">
        <f ca="1">-SUMIFS(INDIRECT("Tab_00.Trial["&amp;F$4&amp;"]"),Tab_00.Trial[CONTA],$B197)</f>
        <v>-15.33</v>
      </c>
      <c r="G197" s="78">
        <f t="shared" ca="1" si="161"/>
        <v>0</v>
      </c>
      <c r="H197" s="78">
        <f t="shared" ca="1" si="162"/>
        <v>0</v>
      </c>
      <c r="I197" s="4">
        <f ca="1">-SUMIFS(INDIRECT("Tab_00.Trial["&amp;I$4&amp;"]"),Tab_00.Trial[CONTA],$B197)</f>
        <v>-30.66</v>
      </c>
      <c r="J197" s="78">
        <f t="shared" ca="1" si="163"/>
        <v>0</v>
      </c>
      <c r="K197" s="78">
        <f t="shared" ca="1" si="164"/>
        <v>-1</v>
      </c>
      <c r="L197" s="4">
        <f ca="1">-SUMIFS(INDIRECT("Tab_00.Trial["&amp;L$4&amp;"]"),Tab_00.Trial[CONTA],$B197)</f>
        <v>-456.11</v>
      </c>
      <c r="M197" s="78">
        <f t="shared" ca="1" si="165"/>
        <v>-1E-4</v>
      </c>
      <c r="N197" s="78">
        <f t="shared" ca="1" si="166"/>
        <v>-13.8764</v>
      </c>
      <c r="O197" s="4">
        <f ca="1">-SUMIFS(INDIRECT("Tab_00.Trial["&amp;O$4&amp;"]"),Tab_00.Trial[CONTA],$B197)</f>
        <v>-456.11</v>
      </c>
      <c r="P197" s="78">
        <f t="shared" ca="1" si="167"/>
        <v>-1E-4</v>
      </c>
      <c r="Q197" s="78">
        <f t="shared" ca="1" si="168"/>
        <v>0</v>
      </c>
      <c r="R197" s="4">
        <f ca="1">-SUMIFS(INDIRECT("Tab_00.Trial["&amp;R$4&amp;"]"),Tab_00.Trial[CONTA],$B197)</f>
        <v>-569.07000000000005</v>
      </c>
      <c r="S197" s="78">
        <f t="shared" ca="1" si="169"/>
        <v>-1E-4</v>
      </c>
      <c r="T197" s="78">
        <f t="shared" ca="1" si="170"/>
        <v>-0.2477</v>
      </c>
      <c r="U197" s="4">
        <f ca="1">-SUMIFS(INDIRECT("Tab_00.Trial["&amp;U$4&amp;"]"),Tab_00.Trial[CONTA],$B197)</f>
        <v>-569.07000000000005</v>
      </c>
      <c r="V197" s="78">
        <f t="shared" ca="1" si="171"/>
        <v>-1E-4</v>
      </c>
      <c r="W197" s="78">
        <f t="shared" ca="1" si="172"/>
        <v>0</v>
      </c>
      <c r="X197" s="4">
        <f ca="1">-SUMIFS(INDIRECT("Tab_00.Trial["&amp;X$4&amp;"]"),Tab_00.Trial[CONTA],$B197)</f>
        <v>-569.07000000000005</v>
      </c>
      <c r="Y197" s="78">
        <f t="shared" ca="1" si="173"/>
        <v>-1E-4</v>
      </c>
      <c r="Z197" s="78">
        <f t="shared" ca="1" si="174"/>
        <v>0</v>
      </c>
      <c r="AA197" s="4">
        <f ca="1">-SUMIFS(INDIRECT("Tab_00.Trial["&amp;AA$4&amp;"]"),Tab_00.Trial[CONTA],$B197)</f>
        <v>-670.17</v>
      </c>
      <c r="AB197" s="78">
        <f t="shared" ca="1" si="175"/>
        <v>-1E-4</v>
      </c>
      <c r="AC197" s="78">
        <f t="shared" ca="1" si="176"/>
        <v>-0.1777</v>
      </c>
      <c r="AD197" s="4">
        <f ca="1">-SUMIFS(INDIRECT("Tab_00.Trial["&amp;AD$4&amp;"]"),Tab_00.Trial[CONTA],$B197)</f>
        <v>-670.17</v>
      </c>
      <c r="AE197" s="78">
        <f t="shared" ca="1" si="177"/>
        <v>-1E-4</v>
      </c>
      <c r="AF197" s="78">
        <f t="shared" ca="1" si="178"/>
        <v>0</v>
      </c>
      <c r="AG197" s="4">
        <f ca="1">-SUMIFS(INDIRECT("Tab_00.Trial["&amp;AG$4&amp;"]"),Tab_00.Trial[CONTA],$B197)</f>
        <v>-686.81</v>
      </c>
      <c r="AH197" s="78">
        <f t="shared" ca="1" si="179"/>
        <v>-1E-4</v>
      </c>
      <c r="AI197" s="78">
        <f t="shared" ca="1" si="180"/>
        <v>-2.4799999999999999E-2</v>
      </c>
      <c r="AJ197" s="4">
        <f ca="1">-SUMIFS(INDIRECT("Tab_00.Trial["&amp;AJ$4&amp;"]"),Tab_00.Trial[CONTA],$B197)</f>
        <v>-711.43</v>
      </c>
      <c r="AK197" s="78">
        <f t="shared" ca="1" si="181"/>
        <v>-1E-4</v>
      </c>
      <c r="AL197" s="78">
        <f t="shared" ca="1" si="182"/>
        <v>-3.5799999999999998E-2</v>
      </c>
    </row>
    <row r="198" spans="2:38" ht="15" hidden="1" customHeight="1" outlineLevel="1" x14ac:dyDescent="0.3">
      <c r="B198" s="14" t="s">
        <v>545</v>
      </c>
      <c r="C198" s="14" t="s">
        <v>546</v>
      </c>
      <c r="D198" s="4">
        <f ca="1">-SUMIFS(INDIRECT("Tab_00.Trial["&amp;D$4&amp;"]"),Tab_00.Trial[CONTA],$B198)</f>
        <v>0</v>
      </c>
      <c r="E198" s="78">
        <f t="shared" ca="1" si="160"/>
        <v>0</v>
      </c>
      <c r="F198" s="4">
        <f ca="1">-SUMIFS(INDIRECT("Tab_00.Trial["&amp;F$4&amp;"]"),Tab_00.Trial[CONTA],$B198)</f>
        <v>0</v>
      </c>
      <c r="G198" s="78">
        <f t="shared" ca="1" si="161"/>
        <v>0</v>
      </c>
      <c r="H198" s="78">
        <f t="shared" ca="1" si="162"/>
        <v>0</v>
      </c>
      <c r="I198" s="4">
        <f ca="1">-SUMIFS(INDIRECT("Tab_00.Trial["&amp;I$4&amp;"]"),Tab_00.Trial[CONTA],$B198)</f>
        <v>0</v>
      </c>
      <c r="J198" s="78">
        <f t="shared" ca="1" si="163"/>
        <v>0</v>
      </c>
      <c r="K198" s="78">
        <f t="shared" ca="1" si="164"/>
        <v>0</v>
      </c>
      <c r="L198" s="4">
        <f ca="1">-SUMIFS(INDIRECT("Tab_00.Trial["&amp;L$4&amp;"]"),Tab_00.Trial[CONTA],$B198)</f>
        <v>0</v>
      </c>
      <c r="M198" s="78">
        <f t="shared" ca="1" si="165"/>
        <v>0</v>
      </c>
      <c r="N198" s="78">
        <f t="shared" ca="1" si="166"/>
        <v>0</v>
      </c>
      <c r="O198" s="4">
        <f ca="1">-SUMIFS(INDIRECT("Tab_00.Trial["&amp;O$4&amp;"]"),Tab_00.Trial[CONTA],$B198)</f>
        <v>0</v>
      </c>
      <c r="P198" s="78">
        <f t="shared" ca="1" si="167"/>
        <v>0</v>
      </c>
      <c r="Q198" s="78">
        <f t="shared" ca="1" si="168"/>
        <v>0</v>
      </c>
      <c r="R198" s="4">
        <f ca="1">-SUMIFS(INDIRECT("Tab_00.Trial["&amp;R$4&amp;"]"),Tab_00.Trial[CONTA],$B198)</f>
        <v>0</v>
      </c>
      <c r="S198" s="78">
        <f t="shared" ca="1" si="169"/>
        <v>0</v>
      </c>
      <c r="T198" s="78">
        <f t="shared" ca="1" si="170"/>
        <v>0</v>
      </c>
      <c r="U198" s="4">
        <f ca="1">-SUMIFS(INDIRECT("Tab_00.Trial["&amp;U$4&amp;"]"),Tab_00.Trial[CONTA],$B198)</f>
        <v>0</v>
      </c>
      <c r="V198" s="78">
        <f t="shared" ca="1" si="171"/>
        <v>0</v>
      </c>
      <c r="W198" s="78">
        <f t="shared" ca="1" si="172"/>
        <v>0</v>
      </c>
      <c r="X198" s="4">
        <f ca="1">-SUMIFS(INDIRECT("Tab_00.Trial["&amp;X$4&amp;"]"),Tab_00.Trial[CONTA],$B198)</f>
        <v>0</v>
      </c>
      <c r="Y198" s="78">
        <f t="shared" ca="1" si="173"/>
        <v>0</v>
      </c>
      <c r="Z198" s="78">
        <f t="shared" ca="1" si="174"/>
        <v>0</v>
      </c>
      <c r="AA198" s="4">
        <f ca="1">-SUMIFS(INDIRECT("Tab_00.Trial["&amp;AA$4&amp;"]"),Tab_00.Trial[CONTA],$B198)</f>
        <v>0</v>
      </c>
      <c r="AB198" s="78">
        <f t="shared" ca="1" si="175"/>
        <v>0</v>
      </c>
      <c r="AC198" s="78">
        <f t="shared" ca="1" si="176"/>
        <v>0</v>
      </c>
      <c r="AD198" s="4">
        <f ca="1">-SUMIFS(INDIRECT("Tab_00.Trial["&amp;AD$4&amp;"]"),Tab_00.Trial[CONTA],$B198)</f>
        <v>0</v>
      </c>
      <c r="AE198" s="78">
        <f t="shared" ca="1" si="177"/>
        <v>0</v>
      </c>
      <c r="AF198" s="78">
        <f t="shared" ca="1" si="178"/>
        <v>0</v>
      </c>
      <c r="AG198" s="4">
        <f ca="1">-SUMIFS(INDIRECT("Tab_00.Trial["&amp;AG$4&amp;"]"),Tab_00.Trial[CONTA],$B198)</f>
        <v>0</v>
      </c>
      <c r="AH198" s="78">
        <f t="shared" ca="1" si="179"/>
        <v>0</v>
      </c>
      <c r="AI198" s="78">
        <f t="shared" ca="1" si="180"/>
        <v>0</v>
      </c>
      <c r="AJ198" s="4">
        <f ca="1">-SUMIFS(INDIRECT("Tab_00.Trial["&amp;AJ$4&amp;"]"),Tab_00.Trial[CONTA],$B198)</f>
        <v>0</v>
      </c>
      <c r="AK198" s="78">
        <f t="shared" ca="1" si="181"/>
        <v>0</v>
      </c>
      <c r="AL198" s="78">
        <f t="shared" ca="1" si="182"/>
        <v>0</v>
      </c>
    </row>
    <row r="199" spans="2:38" ht="15" hidden="1" customHeight="1" outlineLevel="1" x14ac:dyDescent="0.3">
      <c r="B199" s="14"/>
      <c r="C199" s="14"/>
      <c r="D199" s="4">
        <f ca="1">-SUMIFS(INDIRECT("Tab_00.Trial["&amp;D$4&amp;"]"),Tab_00.Trial[CONTA],$B199)</f>
        <v>0</v>
      </c>
      <c r="E199" s="78">
        <f t="shared" ca="1" si="160"/>
        <v>0</v>
      </c>
      <c r="F199" s="4">
        <f ca="1">-SUMIFS(INDIRECT("Tab_00.Trial["&amp;F$4&amp;"]"),Tab_00.Trial[CONTA],$B199)</f>
        <v>0</v>
      </c>
      <c r="G199" s="78">
        <f t="shared" ca="1" si="161"/>
        <v>0</v>
      </c>
      <c r="H199" s="78">
        <f t="shared" ca="1" si="162"/>
        <v>0</v>
      </c>
      <c r="I199" s="4">
        <f ca="1">-SUMIFS(INDIRECT("Tab_00.Trial["&amp;I$4&amp;"]"),Tab_00.Trial[CONTA],$B199)</f>
        <v>0</v>
      </c>
      <c r="J199" s="78">
        <f t="shared" ca="1" si="163"/>
        <v>0</v>
      </c>
      <c r="K199" s="78">
        <f t="shared" ca="1" si="164"/>
        <v>0</v>
      </c>
      <c r="L199" s="4">
        <f ca="1">-SUMIFS(INDIRECT("Tab_00.Trial["&amp;L$4&amp;"]"),Tab_00.Trial[CONTA],$B199)</f>
        <v>0</v>
      </c>
      <c r="M199" s="78">
        <f t="shared" ca="1" si="165"/>
        <v>0</v>
      </c>
      <c r="N199" s="78">
        <f t="shared" ca="1" si="166"/>
        <v>0</v>
      </c>
      <c r="O199" s="4">
        <f ca="1">-SUMIFS(INDIRECT("Tab_00.Trial["&amp;O$4&amp;"]"),Tab_00.Trial[CONTA],$B199)</f>
        <v>0</v>
      </c>
      <c r="P199" s="78">
        <f t="shared" ca="1" si="167"/>
        <v>0</v>
      </c>
      <c r="Q199" s="78">
        <f t="shared" ca="1" si="168"/>
        <v>0</v>
      </c>
      <c r="R199" s="4">
        <f ca="1">-SUMIFS(INDIRECT("Tab_00.Trial["&amp;R$4&amp;"]"),Tab_00.Trial[CONTA],$B199)</f>
        <v>0</v>
      </c>
      <c r="S199" s="78">
        <f t="shared" ca="1" si="169"/>
        <v>0</v>
      </c>
      <c r="T199" s="78">
        <f t="shared" ca="1" si="170"/>
        <v>0</v>
      </c>
      <c r="U199" s="4">
        <f ca="1">-SUMIFS(INDIRECT("Tab_00.Trial["&amp;U$4&amp;"]"),Tab_00.Trial[CONTA],$B199)</f>
        <v>0</v>
      </c>
      <c r="V199" s="78">
        <f t="shared" ca="1" si="171"/>
        <v>0</v>
      </c>
      <c r="W199" s="78">
        <f t="shared" ca="1" si="172"/>
        <v>0</v>
      </c>
      <c r="X199" s="4">
        <f ca="1">-SUMIFS(INDIRECT("Tab_00.Trial["&amp;X$4&amp;"]"),Tab_00.Trial[CONTA],$B199)</f>
        <v>0</v>
      </c>
      <c r="Y199" s="78">
        <f t="shared" ca="1" si="173"/>
        <v>0</v>
      </c>
      <c r="Z199" s="78">
        <f t="shared" ca="1" si="174"/>
        <v>0</v>
      </c>
      <c r="AA199" s="4">
        <f ca="1">-SUMIFS(INDIRECT("Tab_00.Trial["&amp;AA$4&amp;"]"),Tab_00.Trial[CONTA],$B199)</f>
        <v>0</v>
      </c>
      <c r="AB199" s="78">
        <f t="shared" ca="1" si="175"/>
        <v>0</v>
      </c>
      <c r="AC199" s="78">
        <f t="shared" ca="1" si="176"/>
        <v>0</v>
      </c>
      <c r="AD199" s="4">
        <f ca="1">-SUMIFS(INDIRECT("Tab_00.Trial["&amp;AD$4&amp;"]"),Tab_00.Trial[CONTA],$B199)</f>
        <v>0</v>
      </c>
      <c r="AE199" s="78">
        <f t="shared" ca="1" si="177"/>
        <v>0</v>
      </c>
      <c r="AF199" s="78">
        <f t="shared" ca="1" si="178"/>
        <v>0</v>
      </c>
      <c r="AG199" s="4">
        <f ca="1">-SUMIFS(INDIRECT("Tab_00.Trial["&amp;AG$4&amp;"]"),Tab_00.Trial[CONTA],$B199)</f>
        <v>0</v>
      </c>
      <c r="AH199" s="78">
        <f t="shared" ca="1" si="179"/>
        <v>0</v>
      </c>
      <c r="AI199" s="78">
        <f t="shared" ca="1" si="180"/>
        <v>0</v>
      </c>
      <c r="AJ199" s="4">
        <f ca="1">-SUMIFS(INDIRECT("Tab_00.Trial["&amp;AJ$4&amp;"]"),Tab_00.Trial[CONTA],$B199)</f>
        <v>0</v>
      </c>
      <c r="AK199" s="78">
        <f t="shared" ca="1" si="181"/>
        <v>0</v>
      </c>
      <c r="AL199" s="78">
        <f t="shared" ca="1" si="182"/>
        <v>0</v>
      </c>
    </row>
    <row r="200" spans="2:38" ht="5.0999999999999996" hidden="1" customHeight="1" outlineLevel="1" x14ac:dyDescent="0.3">
      <c r="B200" s="74"/>
      <c r="C200" s="75"/>
      <c r="D200" s="76"/>
      <c r="E200" s="77"/>
      <c r="F200" s="76"/>
      <c r="G200" s="77"/>
      <c r="H200" s="77"/>
      <c r="I200" s="76"/>
      <c r="J200" s="77"/>
      <c r="K200" s="77"/>
      <c r="L200" s="76"/>
      <c r="M200" s="77"/>
      <c r="N200" s="77"/>
      <c r="O200" s="76"/>
      <c r="P200" s="77"/>
      <c r="Q200" s="77"/>
      <c r="R200" s="76"/>
      <c r="S200" s="77"/>
      <c r="T200" s="77"/>
      <c r="U200" s="76"/>
      <c r="V200" s="77"/>
      <c r="W200" s="77"/>
      <c r="X200" s="76"/>
      <c r="Y200" s="77"/>
      <c r="Z200" s="77"/>
      <c r="AA200" s="76"/>
      <c r="AB200" s="77"/>
      <c r="AC200" s="77"/>
      <c r="AD200" s="76"/>
      <c r="AE200" s="77"/>
      <c r="AF200" s="77"/>
      <c r="AG200" s="76"/>
      <c r="AH200" s="77"/>
      <c r="AI200" s="77"/>
      <c r="AJ200" s="76"/>
      <c r="AK200" s="77"/>
      <c r="AL200" s="77"/>
    </row>
    <row r="201" spans="2:38" ht="15" customHeight="1" collapsed="1" x14ac:dyDescent="0.3">
      <c r="B201" s="3" t="s">
        <v>71</v>
      </c>
      <c r="C201" s="3" t="s">
        <v>69</v>
      </c>
      <c r="D201" s="4">
        <f ca="1">SUBTOTAL(9,D$202:D$208)</f>
        <v>203029.53</v>
      </c>
      <c r="E201" s="78">
        <f t="shared" ref="E201:E207" ca="1" si="183">IFERROR($D201/$D$6,0)</f>
        <v>0.21759999999999999</v>
      </c>
      <c r="F201" s="4">
        <f ca="1">SUBTOTAL(9,F$202:F$208)</f>
        <v>203029.55</v>
      </c>
      <c r="G201" s="78">
        <f ca="1">IFERROR($F201/$F$6,0)</f>
        <v>0.13930000000000001</v>
      </c>
      <c r="H201" s="78">
        <f t="shared" ref="H201:H207" ca="1" si="184">IFERROR(($F201-$D201)/ABS($D201),0)</f>
        <v>0</v>
      </c>
      <c r="I201" s="4">
        <f ca="1">SUBTOTAL(9,I$202:I$208)</f>
        <v>728285.16</v>
      </c>
      <c r="J201" s="78">
        <f ca="1">IFERROR($I201/$I$6,0)</f>
        <v>0.24809999999999999</v>
      </c>
      <c r="K201" s="78">
        <f ca="1">IFERROR(($I201-$F201)/ABS($F201),0)</f>
        <v>2.5871</v>
      </c>
      <c r="L201" s="4">
        <f ca="1">SUBTOTAL(9,L$202:L$208)</f>
        <v>703557.92</v>
      </c>
      <c r="M201" s="78">
        <f ca="1">IFERROR($L201/$L$6,0)</f>
        <v>0.1787</v>
      </c>
      <c r="N201" s="78">
        <f ca="1">IFERROR(($L201-$I201)/ABS($I201),0)</f>
        <v>-3.4000000000000002E-2</v>
      </c>
      <c r="O201" s="4">
        <f ca="1">SUBTOTAL(9,O$202:O$208)</f>
        <v>1029792.96</v>
      </c>
      <c r="P201" s="78">
        <f ca="1">IFERROR($O201/$O$6,0)</f>
        <v>0.20050000000000001</v>
      </c>
      <c r="Q201" s="78">
        <f ca="1">IFERROR(($O201-$L201)/ABS($L201),0)</f>
        <v>0.4637</v>
      </c>
      <c r="R201" s="4">
        <f ca="1">SUBTOTAL(9,R$202:R$208)</f>
        <v>1668493.84</v>
      </c>
      <c r="S201" s="78">
        <f ca="1">IFERROR($R201/$R$6,0)</f>
        <v>0.2321</v>
      </c>
      <c r="T201" s="78">
        <f ca="1">IFERROR(($R201-$O201)/ABS($O201),0)</f>
        <v>0.62019999999999997</v>
      </c>
      <c r="U201" s="4">
        <f ca="1">SUBTOTAL(9,U$202:U$208)</f>
        <v>1668493.84</v>
      </c>
      <c r="V201" s="78">
        <f ca="1">IFERROR($U201/$U$6,0)</f>
        <v>0.2321</v>
      </c>
      <c r="W201" s="78">
        <f ca="1">IFERROR(($U201-$R201)/ABS($R201),0)</f>
        <v>0</v>
      </c>
      <c r="X201" s="4">
        <f ca="1">SUBTOTAL(9,X$202:X$208)</f>
        <v>1668493.84</v>
      </c>
      <c r="Y201" s="78">
        <f ca="1">IFERROR($X201/$X$6,0)</f>
        <v>0.2321</v>
      </c>
      <c r="Z201" s="78">
        <f ca="1">IFERROR(($X201-$U201)/ABS($U201),0)</f>
        <v>0</v>
      </c>
      <c r="AA201" s="4">
        <f ca="1">SUBTOTAL(9,AA$202:AA$208)</f>
        <v>2201301.2200000002</v>
      </c>
      <c r="AB201" s="78">
        <f ca="1">IFERROR($AA201/$AA$6,0)</f>
        <v>0.23960000000000001</v>
      </c>
      <c r="AC201" s="78">
        <f ca="1">IFERROR(($AA201-$X201)/ABS($X201),0)</f>
        <v>0.31929999999999997</v>
      </c>
      <c r="AD201" s="4">
        <f ca="1">SUBTOTAL(9,AD$202:AD$208)</f>
        <v>2414927.98</v>
      </c>
      <c r="AE201" s="78">
        <f ca="1">IFERROR($AD201/$AD$6,0)</f>
        <v>0.23200000000000001</v>
      </c>
      <c r="AF201" s="78">
        <f ca="1">IFERROR(($AD201-$AA201)/ABS($AA201),0)</f>
        <v>9.7000000000000003E-2</v>
      </c>
      <c r="AG201" s="4">
        <f ca="1">SUBTOTAL(9,AG$202:AG$208)</f>
        <v>2748291.79</v>
      </c>
      <c r="AH201" s="78">
        <f ca="1">IFERROR($AG201/$AG$6,0)</f>
        <v>0.2429</v>
      </c>
      <c r="AI201" s="78">
        <f ca="1">IFERROR(($AG201-$AD201)/ABS($AD201),0)</f>
        <v>0.13800000000000001</v>
      </c>
      <c r="AJ201" s="4">
        <f ca="1">SUBTOTAL(9,AJ$202:AJ$208)</f>
        <v>2654904.5299999998</v>
      </c>
      <c r="AK201" s="78">
        <f ca="1">IFERROR($AJ201/$AJ$6,0)</f>
        <v>0.20760000000000001</v>
      </c>
      <c r="AL201" s="78">
        <f ca="1">IFERROR(($AJ201-$AG201)/ABS($AG201),0)</f>
        <v>-3.4000000000000002E-2</v>
      </c>
    </row>
    <row r="202" spans="2:38" ht="15" hidden="1" customHeight="1" outlineLevel="1" x14ac:dyDescent="0.3">
      <c r="B202" s="14" t="s">
        <v>391</v>
      </c>
      <c r="C202" s="14" t="s">
        <v>392</v>
      </c>
      <c r="D202" s="4">
        <f ca="1">-SUMIFS(INDIRECT("Tab_00.Trial["&amp;D$4&amp;"]"),Tab_00.Trial[CONTA],$B202)</f>
        <v>0.05</v>
      </c>
      <c r="E202" s="78">
        <f t="shared" ca="1" si="183"/>
        <v>0</v>
      </c>
      <c r="F202" s="4">
        <f ca="1">-SUMIFS(INDIRECT("Tab_00.Trial["&amp;F$4&amp;"]"),Tab_00.Trial[CONTA],$B202)</f>
        <v>7.0000000000000007E-2</v>
      </c>
      <c r="G202" s="78">
        <f t="shared" ref="G202:G207" ca="1" si="185">IFERROR($F202/$F$6,0)</f>
        <v>0</v>
      </c>
      <c r="H202" s="78">
        <f t="shared" ca="1" si="184"/>
        <v>0.4</v>
      </c>
      <c r="I202" s="4">
        <f ca="1">-SUMIFS(INDIRECT("Tab_00.Trial["&amp;I$4&amp;"]"),Tab_00.Trial[CONTA],$B202)</f>
        <v>73.3</v>
      </c>
      <c r="J202" s="78">
        <f t="shared" ref="J202:J207" ca="1" si="186">IFERROR($I202/$I$6,0)</f>
        <v>0</v>
      </c>
      <c r="K202" s="78">
        <f t="shared" ref="K202:K207" ca="1" si="187">IFERROR(($I202-$F202)/ABS($F202),0)</f>
        <v>1046.1429000000001</v>
      </c>
      <c r="L202" s="4">
        <f ca="1">-SUMIFS(INDIRECT("Tab_00.Trial["&amp;L$4&amp;"]"),Tab_00.Trial[CONTA],$B202)</f>
        <v>73.349999999999994</v>
      </c>
      <c r="M202" s="78">
        <f t="shared" ref="M202:M207" ca="1" si="188">IFERROR($L202/$L$6,0)</f>
        <v>0</v>
      </c>
      <c r="N202" s="78">
        <f t="shared" ref="N202:N207" ca="1" si="189">IFERROR(($L202-$I202)/ABS($I202),0)</f>
        <v>6.9999999999999999E-4</v>
      </c>
      <c r="O202" s="4">
        <f ca="1">-SUMIFS(INDIRECT("Tab_00.Trial["&amp;O$4&amp;"]"),Tab_00.Trial[CONTA],$B202)</f>
        <v>73.42</v>
      </c>
      <c r="P202" s="78">
        <f t="shared" ref="P202:P207" ca="1" si="190">IFERROR($O202/$O$6,0)</f>
        <v>0</v>
      </c>
      <c r="Q202" s="78">
        <f t="shared" ref="Q202:Q207" ca="1" si="191">IFERROR(($O202-$L202)/ABS($L202),0)</f>
        <v>1E-3</v>
      </c>
      <c r="R202" s="4">
        <f ca="1">-SUMIFS(INDIRECT("Tab_00.Trial["&amp;R$4&amp;"]"),Tab_00.Trial[CONTA],$B202)</f>
        <v>73.459999999999994</v>
      </c>
      <c r="S202" s="78">
        <f t="shared" ref="S202:S207" ca="1" si="192">IFERROR($R202/$R$6,0)</f>
        <v>0</v>
      </c>
      <c r="T202" s="78">
        <f t="shared" ref="T202:T207" ca="1" si="193">IFERROR(($R202-$O202)/ABS($O202),0)</f>
        <v>5.0000000000000001E-4</v>
      </c>
      <c r="U202" s="4">
        <f ca="1">-SUMIFS(INDIRECT("Tab_00.Trial["&amp;U$4&amp;"]"),Tab_00.Trial[CONTA],$B202)</f>
        <v>73.459999999999994</v>
      </c>
      <c r="V202" s="78">
        <f t="shared" ref="V202:V207" ca="1" si="194">IFERROR($U202/$U$6,0)</f>
        <v>0</v>
      </c>
      <c r="W202" s="78">
        <f t="shared" ref="W202:W207" ca="1" si="195">IFERROR(($U202-$R202)/ABS($R202),0)</f>
        <v>0</v>
      </c>
      <c r="X202" s="4">
        <f ca="1">-SUMIFS(INDIRECT("Tab_00.Trial["&amp;X$4&amp;"]"),Tab_00.Trial[CONTA],$B202)</f>
        <v>73.459999999999994</v>
      </c>
      <c r="Y202" s="78">
        <f t="shared" ref="Y202:Y207" ca="1" si="196">IFERROR($X202/$X$6,0)</f>
        <v>0</v>
      </c>
      <c r="Z202" s="78">
        <f t="shared" ref="Z202:Z207" ca="1" si="197">IFERROR(($X202-$U202)/ABS($U202),0)</f>
        <v>0</v>
      </c>
      <c r="AA202" s="4">
        <f ca="1">-SUMIFS(INDIRECT("Tab_00.Trial["&amp;AA$4&amp;"]"),Tab_00.Trial[CONTA],$B202)</f>
        <v>673.54</v>
      </c>
      <c r="AB202" s="78">
        <f t="shared" ref="AB202:AB207" ca="1" si="198">IFERROR($AA202/$AA$6,0)</f>
        <v>1E-4</v>
      </c>
      <c r="AC202" s="78">
        <f t="shared" ref="AC202:AC207" ca="1" si="199">IFERROR(($AA202-$X202)/ABS($X202),0)</f>
        <v>8.1687999999999992</v>
      </c>
      <c r="AD202" s="4">
        <f ca="1">-SUMIFS(INDIRECT("Tab_00.Trial["&amp;AD$4&amp;"]"),Tab_00.Trial[CONTA],$B202)</f>
        <v>673.54</v>
      </c>
      <c r="AE202" s="78">
        <f t="shared" ref="AE202:AE207" ca="1" si="200">IFERROR($AD202/$AD$6,0)</f>
        <v>1E-4</v>
      </c>
      <c r="AF202" s="78">
        <f t="shared" ref="AF202:AF207" ca="1" si="201">IFERROR(($AD202-$AA202)/ABS($AA202),0)</f>
        <v>0</v>
      </c>
      <c r="AG202" s="4">
        <f ca="1">-SUMIFS(INDIRECT("Tab_00.Trial["&amp;AG$4&amp;"]"),Tab_00.Trial[CONTA],$B202)</f>
        <v>2008.76</v>
      </c>
      <c r="AH202" s="78">
        <f t="shared" ref="AH202:AH207" ca="1" si="202">IFERROR($AG202/$AG$6,0)</f>
        <v>2.0000000000000001E-4</v>
      </c>
      <c r="AI202" s="78">
        <f t="shared" ref="AI202:AI207" ca="1" si="203">IFERROR(($AG202-$AD202)/ABS($AD202),0)</f>
        <v>1.9823999999999999</v>
      </c>
      <c r="AJ202" s="4">
        <f ca="1">-SUMIFS(INDIRECT("Tab_00.Trial["&amp;AJ$4&amp;"]"),Tab_00.Trial[CONTA],$B202)</f>
        <v>2008.77</v>
      </c>
      <c r="AK202" s="78">
        <f t="shared" ref="AK202:AK207" ca="1" si="204">IFERROR($AJ202/$AJ$6,0)</f>
        <v>2.0000000000000001E-4</v>
      </c>
      <c r="AL202" s="78">
        <f t="shared" ref="AL202:AL207" ca="1" si="205">IFERROR(($AJ202-$AG202)/ABS($AG202),0)</f>
        <v>0</v>
      </c>
    </row>
    <row r="203" spans="2:38" ht="15" hidden="1" customHeight="1" outlineLevel="1" x14ac:dyDescent="0.3">
      <c r="B203" s="14" t="s">
        <v>393</v>
      </c>
      <c r="C203" s="14" t="s">
        <v>394</v>
      </c>
      <c r="D203" s="4">
        <f ca="1">-SUMIFS(INDIRECT("Tab_00.Trial["&amp;D$4&amp;"]"),Tab_00.Trial[CONTA],$B203)</f>
        <v>203029.48</v>
      </c>
      <c r="E203" s="78">
        <f t="shared" ca="1" si="183"/>
        <v>0.21759999999999999</v>
      </c>
      <c r="F203" s="4">
        <f ca="1">-SUMIFS(INDIRECT("Tab_00.Trial["&amp;F$4&amp;"]"),Tab_00.Trial[CONTA],$B203)</f>
        <v>203029.48</v>
      </c>
      <c r="G203" s="78">
        <f t="shared" ca="1" si="185"/>
        <v>0.13930000000000001</v>
      </c>
      <c r="H203" s="78">
        <f t="shared" ca="1" si="184"/>
        <v>0</v>
      </c>
      <c r="I203" s="4">
        <f ca="1">-SUMIFS(INDIRECT("Tab_00.Trial["&amp;I$4&amp;"]"),Tab_00.Trial[CONTA],$B203)</f>
        <v>728211.86</v>
      </c>
      <c r="J203" s="78">
        <f t="shared" ca="1" si="186"/>
        <v>0.24809999999999999</v>
      </c>
      <c r="K203" s="78">
        <f t="shared" ca="1" si="187"/>
        <v>2.5867</v>
      </c>
      <c r="L203" s="4">
        <f ca="1">-SUMIFS(INDIRECT("Tab_00.Trial["&amp;L$4&amp;"]"),Tab_00.Trial[CONTA],$B203)</f>
        <v>703484.57</v>
      </c>
      <c r="M203" s="78">
        <f t="shared" ca="1" si="188"/>
        <v>0.1787</v>
      </c>
      <c r="N203" s="78">
        <f t="shared" ca="1" si="189"/>
        <v>-3.4000000000000002E-2</v>
      </c>
      <c r="O203" s="4">
        <f ca="1">-SUMIFS(INDIRECT("Tab_00.Trial["&amp;O$4&amp;"]"),Tab_00.Trial[CONTA],$B203)</f>
        <v>1029719.54</v>
      </c>
      <c r="P203" s="78">
        <f t="shared" ca="1" si="190"/>
        <v>0.20039999999999999</v>
      </c>
      <c r="Q203" s="78">
        <f t="shared" ca="1" si="191"/>
        <v>0.4637</v>
      </c>
      <c r="R203" s="4">
        <f ca="1">-SUMIFS(INDIRECT("Tab_00.Trial["&amp;R$4&amp;"]"),Tab_00.Trial[CONTA],$B203)</f>
        <v>1668420.38</v>
      </c>
      <c r="S203" s="78">
        <f t="shared" ca="1" si="192"/>
        <v>0.2321</v>
      </c>
      <c r="T203" s="78">
        <f t="shared" ca="1" si="193"/>
        <v>0.62029999999999996</v>
      </c>
      <c r="U203" s="4">
        <f ca="1">-SUMIFS(INDIRECT("Tab_00.Trial["&amp;U$4&amp;"]"),Tab_00.Trial[CONTA],$B203)</f>
        <v>1668420.38</v>
      </c>
      <c r="V203" s="78">
        <f t="shared" ca="1" si="194"/>
        <v>0.2321</v>
      </c>
      <c r="W203" s="78">
        <f t="shared" ca="1" si="195"/>
        <v>0</v>
      </c>
      <c r="X203" s="4">
        <f ca="1">-SUMIFS(INDIRECT("Tab_00.Trial["&amp;X$4&amp;"]"),Tab_00.Trial[CONTA],$B203)</f>
        <v>1668420.38</v>
      </c>
      <c r="Y203" s="78">
        <f t="shared" ca="1" si="196"/>
        <v>0.2321</v>
      </c>
      <c r="Z203" s="78">
        <f t="shared" ca="1" si="197"/>
        <v>0</v>
      </c>
      <c r="AA203" s="4">
        <f ca="1">-SUMIFS(INDIRECT("Tab_00.Trial["&amp;AA$4&amp;"]"),Tab_00.Trial[CONTA],$B203)</f>
        <v>2200627.6800000002</v>
      </c>
      <c r="AB203" s="78">
        <f t="shared" ca="1" si="198"/>
        <v>0.23960000000000001</v>
      </c>
      <c r="AC203" s="78">
        <f t="shared" ca="1" si="199"/>
        <v>0.31900000000000001</v>
      </c>
      <c r="AD203" s="4">
        <f ca="1">-SUMIFS(INDIRECT("Tab_00.Trial["&amp;AD$4&amp;"]"),Tab_00.Trial[CONTA],$B203)</f>
        <v>2414254.44</v>
      </c>
      <c r="AE203" s="78">
        <f t="shared" ca="1" si="200"/>
        <v>0.2319</v>
      </c>
      <c r="AF203" s="78">
        <f t="shared" ca="1" si="201"/>
        <v>9.7100000000000006E-2</v>
      </c>
      <c r="AG203" s="4">
        <f ca="1">-SUMIFS(INDIRECT("Tab_00.Trial["&amp;AG$4&amp;"]"),Tab_00.Trial[CONTA],$B203)</f>
        <v>2746283.03</v>
      </c>
      <c r="AH203" s="78">
        <f t="shared" ca="1" si="202"/>
        <v>0.2427</v>
      </c>
      <c r="AI203" s="78">
        <f t="shared" ca="1" si="203"/>
        <v>0.13750000000000001</v>
      </c>
      <c r="AJ203" s="4">
        <f ca="1">-SUMIFS(INDIRECT("Tab_00.Trial["&amp;AJ$4&amp;"]"),Tab_00.Trial[CONTA],$B203)</f>
        <v>2652895.7599999998</v>
      </c>
      <c r="AK203" s="78">
        <f t="shared" ca="1" si="204"/>
        <v>0.2074</v>
      </c>
      <c r="AL203" s="78">
        <f t="shared" ca="1" si="205"/>
        <v>-3.4000000000000002E-2</v>
      </c>
    </row>
    <row r="204" spans="2:38" ht="15" hidden="1" customHeight="1" outlineLevel="1" x14ac:dyDescent="0.3">
      <c r="B204" s="14"/>
      <c r="C204" s="14"/>
      <c r="D204" s="4">
        <f ca="1">-SUMIFS(INDIRECT("Tab_00.Trial["&amp;D$4&amp;"]"),Tab_00.Trial[CONTA],$B204)</f>
        <v>0</v>
      </c>
      <c r="E204" s="78">
        <f t="shared" ca="1" si="183"/>
        <v>0</v>
      </c>
      <c r="F204" s="4">
        <f ca="1">-SUMIFS(INDIRECT("Tab_00.Trial["&amp;F$4&amp;"]"),Tab_00.Trial[CONTA],$B204)</f>
        <v>0</v>
      </c>
      <c r="G204" s="78">
        <f t="shared" ca="1" si="185"/>
        <v>0</v>
      </c>
      <c r="H204" s="78">
        <f t="shared" ca="1" si="184"/>
        <v>0</v>
      </c>
      <c r="I204" s="4">
        <f ca="1">-SUMIFS(INDIRECT("Tab_00.Trial["&amp;I$4&amp;"]"),Tab_00.Trial[CONTA],$B204)</f>
        <v>0</v>
      </c>
      <c r="J204" s="78">
        <f t="shared" ca="1" si="186"/>
        <v>0</v>
      </c>
      <c r="K204" s="78">
        <f t="shared" ca="1" si="187"/>
        <v>0</v>
      </c>
      <c r="L204" s="4">
        <f ca="1">-SUMIFS(INDIRECT("Tab_00.Trial["&amp;L$4&amp;"]"),Tab_00.Trial[CONTA],$B204)</f>
        <v>0</v>
      </c>
      <c r="M204" s="78">
        <f t="shared" ca="1" si="188"/>
        <v>0</v>
      </c>
      <c r="N204" s="78">
        <f t="shared" ca="1" si="189"/>
        <v>0</v>
      </c>
      <c r="O204" s="4">
        <f ca="1">-SUMIFS(INDIRECT("Tab_00.Trial["&amp;O$4&amp;"]"),Tab_00.Trial[CONTA],$B204)</f>
        <v>0</v>
      </c>
      <c r="P204" s="78">
        <f t="shared" ca="1" si="190"/>
        <v>0</v>
      </c>
      <c r="Q204" s="78">
        <f t="shared" ca="1" si="191"/>
        <v>0</v>
      </c>
      <c r="R204" s="4">
        <f ca="1">-SUMIFS(INDIRECT("Tab_00.Trial["&amp;R$4&amp;"]"),Tab_00.Trial[CONTA],$B204)</f>
        <v>0</v>
      </c>
      <c r="S204" s="78">
        <f t="shared" ca="1" si="192"/>
        <v>0</v>
      </c>
      <c r="T204" s="78">
        <f t="shared" ca="1" si="193"/>
        <v>0</v>
      </c>
      <c r="U204" s="4">
        <f ca="1">-SUMIFS(INDIRECT("Tab_00.Trial["&amp;U$4&amp;"]"),Tab_00.Trial[CONTA],$B204)</f>
        <v>0</v>
      </c>
      <c r="V204" s="78">
        <f t="shared" ca="1" si="194"/>
        <v>0</v>
      </c>
      <c r="W204" s="78">
        <f t="shared" ca="1" si="195"/>
        <v>0</v>
      </c>
      <c r="X204" s="4">
        <f ca="1">-SUMIFS(INDIRECT("Tab_00.Trial["&amp;X$4&amp;"]"),Tab_00.Trial[CONTA],$B204)</f>
        <v>0</v>
      </c>
      <c r="Y204" s="78">
        <f t="shared" ca="1" si="196"/>
        <v>0</v>
      </c>
      <c r="Z204" s="78">
        <f t="shared" ca="1" si="197"/>
        <v>0</v>
      </c>
      <c r="AA204" s="4">
        <f ca="1">-SUMIFS(INDIRECT("Tab_00.Trial["&amp;AA$4&amp;"]"),Tab_00.Trial[CONTA],$B204)</f>
        <v>0</v>
      </c>
      <c r="AB204" s="78">
        <f t="shared" ca="1" si="198"/>
        <v>0</v>
      </c>
      <c r="AC204" s="78">
        <f t="shared" ca="1" si="199"/>
        <v>0</v>
      </c>
      <c r="AD204" s="4">
        <f ca="1">-SUMIFS(INDIRECT("Tab_00.Trial["&amp;AD$4&amp;"]"),Tab_00.Trial[CONTA],$B204)</f>
        <v>0</v>
      </c>
      <c r="AE204" s="78">
        <f t="shared" ca="1" si="200"/>
        <v>0</v>
      </c>
      <c r="AF204" s="78">
        <f t="shared" ca="1" si="201"/>
        <v>0</v>
      </c>
      <c r="AG204" s="4">
        <f ca="1">-SUMIFS(INDIRECT("Tab_00.Trial["&amp;AG$4&amp;"]"),Tab_00.Trial[CONTA],$B204)</f>
        <v>0</v>
      </c>
      <c r="AH204" s="78">
        <f t="shared" ca="1" si="202"/>
        <v>0</v>
      </c>
      <c r="AI204" s="78">
        <f t="shared" ca="1" si="203"/>
        <v>0</v>
      </c>
      <c r="AJ204" s="4">
        <f ca="1">-SUMIFS(INDIRECT("Tab_00.Trial["&amp;AJ$4&amp;"]"),Tab_00.Trial[CONTA],$B204)</f>
        <v>0</v>
      </c>
      <c r="AK204" s="78">
        <f t="shared" ca="1" si="204"/>
        <v>0</v>
      </c>
      <c r="AL204" s="78">
        <f t="shared" ca="1" si="205"/>
        <v>0</v>
      </c>
    </row>
    <row r="205" spans="2:38" ht="15" hidden="1" customHeight="1" outlineLevel="1" x14ac:dyDescent="0.3">
      <c r="B205" s="14"/>
      <c r="C205" s="14"/>
      <c r="D205" s="4">
        <f ca="1">-SUMIFS(INDIRECT("Tab_00.Trial["&amp;D$4&amp;"]"),Tab_00.Trial[CONTA],$B205)</f>
        <v>0</v>
      </c>
      <c r="E205" s="78">
        <f t="shared" ca="1" si="183"/>
        <v>0</v>
      </c>
      <c r="F205" s="4">
        <f ca="1">-SUMIFS(INDIRECT("Tab_00.Trial["&amp;F$4&amp;"]"),Tab_00.Trial[CONTA],$B205)</f>
        <v>0</v>
      </c>
      <c r="G205" s="78">
        <f t="shared" ca="1" si="185"/>
        <v>0</v>
      </c>
      <c r="H205" s="78">
        <f t="shared" ca="1" si="184"/>
        <v>0</v>
      </c>
      <c r="I205" s="4">
        <f ca="1">-SUMIFS(INDIRECT("Tab_00.Trial["&amp;I$4&amp;"]"),Tab_00.Trial[CONTA],$B205)</f>
        <v>0</v>
      </c>
      <c r="J205" s="78">
        <f t="shared" ca="1" si="186"/>
        <v>0</v>
      </c>
      <c r="K205" s="78">
        <f t="shared" ca="1" si="187"/>
        <v>0</v>
      </c>
      <c r="L205" s="4">
        <f ca="1">-SUMIFS(INDIRECT("Tab_00.Trial["&amp;L$4&amp;"]"),Tab_00.Trial[CONTA],$B205)</f>
        <v>0</v>
      </c>
      <c r="M205" s="78">
        <f t="shared" ca="1" si="188"/>
        <v>0</v>
      </c>
      <c r="N205" s="78">
        <f t="shared" ca="1" si="189"/>
        <v>0</v>
      </c>
      <c r="O205" s="4">
        <f ca="1">-SUMIFS(INDIRECT("Tab_00.Trial["&amp;O$4&amp;"]"),Tab_00.Trial[CONTA],$B205)</f>
        <v>0</v>
      </c>
      <c r="P205" s="78">
        <f t="shared" ca="1" si="190"/>
        <v>0</v>
      </c>
      <c r="Q205" s="78">
        <f t="shared" ca="1" si="191"/>
        <v>0</v>
      </c>
      <c r="R205" s="4">
        <f ca="1">-SUMIFS(INDIRECT("Tab_00.Trial["&amp;R$4&amp;"]"),Tab_00.Trial[CONTA],$B205)</f>
        <v>0</v>
      </c>
      <c r="S205" s="78">
        <f t="shared" ca="1" si="192"/>
        <v>0</v>
      </c>
      <c r="T205" s="78">
        <f t="shared" ca="1" si="193"/>
        <v>0</v>
      </c>
      <c r="U205" s="4">
        <f ca="1">-SUMIFS(INDIRECT("Tab_00.Trial["&amp;U$4&amp;"]"),Tab_00.Trial[CONTA],$B205)</f>
        <v>0</v>
      </c>
      <c r="V205" s="78">
        <f t="shared" ca="1" si="194"/>
        <v>0</v>
      </c>
      <c r="W205" s="78">
        <f t="shared" ca="1" si="195"/>
        <v>0</v>
      </c>
      <c r="X205" s="4">
        <f ca="1">-SUMIFS(INDIRECT("Tab_00.Trial["&amp;X$4&amp;"]"),Tab_00.Trial[CONTA],$B205)</f>
        <v>0</v>
      </c>
      <c r="Y205" s="78">
        <f t="shared" ca="1" si="196"/>
        <v>0</v>
      </c>
      <c r="Z205" s="78">
        <f t="shared" ca="1" si="197"/>
        <v>0</v>
      </c>
      <c r="AA205" s="4">
        <f ca="1">-SUMIFS(INDIRECT("Tab_00.Trial["&amp;AA$4&amp;"]"),Tab_00.Trial[CONTA],$B205)</f>
        <v>0</v>
      </c>
      <c r="AB205" s="78">
        <f t="shared" ca="1" si="198"/>
        <v>0</v>
      </c>
      <c r="AC205" s="78">
        <f t="shared" ca="1" si="199"/>
        <v>0</v>
      </c>
      <c r="AD205" s="4">
        <f ca="1">-SUMIFS(INDIRECT("Tab_00.Trial["&amp;AD$4&amp;"]"),Tab_00.Trial[CONTA],$B205)</f>
        <v>0</v>
      </c>
      <c r="AE205" s="78">
        <f t="shared" ca="1" si="200"/>
        <v>0</v>
      </c>
      <c r="AF205" s="78">
        <f t="shared" ca="1" si="201"/>
        <v>0</v>
      </c>
      <c r="AG205" s="4">
        <f ca="1">-SUMIFS(INDIRECT("Tab_00.Trial["&amp;AG$4&amp;"]"),Tab_00.Trial[CONTA],$B205)</f>
        <v>0</v>
      </c>
      <c r="AH205" s="78">
        <f t="shared" ca="1" si="202"/>
        <v>0</v>
      </c>
      <c r="AI205" s="78">
        <f t="shared" ca="1" si="203"/>
        <v>0</v>
      </c>
      <c r="AJ205" s="4">
        <f ca="1">-SUMIFS(INDIRECT("Tab_00.Trial["&amp;AJ$4&amp;"]"),Tab_00.Trial[CONTA],$B205)</f>
        <v>0</v>
      </c>
      <c r="AK205" s="78">
        <f t="shared" ca="1" si="204"/>
        <v>0</v>
      </c>
      <c r="AL205" s="78">
        <f t="shared" ca="1" si="205"/>
        <v>0</v>
      </c>
    </row>
    <row r="206" spans="2:38" ht="15" hidden="1" customHeight="1" outlineLevel="1" x14ac:dyDescent="0.3">
      <c r="B206" s="14"/>
      <c r="C206" s="14"/>
      <c r="D206" s="4">
        <f ca="1">-SUMIFS(INDIRECT("Tab_00.Trial["&amp;D$4&amp;"]"),Tab_00.Trial[CONTA],$B206)</f>
        <v>0</v>
      </c>
      <c r="E206" s="78">
        <f t="shared" ca="1" si="183"/>
        <v>0</v>
      </c>
      <c r="F206" s="4">
        <f ca="1">-SUMIFS(INDIRECT("Tab_00.Trial["&amp;F$4&amp;"]"),Tab_00.Trial[CONTA],$B206)</f>
        <v>0</v>
      </c>
      <c r="G206" s="78">
        <f t="shared" ca="1" si="185"/>
        <v>0</v>
      </c>
      <c r="H206" s="78">
        <f t="shared" ca="1" si="184"/>
        <v>0</v>
      </c>
      <c r="I206" s="4">
        <f ca="1">-SUMIFS(INDIRECT("Tab_00.Trial["&amp;I$4&amp;"]"),Tab_00.Trial[CONTA],$B206)</f>
        <v>0</v>
      </c>
      <c r="J206" s="78">
        <f t="shared" ca="1" si="186"/>
        <v>0</v>
      </c>
      <c r="K206" s="78">
        <f t="shared" ca="1" si="187"/>
        <v>0</v>
      </c>
      <c r="L206" s="4">
        <f ca="1">-SUMIFS(INDIRECT("Tab_00.Trial["&amp;L$4&amp;"]"),Tab_00.Trial[CONTA],$B206)</f>
        <v>0</v>
      </c>
      <c r="M206" s="78">
        <f t="shared" ca="1" si="188"/>
        <v>0</v>
      </c>
      <c r="N206" s="78">
        <f t="shared" ca="1" si="189"/>
        <v>0</v>
      </c>
      <c r="O206" s="4">
        <f ca="1">-SUMIFS(INDIRECT("Tab_00.Trial["&amp;O$4&amp;"]"),Tab_00.Trial[CONTA],$B206)</f>
        <v>0</v>
      </c>
      <c r="P206" s="78">
        <f t="shared" ca="1" si="190"/>
        <v>0</v>
      </c>
      <c r="Q206" s="78">
        <f t="shared" ca="1" si="191"/>
        <v>0</v>
      </c>
      <c r="R206" s="4">
        <f ca="1">-SUMIFS(INDIRECT("Tab_00.Trial["&amp;R$4&amp;"]"),Tab_00.Trial[CONTA],$B206)</f>
        <v>0</v>
      </c>
      <c r="S206" s="78">
        <f t="shared" ca="1" si="192"/>
        <v>0</v>
      </c>
      <c r="T206" s="78">
        <f t="shared" ca="1" si="193"/>
        <v>0</v>
      </c>
      <c r="U206" s="4">
        <f ca="1">-SUMIFS(INDIRECT("Tab_00.Trial["&amp;U$4&amp;"]"),Tab_00.Trial[CONTA],$B206)</f>
        <v>0</v>
      </c>
      <c r="V206" s="78">
        <f t="shared" ca="1" si="194"/>
        <v>0</v>
      </c>
      <c r="W206" s="78">
        <f t="shared" ca="1" si="195"/>
        <v>0</v>
      </c>
      <c r="X206" s="4">
        <f ca="1">-SUMIFS(INDIRECT("Tab_00.Trial["&amp;X$4&amp;"]"),Tab_00.Trial[CONTA],$B206)</f>
        <v>0</v>
      </c>
      <c r="Y206" s="78">
        <f t="shared" ca="1" si="196"/>
        <v>0</v>
      </c>
      <c r="Z206" s="78">
        <f t="shared" ca="1" si="197"/>
        <v>0</v>
      </c>
      <c r="AA206" s="4">
        <f ca="1">-SUMIFS(INDIRECT("Tab_00.Trial["&amp;AA$4&amp;"]"),Tab_00.Trial[CONTA],$B206)</f>
        <v>0</v>
      </c>
      <c r="AB206" s="78">
        <f t="shared" ca="1" si="198"/>
        <v>0</v>
      </c>
      <c r="AC206" s="78">
        <f t="shared" ca="1" si="199"/>
        <v>0</v>
      </c>
      <c r="AD206" s="4">
        <f ca="1">-SUMIFS(INDIRECT("Tab_00.Trial["&amp;AD$4&amp;"]"),Tab_00.Trial[CONTA],$B206)</f>
        <v>0</v>
      </c>
      <c r="AE206" s="78">
        <f t="shared" ca="1" si="200"/>
        <v>0</v>
      </c>
      <c r="AF206" s="78">
        <f t="shared" ca="1" si="201"/>
        <v>0</v>
      </c>
      <c r="AG206" s="4">
        <f ca="1">-SUMIFS(INDIRECT("Tab_00.Trial["&amp;AG$4&amp;"]"),Tab_00.Trial[CONTA],$B206)</f>
        <v>0</v>
      </c>
      <c r="AH206" s="78">
        <f t="shared" ca="1" si="202"/>
        <v>0</v>
      </c>
      <c r="AI206" s="78">
        <f t="shared" ca="1" si="203"/>
        <v>0</v>
      </c>
      <c r="AJ206" s="4">
        <f ca="1">-SUMIFS(INDIRECT("Tab_00.Trial["&amp;AJ$4&amp;"]"),Tab_00.Trial[CONTA],$B206)</f>
        <v>0</v>
      </c>
      <c r="AK206" s="78">
        <f t="shared" ca="1" si="204"/>
        <v>0</v>
      </c>
      <c r="AL206" s="78">
        <f t="shared" ca="1" si="205"/>
        <v>0</v>
      </c>
    </row>
    <row r="207" spans="2:38" ht="15" hidden="1" customHeight="1" outlineLevel="1" x14ac:dyDescent="0.3">
      <c r="B207" s="14"/>
      <c r="C207" s="14"/>
      <c r="D207" s="4">
        <f ca="1">-SUMIFS(INDIRECT("Tab_00.Trial["&amp;D$4&amp;"]"),Tab_00.Trial[CONTA],$B207)</f>
        <v>0</v>
      </c>
      <c r="E207" s="78">
        <f t="shared" ca="1" si="183"/>
        <v>0</v>
      </c>
      <c r="F207" s="4">
        <f ca="1">-SUMIFS(INDIRECT("Tab_00.Trial["&amp;F$4&amp;"]"),Tab_00.Trial[CONTA],$B207)</f>
        <v>0</v>
      </c>
      <c r="G207" s="78">
        <f t="shared" ca="1" si="185"/>
        <v>0</v>
      </c>
      <c r="H207" s="78">
        <f t="shared" ca="1" si="184"/>
        <v>0</v>
      </c>
      <c r="I207" s="4">
        <f ca="1">-SUMIFS(INDIRECT("Tab_00.Trial["&amp;I$4&amp;"]"),Tab_00.Trial[CONTA],$B207)</f>
        <v>0</v>
      </c>
      <c r="J207" s="78">
        <f t="shared" ca="1" si="186"/>
        <v>0</v>
      </c>
      <c r="K207" s="78">
        <f t="shared" ca="1" si="187"/>
        <v>0</v>
      </c>
      <c r="L207" s="4">
        <f ca="1">-SUMIFS(INDIRECT("Tab_00.Trial["&amp;L$4&amp;"]"),Tab_00.Trial[CONTA],$B207)</f>
        <v>0</v>
      </c>
      <c r="M207" s="78">
        <f t="shared" ca="1" si="188"/>
        <v>0</v>
      </c>
      <c r="N207" s="78">
        <f t="shared" ca="1" si="189"/>
        <v>0</v>
      </c>
      <c r="O207" s="4">
        <f ca="1">-SUMIFS(INDIRECT("Tab_00.Trial["&amp;O$4&amp;"]"),Tab_00.Trial[CONTA],$B207)</f>
        <v>0</v>
      </c>
      <c r="P207" s="78">
        <f t="shared" ca="1" si="190"/>
        <v>0</v>
      </c>
      <c r="Q207" s="78">
        <f t="shared" ca="1" si="191"/>
        <v>0</v>
      </c>
      <c r="R207" s="4">
        <f ca="1">-SUMIFS(INDIRECT("Tab_00.Trial["&amp;R$4&amp;"]"),Tab_00.Trial[CONTA],$B207)</f>
        <v>0</v>
      </c>
      <c r="S207" s="78">
        <f t="shared" ca="1" si="192"/>
        <v>0</v>
      </c>
      <c r="T207" s="78">
        <f t="shared" ca="1" si="193"/>
        <v>0</v>
      </c>
      <c r="U207" s="4">
        <f ca="1">-SUMIFS(INDIRECT("Tab_00.Trial["&amp;U$4&amp;"]"),Tab_00.Trial[CONTA],$B207)</f>
        <v>0</v>
      </c>
      <c r="V207" s="78">
        <f t="shared" ca="1" si="194"/>
        <v>0</v>
      </c>
      <c r="W207" s="78">
        <f t="shared" ca="1" si="195"/>
        <v>0</v>
      </c>
      <c r="X207" s="4">
        <f ca="1">-SUMIFS(INDIRECT("Tab_00.Trial["&amp;X$4&amp;"]"),Tab_00.Trial[CONTA],$B207)</f>
        <v>0</v>
      </c>
      <c r="Y207" s="78">
        <f t="shared" ca="1" si="196"/>
        <v>0</v>
      </c>
      <c r="Z207" s="78">
        <f t="shared" ca="1" si="197"/>
        <v>0</v>
      </c>
      <c r="AA207" s="4">
        <f ca="1">-SUMIFS(INDIRECT("Tab_00.Trial["&amp;AA$4&amp;"]"),Tab_00.Trial[CONTA],$B207)</f>
        <v>0</v>
      </c>
      <c r="AB207" s="78">
        <f t="shared" ca="1" si="198"/>
        <v>0</v>
      </c>
      <c r="AC207" s="78">
        <f t="shared" ca="1" si="199"/>
        <v>0</v>
      </c>
      <c r="AD207" s="4">
        <f ca="1">-SUMIFS(INDIRECT("Tab_00.Trial["&amp;AD$4&amp;"]"),Tab_00.Trial[CONTA],$B207)</f>
        <v>0</v>
      </c>
      <c r="AE207" s="78">
        <f t="shared" ca="1" si="200"/>
        <v>0</v>
      </c>
      <c r="AF207" s="78">
        <f t="shared" ca="1" si="201"/>
        <v>0</v>
      </c>
      <c r="AG207" s="4">
        <f ca="1">-SUMIFS(INDIRECT("Tab_00.Trial["&amp;AG$4&amp;"]"),Tab_00.Trial[CONTA],$B207)</f>
        <v>0</v>
      </c>
      <c r="AH207" s="78">
        <f t="shared" ca="1" si="202"/>
        <v>0</v>
      </c>
      <c r="AI207" s="78">
        <f t="shared" ca="1" si="203"/>
        <v>0</v>
      </c>
      <c r="AJ207" s="4">
        <f ca="1">-SUMIFS(INDIRECT("Tab_00.Trial["&amp;AJ$4&amp;"]"),Tab_00.Trial[CONTA],$B207)</f>
        <v>0</v>
      </c>
      <c r="AK207" s="78">
        <f t="shared" ca="1" si="204"/>
        <v>0</v>
      </c>
      <c r="AL207" s="78">
        <f t="shared" ca="1" si="205"/>
        <v>0</v>
      </c>
    </row>
    <row r="208" spans="2:38" ht="5.0999999999999996" hidden="1" customHeight="1" outlineLevel="1" x14ac:dyDescent="0.3">
      <c r="B208" s="74"/>
      <c r="C208" s="75"/>
      <c r="D208" s="76"/>
      <c r="E208" s="77"/>
      <c r="F208" s="76"/>
      <c r="G208" s="77"/>
      <c r="H208" s="77"/>
      <c r="I208" s="76"/>
      <c r="J208" s="77"/>
      <c r="K208" s="77"/>
      <c r="L208" s="76"/>
      <c r="M208" s="77"/>
      <c r="N208" s="77"/>
      <c r="O208" s="76"/>
      <c r="P208" s="77"/>
      <c r="Q208" s="77"/>
      <c r="R208" s="76"/>
      <c r="S208" s="77"/>
      <c r="T208" s="77"/>
      <c r="U208" s="76"/>
      <c r="V208" s="77"/>
      <c r="W208" s="77"/>
      <c r="X208" s="76"/>
      <c r="Y208" s="77"/>
      <c r="Z208" s="77"/>
      <c r="AA208" s="76"/>
      <c r="AB208" s="77"/>
      <c r="AC208" s="77"/>
      <c r="AD208" s="76"/>
      <c r="AE208" s="77"/>
      <c r="AF208" s="77"/>
      <c r="AG208" s="76"/>
      <c r="AH208" s="77"/>
      <c r="AI208" s="77"/>
      <c r="AJ208" s="76"/>
      <c r="AK208" s="77"/>
      <c r="AL208" s="77"/>
    </row>
    <row r="209" spans="2:38" ht="15" customHeight="1" collapsed="1" x14ac:dyDescent="0.3">
      <c r="D209" s="8">
        <f ca="1">SUBTOTAL(9,D$193:D$208)</f>
        <v>202366.66</v>
      </c>
      <c r="E209" s="83">
        <f ca="1">IFERROR($D209/$D$6,0)</f>
        <v>0.21679999999999999</v>
      </c>
      <c r="F209" s="8">
        <f ca="1">SUBTOTAL(9,F$193:F$208)</f>
        <v>201747.07</v>
      </c>
      <c r="G209" s="83">
        <f ca="1">IFERROR($F209/$F$6,0)</f>
        <v>0.1384</v>
      </c>
      <c r="H209" s="83">
        <f ca="1">IFERROR(($F209-$D209)/ABS($D209),0)</f>
        <v>-3.0999999999999999E-3</v>
      </c>
      <c r="I209" s="8">
        <f ca="1">SUBTOTAL(9,I$193:I$208)</f>
        <v>726387.98</v>
      </c>
      <c r="J209" s="83">
        <f ca="1">IFERROR($I209/$I$6,0)</f>
        <v>0.2475</v>
      </c>
      <c r="K209" s="83">
        <f ca="1">IFERROR(($I209-$F209)/ABS($F209),0)</f>
        <v>2.6004999999999998</v>
      </c>
      <c r="L209" s="8">
        <f ca="1">SUBTOTAL(9,L$193:L$208)</f>
        <v>700594.18</v>
      </c>
      <c r="M209" s="83">
        <f ca="1">IFERROR($L209/$L$6,0)</f>
        <v>0.17799999999999999</v>
      </c>
      <c r="N209" s="83">
        <f ca="1">IFERROR(($L209-$I209)/ABS($I209),0)</f>
        <v>-3.5499999999999997E-2</v>
      </c>
      <c r="O209" s="8">
        <f ca="1">SUBTOTAL(9,O$193:O$208)</f>
        <v>1026372.61</v>
      </c>
      <c r="P209" s="83">
        <f ca="1">IFERROR($O209/$O$6,0)</f>
        <v>0.19980000000000001</v>
      </c>
      <c r="Q209" s="83">
        <f ca="1">IFERROR(($O209-$L209)/ABS($L209),0)</f>
        <v>0.46500000000000002</v>
      </c>
      <c r="R209" s="8">
        <f ca="1">SUBTOTAL(9,R$193:R$208)</f>
        <v>1664240.84</v>
      </c>
      <c r="S209" s="83">
        <f ca="1">IFERROR($R209/$R$6,0)</f>
        <v>0.23150000000000001</v>
      </c>
      <c r="T209" s="83">
        <f ca="1">IFERROR(($R209-$O209)/ABS($O209),0)</f>
        <v>0.62150000000000005</v>
      </c>
      <c r="U209" s="8">
        <f ca="1">SUBTOTAL(9,U$193:U$208)</f>
        <v>1664240.84</v>
      </c>
      <c r="V209" s="83">
        <f ca="1">IFERROR($U209/$U$6,0)</f>
        <v>0.23150000000000001</v>
      </c>
      <c r="W209" s="83">
        <f ca="1">IFERROR(($U209-$R209)/ABS($R209),0)</f>
        <v>0</v>
      </c>
      <c r="X209" s="8">
        <f ca="1">SUBTOTAL(9,X$193:X$208)</f>
        <v>1664240.84</v>
      </c>
      <c r="Y209" s="83">
        <f ca="1">IFERROR($X209/$X$6,0)</f>
        <v>0.23150000000000001</v>
      </c>
      <c r="Z209" s="83">
        <f ca="1">IFERROR(($X209-$U209)/ABS($U209),0)</f>
        <v>0</v>
      </c>
      <c r="AA209" s="8">
        <f ca="1">SUBTOTAL(9,AA$193:AA$208)</f>
        <v>2191081.11</v>
      </c>
      <c r="AB209" s="83">
        <f ca="1">IFERROR($AA209/$AA$6,0)</f>
        <v>0.23849999999999999</v>
      </c>
      <c r="AC209" s="83">
        <f ca="1">IFERROR(($AA209-$X209)/ABS($X209),0)</f>
        <v>0.31659999999999999</v>
      </c>
      <c r="AD209" s="8">
        <f ca="1">SUBTOTAL(9,AD$193:AD$208)</f>
        <v>2401691.19</v>
      </c>
      <c r="AE209" s="83">
        <f ca="1">IFERROR($AD209/$AD$6,0)</f>
        <v>0.23069999999999999</v>
      </c>
      <c r="AF209" s="83">
        <f ca="1">IFERROR(($AD209-$AA209)/ABS($AA209),0)</f>
        <v>9.6100000000000005E-2</v>
      </c>
      <c r="AG209" s="8">
        <f ca="1">SUBTOTAL(9,AG$193:AG$208)</f>
        <v>2732131.91</v>
      </c>
      <c r="AH209" s="83">
        <f ca="1">IFERROR($AG209/$AG$6,0)</f>
        <v>0.24149999999999999</v>
      </c>
      <c r="AI209" s="83">
        <f ca="1">IFERROR(($AG209-$AD209)/ABS($AD209),0)</f>
        <v>0.1376</v>
      </c>
      <c r="AJ209" s="8">
        <f ca="1">SUBTOTAL(9,AJ$193:AJ$208)</f>
        <v>2635927.7599999998</v>
      </c>
      <c r="AK209" s="83">
        <f ca="1">IFERROR($AJ209/$AJ$6,0)</f>
        <v>0.20610000000000001</v>
      </c>
      <c r="AL209" s="83">
        <f ca="1">IFERROR(($AJ209-$AG209)/ABS($AG209),0)</f>
        <v>-3.5200000000000002E-2</v>
      </c>
    </row>
    <row r="210" spans="2:38" ht="5.0999999999999996" customHeight="1" x14ac:dyDescent="0.3"/>
    <row r="211" spans="2:38" ht="5.0999999999999996" customHeight="1" x14ac:dyDescent="0.3"/>
    <row r="212" spans="2:38" ht="5.0999999999999996" customHeight="1" x14ac:dyDescent="0.3"/>
    <row r="213" spans="2:38" ht="5.0999999999999996" customHeight="1" x14ac:dyDescent="0.3"/>
    <row r="214" spans="2:38" ht="15" customHeight="1" x14ac:dyDescent="0.3">
      <c r="C214" s="17" t="s">
        <v>157</v>
      </c>
    </row>
    <row r="215" spans="2:38" ht="15" customHeight="1" collapsed="1" x14ac:dyDescent="0.3">
      <c r="B215" s="3" t="s">
        <v>72</v>
      </c>
      <c r="C215" s="3" t="s">
        <v>158</v>
      </c>
      <c r="D215" s="4">
        <f ca="1">SUBTOTAL(9,D$216:D$218)</f>
        <v>0</v>
      </c>
      <c r="E215" s="78">
        <f t="shared" ref="E215:E217" ca="1" si="206">IFERROR($D215/$D$6,0)</f>
        <v>0</v>
      </c>
      <c r="F215" s="4">
        <f ca="1">SUBTOTAL(9,F$216:F$218)</f>
        <v>0</v>
      </c>
      <c r="G215" s="78">
        <f t="shared" ref="G215:G217" ca="1" si="207">IFERROR($F215/$F$6,0)</f>
        <v>0</v>
      </c>
      <c r="H215" s="78">
        <f t="shared" ref="H215:H217" ca="1" si="208">IFERROR(($F215-$D215)/ABS($D215),0)</f>
        <v>0</v>
      </c>
      <c r="I215" s="4">
        <f ca="1">SUBTOTAL(9,I$216:I$218)</f>
        <v>0</v>
      </c>
      <c r="J215" s="78">
        <f t="shared" ref="J215:J217" ca="1" si="209">IFERROR($I215/$I$6,0)</f>
        <v>0</v>
      </c>
      <c r="K215" s="78">
        <f t="shared" ref="K215:K217" ca="1" si="210">IFERROR(($I215-$F215)/ABS($F215),0)</f>
        <v>0</v>
      </c>
      <c r="L215" s="4">
        <f ca="1">SUBTOTAL(9,L$216:L$218)</f>
        <v>0</v>
      </c>
      <c r="M215" s="78">
        <f t="shared" ref="M215:M217" ca="1" si="211">IFERROR($L215/$L$6,0)</f>
        <v>0</v>
      </c>
      <c r="N215" s="78">
        <f t="shared" ref="N215:N217" ca="1" si="212">IFERROR(($L215-$I215)/ABS($I215),0)</f>
        <v>0</v>
      </c>
      <c r="O215" s="4">
        <f ca="1">SUBTOTAL(9,O$216:O$218)</f>
        <v>0</v>
      </c>
      <c r="P215" s="78">
        <f t="shared" ref="P215:P217" ca="1" si="213">IFERROR($O215/$O$6,0)</f>
        <v>0</v>
      </c>
      <c r="Q215" s="78">
        <f t="shared" ref="Q215:Q217" ca="1" si="214">IFERROR(($O215-$L215)/ABS($L215),0)</f>
        <v>0</v>
      </c>
      <c r="R215" s="4">
        <f ca="1">SUBTOTAL(9,R$216:R$218)</f>
        <v>0</v>
      </c>
      <c r="S215" s="78">
        <f t="shared" ref="S215:S217" ca="1" si="215">IFERROR($R215/$R$6,0)</f>
        <v>0</v>
      </c>
      <c r="T215" s="78">
        <f t="shared" ref="T215:T217" ca="1" si="216">IFERROR(($R215-$O215)/ABS($O215),0)</f>
        <v>0</v>
      </c>
      <c r="U215" s="4">
        <f ca="1">SUBTOTAL(9,U$216:U$218)</f>
        <v>0</v>
      </c>
      <c r="V215" s="78">
        <f t="shared" ref="V215:V217" ca="1" si="217">IFERROR($U215/$U$6,0)</f>
        <v>0</v>
      </c>
      <c r="W215" s="78">
        <f t="shared" ref="W215:W217" ca="1" si="218">IFERROR(($U215-$R215)/ABS($R215),0)</f>
        <v>0</v>
      </c>
      <c r="X215" s="4">
        <f ca="1">SUBTOTAL(9,X$216:X$218)</f>
        <v>0</v>
      </c>
      <c r="Y215" s="78">
        <f t="shared" ref="Y215:Y217" ca="1" si="219">IFERROR($X215/$X$6,0)</f>
        <v>0</v>
      </c>
      <c r="Z215" s="78">
        <f t="shared" ref="Z215:Z217" ca="1" si="220">IFERROR(($X215-$U215)/ABS($U215),0)</f>
        <v>0</v>
      </c>
      <c r="AA215" s="4">
        <f ca="1">SUBTOTAL(9,AA$216:AA$218)</f>
        <v>0</v>
      </c>
      <c r="AB215" s="78">
        <f t="shared" ref="AB215:AB217" ca="1" si="221">IFERROR($AA215/$AA$6,0)</f>
        <v>0</v>
      </c>
      <c r="AC215" s="78">
        <f t="shared" ref="AC215:AC217" ca="1" si="222">IFERROR(($AA215-$X215)/ABS($X215),0)</f>
        <v>0</v>
      </c>
      <c r="AD215" s="4">
        <f ca="1">SUBTOTAL(9,AD$216:AD$218)</f>
        <v>0</v>
      </c>
      <c r="AE215" s="78">
        <f t="shared" ref="AE215:AE217" ca="1" si="223">IFERROR($AD215/$AD$6,0)</f>
        <v>0</v>
      </c>
      <c r="AF215" s="78">
        <f t="shared" ref="AF215:AF217" ca="1" si="224">IFERROR(($AD215-$AA215)/ABS($AA215),0)</f>
        <v>0</v>
      </c>
      <c r="AG215" s="4">
        <f ca="1">SUBTOTAL(9,AG$216:AG$218)</f>
        <v>0</v>
      </c>
      <c r="AH215" s="78">
        <f t="shared" ref="AH215:AH217" ca="1" si="225">IFERROR($AG215/$AG$6,0)</f>
        <v>0</v>
      </c>
      <c r="AI215" s="78">
        <f t="shared" ref="AI215:AI217" ca="1" si="226">IFERROR(($AG215-$AD215)/ABS($AD215),0)</f>
        <v>0</v>
      </c>
      <c r="AJ215" s="4">
        <f ca="1">SUBTOTAL(9,AJ$216:AJ$218)</f>
        <v>0</v>
      </c>
      <c r="AK215" s="78">
        <f t="shared" ref="AK215:AK217" ca="1" si="227">IFERROR($AJ215/$AJ$6,0)</f>
        <v>0</v>
      </c>
      <c r="AL215" s="78">
        <f t="shared" ref="AL215:AL217" ca="1" si="228">IFERROR(($AJ215-$AG215)/ABS($AG215),0)</f>
        <v>0</v>
      </c>
    </row>
    <row r="216" spans="2:38" ht="15" hidden="1" customHeight="1" outlineLevel="1" x14ac:dyDescent="0.3">
      <c r="B216" s="14"/>
      <c r="C216" s="14"/>
      <c r="D216" s="4">
        <f ca="1">-SUMIFS(INDIRECT("Tab_00.Trial["&amp;D$4&amp;"]"),Tab_00.Trial[CONTA],$B216)</f>
        <v>0</v>
      </c>
      <c r="E216" s="78">
        <f t="shared" ca="1" si="206"/>
        <v>0</v>
      </c>
      <c r="F216" s="4">
        <f ca="1">-SUMIFS(INDIRECT("Tab_00.Trial["&amp;F$4&amp;"]"),Tab_00.Trial[CONTA],$B216)</f>
        <v>0</v>
      </c>
      <c r="G216" s="78">
        <f t="shared" ca="1" si="207"/>
        <v>0</v>
      </c>
      <c r="H216" s="78">
        <f t="shared" ca="1" si="208"/>
        <v>0</v>
      </c>
      <c r="I216" s="4">
        <f ca="1">-SUMIFS(INDIRECT("Tab_00.Trial["&amp;I$4&amp;"]"),Tab_00.Trial[CONTA],$B216)</f>
        <v>0</v>
      </c>
      <c r="J216" s="78">
        <f t="shared" ca="1" si="209"/>
        <v>0</v>
      </c>
      <c r="K216" s="78">
        <f t="shared" ca="1" si="210"/>
        <v>0</v>
      </c>
      <c r="L216" s="4">
        <f ca="1">-SUMIFS(INDIRECT("Tab_00.Trial["&amp;L$4&amp;"]"),Tab_00.Trial[CONTA],$B216)</f>
        <v>0</v>
      </c>
      <c r="M216" s="78">
        <f t="shared" ca="1" si="211"/>
        <v>0</v>
      </c>
      <c r="N216" s="78">
        <f t="shared" ca="1" si="212"/>
        <v>0</v>
      </c>
      <c r="O216" s="4">
        <f ca="1">-SUMIFS(INDIRECT("Tab_00.Trial["&amp;O$4&amp;"]"),Tab_00.Trial[CONTA],$B216)</f>
        <v>0</v>
      </c>
      <c r="P216" s="78">
        <f t="shared" ca="1" si="213"/>
        <v>0</v>
      </c>
      <c r="Q216" s="78">
        <f t="shared" ca="1" si="214"/>
        <v>0</v>
      </c>
      <c r="R216" s="4">
        <f ca="1">-SUMIFS(INDIRECT("Tab_00.Trial["&amp;R$4&amp;"]"),Tab_00.Trial[CONTA],$B216)</f>
        <v>0</v>
      </c>
      <c r="S216" s="78">
        <f t="shared" ca="1" si="215"/>
        <v>0</v>
      </c>
      <c r="T216" s="78">
        <f t="shared" ca="1" si="216"/>
        <v>0</v>
      </c>
      <c r="U216" s="4">
        <f ca="1">-SUMIFS(INDIRECT("Tab_00.Trial["&amp;U$4&amp;"]"),Tab_00.Trial[CONTA],$B216)</f>
        <v>0</v>
      </c>
      <c r="V216" s="78">
        <f t="shared" ca="1" si="217"/>
        <v>0</v>
      </c>
      <c r="W216" s="78">
        <f t="shared" ca="1" si="218"/>
        <v>0</v>
      </c>
      <c r="X216" s="4">
        <f ca="1">-SUMIFS(INDIRECT("Tab_00.Trial["&amp;X$4&amp;"]"),Tab_00.Trial[CONTA],$B216)</f>
        <v>0</v>
      </c>
      <c r="Y216" s="78">
        <f t="shared" ca="1" si="219"/>
        <v>0</v>
      </c>
      <c r="Z216" s="78">
        <f t="shared" ca="1" si="220"/>
        <v>0</v>
      </c>
      <c r="AA216" s="4">
        <f ca="1">-SUMIFS(INDIRECT("Tab_00.Trial["&amp;AA$4&amp;"]"),Tab_00.Trial[CONTA],$B216)</f>
        <v>0</v>
      </c>
      <c r="AB216" s="78">
        <f t="shared" ca="1" si="221"/>
        <v>0</v>
      </c>
      <c r="AC216" s="78">
        <f t="shared" ca="1" si="222"/>
        <v>0</v>
      </c>
      <c r="AD216" s="4">
        <f ca="1">-SUMIFS(INDIRECT("Tab_00.Trial["&amp;AD$4&amp;"]"),Tab_00.Trial[CONTA],$B216)</f>
        <v>0</v>
      </c>
      <c r="AE216" s="78">
        <f t="shared" ca="1" si="223"/>
        <v>0</v>
      </c>
      <c r="AF216" s="78">
        <f t="shared" ca="1" si="224"/>
        <v>0</v>
      </c>
      <c r="AG216" s="4">
        <f ca="1">-SUMIFS(INDIRECT("Tab_00.Trial["&amp;AG$4&amp;"]"),Tab_00.Trial[CONTA],$B216)</f>
        <v>0</v>
      </c>
      <c r="AH216" s="78">
        <f t="shared" ca="1" si="225"/>
        <v>0</v>
      </c>
      <c r="AI216" s="78">
        <f t="shared" ca="1" si="226"/>
        <v>0</v>
      </c>
      <c r="AJ216" s="4">
        <f ca="1">-SUMIFS(INDIRECT("Tab_00.Trial["&amp;AJ$4&amp;"]"),Tab_00.Trial[CONTA],$B216)</f>
        <v>0</v>
      </c>
      <c r="AK216" s="78">
        <f t="shared" ca="1" si="227"/>
        <v>0</v>
      </c>
      <c r="AL216" s="78">
        <f t="shared" ca="1" si="228"/>
        <v>0</v>
      </c>
    </row>
    <row r="217" spans="2:38" ht="15" hidden="1" customHeight="1" outlineLevel="1" x14ac:dyDescent="0.3">
      <c r="B217" s="14"/>
      <c r="C217" s="14"/>
      <c r="D217" s="4">
        <f ca="1">-SUMIFS(INDIRECT("Tab_00.Trial["&amp;D$4&amp;"]"),Tab_00.Trial[CONTA],$B217)</f>
        <v>0</v>
      </c>
      <c r="E217" s="78">
        <f t="shared" ca="1" si="206"/>
        <v>0</v>
      </c>
      <c r="F217" s="4">
        <f ca="1">-SUMIFS(INDIRECT("Tab_00.Trial["&amp;F$4&amp;"]"),Tab_00.Trial[CONTA],$B217)</f>
        <v>0</v>
      </c>
      <c r="G217" s="78">
        <f t="shared" ca="1" si="207"/>
        <v>0</v>
      </c>
      <c r="H217" s="78">
        <f t="shared" ca="1" si="208"/>
        <v>0</v>
      </c>
      <c r="I217" s="4">
        <f ca="1">-SUMIFS(INDIRECT("Tab_00.Trial["&amp;I$4&amp;"]"),Tab_00.Trial[CONTA],$B217)</f>
        <v>0</v>
      </c>
      <c r="J217" s="78">
        <f t="shared" ca="1" si="209"/>
        <v>0</v>
      </c>
      <c r="K217" s="78">
        <f t="shared" ca="1" si="210"/>
        <v>0</v>
      </c>
      <c r="L217" s="4">
        <f ca="1">-SUMIFS(INDIRECT("Tab_00.Trial["&amp;L$4&amp;"]"),Tab_00.Trial[CONTA],$B217)</f>
        <v>0</v>
      </c>
      <c r="M217" s="78">
        <f t="shared" ca="1" si="211"/>
        <v>0</v>
      </c>
      <c r="N217" s="78">
        <f t="shared" ca="1" si="212"/>
        <v>0</v>
      </c>
      <c r="O217" s="4">
        <f ca="1">-SUMIFS(INDIRECT("Tab_00.Trial["&amp;O$4&amp;"]"),Tab_00.Trial[CONTA],$B217)</f>
        <v>0</v>
      </c>
      <c r="P217" s="78">
        <f t="shared" ca="1" si="213"/>
        <v>0</v>
      </c>
      <c r="Q217" s="78">
        <f t="shared" ca="1" si="214"/>
        <v>0</v>
      </c>
      <c r="R217" s="4">
        <f ca="1">-SUMIFS(INDIRECT("Tab_00.Trial["&amp;R$4&amp;"]"),Tab_00.Trial[CONTA],$B217)</f>
        <v>0</v>
      </c>
      <c r="S217" s="78">
        <f t="shared" ca="1" si="215"/>
        <v>0</v>
      </c>
      <c r="T217" s="78">
        <f t="shared" ca="1" si="216"/>
        <v>0</v>
      </c>
      <c r="U217" s="4">
        <f ca="1">-SUMIFS(INDIRECT("Tab_00.Trial["&amp;U$4&amp;"]"),Tab_00.Trial[CONTA],$B217)</f>
        <v>0</v>
      </c>
      <c r="V217" s="78">
        <f t="shared" ca="1" si="217"/>
        <v>0</v>
      </c>
      <c r="W217" s="78">
        <f t="shared" ca="1" si="218"/>
        <v>0</v>
      </c>
      <c r="X217" s="4">
        <f ca="1">-SUMIFS(INDIRECT("Tab_00.Trial["&amp;X$4&amp;"]"),Tab_00.Trial[CONTA],$B217)</f>
        <v>0</v>
      </c>
      <c r="Y217" s="78">
        <f t="shared" ca="1" si="219"/>
        <v>0</v>
      </c>
      <c r="Z217" s="78">
        <f t="shared" ca="1" si="220"/>
        <v>0</v>
      </c>
      <c r="AA217" s="4">
        <f ca="1">-SUMIFS(INDIRECT("Tab_00.Trial["&amp;AA$4&amp;"]"),Tab_00.Trial[CONTA],$B217)</f>
        <v>0</v>
      </c>
      <c r="AB217" s="78">
        <f t="shared" ca="1" si="221"/>
        <v>0</v>
      </c>
      <c r="AC217" s="78">
        <f t="shared" ca="1" si="222"/>
        <v>0</v>
      </c>
      <c r="AD217" s="4">
        <f ca="1">-SUMIFS(INDIRECT("Tab_00.Trial["&amp;AD$4&amp;"]"),Tab_00.Trial[CONTA],$B217)</f>
        <v>0</v>
      </c>
      <c r="AE217" s="78">
        <f t="shared" ca="1" si="223"/>
        <v>0</v>
      </c>
      <c r="AF217" s="78">
        <f t="shared" ca="1" si="224"/>
        <v>0</v>
      </c>
      <c r="AG217" s="4">
        <f ca="1">-SUMIFS(INDIRECT("Tab_00.Trial["&amp;AG$4&amp;"]"),Tab_00.Trial[CONTA],$B217)</f>
        <v>0</v>
      </c>
      <c r="AH217" s="78">
        <f t="shared" ca="1" si="225"/>
        <v>0</v>
      </c>
      <c r="AI217" s="78">
        <f t="shared" ca="1" si="226"/>
        <v>0</v>
      </c>
      <c r="AJ217" s="4">
        <f ca="1">-SUMIFS(INDIRECT("Tab_00.Trial["&amp;AJ$4&amp;"]"),Tab_00.Trial[CONTA],$B217)</f>
        <v>0</v>
      </c>
      <c r="AK217" s="78">
        <f t="shared" ca="1" si="227"/>
        <v>0</v>
      </c>
      <c r="AL217" s="78">
        <f t="shared" ca="1" si="228"/>
        <v>0</v>
      </c>
    </row>
    <row r="218" spans="2:38" ht="5.0999999999999996" hidden="1" customHeight="1" outlineLevel="1" x14ac:dyDescent="0.3">
      <c r="B218" s="74"/>
      <c r="C218" s="75"/>
      <c r="D218" s="76"/>
      <c r="E218" s="77"/>
      <c r="F218" s="76"/>
      <c r="G218" s="77"/>
      <c r="H218" s="77"/>
      <c r="I218" s="76"/>
      <c r="J218" s="77"/>
      <c r="K218" s="77"/>
      <c r="L218" s="76"/>
      <c r="M218" s="77"/>
      <c r="N218" s="77"/>
      <c r="O218" s="76"/>
      <c r="P218" s="77"/>
      <c r="Q218" s="77"/>
      <c r="R218" s="76"/>
      <c r="S218" s="77"/>
      <c r="T218" s="77"/>
      <c r="U218" s="76"/>
      <c r="V218" s="77"/>
      <c r="W218" s="77"/>
      <c r="X218" s="76"/>
      <c r="Y218" s="77"/>
      <c r="Z218" s="77"/>
      <c r="AA218" s="76"/>
      <c r="AB218" s="77"/>
      <c r="AC218" s="77"/>
      <c r="AD218" s="76"/>
      <c r="AE218" s="77"/>
      <c r="AF218" s="77"/>
      <c r="AG218" s="76"/>
      <c r="AH218" s="77"/>
      <c r="AI218" s="77"/>
      <c r="AJ218" s="76"/>
      <c r="AK218" s="77"/>
      <c r="AL218" s="77"/>
    </row>
    <row r="219" spans="2:38" ht="15" customHeight="1" collapsed="1" x14ac:dyDescent="0.3">
      <c r="B219" s="3" t="s">
        <v>160</v>
      </c>
      <c r="C219" s="3" t="s">
        <v>159</v>
      </c>
      <c r="D219" s="4">
        <f ca="1">SUBTOTAL(9,D$220:D$222)</f>
        <v>0</v>
      </c>
      <c r="E219" s="78">
        <f t="shared" ref="E219:E221" ca="1" si="229">IFERROR($D219/$D$6,0)</f>
        <v>0</v>
      </c>
      <c r="F219" s="4">
        <f ca="1">SUBTOTAL(9,F$220:F$222)</f>
        <v>0</v>
      </c>
      <c r="G219" s="78">
        <f ca="1">IFERROR($F219/$F$6,0)</f>
        <v>0</v>
      </c>
      <c r="H219" s="78">
        <f t="shared" ref="H219:H221" ca="1" si="230">IFERROR(($F219-$D219)/ABS($D219),0)</f>
        <v>0</v>
      </c>
      <c r="I219" s="4">
        <f ca="1">SUBTOTAL(9,I$220:I$222)</f>
        <v>0</v>
      </c>
      <c r="J219" s="78">
        <f ca="1">IFERROR($I219/$I$6,0)</f>
        <v>0</v>
      </c>
      <c r="K219" s="78">
        <f ca="1">IFERROR(($I219-$F219)/ABS($F219),0)</f>
        <v>0</v>
      </c>
      <c r="L219" s="4">
        <f ca="1">SUBTOTAL(9,L$220:L$222)</f>
        <v>0</v>
      </c>
      <c r="M219" s="78">
        <f ca="1">IFERROR($L219/$L$6,0)</f>
        <v>0</v>
      </c>
      <c r="N219" s="78">
        <f ca="1">IFERROR(($L219-$I219)/ABS($I219),0)</f>
        <v>0</v>
      </c>
      <c r="O219" s="4">
        <f ca="1">SUBTOTAL(9,O$220:O$222)</f>
        <v>0</v>
      </c>
      <c r="P219" s="78">
        <f ca="1">IFERROR($O219/$O$6,0)</f>
        <v>0</v>
      </c>
      <c r="Q219" s="78">
        <f ca="1">IFERROR(($O219-$L219)/ABS($L219),0)</f>
        <v>0</v>
      </c>
      <c r="R219" s="4">
        <f ca="1">SUBTOTAL(9,R$220:R$222)</f>
        <v>0</v>
      </c>
      <c r="S219" s="78">
        <f ca="1">IFERROR($R219/$R$6,0)</f>
        <v>0</v>
      </c>
      <c r="T219" s="78">
        <f ca="1">IFERROR(($R219-$O219)/ABS($O219),0)</f>
        <v>0</v>
      </c>
      <c r="U219" s="4">
        <f ca="1">SUBTOTAL(9,U$220:U$222)</f>
        <v>0</v>
      </c>
      <c r="V219" s="78">
        <f ca="1">IFERROR($U219/$U$6,0)</f>
        <v>0</v>
      </c>
      <c r="W219" s="78">
        <f ca="1">IFERROR(($U219-$R219)/ABS($R219),0)</f>
        <v>0</v>
      </c>
      <c r="X219" s="4">
        <f ca="1">SUBTOTAL(9,X$220:X$222)</f>
        <v>0</v>
      </c>
      <c r="Y219" s="78">
        <f ca="1">IFERROR($X219/$X$6,0)</f>
        <v>0</v>
      </c>
      <c r="Z219" s="78">
        <f ca="1">IFERROR(($X219-$U219)/ABS($U219),0)</f>
        <v>0</v>
      </c>
      <c r="AA219" s="4">
        <f ca="1">SUBTOTAL(9,AA$220:AA$222)</f>
        <v>0</v>
      </c>
      <c r="AB219" s="78">
        <f ca="1">IFERROR($AA219/$AA$6,0)</f>
        <v>0</v>
      </c>
      <c r="AC219" s="78">
        <f ca="1">IFERROR(($AA219-$X219)/ABS($X219),0)</f>
        <v>0</v>
      </c>
      <c r="AD219" s="4">
        <f ca="1">SUBTOTAL(9,AD$220:AD$222)</f>
        <v>0</v>
      </c>
      <c r="AE219" s="78">
        <f ca="1">IFERROR($AD219/$AD$6,0)</f>
        <v>0</v>
      </c>
      <c r="AF219" s="78">
        <f ca="1">IFERROR(($AD219-$AA219)/ABS($AA219),0)</f>
        <v>0</v>
      </c>
      <c r="AG219" s="4">
        <f ca="1">SUBTOTAL(9,AG$220:AG$222)</f>
        <v>0</v>
      </c>
      <c r="AH219" s="78">
        <f ca="1">IFERROR($AG219/$AG$6,0)</f>
        <v>0</v>
      </c>
      <c r="AI219" s="78">
        <f ca="1">IFERROR(($AG219-$AD219)/ABS($AD219),0)</f>
        <v>0</v>
      </c>
      <c r="AJ219" s="4">
        <f ca="1">SUBTOTAL(9,AJ$220:AJ$222)</f>
        <v>0</v>
      </c>
      <c r="AK219" s="78">
        <f ca="1">IFERROR($AJ219/$AJ$6,0)</f>
        <v>0</v>
      </c>
      <c r="AL219" s="78">
        <f ca="1">IFERROR(($AJ219-$AG219)/ABS($AG219),0)</f>
        <v>0</v>
      </c>
    </row>
    <row r="220" spans="2:38" ht="15" hidden="1" customHeight="1" outlineLevel="1" x14ac:dyDescent="0.3">
      <c r="B220" s="14"/>
      <c r="C220" s="14"/>
      <c r="D220" s="4">
        <f ca="1">-SUMIFS(INDIRECT("Tab_00.Trial["&amp;D$4&amp;"]"),Tab_00.Trial[CONTA],$B220)</f>
        <v>0</v>
      </c>
      <c r="E220" s="78">
        <f t="shared" ca="1" si="229"/>
        <v>0</v>
      </c>
      <c r="F220" s="4">
        <f ca="1">-SUMIFS(INDIRECT("Tab_00.Trial["&amp;F$4&amp;"]"),Tab_00.Trial[CONTA],$B220)</f>
        <v>0</v>
      </c>
      <c r="G220" s="78">
        <f t="shared" ref="G220:G221" ca="1" si="231">IFERROR($F220/$F$6,0)</f>
        <v>0</v>
      </c>
      <c r="H220" s="78">
        <f t="shared" ca="1" si="230"/>
        <v>0</v>
      </c>
      <c r="I220" s="4">
        <f ca="1">-SUMIFS(INDIRECT("Tab_00.Trial["&amp;I$4&amp;"]"),Tab_00.Trial[CONTA],$B220)</f>
        <v>0</v>
      </c>
      <c r="J220" s="78">
        <f t="shared" ref="J220:J221" ca="1" si="232">IFERROR($I220/$I$6,0)</f>
        <v>0</v>
      </c>
      <c r="K220" s="78">
        <f t="shared" ref="K220:K221" ca="1" si="233">IFERROR(($I220-$F220)/ABS($F220),0)</f>
        <v>0</v>
      </c>
      <c r="L220" s="4">
        <f ca="1">-SUMIFS(INDIRECT("Tab_00.Trial["&amp;L$4&amp;"]"),Tab_00.Trial[CONTA],$B220)</f>
        <v>0</v>
      </c>
      <c r="M220" s="78">
        <f t="shared" ref="M220:M221" ca="1" si="234">IFERROR($L220/$L$6,0)</f>
        <v>0</v>
      </c>
      <c r="N220" s="78">
        <f t="shared" ref="N220:N221" ca="1" si="235">IFERROR(($L220-$I220)/ABS($I220),0)</f>
        <v>0</v>
      </c>
      <c r="O220" s="4">
        <f ca="1">-SUMIFS(INDIRECT("Tab_00.Trial["&amp;O$4&amp;"]"),Tab_00.Trial[CONTA],$B220)</f>
        <v>0</v>
      </c>
      <c r="P220" s="78">
        <f t="shared" ref="P220:P221" ca="1" si="236">IFERROR($O220/$O$6,0)</f>
        <v>0</v>
      </c>
      <c r="Q220" s="78">
        <f t="shared" ref="Q220:Q221" ca="1" si="237">IFERROR(($O220-$L220)/ABS($L220),0)</f>
        <v>0</v>
      </c>
      <c r="R220" s="4">
        <f ca="1">-SUMIFS(INDIRECT("Tab_00.Trial["&amp;R$4&amp;"]"),Tab_00.Trial[CONTA],$B220)</f>
        <v>0</v>
      </c>
      <c r="S220" s="78">
        <f t="shared" ref="S220:S221" ca="1" si="238">IFERROR($R220/$R$6,0)</f>
        <v>0</v>
      </c>
      <c r="T220" s="78">
        <f t="shared" ref="T220:T221" ca="1" si="239">IFERROR(($R220-$O220)/ABS($O220),0)</f>
        <v>0</v>
      </c>
      <c r="U220" s="4">
        <f ca="1">-SUMIFS(INDIRECT("Tab_00.Trial["&amp;U$4&amp;"]"),Tab_00.Trial[CONTA],$B220)</f>
        <v>0</v>
      </c>
      <c r="V220" s="78">
        <f t="shared" ref="V220:V221" ca="1" si="240">IFERROR($U220/$U$6,0)</f>
        <v>0</v>
      </c>
      <c r="W220" s="78">
        <f t="shared" ref="W220:W221" ca="1" si="241">IFERROR(($U220-$R220)/ABS($R220),0)</f>
        <v>0</v>
      </c>
      <c r="X220" s="4">
        <f ca="1">-SUMIFS(INDIRECT("Tab_00.Trial["&amp;X$4&amp;"]"),Tab_00.Trial[CONTA],$B220)</f>
        <v>0</v>
      </c>
      <c r="Y220" s="78">
        <f t="shared" ref="Y220:Y221" ca="1" si="242">IFERROR($X220/$X$6,0)</f>
        <v>0</v>
      </c>
      <c r="Z220" s="78">
        <f t="shared" ref="Z220:Z221" ca="1" si="243">IFERROR(($X220-$U220)/ABS($U220),0)</f>
        <v>0</v>
      </c>
      <c r="AA220" s="4">
        <f ca="1">-SUMIFS(INDIRECT("Tab_00.Trial["&amp;AA$4&amp;"]"),Tab_00.Trial[CONTA],$B220)</f>
        <v>0</v>
      </c>
      <c r="AB220" s="78">
        <f t="shared" ref="AB220:AB221" ca="1" si="244">IFERROR($AA220/$AA$6,0)</f>
        <v>0</v>
      </c>
      <c r="AC220" s="78">
        <f t="shared" ref="AC220:AC221" ca="1" si="245">IFERROR(($AA220-$X220)/ABS($X220),0)</f>
        <v>0</v>
      </c>
      <c r="AD220" s="4">
        <f ca="1">-SUMIFS(INDIRECT("Tab_00.Trial["&amp;AD$4&amp;"]"),Tab_00.Trial[CONTA],$B220)</f>
        <v>0</v>
      </c>
      <c r="AE220" s="78">
        <f t="shared" ref="AE220:AE221" ca="1" si="246">IFERROR($AD220/$AD$6,0)</f>
        <v>0</v>
      </c>
      <c r="AF220" s="78">
        <f t="shared" ref="AF220:AF221" ca="1" si="247">IFERROR(($AD220-$AA220)/ABS($AA220),0)</f>
        <v>0</v>
      </c>
      <c r="AG220" s="4">
        <f ca="1">-SUMIFS(INDIRECT("Tab_00.Trial["&amp;AG$4&amp;"]"),Tab_00.Trial[CONTA],$B220)</f>
        <v>0</v>
      </c>
      <c r="AH220" s="78">
        <f t="shared" ref="AH220:AH221" ca="1" si="248">IFERROR($AG220/$AG$6,0)</f>
        <v>0</v>
      </c>
      <c r="AI220" s="78">
        <f t="shared" ref="AI220:AI221" ca="1" si="249">IFERROR(($AG220-$AD220)/ABS($AD220),0)</f>
        <v>0</v>
      </c>
      <c r="AJ220" s="4">
        <f ca="1">-SUMIFS(INDIRECT("Tab_00.Trial["&amp;AJ$4&amp;"]"),Tab_00.Trial[CONTA],$B220)</f>
        <v>0</v>
      </c>
      <c r="AK220" s="78">
        <f t="shared" ref="AK220:AK221" ca="1" si="250">IFERROR($AJ220/$AJ$6,0)</f>
        <v>0</v>
      </c>
      <c r="AL220" s="78">
        <f t="shared" ref="AL220:AL221" ca="1" si="251">IFERROR(($AJ220-$AG220)/ABS($AG220),0)</f>
        <v>0</v>
      </c>
    </row>
    <row r="221" spans="2:38" ht="15" hidden="1" customHeight="1" outlineLevel="1" x14ac:dyDescent="0.3">
      <c r="B221" s="14"/>
      <c r="C221" s="14"/>
      <c r="D221" s="4">
        <f ca="1">-SUMIFS(INDIRECT("Tab_00.Trial["&amp;D$4&amp;"]"),Tab_00.Trial[CONTA],$B221)</f>
        <v>0</v>
      </c>
      <c r="E221" s="78">
        <f t="shared" ca="1" si="229"/>
        <v>0</v>
      </c>
      <c r="F221" s="4">
        <f ca="1">-SUMIFS(INDIRECT("Tab_00.Trial["&amp;F$4&amp;"]"),Tab_00.Trial[CONTA],$B221)</f>
        <v>0</v>
      </c>
      <c r="G221" s="78">
        <f t="shared" ca="1" si="231"/>
        <v>0</v>
      </c>
      <c r="H221" s="78">
        <f t="shared" ca="1" si="230"/>
        <v>0</v>
      </c>
      <c r="I221" s="4">
        <f ca="1">-SUMIFS(INDIRECT("Tab_00.Trial["&amp;I$4&amp;"]"),Tab_00.Trial[CONTA],$B221)</f>
        <v>0</v>
      </c>
      <c r="J221" s="78">
        <f t="shared" ca="1" si="232"/>
        <v>0</v>
      </c>
      <c r="K221" s="78">
        <f t="shared" ca="1" si="233"/>
        <v>0</v>
      </c>
      <c r="L221" s="4">
        <f ca="1">-SUMIFS(INDIRECT("Tab_00.Trial["&amp;L$4&amp;"]"),Tab_00.Trial[CONTA],$B221)</f>
        <v>0</v>
      </c>
      <c r="M221" s="78">
        <f t="shared" ca="1" si="234"/>
        <v>0</v>
      </c>
      <c r="N221" s="78">
        <f t="shared" ca="1" si="235"/>
        <v>0</v>
      </c>
      <c r="O221" s="4">
        <f ca="1">-SUMIFS(INDIRECT("Tab_00.Trial["&amp;O$4&amp;"]"),Tab_00.Trial[CONTA],$B221)</f>
        <v>0</v>
      </c>
      <c r="P221" s="78">
        <f t="shared" ca="1" si="236"/>
        <v>0</v>
      </c>
      <c r="Q221" s="78">
        <f t="shared" ca="1" si="237"/>
        <v>0</v>
      </c>
      <c r="R221" s="4">
        <f ca="1">-SUMIFS(INDIRECT("Tab_00.Trial["&amp;R$4&amp;"]"),Tab_00.Trial[CONTA],$B221)</f>
        <v>0</v>
      </c>
      <c r="S221" s="78">
        <f t="shared" ca="1" si="238"/>
        <v>0</v>
      </c>
      <c r="T221" s="78">
        <f t="shared" ca="1" si="239"/>
        <v>0</v>
      </c>
      <c r="U221" s="4">
        <f ca="1">-SUMIFS(INDIRECT("Tab_00.Trial["&amp;U$4&amp;"]"),Tab_00.Trial[CONTA],$B221)</f>
        <v>0</v>
      </c>
      <c r="V221" s="78">
        <f t="shared" ca="1" si="240"/>
        <v>0</v>
      </c>
      <c r="W221" s="78">
        <f t="shared" ca="1" si="241"/>
        <v>0</v>
      </c>
      <c r="X221" s="4">
        <f ca="1">-SUMIFS(INDIRECT("Tab_00.Trial["&amp;X$4&amp;"]"),Tab_00.Trial[CONTA],$B221)</f>
        <v>0</v>
      </c>
      <c r="Y221" s="78">
        <f t="shared" ca="1" si="242"/>
        <v>0</v>
      </c>
      <c r="Z221" s="78">
        <f t="shared" ca="1" si="243"/>
        <v>0</v>
      </c>
      <c r="AA221" s="4">
        <f ca="1">-SUMIFS(INDIRECT("Tab_00.Trial["&amp;AA$4&amp;"]"),Tab_00.Trial[CONTA],$B221)</f>
        <v>0</v>
      </c>
      <c r="AB221" s="78">
        <f t="shared" ca="1" si="244"/>
        <v>0</v>
      </c>
      <c r="AC221" s="78">
        <f t="shared" ca="1" si="245"/>
        <v>0</v>
      </c>
      <c r="AD221" s="4">
        <f ca="1">-SUMIFS(INDIRECT("Tab_00.Trial["&amp;AD$4&amp;"]"),Tab_00.Trial[CONTA],$B221)</f>
        <v>0</v>
      </c>
      <c r="AE221" s="78">
        <f t="shared" ca="1" si="246"/>
        <v>0</v>
      </c>
      <c r="AF221" s="78">
        <f t="shared" ca="1" si="247"/>
        <v>0</v>
      </c>
      <c r="AG221" s="4">
        <f ca="1">-SUMIFS(INDIRECT("Tab_00.Trial["&amp;AG$4&amp;"]"),Tab_00.Trial[CONTA],$B221)</f>
        <v>0</v>
      </c>
      <c r="AH221" s="78">
        <f t="shared" ca="1" si="248"/>
        <v>0</v>
      </c>
      <c r="AI221" s="78">
        <f t="shared" ca="1" si="249"/>
        <v>0</v>
      </c>
      <c r="AJ221" s="4">
        <f ca="1">-SUMIFS(INDIRECT("Tab_00.Trial["&amp;AJ$4&amp;"]"),Tab_00.Trial[CONTA],$B221)</f>
        <v>0</v>
      </c>
      <c r="AK221" s="78">
        <f t="shared" ca="1" si="250"/>
        <v>0</v>
      </c>
      <c r="AL221" s="78">
        <f t="shared" ca="1" si="251"/>
        <v>0</v>
      </c>
    </row>
    <row r="222" spans="2:38" ht="5.0999999999999996" hidden="1" customHeight="1" outlineLevel="1" x14ac:dyDescent="0.3">
      <c r="B222" s="74"/>
      <c r="C222" s="75"/>
      <c r="D222" s="76"/>
      <c r="E222" s="77"/>
      <c r="F222" s="76"/>
      <c r="G222" s="77"/>
      <c r="H222" s="77"/>
      <c r="I222" s="76"/>
      <c r="J222" s="77"/>
      <c r="K222" s="77"/>
      <c r="L222" s="76"/>
      <c r="M222" s="77"/>
      <c r="N222" s="77"/>
      <c r="O222" s="76"/>
      <c r="P222" s="77"/>
      <c r="Q222" s="77"/>
      <c r="R222" s="76"/>
      <c r="S222" s="77"/>
      <c r="T222" s="77"/>
      <c r="U222" s="76"/>
      <c r="V222" s="77"/>
      <c r="W222" s="77"/>
      <c r="X222" s="76"/>
      <c r="Y222" s="77"/>
      <c r="Z222" s="77"/>
      <c r="AA222" s="76"/>
      <c r="AB222" s="77"/>
      <c r="AC222" s="77"/>
      <c r="AD222" s="76"/>
      <c r="AE222" s="77"/>
      <c r="AF222" s="77"/>
      <c r="AG222" s="76"/>
      <c r="AH222" s="77"/>
      <c r="AI222" s="77"/>
      <c r="AJ222" s="76"/>
      <c r="AK222" s="77"/>
      <c r="AL222" s="77"/>
    </row>
    <row r="223" spans="2:38" ht="5.0999999999999996" customHeight="1" x14ac:dyDescent="0.3"/>
    <row r="224" spans="2:38" ht="20.100000000000001" customHeight="1" thickBot="1" x14ac:dyDescent="0.35">
      <c r="C224" s="17" t="s">
        <v>137</v>
      </c>
      <c r="D224" s="18">
        <f ca="1">SUBTOTAL(9,D$5:D$223)</f>
        <v>-111264.76</v>
      </c>
      <c r="E224" s="81">
        <f ca="1">IFERROR($D224/$D$6,0)</f>
        <v>-0.1192</v>
      </c>
      <c r="F224" s="18">
        <f ca="1">SUBTOTAL(9,F$5:F$223)</f>
        <v>-61548.61</v>
      </c>
      <c r="G224" s="81">
        <f ca="1">IFERROR($F224/$F$6,0)</f>
        <v>-4.2200000000000001E-2</v>
      </c>
      <c r="H224" s="81">
        <f ca="1">IFERROR(($F224-$D224)/ABS($D224),0)</f>
        <v>0.44679999999999997</v>
      </c>
      <c r="I224" s="18">
        <f ca="1">SUBTOTAL(9,I$5:I$223)</f>
        <v>-72348.78</v>
      </c>
      <c r="J224" s="81">
        <f ca="1">IFERROR($I224/$I$6,0)</f>
        <v>-2.47E-2</v>
      </c>
      <c r="K224" s="81">
        <f ca="1">IFERROR(($I224-$F224)/ABS($F224),0)</f>
        <v>-0.17549999999999999</v>
      </c>
      <c r="L224" s="18">
        <f ca="1">SUBTOTAL(9,L$5:L$223)</f>
        <v>-159595.15</v>
      </c>
      <c r="M224" s="81">
        <f ca="1">IFERROR($L224/$L$6,0)</f>
        <v>-4.0500000000000001E-2</v>
      </c>
      <c r="N224" s="81">
        <f ca="1">IFERROR(($L224-$I224)/ABS($I224),0)</f>
        <v>-1.2059</v>
      </c>
      <c r="O224" s="18">
        <f ca="1">SUBTOTAL(9,O$5:O$223)</f>
        <v>302910.74</v>
      </c>
      <c r="P224" s="81">
        <f ca="1">IFERROR($O224/$O$6,0)</f>
        <v>5.8999999999999997E-2</v>
      </c>
      <c r="Q224" s="81">
        <f ca="1">IFERROR(($O224-$L224)/ABS($L224),0)</f>
        <v>2.8980000000000001</v>
      </c>
      <c r="R224" s="18">
        <f ca="1">SUBTOTAL(9,R$5:R$223)</f>
        <v>1063570.8600000001</v>
      </c>
      <c r="S224" s="81">
        <f ca="1">IFERROR($R224/$R$6,0)</f>
        <v>0.14799999999999999</v>
      </c>
      <c r="T224" s="81">
        <f ca="1">IFERROR(($R224-$O224)/ABS($O224),0)</f>
        <v>2.5112000000000001</v>
      </c>
      <c r="U224" s="18">
        <f ca="1">SUBTOTAL(9,U$5:U$223)</f>
        <v>1063570.8600000001</v>
      </c>
      <c r="V224" s="81">
        <f ca="1">IFERROR($U224/$U$6,0)</f>
        <v>0.14799999999999999</v>
      </c>
      <c r="W224" s="81">
        <f ca="1">IFERROR(($U224-$R224)/ABS($R224),0)</f>
        <v>0</v>
      </c>
      <c r="X224" s="18">
        <f ca="1">SUBTOTAL(9,X$5:X$223)</f>
        <v>1063570.8600000001</v>
      </c>
      <c r="Y224" s="81">
        <f ca="1">IFERROR($X224/$X$6,0)</f>
        <v>0.14799999999999999</v>
      </c>
      <c r="Z224" s="81">
        <f ca="1">IFERROR(($X224-$U224)/ABS($U224),0)</f>
        <v>0</v>
      </c>
      <c r="AA224" s="18">
        <f ca="1">SUBTOTAL(9,AA$5:AA$223)</f>
        <v>1513202.38</v>
      </c>
      <c r="AB224" s="81">
        <f ca="1">IFERROR($AA224/$AA$6,0)</f>
        <v>0.16470000000000001</v>
      </c>
      <c r="AC224" s="81">
        <f ca="1">IFERROR(($AA224-$X224)/ABS($X224),0)</f>
        <v>0.42280000000000001</v>
      </c>
      <c r="AD224" s="18">
        <f ca="1">SUBTOTAL(9,AD$5:AD$223)</f>
        <v>1740149.73</v>
      </c>
      <c r="AE224" s="81">
        <f ca="1">IFERROR($AD224/$AD$6,0)</f>
        <v>0.16719999999999999</v>
      </c>
      <c r="AF224" s="81">
        <f ca="1">IFERROR(($AD224-$AA224)/ABS($AA224),0)</f>
        <v>0.15</v>
      </c>
      <c r="AG224" s="18">
        <f ca="1">SUBTOTAL(9,AG$5:AG$223)</f>
        <v>2241938.8199999998</v>
      </c>
      <c r="AH224" s="81">
        <f ca="1">IFERROR($AG224/$AG$6,0)</f>
        <v>0.19819999999999999</v>
      </c>
      <c r="AI224" s="81">
        <f ca="1">IFERROR(($AG224-$AD224)/ABS($AD224),0)</f>
        <v>0.28839999999999999</v>
      </c>
      <c r="AJ224" s="18">
        <f ca="1">SUBTOTAL(9,AJ$5:AJ$223)</f>
        <v>1750897.02</v>
      </c>
      <c r="AK224" s="81">
        <f ca="1">IFERROR($AJ224/$AJ$6,0)</f>
        <v>0.13689999999999999</v>
      </c>
      <c r="AL224" s="81">
        <f ca="1">IFERROR(($AJ224-$AG224)/ABS($AG224),0)</f>
        <v>-0.219</v>
      </c>
    </row>
    <row r="225" spans="33:33" ht="14.4" thickTop="1" x14ac:dyDescent="0.3"/>
    <row r="227" spans="33:33" x14ac:dyDescent="0.3">
      <c r="AG227" s="4">
        <f ca="1">par_11.LL+'2024'!R8</f>
        <v>-89617.06</v>
      </c>
    </row>
    <row r="241" spans="3:3" x14ac:dyDescent="0.3">
      <c r="C241" s="140"/>
    </row>
  </sheetData>
  <sheetProtection autoFilter="0"/>
  <dataValidations disablePrompts="1" count="1">
    <dataValidation type="custom" allowBlank="1" showInputMessage="1" showErrorMessage="1" error="Inserir linhas acima!!!" sqref="B171:AL171 B188:AL188 B208:AL208 B200:AL200 B141:AL141 B154:AL154 B99:AL99 B180:AL180 B164:AL164 B23:AL23 B33:AL33 B57:AL57 B222:AL222 B218:AL218" xr:uid="{E553BE3E-F8AB-43B3-9F85-33BE05261662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30EAC-045E-4282-9FEC-399AA5A934FE}">
  <sheetPr codeName="Planilha7">
    <outlinePr summaryBelow="0" summaryRight="0"/>
  </sheetPr>
  <dimension ref="A2:AN212"/>
  <sheetViews>
    <sheetView showGridLines="0" zoomScaleNormal="100" workbookViewId="0">
      <pane xSplit="3" ySplit="4" topLeftCell="D171" activePane="bottomRight" state="frozen"/>
      <selection activeCell="D5" sqref="D5"/>
      <selection pane="topRight" activeCell="D5" sqref="D5"/>
      <selection pane="bottomLeft" activeCell="D5" sqref="D5"/>
      <selection pane="bottomRight" activeCell="F216" sqref="F216"/>
    </sheetView>
  </sheetViews>
  <sheetFormatPr defaultColWidth="8.88671875" defaultRowHeight="13.8" outlineLevelRow="1" x14ac:dyDescent="0.3"/>
  <cols>
    <col min="1" max="1" width="2.6640625" style="1" hidden="1" customWidth="1"/>
    <col min="2" max="2" width="17" style="3" customWidth="1"/>
    <col min="3" max="3" width="32.109375" style="1" customWidth="1"/>
    <col min="4" max="4" width="13.109375" style="4" bestFit="1" customWidth="1"/>
    <col min="5" max="5" width="6.88671875" style="78" bestFit="1" customWidth="1"/>
    <col min="6" max="6" width="13.109375" style="4" bestFit="1" customWidth="1"/>
    <col min="7" max="7" width="7.33203125" style="78" bestFit="1" customWidth="1"/>
    <col min="8" max="8" width="11.109375" style="78" bestFit="1" customWidth="1"/>
    <col min="9" max="9" width="13.33203125" style="4" bestFit="1" customWidth="1"/>
    <col min="10" max="10" width="7.33203125" style="78" bestFit="1" customWidth="1"/>
    <col min="11" max="11" width="10" style="78" bestFit="1" customWidth="1"/>
    <col min="12" max="12" width="13.5546875" style="4" bestFit="1" customWidth="1"/>
    <col min="13" max="13" width="6.88671875" style="78" bestFit="1" customWidth="1"/>
    <col min="14" max="14" width="9.21875" style="78" bestFit="1" customWidth="1"/>
    <col min="15" max="15" width="13.5546875" style="4" bestFit="1" customWidth="1"/>
    <col min="16" max="16" width="6.88671875" style="78" bestFit="1" customWidth="1"/>
    <col min="17" max="17" width="9.5546875" style="78" bestFit="1" customWidth="1"/>
    <col min="18" max="18" width="13.109375" style="4" bestFit="1" customWidth="1"/>
    <col min="19" max="19" width="6.88671875" style="78" bestFit="1" customWidth="1"/>
    <col min="20" max="20" width="8.44140625" style="78" bestFit="1" customWidth="1"/>
    <col min="21" max="21" width="15.6640625" style="4" customWidth="1"/>
    <col min="22" max="23" width="8.6640625" style="78" customWidth="1"/>
    <col min="24" max="24" width="15.6640625" style="4" customWidth="1"/>
    <col min="25" max="26" width="8.6640625" style="78" customWidth="1"/>
    <col min="27" max="27" width="15.6640625" style="4" customWidth="1"/>
    <col min="28" max="29" width="8.6640625" style="78" customWidth="1"/>
    <col min="30" max="30" width="15.6640625" style="4" customWidth="1"/>
    <col min="31" max="32" width="8.6640625" style="78" customWidth="1"/>
    <col min="33" max="33" width="15.6640625" style="4" customWidth="1"/>
    <col min="34" max="35" width="8.6640625" style="78" customWidth="1"/>
    <col min="36" max="36" width="15.6640625" style="4" customWidth="1" collapsed="1"/>
    <col min="37" max="38" width="8.6640625" style="78" customWidth="1"/>
    <col min="39" max="39" width="27" style="1" customWidth="1"/>
    <col min="40" max="40" width="10" style="1" bestFit="1" customWidth="1"/>
    <col min="41" max="16384" width="8.88671875" style="1"/>
  </cols>
  <sheetData>
    <row r="2" spans="2:38" x14ac:dyDescent="0.3">
      <c r="C2" s="17" t="s">
        <v>64</v>
      </c>
    </row>
    <row r="4" spans="2:38" ht="24.9" customHeight="1" x14ac:dyDescent="0.3">
      <c r="D4" s="20" t="s">
        <v>3</v>
      </c>
      <c r="E4" s="84" t="s">
        <v>47</v>
      </c>
      <c r="F4" s="20" t="s">
        <v>4</v>
      </c>
      <c r="G4" s="84" t="s">
        <v>47</v>
      </c>
      <c r="H4" s="84" t="s">
        <v>48</v>
      </c>
      <c r="I4" s="20" t="s">
        <v>5</v>
      </c>
      <c r="J4" s="84" t="s">
        <v>47</v>
      </c>
      <c r="K4" s="84" t="s">
        <v>48</v>
      </c>
      <c r="L4" s="20" t="s">
        <v>6</v>
      </c>
      <c r="M4" s="84" t="s">
        <v>47</v>
      </c>
      <c r="N4" s="84" t="s">
        <v>48</v>
      </c>
      <c r="O4" s="20" t="s">
        <v>7</v>
      </c>
      <c r="P4" s="84" t="s">
        <v>47</v>
      </c>
      <c r="Q4" s="84" t="s">
        <v>48</v>
      </c>
      <c r="R4" s="20" t="s">
        <v>8</v>
      </c>
      <c r="S4" s="84" t="s">
        <v>47</v>
      </c>
      <c r="T4" s="84" t="s">
        <v>48</v>
      </c>
      <c r="U4" s="20" t="s">
        <v>9</v>
      </c>
      <c r="V4" s="84" t="s">
        <v>47</v>
      </c>
      <c r="W4" s="84" t="s">
        <v>48</v>
      </c>
      <c r="X4" s="20" t="s">
        <v>10</v>
      </c>
      <c r="Y4" s="84" t="s">
        <v>47</v>
      </c>
      <c r="Z4" s="84" t="s">
        <v>48</v>
      </c>
      <c r="AA4" s="20" t="s">
        <v>11</v>
      </c>
      <c r="AB4" s="84" t="s">
        <v>47</v>
      </c>
      <c r="AC4" s="84" t="s">
        <v>48</v>
      </c>
      <c r="AD4" s="20" t="s">
        <v>12</v>
      </c>
      <c r="AE4" s="84" t="s">
        <v>47</v>
      </c>
      <c r="AF4" s="84" t="s">
        <v>48</v>
      </c>
      <c r="AG4" s="20" t="s">
        <v>13</v>
      </c>
      <c r="AH4" s="84" t="s">
        <v>47</v>
      </c>
      <c r="AI4" s="84" t="s">
        <v>48</v>
      </c>
      <c r="AJ4" s="20" t="s">
        <v>14</v>
      </c>
      <c r="AK4" s="84" t="s">
        <v>47</v>
      </c>
      <c r="AL4" s="84" t="s">
        <v>48</v>
      </c>
    </row>
    <row r="5" spans="2:38" ht="10.8" customHeight="1" x14ac:dyDescent="0.3">
      <c r="C5" s="17"/>
      <c r="D5" s="7"/>
      <c r="E5" s="79"/>
      <c r="F5" s="7"/>
      <c r="G5" s="79"/>
      <c r="H5" s="79"/>
      <c r="I5" s="7"/>
      <c r="J5" s="79"/>
      <c r="K5" s="79"/>
      <c r="L5" s="7"/>
      <c r="M5" s="79"/>
      <c r="N5" s="79"/>
      <c r="O5" s="7"/>
      <c r="P5" s="79"/>
      <c r="Q5" s="79"/>
      <c r="R5" s="7"/>
      <c r="S5" s="79"/>
      <c r="T5" s="79"/>
      <c r="U5" s="7"/>
      <c r="V5" s="79"/>
      <c r="W5" s="79"/>
      <c r="X5" s="7"/>
      <c r="Y5" s="79"/>
      <c r="Z5" s="79"/>
      <c r="AA5" s="7"/>
      <c r="AB5" s="79"/>
      <c r="AC5" s="79"/>
      <c r="AD5" s="7"/>
      <c r="AE5" s="79"/>
      <c r="AF5" s="79"/>
      <c r="AG5" s="7"/>
      <c r="AH5" s="79"/>
      <c r="AI5" s="79"/>
      <c r="AJ5" s="7"/>
      <c r="AK5" s="79"/>
      <c r="AL5" s="79"/>
    </row>
    <row r="6" spans="2:38" ht="15" customHeight="1" collapsed="1" x14ac:dyDescent="0.3">
      <c r="B6" s="3" t="s">
        <v>101</v>
      </c>
      <c r="C6" s="1" t="s">
        <v>145</v>
      </c>
      <c r="D6" s="4">
        <f ca="1">SUBTOTAL(9,D$7:D$23)</f>
        <v>933250.2</v>
      </c>
      <c r="E6" s="78">
        <f ca="1">IFERROR($D6/$D$6,0)</f>
        <v>1</v>
      </c>
      <c r="F6" s="4">
        <f ca="1">SUBTOTAL(9,F$7:F$23)</f>
        <v>524610.84</v>
      </c>
      <c r="G6" s="78">
        <f ca="1">IFERROR($F6/$F$6,0)</f>
        <v>1</v>
      </c>
      <c r="H6" s="78">
        <f ca="1">IFERROR(($F6-$D6)/ABS($D6),0)</f>
        <v>-0.43790000000000001</v>
      </c>
      <c r="I6" s="4">
        <f ca="1">SUBTOTAL(9,I$7:I$23)</f>
        <v>1038172.34</v>
      </c>
      <c r="J6" s="78">
        <f ca="1">IFERROR($I6/$I$6,0)</f>
        <v>1</v>
      </c>
      <c r="K6" s="78">
        <f ca="1">IFERROR(($I6-$F6)/ABS($F6),0)</f>
        <v>0.97889999999999999</v>
      </c>
      <c r="L6" s="4">
        <f ca="1">SUBTOTAL(9,L$7:L$23)</f>
        <v>1001169.45</v>
      </c>
      <c r="M6" s="78">
        <f ca="1">IFERROR($L6/$L$6,0)</f>
        <v>1</v>
      </c>
      <c r="N6" s="78">
        <f ca="1">IFERROR(($L6-$I6)/ABS($I6),0)</f>
        <v>-3.56E-2</v>
      </c>
      <c r="O6" s="4">
        <f ca="1">SUBTOTAL(9,O$7:O$23)</f>
        <v>1201105.67</v>
      </c>
      <c r="P6" s="78">
        <f ca="1">IFERROR($O6/$O$6,0)</f>
        <v>1</v>
      </c>
      <c r="Q6" s="78">
        <f ca="1">IFERROR(($O6-$L6)/ABS($L6),0)</f>
        <v>0.19969999999999999</v>
      </c>
      <c r="R6" s="4">
        <f ca="1">SUBTOTAL(9,R$7:R$23)</f>
        <v>1059351.3600000001</v>
      </c>
      <c r="S6" s="78">
        <f ca="1">IFERROR($R6/$R$6,0)</f>
        <v>1</v>
      </c>
      <c r="T6" s="78">
        <f ca="1">IFERROR(($R6-$O6)/ABS($O6),0)</f>
        <v>-0.11799999999999999</v>
      </c>
      <c r="U6" s="4">
        <f ca="1">SUBTOTAL(9,U$7:U$23)</f>
        <v>1059351.3600000001</v>
      </c>
      <c r="V6" s="78">
        <f ca="1">IFERROR($U6/$U$6,0)</f>
        <v>1</v>
      </c>
      <c r="W6" s="78">
        <f ca="1">IFERROR(($U6-$R6)/ABS($R6),0)</f>
        <v>0</v>
      </c>
      <c r="X6" s="4">
        <f ca="1">SUBTOTAL(9,X$7:X$23)</f>
        <v>1059351.3600000001</v>
      </c>
      <c r="Y6" s="78">
        <f ca="1">IFERROR($X6/$X$6,0)</f>
        <v>1</v>
      </c>
      <c r="Z6" s="78">
        <f ca="1">IFERROR(($X6-$U6)/ABS($U6),0)</f>
        <v>0</v>
      </c>
      <c r="AA6" s="4">
        <f ca="1">SUBTOTAL(9,AA$7:AA$23)</f>
        <v>967905.57</v>
      </c>
      <c r="AB6" s="78">
        <f ca="1">IFERROR($AA6/$AA$6,0)</f>
        <v>1</v>
      </c>
      <c r="AC6" s="78">
        <f ca="1">IFERROR(($AA6-$X6)/ABS($X6),0)</f>
        <v>-8.6300000000000002E-2</v>
      </c>
      <c r="AD6" s="4">
        <f ca="1">SUBTOTAL(9,AD$7:AD$23)</f>
        <v>1224824.97</v>
      </c>
      <c r="AE6" s="78">
        <f ca="1">IFERROR($AD6/$AD$6,0)</f>
        <v>1</v>
      </c>
      <c r="AF6" s="78">
        <f ca="1">IFERROR(($AD6-$AA6)/ABS($AA6),0)</f>
        <v>0.26540000000000002</v>
      </c>
      <c r="AG6" s="4">
        <f ca="1">SUBTOTAL(9,AG$7:AG$23)</f>
        <v>903603.15</v>
      </c>
      <c r="AH6" s="78">
        <f ca="1">IFERROR($AG6/$AG$6,0)</f>
        <v>1</v>
      </c>
      <c r="AI6" s="78">
        <f ca="1">IFERROR(($AG6-$AD6)/ABS($AD6),0)</f>
        <v>-0.26229999999999998</v>
      </c>
      <c r="AJ6" s="4">
        <f ca="1">SUBTOTAL(9,AJ$7:AJ$23)</f>
        <v>1474097.16</v>
      </c>
      <c r="AK6" s="78">
        <f ca="1">IFERROR($AJ6/$AJ$6,0)</f>
        <v>1</v>
      </c>
      <c r="AL6" s="78">
        <f ca="1">IFERROR(($AJ6-$AG6)/ABS($AG6),0)</f>
        <v>0.63139999999999996</v>
      </c>
    </row>
    <row r="7" spans="2:38" ht="15" hidden="1" customHeight="1" outlineLevel="1" x14ac:dyDescent="0.3">
      <c r="B7" s="14" t="s">
        <v>194</v>
      </c>
      <c r="C7" s="15" t="s">
        <v>367</v>
      </c>
      <c r="D7" s="4">
        <f ca="1">-SUMIFS(INDIRECT("Tab_000.Trial["&amp;D$4&amp;"]"),Tab_000.Trial[CONTA],$B7)</f>
        <v>122569.24</v>
      </c>
      <c r="E7" s="78">
        <f ca="1">IFERROR($D7/$D$6,0)</f>
        <v>0.1313</v>
      </c>
      <c r="F7" s="4">
        <f ca="1">-SUMIFS(INDIRECT("Tab_000.Trial["&amp;F$4&amp;"]"),Tab_000.Trial[CONTA],$B7)</f>
        <v>0</v>
      </c>
      <c r="G7" s="78">
        <f t="shared" ref="G7:G22" ca="1" si="0">IFERROR($F7/$F$6,0)</f>
        <v>0</v>
      </c>
      <c r="H7" s="78">
        <f ca="1">IFERROR(($F7-$D7)/ABS($D7),0)</f>
        <v>-1</v>
      </c>
      <c r="I7" s="4">
        <f ca="1">-SUMIFS(INDIRECT("Tab_000.Trial["&amp;I$4&amp;"]"),Tab_000.Trial[CONTA],$B7)</f>
        <v>154690.84</v>
      </c>
      <c r="J7" s="78">
        <f t="shared" ref="J7:J22" ca="1" si="1">IFERROR($I7/$I$6,0)</f>
        <v>0.14899999999999999</v>
      </c>
      <c r="K7" s="78">
        <f t="shared" ref="K7:K22" ca="1" si="2">IFERROR(($I7-$F7)/ABS($F7),0)</f>
        <v>0</v>
      </c>
      <c r="L7" s="4">
        <f ca="1">-SUMIFS(INDIRECT("Tab_000.Trial["&amp;L$4&amp;"]"),Tab_000.Trial[CONTA],$B7)</f>
        <v>132289.44</v>
      </c>
      <c r="M7" s="78">
        <f t="shared" ref="M7:M22" ca="1" si="3">IFERROR($L7/$L$6,0)</f>
        <v>0.1321</v>
      </c>
      <c r="N7" s="78">
        <f t="shared" ref="N7:N22" ca="1" si="4">IFERROR(($L7-$I7)/ABS($I7),0)</f>
        <v>-0.14480000000000001</v>
      </c>
      <c r="O7" s="4">
        <f ca="1">-SUMIFS(INDIRECT("Tab_000.Trial["&amp;O$4&amp;"]"),Tab_000.Trial[CONTA],$B7)</f>
        <v>137859.68</v>
      </c>
      <c r="P7" s="78">
        <f t="shared" ref="P7:P22" ca="1" si="5">IFERROR($O7/$O$6,0)</f>
        <v>0.1148</v>
      </c>
      <c r="Q7" s="78">
        <f t="shared" ref="Q7:Q22" ca="1" si="6">IFERROR(($O7-$L7)/ABS($L7),0)</f>
        <v>4.2099999999999999E-2</v>
      </c>
      <c r="R7" s="4">
        <f ca="1">-SUMIFS(INDIRECT("Tab_000.Trial["&amp;R$4&amp;"]"),Tab_000.Trial[CONTA],$B7)</f>
        <v>133881.88</v>
      </c>
      <c r="S7" s="78">
        <f t="shared" ref="S7:S22" ca="1" si="7">IFERROR($R7/$R$6,0)</f>
        <v>0.12640000000000001</v>
      </c>
      <c r="T7" s="78">
        <f t="shared" ref="T7:T22" ca="1" si="8">IFERROR(($R7-$O7)/ABS($O7),0)</f>
        <v>-2.8899999999999999E-2</v>
      </c>
      <c r="U7" s="4">
        <f ca="1">-SUMIFS(INDIRECT("Tab_000.Trial["&amp;U$4&amp;"]"),Tab_000.Trial[CONTA],$B7)</f>
        <v>133881.88</v>
      </c>
      <c r="V7" s="78">
        <f t="shared" ref="V7:V22" ca="1" si="9">IFERROR($U7/$U$6,0)</f>
        <v>0.12640000000000001</v>
      </c>
      <c r="W7" s="78">
        <f t="shared" ref="W7:W22" ca="1" si="10">IFERROR(($U7-$R7)/ABS($R7),0)</f>
        <v>0</v>
      </c>
      <c r="X7" s="4">
        <f ca="1">-SUMIFS(INDIRECT("Tab_000.Trial["&amp;X$4&amp;"]"),Tab_000.Trial[CONTA],$B7)</f>
        <v>133881.88</v>
      </c>
      <c r="Y7" s="78">
        <f ca="1">IFERROR($X7/$X$6,0)</f>
        <v>0.12640000000000001</v>
      </c>
      <c r="Z7" s="78">
        <f ca="1">IFERROR(($X7-$U7)/ABS($U7),0)</f>
        <v>0</v>
      </c>
      <c r="AA7" s="4">
        <f ca="1">-SUMIFS(INDIRECT("Tab_000.Trial["&amp;AA$4&amp;"]"),Tab_000.Trial[CONTA],$B7)</f>
        <v>128578.44</v>
      </c>
      <c r="AB7" s="78">
        <f t="shared" ref="AB7:AB22" ca="1" si="11">IFERROR($AA7/$AA$6,0)</f>
        <v>0.1328</v>
      </c>
      <c r="AC7" s="78">
        <f t="shared" ref="AC7:AC22" ca="1" si="12">IFERROR(($AA7-$X7)/ABS($X7),0)</f>
        <v>-3.9600000000000003E-2</v>
      </c>
      <c r="AD7" s="4">
        <f ca="1">-SUMIFS(INDIRECT("Tab_000.Trial["&amp;AD$4&amp;"]"),Tab_000.Trial[CONTA],$B7)</f>
        <v>148911.84</v>
      </c>
      <c r="AE7" s="78">
        <f t="shared" ref="AE7:AE22" ca="1" si="13">IFERROR($AD7/$AD$6,0)</f>
        <v>0.1216</v>
      </c>
      <c r="AF7" s="78">
        <f t="shared" ref="AF7:AF22" ca="1" si="14">IFERROR(($AD7-$AA7)/ABS($AA7),0)</f>
        <v>0.15809999999999999</v>
      </c>
      <c r="AG7" s="4">
        <f ca="1">-SUMIFS(INDIRECT("Tab_000.Trial["&amp;AG$4&amp;"]"),Tab_000.Trial[CONTA],$B7)</f>
        <v>109417.12</v>
      </c>
      <c r="AH7" s="78">
        <f t="shared" ref="AH7:AH22" ca="1" si="15">IFERROR($AG7/$AG$6,0)</f>
        <v>0.1211</v>
      </c>
      <c r="AI7" s="78">
        <f t="shared" ref="AI7:AI22" ca="1" si="16">IFERROR(($AG7-$AD7)/ABS($AD7),0)</f>
        <v>-0.26519999999999999</v>
      </c>
      <c r="AJ7" s="4">
        <f ca="1">-SUMIFS(INDIRECT("Tab_000.Trial["&amp;AJ$4&amp;"]"),Tab_000.Trial[CONTA],$B7)</f>
        <v>112795.04</v>
      </c>
      <c r="AK7" s="78">
        <f t="shared" ref="AK7:AK22" ca="1" si="17">IFERROR($AJ7/$AJ$6,0)</f>
        <v>7.6499999999999999E-2</v>
      </c>
      <c r="AL7" s="78">
        <f t="shared" ref="AL7:AL22" ca="1" si="18">IFERROR(($AJ7-$AG7)/ABS($AG7),0)</f>
        <v>3.09E-2</v>
      </c>
    </row>
    <row r="8" spans="2:38" ht="15" hidden="1" customHeight="1" outlineLevel="1" x14ac:dyDescent="0.3">
      <c r="B8" s="14" t="s">
        <v>368</v>
      </c>
      <c r="C8" s="15" t="s">
        <v>369</v>
      </c>
      <c r="D8" s="4">
        <f ca="1">-SUMIFS(INDIRECT("Tab_000.Trial["&amp;D$4&amp;"]"),Tab_000.Trial[CONTA],$B8)</f>
        <v>52200</v>
      </c>
      <c r="E8" s="78">
        <f t="shared" ref="E8:E22" ca="1" si="19">IFERROR($D8/$D$6,0)</f>
        <v>5.5899999999999998E-2</v>
      </c>
      <c r="F8" s="4">
        <f ca="1">-SUMIFS(INDIRECT("Tab_000.Trial["&amp;F$4&amp;"]"),Tab_000.Trial[CONTA],$B8)</f>
        <v>32300.240000000002</v>
      </c>
      <c r="G8" s="78">
        <f t="shared" ca="1" si="0"/>
        <v>6.1600000000000002E-2</v>
      </c>
      <c r="H8" s="78">
        <f t="shared" ref="H8:H22" ca="1" si="20">IFERROR(($F8-$D8)/ABS($D8),0)</f>
        <v>-0.38119999999999998</v>
      </c>
      <c r="I8" s="4">
        <f ca="1">-SUMIFS(INDIRECT("Tab_000.Trial["&amp;I$4&amp;"]"),Tab_000.Trial[CONTA],$B8)</f>
        <v>31162.82</v>
      </c>
      <c r="J8" s="78">
        <f t="shared" ca="1" si="1"/>
        <v>0.03</v>
      </c>
      <c r="K8" s="78">
        <f t="shared" ca="1" si="2"/>
        <v>-3.5200000000000002E-2</v>
      </c>
      <c r="L8" s="4">
        <f ca="1">-SUMIFS(INDIRECT("Tab_000.Trial["&amp;L$4&amp;"]"),Tab_000.Trial[CONTA],$B8)</f>
        <v>126167.7</v>
      </c>
      <c r="M8" s="78">
        <f t="shared" ca="1" si="3"/>
        <v>0.126</v>
      </c>
      <c r="N8" s="78">
        <f t="shared" ca="1" si="4"/>
        <v>3.0487000000000002</v>
      </c>
      <c r="O8" s="4">
        <f ca="1">-SUMIFS(INDIRECT("Tab_000.Trial["&amp;O$4&amp;"]"),Tab_000.Trial[CONTA],$B8)</f>
        <v>159244</v>
      </c>
      <c r="P8" s="78">
        <f t="shared" ca="1" si="5"/>
        <v>0.1326</v>
      </c>
      <c r="Q8" s="78">
        <f t="shared" ca="1" si="6"/>
        <v>0.26219999999999999</v>
      </c>
      <c r="R8" s="4">
        <f ca="1">-SUMIFS(INDIRECT("Tab_000.Trial["&amp;R$4&amp;"]"),Tab_000.Trial[CONTA],$B8)</f>
        <v>35652.550000000003</v>
      </c>
      <c r="S8" s="78">
        <f t="shared" ca="1" si="7"/>
        <v>3.3700000000000001E-2</v>
      </c>
      <c r="T8" s="78">
        <f t="shared" ca="1" si="8"/>
        <v>-0.77610000000000001</v>
      </c>
      <c r="U8" s="4">
        <f ca="1">-SUMIFS(INDIRECT("Tab_000.Trial["&amp;U$4&amp;"]"),Tab_000.Trial[CONTA],$B8)</f>
        <v>35652.550000000003</v>
      </c>
      <c r="V8" s="78">
        <f t="shared" ca="1" si="9"/>
        <v>3.3700000000000001E-2</v>
      </c>
      <c r="W8" s="78">
        <f t="shared" ca="1" si="10"/>
        <v>0</v>
      </c>
      <c r="X8" s="4">
        <f ca="1">-SUMIFS(INDIRECT("Tab_000.Trial["&amp;X$4&amp;"]"),Tab_000.Trial[CONTA],$B8)</f>
        <v>35652.550000000003</v>
      </c>
      <c r="Y8" s="78">
        <f t="shared" ref="Y8:Y22" ca="1" si="21">IFERROR($X8/$X$6,0)</f>
        <v>3.3700000000000001E-2</v>
      </c>
      <c r="Z8" s="78">
        <f t="shared" ref="Z8:Z22" ca="1" si="22">IFERROR(($X8-$U8)/ABS($U8),0)</f>
        <v>0</v>
      </c>
      <c r="AA8" s="4">
        <f ca="1">-SUMIFS(INDIRECT("Tab_000.Trial["&amp;AA$4&amp;"]"),Tab_000.Trial[CONTA],$B8)</f>
        <v>3800</v>
      </c>
      <c r="AB8" s="78">
        <f t="shared" ca="1" si="11"/>
        <v>3.8999999999999998E-3</v>
      </c>
      <c r="AC8" s="78">
        <f t="shared" ca="1" si="12"/>
        <v>-0.89339999999999997</v>
      </c>
      <c r="AD8" s="4">
        <f ca="1">-SUMIFS(INDIRECT("Tab_000.Trial["&amp;AD$4&amp;"]"),Tab_000.Trial[CONTA],$B8)</f>
        <v>4000</v>
      </c>
      <c r="AE8" s="78">
        <f t="shared" ca="1" si="13"/>
        <v>3.3E-3</v>
      </c>
      <c r="AF8" s="78">
        <f t="shared" ca="1" si="14"/>
        <v>5.2600000000000001E-2</v>
      </c>
      <c r="AG8" s="4">
        <f ca="1">-SUMIFS(INDIRECT("Tab_000.Trial["&amp;AG$4&amp;"]"),Tab_000.Trial[CONTA],$B8)</f>
        <v>3900</v>
      </c>
      <c r="AH8" s="78">
        <f t="shared" ca="1" si="15"/>
        <v>4.3E-3</v>
      </c>
      <c r="AI8" s="78">
        <f t="shared" ca="1" si="16"/>
        <v>-2.5000000000000001E-2</v>
      </c>
      <c r="AJ8" s="4">
        <f ca="1">-SUMIFS(INDIRECT("Tab_000.Trial["&amp;AJ$4&amp;"]"),Tab_000.Trial[CONTA],$B8)</f>
        <v>3900</v>
      </c>
      <c r="AK8" s="78">
        <f t="shared" ca="1" si="17"/>
        <v>2.5999999999999999E-3</v>
      </c>
      <c r="AL8" s="78">
        <f t="shared" ca="1" si="18"/>
        <v>0</v>
      </c>
    </row>
    <row r="9" spans="2:38" ht="15" hidden="1" customHeight="1" outlineLevel="1" x14ac:dyDescent="0.3">
      <c r="B9" s="14" t="s">
        <v>370</v>
      </c>
      <c r="C9" s="15" t="s">
        <v>371</v>
      </c>
      <c r="D9" s="4">
        <f ca="1">-SUMIFS(INDIRECT("Tab_000.Trial["&amp;D$4&amp;"]"),Tab_000.Trial[CONTA],$B9)</f>
        <v>66574.53</v>
      </c>
      <c r="E9" s="78">
        <f t="shared" ca="1" si="19"/>
        <v>7.1300000000000002E-2</v>
      </c>
      <c r="F9" s="4">
        <f ca="1">-SUMIFS(INDIRECT("Tab_000.Trial["&amp;F$4&amp;"]"),Tab_000.Trial[CONTA],$B9)</f>
        <v>51882.6</v>
      </c>
      <c r="G9" s="78">
        <f t="shared" ca="1" si="0"/>
        <v>9.8900000000000002E-2</v>
      </c>
      <c r="H9" s="78">
        <f t="shared" ca="1" si="20"/>
        <v>-0.22070000000000001</v>
      </c>
      <c r="I9" s="4">
        <f ca="1">-SUMIFS(INDIRECT("Tab_000.Trial["&amp;I$4&amp;"]"),Tab_000.Trial[CONTA],$B9)</f>
        <v>77885.41</v>
      </c>
      <c r="J9" s="78">
        <f t="shared" ca="1" si="1"/>
        <v>7.4999999999999997E-2</v>
      </c>
      <c r="K9" s="78">
        <f t="shared" ca="1" si="2"/>
        <v>0.50119999999999998</v>
      </c>
      <c r="L9" s="4">
        <f ca="1">-SUMIFS(INDIRECT("Tab_000.Trial["&amp;L$4&amp;"]"),Tab_000.Trial[CONTA],$B9)</f>
        <v>36809.230000000003</v>
      </c>
      <c r="M9" s="78">
        <f t="shared" ca="1" si="3"/>
        <v>3.6799999999999999E-2</v>
      </c>
      <c r="N9" s="78">
        <f t="shared" ca="1" si="4"/>
        <v>-0.52739999999999998</v>
      </c>
      <c r="O9" s="4">
        <f ca="1">-SUMIFS(INDIRECT("Tab_000.Trial["&amp;O$4&amp;"]"),Tab_000.Trial[CONTA],$B9)</f>
        <v>34850.67</v>
      </c>
      <c r="P9" s="78">
        <f t="shared" ca="1" si="5"/>
        <v>2.9000000000000001E-2</v>
      </c>
      <c r="Q9" s="78">
        <f t="shared" ca="1" si="6"/>
        <v>-5.3199999999999997E-2</v>
      </c>
      <c r="R9" s="4">
        <f ca="1">-SUMIFS(INDIRECT("Tab_000.Trial["&amp;R$4&amp;"]"),Tab_000.Trial[CONTA],$B9)</f>
        <v>35465.660000000003</v>
      </c>
      <c r="S9" s="78">
        <f t="shared" ca="1" si="7"/>
        <v>3.3500000000000002E-2</v>
      </c>
      <c r="T9" s="78">
        <f t="shared" ca="1" si="8"/>
        <v>1.7600000000000001E-2</v>
      </c>
      <c r="U9" s="4">
        <f ca="1">-SUMIFS(INDIRECT("Tab_000.Trial["&amp;U$4&amp;"]"),Tab_000.Trial[CONTA],$B9)</f>
        <v>35465.660000000003</v>
      </c>
      <c r="V9" s="78">
        <f t="shared" ca="1" si="9"/>
        <v>3.3500000000000002E-2</v>
      </c>
      <c r="W9" s="78">
        <f t="shared" ca="1" si="10"/>
        <v>0</v>
      </c>
      <c r="X9" s="4">
        <f ca="1">-SUMIFS(INDIRECT("Tab_000.Trial["&amp;X$4&amp;"]"),Tab_000.Trial[CONTA],$B9)</f>
        <v>35465.660000000003</v>
      </c>
      <c r="Y9" s="78">
        <f t="shared" ca="1" si="21"/>
        <v>3.3500000000000002E-2</v>
      </c>
      <c r="Z9" s="78">
        <f t="shared" ca="1" si="22"/>
        <v>0</v>
      </c>
      <c r="AA9" s="4">
        <f ca="1">-SUMIFS(INDIRECT("Tab_000.Trial["&amp;AA$4&amp;"]"),Tab_000.Trial[CONTA],$B9)</f>
        <v>95773.87</v>
      </c>
      <c r="AB9" s="78">
        <f t="shared" ca="1" si="11"/>
        <v>9.8900000000000002E-2</v>
      </c>
      <c r="AC9" s="78">
        <f t="shared" ca="1" si="12"/>
        <v>1.7004999999999999</v>
      </c>
      <c r="AD9" s="4">
        <f ca="1">-SUMIFS(INDIRECT("Tab_000.Trial["&amp;AD$4&amp;"]"),Tab_000.Trial[CONTA],$B9)</f>
        <v>91462.93</v>
      </c>
      <c r="AE9" s="78">
        <f t="shared" ca="1" si="13"/>
        <v>7.4700000000000003E-2</v>
      </c>
      <c r="AF9" s="78">
        <f t="shared" ca="1" si="14"/>
        <v>-4.4999999999999998E-2</v>
      </c>
      <c r="AG9" s="4">
        <f ca="1">-SUMIFS(INDIRECT("Tab_000.Trial["&amp;AG$4&amp;"]"),Tab_000.Trial[CONTA],$B9)</f>
        <v>72404.36</v>
      </c>
      <c r="AH9" s="78">
        <f t="shared" ca="1" si="15"/>
        <v>8.0100000000000005E-2</v>
      </c>
      <c r="AI9" s="78">
        <f t="shared" ca="1" si="16"/>
        <v>-0.2084</v>
      </c>
      <c r="AJ9" s="4">
        <f ca="1">-SUMIFS(INDIRECT("Tab_000.Trial["&amp;AJ$4&amp;"]"),Tab_000.Trial[CONTA],$B9)</f>
        <v>389841.15</v>
      </c>
      <c r="AK9" s="78">
        <f t="shared" ca="1" si="17"/>
        <v>0.26450000000000001</v>
      </c>
      <c r="AL9" s="78">
        <f t="shared" ca="1" si="18"/>
        <v>4.3841999999999999</v>
      </c>
    </row>
    <row r="10" spans="2:38" ht="15" hidden="1" customHeight="1" outlineLevel="1" x14ac:dyDescent="0.3">
      <c r="B10" s="14" t="s">
        <v>372</v>
      </c>
      <c r="C10" s="15" t="s">
        <v>373</v>
      </c>
      <c r="D10" s="4">
        <f ca="1">-SUMIFS(INDIRECT("Tab_000.Trial["&amp;D$4&amp;"]"),Tab_000.Trial[CONTA],$B10)</f>
        <v>0</v>
      </c>
      <c r="E10" s="78">
        <f t="shared" ca="1" si="19"/>
        <v>0</v>
      </c>
      <c r="F10" s="4">
        <f ca="1">-SUMIFS(INDIRECT("Tab_000.Trial["&amp;F$4&amp;"]"),Tab_000.Trial[CONTA],$B10)</f>
        <v>5670.16</v>
      </c>
      <c r="G10" s="78">
        <f t="shared" ca="1" si="0"/>
        <v>1.0800000000000001E-2</v>
      </c>
      <c r="H10" s="78">
        <f t="shared" ca="1" si="20"/>
        <v>0</v>
      </c>
      <c r="I10" s="4">
        <f ca="1">-SUMIFS(INDIRECT("Tab_000.Trial["&amp;I$4&amp;"]"),Tab_000.Trial[CONTA],$B10)</f>
        <v>0</v>
      </c>
      <c r="J10" s="78">
        <f t="shared" ca="1" si="1"/>
        <v>0</v>
      </c>
      <c r="K10" s="78">
        <f t="shared" ca="1" si="2"/>
        <v>-1</v>
      </c>
      <c r="L10" s="4">
        <f ca="1">-SUMIFS(INDIRECT("Tab_000.Trial["&amp;L$4&amp;"]"),Tab_000.Trial[CONTA],$B10)</f>
        <v>0</v>
      </c>
      <c r="M10" s="78">
        <f t="shared" ca="1" si="3"/>
        <v>0</v>
      </c>
      <c r="N10" s="78">
        <f t="shared" ca="1" si="4"/>
        <v>0</v>
      </c>
      <c r="O10" s="4">
        <f ca="1">-SUMIFS(INDIRECT("Tab_000.Trial["&amp;O$4&amp;"]"),Tab_000.Trial[CONTA],$B10)</f>
        <v>0</v>
      </c>
      <c r="P10" s="78">
        <f t="shared" ca="1" si="5"/>
        <v>0</v>
      </c>
      <c r="Q10" s="78">
        <f t="shared" ca="1" si="6"/>
        <v>0</v>
      </c>
      <c r="R10" s="4">
        <f ca="1">-SUMIFS(INDIRECT("Tab_000.Trial["&amp;R$4&amp;"]"),Tab_000.Trial[CONTA],$B10)</f>
        <v>0</v>
      </c>
      <c r="S10" s="78">
        <f t="shared" ca="1" si="7"/>
        <v>0</v>
      </c>
      <c r="T10" s="78">
        <f t="shared" ca="1" si="8"/>
        <v>0</v>
      </c>
      <c r="U10" s="4">
        <f ca="1">-SUMIFS(INDIRECT("Tab_000.Trial["&amp;U$4&amp;"]"),Tab_000.Trial[CONTA],$B10)</f>
        <v>0</v>
      </c>
      <c r="V10" s="78">
        <f t="shared" ca="1" si="9"/>
        <v>0</v>
      </c>
      <c r="W10" s="78">
        <f t="shared" ca="1" si="10"/>
        <v>0</v>
      </c>
      <c r="X10" s="4">
        <f ca="1">-SUMIFS(INDIRECT("Tab_000.Trial["&amp;X$4&amp;"]"),Tab_000.Trial[CONTA],$B10)</f>
        <v>0</v>
      </c>
      <c r="Y10" s="78">
        <f t="shared" ca="1" si="21"/>
        <v>0</v>
      </c>
      <c r="Z10" s="78">
        <f t="shared" ca="1" si="22"/>
        <v>0</v>
      </c>
      <c r="AA10" s="4">
        <f ca="1">-SUMIFS(INDIRECT("Tab_000.Trial["&amp;AA$4&amp;"]"),Tab_000.Trial[CONTA],$B10)</f>
        <v>0</v>
      </c>
      <c r="AB10" s="78">
        <f t="shared" ca="1" si="11"/>
        <v>0</v>
      </c>
      <c r="AC10" s="78">
        <f t="shared" ca="1" si="12"/>
        <v>0</v>
      </c>
      <c r="AD10" s="4">
        <f ca="1">-SUMIFS(INDIRECT("Tab_000.Trial["&amp;AD$4&amp;"]"),Tab_000.Trial[CONTA],$B10)</f>
        <v>0</v>
      </c>
      <c r="AE10" s="78">
        <f t="shared" ca="1" si="13"/>
        <v>0</v>
      </c>
      <c r="AF10" s="78">
        <f t="shared" ca="1" si="14"/>
        <v>0</v>
      </c>
      <c r="AG10" s="4">
        <f ca="1">-SUMIFS(INDIRECT("Tab_000.Trial["&amp;AG$4&amp;"]"),Tab_000.Trial[CONTA],$B10)</f>
        <v>0</v>
      </c>
      <c r="AH10" s="78">
        <f t="shared" ca="1" si="15"/>
        <v>0</v>
      </c>
      <c r="AI10" s="78">
        <f t="shared" ca="1" si="16"/>
        <v>0</v>
      </c>
      <c r="AJ10" s="4">
        <f ca="1">-SUMIFS(INDIRECT("Tab_000.Trial["&amp;AJ$4&amp;"]"),Tab_000.Trial[CONTA],$B10)</f>
        <v>0</v>
      </c>
      <c r="AK10" s="78">
        <f t="shared" ca="1" si="17"/>
        <v>0</v>
      </c>
      <c r="AL10" s="78">
        <f t="shared" ca="1" si="18"/>
        <v>0</v>
      </c>
    </row>
    <row r="11" spans="2:38" ht="15" hidden="1" customHeight="1" outlineLevel="1" x14ac:dyDescent="0.3">
      <c r="B11" s="14" t="s">
        <v>374</v>
      </c>
      <c r="C11" s="15" t="s">
        <v>375</v>
      </c>
      <c r="D11" s="4">
        <f ca="1">-SUMIFS(INDIRECT("Tab_000.Trial["&amp;D$4&amp;"]"),Tab_000.Trial[CONTA],$B11)</f>
        <v>0</v>
      </c>
      <c r="E11" s="78">
        <f t="shared" ca="1" si="19"/>
        <v>0</v>
      </c>
      <c r="F11" s="4">
        <f ca="1">-SUMIFS(INDIRECT("Tab_000.Trial["&amp;F$4&amp;"]"),Tab_000.Trial[CONTA],$B11)</f>
        <v>0</v>
      </c>
      <c r="G11" s="78">
        <f t="shared" ca="1" si="0"/>
        <v>0</v>
      </c>
      <c r="H11" s="78">
        <f t="shared" ca="1" si="20"/>
        <v>0</v>
      </c>
      <c r="I11" s="4">
        <f ca="1">-SUMIFS(INDIRECT("Tab_000.Trial["&amp;I$4&amp;"]"),Tab_000.Trial[CONTA],$B11)</f>
        <v>0</v>
      </c>
      <c r="J11" s="78">
        <f t="shared" ca="1" si="1"/>
        <v>0</v>
      </c>
      <c r="K11" s="78">
        <f t="shared" ca="1" si="2"/>
        <v>0</v>
      </c>
      <c r="L11" s="4">
        <f ca="1">-SUMIFS(INDIRECT("Tab_000.Trial["&amp;L$4&amp;"]"),Tab_000.Trial[CONTA],$B11)</f>
        <v>0</v>
      </c>
      <c r="M11" s="78">
        <f t="shared" ca="1" si="3"/>
        <v>0</v>
      </c>
      <c r="N11" s="78">
        <f t="shared" ca="1" si="4"/>
        <v>0</v>
      </c>
      <c r="O11" s="4">
        <f ca="1">-SUMIFS(INDIRECT("Tab_000.Trial["&amp;O$4&amp;"]"),Tab_000.Trial[CONTA],$B11)</f>
        <v>0</v>
      </c>
      <c r="P11" s="78">
        <f t="shared" ca="1" si="5"/>
        <v>0</v>
      </c>
      <c r="Q11" s="78">
        <f t="shared" ca="1" si="6"/>
        <v>0</v>
      </c>
      <c r="R11" s="4">
        <f ca="1">-SUMIFS(INDIRECT("Tab_000.Trial["&amp;R$4&amp;"]"),Tab_000.Trial[CONTA],$B11)</f>
        <v>0</v>
      </c>
      <c r="S11" s="78">
        <f t="shared" ca="1" si="7"/>
        <v>0</v>
      </c>
      <c r="T11" s="78">
        <f t="shared" ca="1" si="8"/>
        <v>0</v>
      </c>
      <c r="U11" s="4">
        <f ca="1">-SUMIFS(INDIRECT("Tab_000.Trial["&amp;U$4&amp;"]"),Tab_000.Trial[CONTA],$B11)</f>
        <v>0</v>
      </c>
      <c r="V11" s="78">
        <f t="shared" ca="1" si="9"/>
        <v>0</v>
      </c>
      <c r="W11" s="78">
        <f t="shared" ca="1" si="10"/>
        <v>0</v>
      </c>
      <c r="X11" s="4">
        <f ca="1">-SUMIFS(INDIRECT("Tab_000.Trial["&amp;X$4&amp;"]"),Tab_000.Trial[CONTA],$B11)</f>
        <v>0</v>
      </c>
      <c r="Y11" s="78">
        <f t="shared" ca="1" si="21"/>
        <v>0</v>
      </c>
      <c r="Z11" s="78">
        <f t="shared" ca="1" si="22"/>
        <v>0</v>
      </c>
      <c r="AA11" s="4">
        <f ca="1">-SUMIFS(INDIRECT("Tab_000.Trial["&amp;AA$4&amp;"]"),Tab_000.Trial[CONTA],$B11)</f>
        <v>0</v>
      </c>
      <c r="AB11" s="78">
        <f t="shared" ca="1" si="11"/>
        <v>0</v>
      </c>
      <c r="AC11" s="78">
        <f t="shared" ca="1" si="12"/>
        <v>0</v>
      </c>
      <c r="AD11" s="4">
        <f ca="1">-SUMIFS(INDIRECT("Tab_000.Trial["&amp;AD$4&amp;"]"),Tab_000.Trial[CONTA],$B11)</f>
        <v>0</v>
      </c>
      <c r="AE11" s="78">
        <f t="shared" ca="1" si="13"/>
        <v>0</v>
      </c>
      <c r="AF11" s="78">
        <f t="shared" ca="1" si="14"/>
        <v>0</v>
      </c>
      <c r="AG11" s="4">
        <f ca="1">-SUMIFS(INDIRECT("Tab_000.Trial["&amp;AG$4&amp;"]"),Tab_000.Trial[CONTA],$B11)</f>
        <v>0</v>
      </c>
      <c r="AH11" s="78">
        <f t="shared" ca="1" si="15"/>
        <v>0</v>
      </c>
      <c r="AI11" s="78">
        <f t="shared" ca="1" si="16"/>
        <v>0</v>
      </c>
      <c r="AJ11" s="4">
        <f ca="1">-SUMIFS(INDIRECT("Tab_000.Trial["&amp;AJ$4&amp;"]"),Tab_000.Trial[CONTA],$B11)</f>
        <v>0</v>
      </c>
      <c r="AK11" s="78">
        <f t="shared" ca="1" si="17"/>
        <v>0</v>
      </c>
      <c r="AL11" s="78">
        <f t="shared" ca="1" si="18"/>
        <v>0</v>
      </c>
    </row>
    <row r="12" spans="2:38" ht="15" hidden="1" customHeight="1" outlineLevel="1" x14ac:dyDescent="0.3">
      <c r="B12" s="14" t="s">
        <v>376</v>
      </c>
      <c r="C12" s="15" t="s">
        <v>377</v>
      </c>
      <c r="D12" s="4">
        <f ca="1">-SUMIFS(INDIRECT("Tab_000.Trial["&amp;D$4&amp;"]"),Tab_000.Trial[CONTA],$B12)</f>
        <v>82966.080000000002</v>
      </c>
      <c r="E12" s="78">
        <f t="shared" ca="1" si="19"/>
        <v>8.8900000000000007E-2</v>
      </c>
      <c r="F12" s="4">
        <f ca="1">-SUMIFS(INDIRECT("Tab_000.Trial["&amp;F$4&amp;"]"),Tab_000.Trial[CONTA],$B12)</f>
        <v>0</v>
      </c>
      <c r="G12" s="78">
        <f t="shared" ca="1" si="0"/>
        <v>0</v>
      </c>
      <c r="H12" s="78">
        <f t="shared" ca="1" si="20"/>
        <v>-1</v>
      </c>
      <c r="I12" s="4">
        <f ca="1">-SUMIFS(INDIRECT("Tab_000.Trial["&amp;I$4&amp;"]"),Tab_000.Trial[CONTA],$B12)</f>
        <v>82966.080000000002</v>
      </c>
      <c r="J12" s="78">
        <f t="shared" ca="1" si="1"/>
        <v>7.9899999999999999E-2</v>
      </c>
      <c r="K12" s="78">
        <f t="shared" ca="1" si="2"/>
        <v>0</v>
      </c>
      <c r="L12" s="4">
        <f ca="1">-SUMIFS(INDIRECT("Tab_000.Trial["&amp;L$4&amp;"]"),Tab_000.Trial[CONTA],$B12)</f>
        <v>82966.080000000002</v>
      </c>
      <c r="M12" s="78">
        <f t="shared" ca="1" si="3"/>
        <v>8.2900000000000001E-2</v>
      </c>
      <c r="N12" s="78">
        <f t="shared" ca="1" si="4"/>
        <v>0</v>
      </c>
      <c r="O12" s="4">
        <f ca="1">-SUMIFS(INDIRECT("Tab_000.Trial["&amp;O$4&amp;"]"),Tab_000.Trial[CONTA],$B12)</f>
        <v>82966.080000000002</v>
      </c>
      <c r="P12" s="78">
        <f t="shared" ca="1" si="5"/>
        <v>6.9099999999999995E-2</v>
      </c>
      <c r="Q12" s="78">
        <f t="shared" ca="1" si="6"/>
        <v>0</v>
      </c>
      <c r="R12" s="4">
        <f ca="1">-SUMIFS(INDIRECT("Tab_000.Trial["&amp;R$4&amp;"]"),Tab_000.Trial[CONTA],$B12)</f>
        <v>82966.080000000002</v>
      </c>
      <c r="S12" s="78">
        <f t="shared" ca="1" si="7"/>
        <v>7.8299999999999995E-2</v>
      </c>
      <c r="T12" s="78">
        <f t="shared" ca="1" si="8"/>
        <v>0</v>
      </c>
      <c r="U12" s="4">
        <f ca="1">-SUMIFS(INDIRECT("Tab_000.Trial["&amp;U$4&amp;"]"),Tab_000.Trial[CONTA],$B12)</f>
        <v>82966.080000000002</v>
      </c>
      <c r="V12" s="78">
        <f t="shared" ca="1" si="9"/>
        <v>7.8299999999999995E-2</v>
      </c>
      <c r="W12" s="78">
        <f t="shared" ca="1" si="10"/>
        <v>0</v>
      </c>
      <c r="X12" s="4">
        <f ca="1">-SUMIFS(INDIRECT("Tab_000.Trial["&amp;X$4&amp;"]"),Tab_000.Trial[CONTA],$B12)</f>
        <v>82966.080000000002</v>
      </c>
      <c r="Y12" s="78">
        <f t="shared" ca="1" si="21"/>
        <v>7.8299999999999995E-2</v>
      </c>
      <c r="Z12" s="78">
        <f t="shared" ca="1" si="22"/>
        <v>0</v>
      </c>
      <c r="AA12" s="4">
        <f ca="1">-SUMIFS(INDIRECT("Tab_000.Trial["&amp;AA$4&amp;"]"),Tab_000.Trial[CONTA],$B12)</f>
        <v>82966.09</v>
      </c>
      <c r="AB12" s="78">
        <f t="shared" ca="1" si="11"/>
        <v>8.5699999999999998E-2</v>
      </c>
      <c r="AC12" s="78">
        <f t="shared" ca="1" si="12"/>
        <v>0</v>
      </c>
      <c r="AD12" s="4">
        <f ca="1">-SUMIFS(INDIRECT("Tab_000.Trial["&amp;AD$4&amp;"]"),Tab_000.Trial[CONTA],$B12)</f>
        <v>82966.080000000002</v>
      </c>
      <c r="AE12" s="78">
        <f t="shared" ca="1" si="13"/>
        <v>6.7699999999999996E-2</v>
      </c>
      <c r="AF12" s="78">
        <f t="shared" ca="1" si="14"/>
        <v>0</v>
      </c>
      <c r="AG12" s="4">
        <f ca="1">-SUMIFS(INDIRECT("Tab_000.Trial["&amp;AG$4&amp;"]"),Tab_000.Trial[CONTA],$B12)</f>
        <v>82966.080000000002</v>
      </c>
      <c r="AH12" s="78">
        <f t="shared" ca="1" si="15"/>
        <v>9.1800000000000007E-2</v>
      </c>
      <c r="AI12" s="78">
        <f t="shared" ca="1" si="16"/>
        <v>0</v>
      </c>
      <c r="AJ12" s="4">
        <f ca="1">-SUMIFS(INDIRECT("Tab_000.Trial["&amp;AJ$4&amp;"]"),Tab_000.Trial[CONTA],$B12)</f>
        <v>82966.080000000002</v>
      </c>
      <c r="AK12" s="78">
        <f t="shared" ca="1" si="17"/>
        <v>5.6300000000000003E-2</v>
      </c>
      <c r="AL12" s="78">
        <f t="shared" ca="1" si="18"/>
        <v>0</v>
      </c>
    </row>
    <row r="13" spans="2:38" ht="15" hidden="1" customHeight="1" outlineLevel="1" x14ac:dyDescent="0.3">
      <c r="B13" s="14" t="s">
        <v>378</v>
      </c>
      <c r="C13" s="15" t="s">
        <v>379</v>
      </c>
      <c r="D13" s="4">
        <f ca="1">-SUMIFS(INDIRECT("Tab_000.Trial["&amp;D$4&amp;"]"),Tab_000.Trial[CONTA],$B13)</f>
        <v>0</v>
      </c>
      <c r="E13" s="78">
        <f t="shared" ca="1" si="19"/>
        <v>0</v>
      </c>
      <c r="F13" s="4">
        <f ca="1">-SUMIFS(INDIRECT("Tab_000.Trial["&amp;F$4&amp;"]"),Tab_000.Trial[CONTA],$B13)</f>
        <v>0</v>
      </c>
      <c r="G13" s="78">
        <f t="shared" ca="1" si="0"/>
        <v>0</v>
      </c>
      <c r="H13" s="78">
        <f t="shared" ca="1" si="20"/>
        <v>0</v>
      </c>
      <c r="I13" s="4">
        <f ca="1">-SUMIFS(INDIRECT("Tab_000.Trial["&amp;I$4&amp;"]"),Tab_000.Trial[CONTA],$B13)</f>
        <v>0</v>
      </c>
      <c r="J13" s="78">
        <f t="shared" ca="1" si="1"/>
        <v>0</v>
      </c>
      <c r="K13" s="78">
        <f t="shared" ca="1" si="2"/>
        <v>0</v>
      </c>
      <c r="L13" s="4">
        <f ca="1">-SUMIFS(INDIRECT("Tab_000.Trial["&amp;L$4&amp;"]"),Tab_000.Trial[CONTA],$B13)</f>
        <v>0</v>
      </c>
      <c r="M13" s="78">
        <f t="shared" ca="1" si="3"/>
        <v>0</v>
      </c>
      <c r="N13" s="78">
        <f t="shared" ca="1" si="4"/>
        <v>0</v>
      </c>
      <c r="O13" s="4">
        <f ca="1">-SUMIFS(INDIRECT("Tab_000.Trial["&amp;O$4&amp;"]"),Tab_000.Trial[CONTA],$B13)</f>
        <v>0</v>
      </c>
      <c r="P13" s="78">
        <f t="shared" ca="1" si="5"/>
        <v>0</v>
      </c>
      <c r="Q13" s="78">
        <f t="shared" ca="1" si="6"/>
        <v>0</v>
      </c>
      <c r="R13" s="4">
        <f ca="1">-SUMIFS(INDIRECT("Tab_000.Trial["&amp;R$4&amp;"]"),Tab_000.Trial[CONTA],$B13)</f>
        <v>0</v>
      </c>
      <c r="S13" s="78">
        <f t="shared" ca="1" si="7"/>
        <v>0</v>
      </c>
      <c r="T13" s="78">
        <f t="shared" ca="1" si="8"/>
        <v>0</v>
      </c>
      <c r="U13" s="4">
        <f ca="1">-SUMIFS(INDIRECT("Tab_000.Trial["&amp;U$4&amp;"]"),Tab_000.Trial[CONTA],$B13)</f>
        <v>0</v>
      </c>
      <c r="V13" s="78">
        <f t="shared" ca="1" si="9"/>
        <v>0</v>
      </c>
      <c r="W13" s="78">
        <f t="shared" ca="1" si="10"/>
        <v>0</v>
      </c>
      <c r="X13" s="4">
        <f ca="1">-SUMIFS(INDIRECT("Tab_000.Trial["&amp;X$4&amp;"]"),Tab_000.Trial[CONTA],$B13)</f>
        <v>0</v>
      </c>
      <c r="Y13" s="78">
        <f t="shared" ca="1" si="21"/>
        <v>0</v>
      </c>
      <c r="Z13" s="78">
        <f t="shared" ca="1" si="22"/>
        <v>0</v>
      </c>
      <c r="AA13" s="4">
        <f ca="1">-SUMIFS(INDIRECT("Tab_000.Trial["&amp;AA$4&amp;"]"),Tab_000.Trial[CONTA],$B13)</f>
        <v>0</v>
      </c>
      <c r="AB13" s="78">
        <f t="shared" ca="1" si="11"/>
        <v>0</v>
      </c>
      <c r="AC13" s="78">
        <f t="shared" ca="1" si="12"/>
        <v>0</v>
      </c>
      <c r="AD13" s="4">
        <f ca="1">-SUMIFS(INDIRECT("Tab_000.Trial["&amp;AD$4&amp;"]"),Tab_000.Trial[CONTA],$B13)</f>
        <v>0</v>
      </c>
      <c r="AE13" s="78">
        <f t="shared" ca="1" si="13"/>
        <v>0</v>
      </c>
      <c r="AF13" s="78">
        <f t="shared" ca="1" si="14"/>
        <v>0</v>
      </c>
      <c r="AG13" s="4">
        <f ca="1">-SUMIFS(INDIRECT("Tab_000.Trial["&amp;AG$4&amp;"]"),Tab_000.Trial[CONTA],$B13)</f>
        <v>0</v>
      </c>
      <c r="AH13" s="78">
        <f t="shared" ca="1" si="15"/>
        <v>0</v>
      </c>
      <c r="AI13" s="78">
        <f t="shared" ca="1" si="16"/>
        <v>0</v>
      </c>
      <c r="AJ13" s="4">
        <f ca="1">-SUMIFS(INDIRECT("Tab_000.Trial["&amp;AJ$4&amp;"]"),Tab_000.Trial[CONTA],$B13)</f>
        <v>0</v>
      </c>
      <c r="AK13" s="78">
        <f t="shared" ca="1" si="17"/>
        <v>0</v>
      </c>
      <c r="AL13" s="78">
        <f t="shared" ca="1" si="18"/>
        <v>0</v>
      </c>
    </row>
    <row r="14" spans="2:38" ht="15" hidden="1" customHeight="1" outlineLevel="1" x14ac:dyDescent="0.3">
      <c r="B14" s="14" t="s">
        <v>380</v>
      </c>
      <c r="C14" s="15" t="s">
        <v>381</v>
      </c>
      <c r="D14" s="4">
        <f ca="1">-SUMIFS(INDIRECT("Tab_000.Trial["&amp;D$4&amp;"]"),Tab_000.Trial[CONTA],$B14)</f>
        <v>0</v>
      </c>
      <c r="E14" s="78">
        <f t="shared" ca="1" si="19"/>
        <v>0</v>
      </c>
      <c r="F14" s="4">
        <f ca="1">-SUMIFS(INDIRECT("Tab_000.Trial["&amp;F$4&amp;"]"),Tab_000.Trial[CONTA],$B14)</f>
        <v>0</v>
      </c>
      <c r="G14" s="78">
        <f t="shared" ca="1" si="0"/>
        <v>0</v>
      </c>
      <c r="H14" s="78">
        <f t="shared" ca="1" si="20"/>
        <v>0</v>
      </c>
      <c r="I14" s="4">
        <f ca="1">-SUMIFS(INDIRECT("Tab_000.Trial["&amp;I$4&amp;"]"),Tab_000.Trial[CONTA],$B14)</f>
        <v>0</v>
      </c>
      <c r="J14" s="78">
        <f t="shared" ca="1" si="1"/>
        <v>0</v>
      </c>
      <c r="K14" s="78">
        <f t="shared" ca="1" si="2"/>
        <v>0</v>
      </c>
      <c r="L14" s="4">
        <f ca="1">-SUMIFS(INDIRECT("Tab_000.Trial["&amp;L$4&amp;"]"),Tab_000.Trial[CONTA],$B14)</f>
        <v>0</v>
      </c>
      <c r="M14" s="78">
        <f t="shared" ca="1" si="3"/>
        <v>0</v>
      </c>
      <c r="N14" s="78">
        <f t="shared" ca="1" si="4"/>
        <v>0</v>
      </c>
      <c r="O14" s="4">
        <f ca="1">-SUMIFS(INDIRECT("Tab_000.Trial["&amp;O$4&amp;"]"),Tab_000.Trial[CONTA],$B14)</f>
        <v>0</v>
      </c>
      <c r="P14" s="78">
        <f t="shared" ca="1" si="5"/>
        <v>0</v>
      </c>
      <c r="Q14" s="78">
        <f t="shared" ca="1" si="6"/>
        <v>0</v>
      </c>
      <c r="R14" s="4">
        <f ca="1">-SUMIFS(INDIRECT("Tab_000.Trial["&amp;R$4&amp;"]"),Tab_000.Trial[CONTA],$B14)</f>
        <v>0</v>
      </c>
      <c r="S14" s="78">
        <f t="shared" ca="1" si="7"/>
        <v>0</v>
      </c>
      <c r="T14" s="78">
        <f t="shared" ca="1" si="8"/>
        <v>0</v>
      </c>
      <c r="U14" s="4">
        <f ca="1">-SUMIFS(INDIRECT("Tab_000.Trial["&amp;U$4&amp;"]"),Tab_000.Trial[CONTA],$B14)</f>
        <v>0</v>
      </c>
      <c r="V14" s="78">
        <f t="shared" ca="1" si="9"/>
        <v>0</v>
      </c>
      <c r="W14" s="78">
        <f t="shared" ca="1" si="10"/>
        <v>0</v>
      </c>
      <c r="X14" s="4">
        <f ca="1">-SUMIFS(INDIRECT("Tab_000.Trial["&amp;X$4&amp;"]"),Tab_000.Trial[CONTA],$B14)</f>
        <v>0</v>
      </c>
      <c r="Y14" s="78">
        <f t="shared" ca="1" si="21"/>
        <v>0</v>
      </c>
      <c r="Z14" s="78">
        <f t="shared" ca="1" si="22"/>
        <v>0</v>
      </c>
      <c r="AA14" s="4">
        <f ca="1">-SUMIFS(INDIRECT("Tab_000.Trial["&amp;AA$4&amp;"]"),Tab_000.Trial[CONTA],$B14)</f>
        <v>0</v>
      </c>
      <c r="AB14" s="78">
        <f t="shared" ca="1" si="11"/>
        <v>0</v>
      </c>
      <c r="AC14" s="78">
        <f t="shared" ca="1" si="12"/>
        <v>0</v>
      </c>
      <c r="AD14" s="4">
        <f ca="1">-SUMIFS(INDIRECT("Tab_000.Trial["&amp;AD$4&amp;"]"),Tab_000.Trial[CONTA],$B14)</f>
        <v>0</v>
      </c>
      <c r="AE14" s="78">
        <f t="shared" ca="1" si="13"/>
        <v>0</v>
      </c>
      <c r="AF14" s="78">
        <f t="shared" ca="1" si="14"/>
        <v>0</v>
      </c>
      <c r="AG14" s="4">
        <f ca="1">-SUMIFS(INDIRECT("Tab_000.Trial["&amp;AG$4&amp;"]"),Tab_000.Trial[CONTA],$B14)</f>
        <v>0</v>
      </c>
      <c r="AH14" s="78">
        <f t="shared" ca="1" si="15"/>
        <v>0</v>
      </c>
      <c r="AI14" s="78">
        <f t="shared" ca="1" si="16"/>
        <v>0</v>
      </c>
      <c r="AJ14" s="4">
        <f ca="1">-SUMIFS(INDIRECT("Tab_000.Trial["&amp;AJ$4&amp;"]"),Tab_000.Trial[CONTA],$B14)</f>
        <v>0</v>
      </c>
      <c r="AK14" s="78">
        <f t="shared" ca="1" si="17"/>
        <v>0</v>
      </c>
      <c r="AL14" s="78">
        <f t="shared" ca="1" si="18"/>
        <v>0</v>
      </c>
    </row>
    <row r="15" spans="2:38" ht="15" hidden="1" customHeight="1" outlineLevel="1" x14ac:dyDescent="0.3">
      <c r="B15" s="14" t="s">
        <v>382</v>
      </c>
      <c r="C15" s="15" t="s">
        <v>292</v>
      </c>
      <c r="D15" s="4">
        <f ca="1">-SUMIFS(INDIRECT("Tab_000.Trial["&amp;D$4&amp;"]"),Tab_000.Trial[CONTA],$B15)</f>
        <v>0</v>
      </c>
      <c r="E15" s="78">
        <f t="shared" ca="1" si="19"/>
        <v>0</v>
      </c>
      <c r="F15" s="4">
        <f ca="1">-SUMIFS(INDIRECT("Tab_000.Trial["&amp;F$4&amp;"]"),Tab_000.Trial[CONTA],$B15)</f>
        <v>0</v>
      </c>
      <c r="G15" s="78">
        <f t="shared" ca="1" si="0"/>
        <v>0</v>
      </c>
      <c r="H15" s="78">
        <f t="shared" ca="1" si="20"/>
        <v>0</v>
      </c>
      <c r="I15" s="4">
        <f ca="1">-SUMIFS(INDIRECT("Tab_000.Trial["&amp;I$4&amp;"]"),Tab_000.Trial[CONTA],$B15)</f>
        <v>0</v>
      </c>
      <c r="J15" s="78">
        <f t="shared" ca="1" si="1"/>
        <v>0</v>
      </c>
      <c r="K15" s="78">
        <f t="shared" ca="1" si="2"/>
        <v>0</v>
      </c>
      <c r="L15" s="4">
        <f ca="1">-SUMIFS(INDIRECT("Tab_000.Trial["&amp;L$4&amp;"]"),Tab_000.Trial[CONTA],$B15)</f>
        <v>0</v>
      </c>
      <c r="M15" s="78">
        <f t="shared" ca="1" si="3"/>
        <v>0</v>
      </c>
      <c r="N15" s="78">
        <f t="shared" ca="1" si="4"/>
        <v>0</v>
      </c>
      <c r="O15" s="4">
        <f ca="1">-SUMIFS(INDIRECT("Tab_000.Trial["&amp;O$4&amp;"]"),Tab_000.Trial[CONTA],$B15)</f>
        <v>0</v>
      </c>
      <c r="P15" s="78">
        <f t="shared" ca="1" si="5"/>
        <v>0</v>
      </c>
      <c r="Q15" s="78">
        <f t="shared" ca="1" si="6"/>
        <v>0</v>
      </c>
      <c r="R15" s="4">
        <f ca="1">-SUMIFS(INDIRECT("Tab_000.Trial["&amp;R$4&amp;"]"),Tab_000.Trial[CONTA],$B15)</f>
        <v>50</v>
      </c>
      <c r="S15" s="78">
        <f t="shared" ca="1" si="7"/>
        <v>0</v>
      </c>
      <c r="T15" s="78">
        <f t="shared" ca="1" si="8"/>
        <v>0</v>
      </c>
      <c r="U15" s="4">
        <f ca="1">-SUMIFS(INDIRECT("Tab_000.Trial["&amp;U$4&amp;"]"),Tab_000.Trial[CONTA],$B15)</f>
        <v>50</v>
      </c>
      <c r="V15" s="78">
        <f t="shared" ca="1" si="9"/>
        <v>0</v>
      </c>
      <c r="W15" s="78">
        <f t="shared" ca="1" si="10"/>
        <v>0</v>
      </c>
      <c r="X15" s="4">
        <f ca="1">-SUMIFS(INDIRECT("Tab_000.Trial["&amp;X$4&amp;"]"),Tab_000.Trial[CONTA],$B15)</f>
        <v>50</v>
      </c>
      <c r="Y15" s="78">
        <f t="shared" ca="1" si="21"/>
        <v>0</v>
      </c>
      <c r="Z15" s="78">
        <f t="shared" ca="1" si="22"/>
        <v>0</v>
      </c>
      <c r="AA15" s="4">
        <f ca="1">-SUMIFS(INDIRECT("Tab_000.Trial["&amp;AA$4&amp;"]"),Tab_000.Trial[CONTA],$B15)</f>
        <v>5000</v>
      </c>
      <c r="AB15" s="78">
        <f t="shared" ca="1" si="11"/>
        <v>5.1999999999999998E-3</v>
      </c>
      <c r="AC15" s="78">
        <f t="shared" ca="1" si="12"/>
        <v>99</v>
      </c>
      <c r="AD15" s="4">
        <f ca="1">-SUMIFS(INDIRECT("Tab_000.Trial["&amp;AD$4&amp;"]"),Tab_000.Trial[CONTA],$B15)</f>
        <v>2263.46</v>
      </c>
      <c r="AE15" s="78">
        <f t="shared" ca="1" si="13"/>
        <v>1.8E-3</v>
      </c>
      <c r="AF15" s="78">
        <f t="shared" ca="1" si="14"/>
        <v>-0.54730000000000001</v>
      </c>
      <c r="AG15" s="4">
        <f ca="1">-SUMIFS(INDIRECT("Tab_000.Trial["&amp;AG$4&amp;"]"),Tab_000.Trial[CONTA],$B15)</f>
        <v>6420.7</v>
      </c>
      <c r="AH15" s="78">
        <f t="shared" ca="1" si="15"/>
        <v>7.1000000000000004E-3</v>
      </c>
      <c r="AI15" s="78">
        <f t="shared" ca="1" si="16"/>
        <v>1.8367</v>
      </c>
      <c r="AJ15" s="4">
        <f ca="1">-SUMIFS(INDIRECT("Tab_000.Trial["&amp;AJ$4&amp;"]"),Tab_000.Trial[CONTA],$B15)</f>
        <v>1321.45</v>
      </c>
      <c r="AK15" s="78">
        <f t="shared" ca="1" si="17"/>
        <v>8.9999999999999998E-4</v>
      </c>
      <c r="AL15" s="78">
        <f t="shared" ca="1" si="18"/>
        <v>-0.79420000000000002</v>
      </c>
    </row>
    <row r="16" spans="2:38" ht="15" hidden="1" customHeight="1" outlineLevel="1" x14ac:dyDescent="0.3">
      <c r="B16" s="14" t="s">
        <v>387</v>
      </c>
      <c r="C16" s="15" t="s">
        <v>388</v>
      </c>
      <c r="D16" s="4">
        <f ca="1">-SUMIFS(INDIRECT("Tab_000.Trial["&amp;D$4&amp;"]"),Tab_000.Trial[CONTA],$B16)</f>
        <v>421470.98</v>
      </c>
      <c r="E16" s="78">
        <f t="shared" ca="1" si="19"/>
        <v>0.4516</v>
      </c>
      <c r="F16" s="4">
        <f ca="1">-SUMIFS(INDIRECT("Tab_000.Trial["&amp;F$4&amp;"]"),Tab_000.Trial[CONTA],$B16)</f>
        <v>421470.98</v>
      </c>
      <c r="G16" s="78">
        <f t="shared" ca="1" si="0"/>
        <v>0.8034</v>
      </c>
      <c r="H16" s="78">
        <f t="shared" ca="1" si="20"/>
        <v>0</v>
      </c>
      <c r="I16" s="4">
        <f ca="1">-SUMIFS(INDIRECT("Tab_000.Trial["&amp;I$4&amp;"]"),Tab_000.Trial[CONTA],$B16)</f>
        <v>421470.98</v>
      </c>
      <c r="J16" s="78">
        <f t="shared" ca="1" si="1"/>
        <v>0.40600000000000003</v>
      </c>
      <c r="K16" s="78">
        <f t="shared" ca="1" si="2"/>
        <v>0</v>
      </c>
      <c r="L16" s="4">
        <f ca="1">-SUMIFS(INDIRECT("Tab_000.Trial["&amp;L$4&amp;"]"),Tab_000.Trial[CONTA],$B16)</f>
        <v>440421.58</v>
      </c>
      <c r="M16" s="78">
        <f t="shared" ca="1" si="3"/>
        <v>0.43990000000000001</v>
      </c>
      <c r="N16" s="78">
        <f t="shared" ca="1" si="4"/>
        <v>4.4999999999999998E-2</v>
      </c>
      <c r="O16" s="4">
        <f ca="1">-SUMIFS(INDIRECT("Tab_000.Trial["&amp;O$4&amp;"]"),Tab_000.Trial[CONTA],$B16)</f>
        <v>440421.58</v>
      </c>
      <c r="P16" s="78">
        <f t="shared" ca="1" si="5"/>
        <v>0.36670000000000003</v>
      </c>
      <c r="Q16" s="78">
        <f t="shared" ca="1" si="6"/>
        <v>0</v>
      </c>
      <c r="R16" s="4">
        <f ca="1">-SUMIFS(INDIRECT("Tab_000.Trial["&amp;R$4&amp;"]"),Tab_000.Trial[CONTA],$B16)</f>
        <v>440421.58</v>
      </c>
      <c r="S16" s="78">
        <f t="shared" ca="1" si="7"/>
        <v>0.41570000000000001</v>
      </c>
      <c r="T16" s="78">
        <f t="shared" ca="1" si="8"/>
        <v>0</v>
      </c>
      <c r="U16" s="4">
        <f ca="1">-SUMIFS(INDIRECT("Tab_000.Trial["&amp;U$4&amp;"]"),Tab_000.Trial[CONTA],$B16)</f>
        <v>440421.58</v>
      </c>
      <c r="V16" s="78">
        <f t="shared" ca="1" si="9"/>
        <v>0.41570000000000001</v>
      </c>
      <c r="W16" s="78">
        <f t="shared" ca="1" si="10"/>
        <v>0</v>
      </c>
      <c r="X16" s="4">
        <f ca="1">-SUMIFS(INDIRECT("Tab_000.Trial["&amp;X$4&amp;"]"),Tab_000.Trial[CONTA],$B16)</f>
        <v>440421.58</v>
      </c>
      <c r="Y16" s="78">
        <f t="shared" ca="1" si="21"/>
        <v>0.41570000000000001</v>
      </c>
      <c r="Z16" s="78">
        <f t="shared" ca="1" si="22"/>
        <v>0</v>
      </c>
      <c r="AA16" s="4">
        <f ca="1">-SUMIFS(INDIRECT("Tab_000.Trial["&amp;AA$4&amp;"]"),Tab_000.Trial[CONTA],$B16)</f>
        <v>440421.58</v>
      </c>
      <c r="AB16" s="78">
        <f t="shared" ca="1" si="11"/>
        <v>0.45500000000000002</v>
      </c>
      <c r="AC16" s="78">
        <f t="shared" ca="1" si="12"/>
        <v>0</v>
      </c>
      <c r="AD16" s="4">
        <f ca="1">-SUMIFS(INDIRECT("Tab_000.Trial["&amp;AD$4&amp;"]"),Tab_000.Trial[CONTA],$B16)</f>
        <v>440421.58</v>
      </c>
      <c r="AE16" s="78">
        <f t="shared" ca="1" si="13"/>
        <v>0.35959999999999998</v>
      </c>
      <c r="AF16" s="78">
        <f t="shared" ca="1" si="14"/>
        <v>0</v>
      </c>
      <c r="AG16" s="4">
        <f ca="1">-SUMIFS(INDIRECT("Tab_000.Trial["&amp;AG$4&amp;"]"),Tab_000.Trial[CONTA],$B16)</f>
        <v>440421.58</v>
      </c>
      <c r="AH16" s="78">
        <f t="shared" ca="1" si="15"/>
        <v>0.4874</v>
      </c>
      <c r="AI16" s="78">
        <f t="shared" ca="1" si="16"/>
        <v>0</v>
      </c>
      <c r="AJ16" s="4">
        <f ca="1">-SUMIFS(INDIRECT("Tab_000.Trial["&amp;AJ$4&amp;"]"),Tab_000.Trial[CONTA],$B16)</f>
        <v>440421.58</v>
      </c>
      <c r="AK16" s="78">
        <f t="shared" ca="1" si="17"/>
        <v>0.29880000000000001</v>
      </c>
      <c r="AL16" s="78">
        <f t="shared" ca="1" si="18"/>
        <v>0</v>
      </c>
    </row>
    <row r="17" spans="2:40" ht="15" hidden="1" customHeight="1" outlineLevel="1" x14ac:dyDescent="0.3">
      <c r="B17" s="14" t="s">
        <v>389</v>
      </c>
      <c r="C17" s="15" t="s">
        <v>390</v>
      </c>
      <c r="D17" s="4">
        <f ca="1">-SUMIFS(INDIRECT("Tab_000.Trial["&amp;D$4&amp;"]"),Tab_000.Trial[CONTA],$B17)</f>
        <v>0</v>
      </c>
      <c r="E17" s="78">
        <f t="shared" ca="1" si="19"/>
        <v>0</v>
      </c>
      <c r="F17" s="4">
        <f ca="1">-SUMIFS(INDIRECT("Tab_000.Trial["&amp;F$4&amp;"]"),Tab_000.Trial[CONTA],$B17)</f>
        <v>12636.86</v>
      </c>
      <c r="G17" s="78">
        <f t="shared" ca="1" si="0"/>
        <v>2.41E-2</v>
      </c>
      <c r="H17" s="78">
        <f t="shared" ca="1" si="20"/>
        <v>0</v>
      </c>
      <c r="I17" s="4">
        <f ca="1">-SUMIFS(INDIRECT("Tab_000.Trial["&amp;I$4&amp;"]"),Tab_000.Trial[CONTA],$B17)</f>
        <v>20581.28</v>
      </c>
      <c r="J17" s="78">
        <f t="shared" ca="1" si="1"/>
        <v>1.9800000000000002E-2</v>
      </c>
      <c r="K17" s="78">
        <f t="shared" ca="1" si="2"/>
        <v>0.62870000000000004</v>
      </c>
      <c r="L17" s="4">
        <f ca="1">-SUMIFS(INDIRECT("Tab_000.Trial["&amp;L$4&amp;"]"),Tab_000.Trial[CONTA],$B17)</f>
        <v>0</v>
      </c>
      <c r="M17" s="78">
        <f t="shared" ca="1" si="3"/>
        <v>0</v>
      </c>
      <c r="N17" s="78">
        <f t="shared" ca="1" si="4"/>
        <v>-1</v>
      </c>
      <c r="O17" s="4">
        <f ca="1">-SUMIFS(INDIRECT("Tab_000.Trial["&amp;O$4&amp;"]"),Tab_000.Trial[CONTA],$B17)</f>
        <v>12582.84</v>
      </c>
      <c r="P17" s="78">
        <f t="shared" ca="1" si="5"/>
        <v>1.0500000000000001E-2</v>
      </c>
      <c r="Q17" s="78">
        <f t="shared" ca="1" si="6"/>
        <v>0</v>
      </c>
      <c r="R17" s="4">
        <f ca="1">-SUMIFS(INDIRECT("Tab_000.Trial["&amp;R$4&amp;"]"),Tab_000.Trial[CONTA],$B17)</f>
        <v>6514.26</v>
      </c>
      <c r="S17" s="78">
        <f t="shared" ca="1" si="7"/>
        <v>6.1000000000000004E-3</v>
      </c>
      <c r="T17" s="78">
        <f t="shared" ca="1" si="8"/>
        <v>-0.48230000000000001</v>
      </c>
      <c r="U17" s="4">
        <f ca="1">-SUMIFS(INDIRECT("Tab_000.Trial["&amp;U$4&amp;"]"),Tab_000.Trial[CONTA],$B17)</f>
        <v>6514.26</v>
      </c>
      <c r="V17" s="78">
        <f t="shared" ca="1" si="9"/>
        <v>6.1000000000000004E-3</v>
      </c>
      <c r="W17" s="78">
        <f t="shared" ca="1" si="10"/>
        <v>0</v>
      </c>
      <c r="X17" s="4">
        <f ca="1">-SUMIFS(INDIRECT("Tab_000.Trial["&amp;X$4&amp;"]"),Tab_000.Trial[CONTA],$B17)</f>
        <v>6514.26</v>
      </c>
      <c r="Y17" s="78">
        <f t="shared" ca="1" si="21"/>
        <v>6.1000000000000004E-3</v>
      </c>
      <c r="Z17" s="78">
        <f t="shared" ca="1" si="22"/>
        <v>0</v>
      </c>
      <c r="AA17" s="4">
        <f ca="1">-SUMIFS(INDIRECT("Tab_000.Trial["&amp;AA$4&amp;"]"),Tab_000.Trial[CONTA],$B17)</f>
        <v>13028.52</v>
      </c>
      <c r="AB17" s="78">
        <f t="shared" ca="1" si="11"/>
        <v>1.35E-2</v>
      </c>
      <c r="AC17" s="78">
        <f t="shared" ca="1" si="12"/>
        <v>1</v>
      </c>
      <c r="AD17" s="4">
        <f ca="1">-SUMIFS(INDIRECT("Tab_000.Trial["&amp;AD$4&amp;"]"),Tab_000.Trial[CONTA],$B17)</f>
        <v>25017.24</v>
      </c>
      <c r="AE17" s="78">
        <f t="shared" ca="1" si="13"/>
        <v>2.0400000000000001E-2</v>
      </c>
      <c r="AF17" s="78">
        <f t="shared" ca="1" si="14"/>
        <v>0.92020000000000002</v>
      </c>
      <c r="AG17" s="4">
        <f ca="1">-SUMIFS(INDIRECT("Tab_000.Trial["&amp;AG$4&amp;"]"),Tab_000.Trial[CONTA],$B17)</f>
        <v>0</v>
      </c>
      <c r="AH17" s="78">
        <f t="shared" ca="1" si="15"/>
        <v>0</v>
      </c>
      <c r="AI17" s="78">
        <f t="shared" ca="1" si="16"/>
        <v>-1</v>
      </c>
      <c r="AJ17" s="4">
        <f ca="1">-SUMIFS(INDIRECT("Tab_000.Trial["&amp;AJ$4&amp;"]"),Tab_000.Trial[CONTA],$B17)</f>
        <v>222.84</v>
      </c>
      <c r="AK17" s="78">
        <f t="shared" ca="1" si="17"/>
        <v>2.0000000000000001E-4</v>
      </c>
      <c r="AL17" s="78">
        <f t="shared" ca="1" si="18"/>
        <v>0</v>
      </c>
    </row>
    <row r="18" spans="2:40" ht="15" hidden="1" customHeight="1" outlineLevel="1" x14ac:dyDescent="0.3">
      <c r="B18" s="14" t="s">
        <v>395</v>
      </c>
      <c r="C18" s="15" t="s">
        <v>396</v>
      </c>
      <c r="D18" s="4">
        <f ca="1">-SUMIFS(INDIRECT("Tab_000.Trial["&amp;D$4&amp;"]"),Tab_000.Trial[CONTA],$B18)</f>
        <v>50</v>
      </c>
      <c r="E18" s="78">
        <f t="shared" ca="1" si="19"/>
        <v>1E-4</v>
      </c>
      <c r="F18" s="4">
        <f ca="1">-SUMIFS(INDIRECT("Tab_000.Trial["&amp;F$4&amp;"]"),Tab_000.Trial[CONTA],$B18)</f>
        <v>650</v>
      </c>
      <c r="G18" s="78">
        <f t="shared" ca="1" si="0"/>
        <v>1.1999999999999999E-3</v>
      </c>
      <c r="H18" s="78">
        <f t="shared" ca="1" si="20"/>
        <v>12</v>
      </c>
      <c r="I18" s="4">
        <f ca="1">-SUMIFS(INDIRECT("Tab_000.Trial["&amp;I$4&amp;"]"),Tab_000.Trial[CONTA],$B18)</f>
        <v>2000</v>
      </c>
      <c r="J18" s="78">
        <f t="shared" ca="1" si="1"/>
        <v>1.9E-3</v>
      </c>
      <c r="K18" s="78">
        <f t="shared" ca="1" si="2"/>
        <v>2.0769000000000002</v>
      </c>
      <c r="L18" s="4">
        <f ca="1">-SUMIFS(INDIRECT("Tab_000.Trial["&amp;L$4&amp;"]"),Tab_000.Trial[CONTA],$B18)</f>
        <v>2300</v>
      </c>
      <c r="M18" s="78">
        <f t="shared" ca="1" si="3"/>
        <v>2.3E-3</v>
      </c>
      <c r="N18" s="78">
        <f t="shared" ca="1" si="4"/>
        <v>0.15</v>
      </c>
      <c r="O18" s="4">
        <f ca="1">-SUMIFS(INDIRECT("Tab_000.Trial["&amp;O$4&amp;"]"),Tab_000.Trial[CONTA],$B18)</f>
        <v>500</v>
      </c>
      <c r="P18" s="78">
        <f t="shared" ca="1" si="5"/>
        <v>4.0000000000000002E-4</v>
      </c>
      <c r="Q18" s="78">
        <f t="shared" ca="1" si="6"/>
        <v>-0.78259999999999996</v>
      </c>
      <c r="R18" s="4">
        <f ca="1">-SUMIFS(INDIRECT("Tab_000.Trial["&amp;R$4&amp;"]"),Tab_000.Trial[CONTA],$B18)</f>
        <v>1250</v>
      </c>
      <c r="S18" s="78">
        <f t="shared" ca="1" si="7"/>
        <v>1.1999999999999999E-3</v>
      </c>
      <c r="T18" s="78">
        <f t="shared" ca="1" si="8"/>
        <v>1.5</v>
      </c>
      <c r="U18" s="4">
        <f ca="1">-SUMIFS(INDIRECT("Tab_000.Trial["&amp;U$4&amp;"]"),Tab_000.Trial[CONTA],$B18)</f>
        <v>1250</v>
      </c>
      <c r="V18" s="78">
        <f t="shared" ca="1" si="9"/>
        <v>1.1999999999999999E-3</v>
      </c>
      <c r="W18" s="78">
        <f t="shared" ca="1" si="10"/>
        <v>0</v>
      </c>
      <c r="X18" s="4">
        <f ca="1">-SUMIFS(INDIRECT("Tab_000.Trial["&amp;X$4&amp;"]"),Tab_000.Trial[CONTA],$B18)</f>
        <v>1250</v>
      </c>
      <c r="Y18" s="78">
        <f t="shared" ca="1" si="21"/>
        <v>1.1999999999999999E-3</v>
      </c>
      <c r="Z18" s="78">
        <f t="shared" ca="1" si="22"/>
        <v>0</v>
      </c>
      <c r="AA18" s="4">
        <f ca="1">-SUMIFS(INDIRECT("Tab_000.Trial["&amp;AA$4&amp;"]"),Tab_000.Trial[CONTA],$B18)</f>
        <v>0</v>
      </c>
      <c r="AB18" s="78">
        <f t="shared" ca="1" si="11"/>
        <v>0</v>
      </c>
      <c r="AC18" s="78">
        <f t="shared" ca="1" si="12"/>
        <v>-1</v>
      </c>
      <c r="AD18" s="4">
        <f ca="1">-SUMIFS(INDIRECT("Tab_000.Trial["&amp;AD$4&amp;"]"),Tab_000.Trial[CONTA],$B18)</f>
        <v>0</v>
      </c>
      <c r="AE18" s="78">
        <f t="shared" ca="1" si="13"/>
        <v>0</v>
      </c>
      <c r="AF18" s="78">
        <f t="shared" ca="1" si="14"/>
        <v>0</v>
      </c>
      <c r="AG18" s="4">
        <f ca="1">-SUMIFS(INDIRECT("Tab_000.Trial["&amp;AG$4&amp;"]"),Tab_000.Trial[CONTA],$B18)</f>
        <v>0</v>
      </c>
      <c r="AH18" s="78">
        <f t="shared" ca="1" si="15"/>
        <v>0</v>
      </c>
      <c r="AI18" s="78">
        <f t="shared" ca="1" si="16"/>
        <v>0</v>
      </c>
      <c r="AJ18" s="4">
        <f ca="1">-SUMIFS(INDIRECT("Tab_000.Trial["&amp;AJ$4&amp;"]"),Tab_000.Trial[CONTA],$B18)</f>
        <v>0</v>
      </c>
      <c r="AK18" s="78">
        <f t="shared" ca="1" si="17"/>
        <v>0</v>
      </c>
      <c r="AL18" s="78">
        <f t="shared" ca="1" si="18"/>
        <v>0</v>
      </c>
      <c r="AM18" s="1" t="s">
        <v>782</v>
      </c>
    </row>
    <row r="19" spans="2:40" ht="15" hidden="1" customHeight="1" outlineLevel="1" x14ac:dyDescent="0.3">
      <c r="B19" s="14" t="s">
        <v>383</v>
      </c>
      <c r="C19" s="182" t="s">
        <v>773</v>
      </c>
      <c r="D19" s="4">
        <f ca="1">-SUMIFS(INDIRECT("Tab_000.Trial["&amp;D$4&amp;"]"),Tab_000.Trial[CONTA],$B19)</f>
        <v>0</v>
      </c>
      <c r="E19" s="78">
        <f t="shared" ca="1" si="19"/>
        <v>0</v>
      </c>
      <c r="F19" s="4">
        <f ca="1">-SUMIFS(INDIRECT("Tab_000.Trial["&amp;F$4&amp;"]"),Tab_000.Trial[CONTA],$B19)</f>
        <v>0</v>
      </c>
      <c r="G19" s="78">
        <f t="shared" ca="1" si="0"/>
        <v>0</v>
      </c>
      <c r="H19" s="78">
        <f t="shared" ca="1" si="20"/>
        <v>0</v>
      </c>
      <c r="I19" s="4">
        <f ca="1">-SUMIFS(INDIRECT("Tab_000.Trial["&amp;I$4&amp;"]"),Tab_000.Trial[CONTA],$B19)</f>
        <v>0</v>
      </c>
      <c r="J19" s="78">
        <f t="shared" ca="1" si="1"/>
        <v>0</v>
      </c>
      <c r="K19" s="78">
        <f t="shared" ca="1" si="2"/>
        <v>0</v>
      </c>
      <c r="L19" s="4">
        <f ca="1">-SUMIFS(INDIRECT("Tab_000.Trial["&amp;L$4&amp;"]"),Tab_000.Trial[CONTA],$B19)</f>
        <v>0</v>
      </c>
      <c r="M19" s="78">
        <f t="shared" ca="1" si="3"/>
        <v>0</v>
      </c>
      <c r="N19" s="78">
        <f t="shared" ca="1" si="4"/>
        <v>0</v>
      </c>
      <c r="O19" s="4">
        <f ca="1">-SUMIFS(INDIRECT("Tab_000.Trial["&amp;O$4&amp;"]"),Tab_000.Trial[CONTA],$B19)</f>
        <v>0</v>
      </c>
      <c r="P19" s="78">
        <f t="shared" ca="1" si="5"/>
        <v>0</v>
      </c>
      <c r="Q19" s="78">
        <f t="shared" ca="1" si="6"/>
        <v>0</v>
      </c>
      <c r="R19" s="4">
        <f ca="1">-SUMIFS(INDIRECT("Tab_000.Trial["&amp;R$4&amp;"]"),Tab_000.Trial[CONTA],$B19)</f>
        <v>0</v>
      </c>
      <c r="S19" s="78">
        <f t="shared" ca="1" si="7"/>
        <v>0</v>
      </c>
      <c r="T19" s="78">
        <f t="shared" ca="1" si="8"/>
        <v>0</v>
      </c>
      <c r="U19" s="4">
        <f ca="1">-SUMIFS(INDIRECT("Tab_000.Trial["&amp;U$4&amp;"]"),Tab_000.Trial[CONTA],$B19)</f>
        <v>0</v>
      </c>
      <c r="V19" s="78">
        <f t="shared" ca="1" si="9"/>
        <v>0</v>
      </c>
      <c r="W19" s="78">
        <f t="shared" ca="1" si="10"/>
        <v>0</v>
      </c>
      <c r="X19" s="4">
        <f ca="1">-SUMIFS(INDIRECT("Tab_000.Trial["&amp;X$4&amp;"]"),Tab_000.Trial[CONTA],$B19)</f>
        <v>0</v>
      </c>
      <c r="Y19" s="78">
        <f t="shared" ca="1" si="21"/>
        <v>0</v>
      </c>
      <c r="Z19" s="78">
        <f t="shared" ca="1" si="22"/>
        <v>0</v>
      </c>
      <c r="AA19" s="4">
        <f ca="1">-SUMIFS(INDIRECT("Tab_000.Trial["&amp;AA$4&amp;"]"),Tab_000.Trial[CONTA],$B19)</f>
        <v>0</v>
      </c>
      <c r="AB19" s="78">
        <f t="shared" ca="1" si="11"/>
        <v>0</v>
      </c>
      <c r="AC19" s="78">
        <f t="shared" ca="1" si="12"/>
        <v>0</v>
      </c>
      <c r="AD19" s="4">
        <f ca="1">-SUMIFS(INDIRECT("Tab_000.Trial["&amp;AD$4&amp;"]"),Tab_000.Trial[CONTA],$B19)</f>
        <v>0</v>
      </c>
      <c r="AE19" s="78">
        <f t="shared" ca="1" si="13"/>
        <v>0</v>
      </c>
      <c r="AF19" s="78">
        <f t="shared" ca="1" si="14"/>
        <v>0</v>
      </c>
      <c r="AG19" s="4">
        <f ca="1">-SUMIFS(INDIRECT("Tab_000.Trial["&amp;AG$4&amp;"]"),Tab_000.Trial[CONTA],$B19)</f>
        <v>0</v>
      </c>
      <c r="AH19" s="78">
        <f t="shared" ca="1" si="15"/>
        <v>0</v>
      </c>
      <c r="AI19" s="78">
        <f t="shared" ca="1" si="16"/>
        <v>0</v>
      </c>
      <c r="AJ19" s="4">
        <f ca="1">-SUMIFS(INDIRECT("Tab_000.Trial["&amp;AJ$4&amp;"]"),Tab_000.Trial[CONTA],$B19)</f>
        <v>0</v>
      </c>
      <c r="AK19" s="78">
        <f t="shared" ca="1" si="17"/>
        <v>0</v>
      </c>
      <c r="AL19" s="78">
        <f t="shared" ca="1" si="18"/>
        <v>0</v>
      </c>
    </row>
    <row r="20" spans="2:40" ht="15" hidden="1" customHeight="1" outlineLevel="1" x14ac:dyDescent="0.3">
      <c r="B20" s="14" t="s">
        <v>385</v>
      </c>
      <c r="C20" s="2" t="s">
        <v>386</v>
      </c>
      <c r="D20" s="4">
        <f ca="1">-SUMIFS(INDIRECT("Tab_000.Trial["&amp;D$4&amp;"]"),Tab_000.Trial[CONTA],$B20)</f>
        <v>0</v>
      </c>
      <c r="E20" s="78">
        <f t="shared" ca="1" si="19"/>
        <v>0</v>
      </c>
      <c r="F20" s="4">
        <f ca="1">-SUMIFS(INDIRECT("Tab_000.Trial["&amp;F$4&amp;"]"),Tab_000.Trial[CONTA],$B20)</f>
        <v>0</v>
      </c>
      <c r="G20" s="78">
        <f t="shared" ca="1" si="0"/>
        <v>0</v>
      </c>
      <c r="H20" s="78">
        <f t="shared" ca="1" si="20"/>
        <v>0</v>
      </c>
      <c r="I20" s="4">
        <f ca="1">-SUMIFS(INDIRECT("Tab_000.Trial["&amp;I$4&amp;"]"),Tab_000.Trial[CONTA],$B20)</f>
        <v>0</v>
      </c>
      <c r="J20" s="78">
        <f t="shared" ca="1" si="1"/>
        <v>0</v>
      </c>
      <c r="K20" s="78">
        <f t="shared" ca="1" si="2"/>
        <v>0</v>
      </c>
      <c r="L20" s="4">
        <f ca="1">-SUMIFS(INDIRECT("Tab_000.Trial["&amp;L$4&amp;"]"),Tab_000.Trial[CONTA],$B20)</f>
        <v>0</v>
      </c>
      <c r="M20" s="78">
        <f t="shared" ca="1" si="3"/>
        <v>0</v>
      </c>
      <c r="N20" s="78">
        <f t="shared" ca="1" si="4"/>
        <v>0</v>
      </c>
      <c r="O20" s="4">
        <f ca="1">-SUMIFS(INDIRECT("Tab_000.Trial["&amp;O$4&amp;"]"),Tab_000.Trial[CONTA],$B20)</f>
        <v>0</v>
      </c>
      <c r="P20" s="78">
        <f t="shared" ca="1" si="5"/>
        <v>0</v>
      </c>
      <c r="Q20" s="78">
        <f t="shared" ca="1" si="6"/>
        <v>0</v>
      </c>
      <c r="R20" s="4">
        <f ca="1">-SUMIFS(INDIRECT("Tab_000.Trial["&amp;R$4&amp;"]"),Tab_000.Trial[CONTA],$B20)</f>
        <v>0</v>
      </c>
      <c r="S20" s="78">
        <f t="shared" ca="1" si="7"/>
        <v>0</v>
      </c>
      <c r="T20" s="78">
        <f t="shared" ca="1" si="8"/>
        <v>0</v>
      </c>
      <c r="U20" s="4">
        <f ca="1">-SUMIFS(INDIRECT("Tab_000.Trial["&amp;U$4&amp;"]"),Tab_000.Trial[CONTA],$B20)</f>
        <v>0</v>
      </c>
      <c r="V20" s="78">
        <f t="shared" ca="1" si="9"/>
        <v>0</v>
      </c>
      <c r="W20" s="78">
        <f t="shared" ca="1" si="10"/>
        <v>0</v>
      </c>
      <c r="X20" s="4">
        <f ca="1">-SUMIFS(INDIRECT("Tab_000.Trial["&amp;X$4&amp;"]"),Tab_000.Trial[CONTA],$B20)</f>
        <v>0</v>
      </c>
      <c r="Y20" s="78">
        <f t="shared" ca="1" si="21"/>
        <v>0</v>
      </c>
      <c r="Z20" s="78">
        <f t="shared" ca="1" si="22"/>
        <v>0</v>
      </c>
      <c r="AA20" s="4">
        <f ca="1">-SUMIFS(INDIRECT("Tab_000.Trial["&amp;AA$4&amp;"]"),Tab_000.Trial[CONTA],$B20)</f>
        <v>0</v>
      </c>
      <c r="AB20" s="78">
        <f t="shared" ca="1" si="11"/>
        <v>0</v>
      </c>
      <c r="AC20" s="78">
        <f t="shared" ca="1" si="12"/>
        <v>0</v>
      </c>
      <c r="AD20" s="4">
        <f ca="1">-SUMIFS(INDIRECT("Tab_000.Trial["&amp;AD$4&amp;"]"),Tab_000.Trial[CONTA],$B20)</f>
        <v>0</v>
      </c>
      <c r="AE20" s="78">
        <f t="shared" ca="1" si="13"/>
        <v>0</v>
      </c>
      <c r="AF20" s="78">
        <f t="shared" ca="1" si="14"/>
        <v>0</v>
      </c>
      <c r="AG20" s="4">
        <f ca="1">-SUMIFS(INDIRECT("Tab_000.Trial["&amp;AG$4&amp;"]"),Tab_000.Trial[CONTA],$B20)</f>
        <v>0</v>
      </c>
      <c r="AH20" s="78">
        <f t="shared" ca="1" si="15"/>
        <v>0</v>
      </c>
      <c r="AI20" s="78">
        <f t="shared" ca="1" si="16"/>
        <v>0</v>
      </c>
      <c r="AJ20" s="4">
        <f ca="1">-SUMIFS(INDIRECT("Tab_000.Trial["&amp;AJ$4&amp;"]"),Tab_000.Trial[CONTA],$B20)</f>
        <v>0</v>
      </c>
      <c r="AK20" s="78">
        <f t="shared" ca="1" si="17"/>
        <v>0</v>
      </c>
      <c r="AL20" s="78">
        <f t="shared" ca="1" si="18"/>
        <v>0</v>
      </c>
    </row>
    <row r="21" spans="2:40" ht="15" hidden="1" customHeight="1" outlineLevel="1" x14ac:dyDescent="0.3">
      <c r="B21" s="14" t="s">
        <v>737</v>
      </c>
      <c r="C21" s="15" t="s">
        <v>422</v>
      </c>
      <c r="D21" s="4">
        <f ca="1">-SUMIFS(INDIRECT("Tab_000.Trial["&amp;D$4&amp;"]"),Tab_000.Trial[CONTA],$B21)</f>
        <v>187419.37</v>
      </c>
      <c r="E21" s="78">
        <f t="shared" ca="1" si="19"/>
        <v>0.20080000000000001</v>
      </c>
      <c r="F21" s="4">
        <f ca="1">-SUMIFS(INDIRECT("Tab_000.Trial["&amp;F$4&amp;"]"),Tab_000.Trial[CONTA],$B21)</f>
        <v>0</v>
      </c>
      <c r="G21" s="78">
        <f t="shared" ca="1" si="0"/>
        <v>0</v>
      </c>
      <c r="H21" s="78">
        <f t="shared" ca="1" si="20"/>
        <v>-1</v>
      </c>
      <c r="I21" s="4">
        <f ca="1">-SUMIFS(INDIRECT("Tab_000.Trial["&amp;I$4&amp;"]"),Tab_000.Trial[CONTA],$B21)</f>
        <v>247414.93</v>
      </c>
      <c r="J21" s="78">
        <f t="shared" ca="1" si="1"/>
        <v>0.23830000000000001</v>
      </c>
      <c r="K21" s="78">
        <f t="shared" ca="1" si="2"/>
        <v>0</v>
      </c>
      <c r="L21" s="4">
        <f ca="1">-SUMIFS(INDIRECT("Tab_000.Trial["&amp;L$4&amp;"]"),Tab_000.Trial[CONTA],$B21)</f>
        <v>180215.42</v>
      </c>
      <c r="M21" s="78">
        <f t="shared" ca="1" si="3"/>
        <v>0.18</v>
      </c>
      <c r="N21" s="78">
        <f t="shared" ca="1" si="4"/>
        <v>-0.27160000000000001</v>
      </c>
      <c r="O21" s="4">
        <f ca="1">-SUMIFS(INDIRECT("Tab_000.Trial["&amp;O$4&amp;"]"),Tab_000.Trial[CONTA],$B21)</f>
        <v>332680.82</v>
      </c>
      <c r="P21" s="78">
        <f t="shared" ca="1" si="5"/>
        <v>0.27700000000000002</v>
      </c>
      <c r="Q21" s="78">
        <f t="shared" ca="1" si="6"/>
        <v>0.84599999999999997</v>
      </c>
      <c r="R21" s="4">
        <f ca="1">-SUMIFS(INDIRECT("Tab_000.Trial["&amp;R$4&amp;"]"),Tab_000.Trial[CONTA],$B21)</f>
        <v>323149.34999999998</v>
      </c>
      <c r="S21" s="78">
        <f t="shared" ca="1" si="7"/>
        <v>0.30499999999999999</v>
      </c>
      <c r="T21" s="78">
        <f t="shared" ca="1" si="8"/>
        <v>-2.87E-2</v>
      </c>
      <c r="U21" s="4">
        <f ca="1">-SUMIFS(INDIRECT("Tab_000.Trial["&amp;U$4&amp;"]"),Tab_000.Trial[CONTA],$B21)</f>
        <v>323149.34999999998</v>
      </c>
      <c r="V21" s="78">
        <f t="shared" ca="1" si="9"/>
        <v>0.30499999999999999</v>
      </c>
      <c r="W21" s="78">
        <f t="shared" ca="1" si="10"/>
        <v>0</v>
      </c>
      <c r="X21" s="4">
        <f ca="1">-SUMIFS(INDIRECT("Tab_000.Trial["&amp;X$4&amp;"]"),Tab_000.Trial[CONTA],$B21)</f>
        <v>323149.34999999998</v>
      </c>
      <c r="Y21" s="78">
        <f t="shared" ca="1" si="21"/>
        <v>0.30499999999999999</v>
      </c>
      <c r="Z21" s="78">
        <f t="shared" ca="1" si="22"/>
        <v>0</v>
      </c>
      <c r="AA21" s="4">
        <f ca="1">-SUMIFS(INDIRECT("Tab_000.Trial["&amp;AA$4&amp;"]"),Tab_000.Trial[CONTA],$B21)</f>
        <v>198337.07</v>
      </c>
      <c r="AB21" s="78">
        <f t="shared" ca="1" si="11"/>
        <v>0.2049</v>
      </c>
      <c r="AC21" s="78">
        <f t="shared" ca="1" si="12"/>
        <v>-0.38619999999999999</v>
      </c>
      <c r="AD21" s="4">
        <f ca="1">-SUMIFS(INDIRECT("Tab_000.Trial["&amp;AD$4&amp;"]"),Tab_000.Trial[CONTA],$B21)</f>
        <v>429781.84</v>
      </c>
      <c r="AE21" s="78">
        <f t="shared" ca="1" si="13"/>
        <v>0.35089999999999999</v>
      </c>
      <c r="AF21" s="78">
        <f t="shared" ca="1" si="14"/>
        <v>1.1669</v>
      </c>
      <c r="AG21" s="4">
        <f ca="1">-SUMIFS(INDIRECT("Tab_000.Trial["&amp;AG$4&amp;"]"),Tab_000.Trial[CONTA],$B21)</f>
        <v>188073.31</v>
      </c>
      <c r="AH21" s="78">
        <f t="shared" ca="1" si="15"/>
        <v>0.20810000000000001</v>
      </c>
      <c r="AI21" s="78">
        <f t="shared" ca="1" si="16"/>
        <v>-0.56240000000000001</v>
      </c>
      <c r="AJ21" s="4">
        <f ca="1">-SUMIFS(INDIRECT("Tab_000.Trial["&amp;AJ$4&amp;"]"),Tab_000.Trial[CONTA],$B21)</f>
        <v>442629.02</v>
      </c>
      <c r="AK21" s="78">
        <f t="shared" ca="1" si="17"/>
        <v>0.30030000000000001</v>
      </c>
      <c r="AL21" s="78">
        <f t="shared" ca="1" si="18"/>
        <v>1.3534999999999999</v>
      </c>
    </row>
    <row r="22" spans="2:40" ht="15" hidden="1" customHeight="1" outlineLevel="1" x14ac:dyDescent="0.3">
      <c r="B22" s="14"/>
      <c r="C22" s="15"/>
      <c r="D22" s="4">
        <f ca="1">-SUMIFS(INDIRECT("Tab_000.Trial["&amp;D$4&amp;"]"),Tab_000.Trial[CONTA],$B22)</f>
        <v>0</v>
      </c>
      <c r="E22" s="78">
        <f t="shared" ca="1" si="19"/>
        <v>0</v>
      </c>
      <c r="F22" s="4">
        <f ca="1">-SUMIFS(INDIRECT("Tab_000.Trial["&amp;F$4&amp;"]"),Tab_000.Trial[CONTA],$B22)</f>
        <v>0</v>
      </c>
      <c r="G22" s="78">
        <f t="shared" ca="1" si="0"/>
        <v>0</v>
      </c>
      <c r="H22" s="78">
        <f t="shared" ca="1" si="20"/>
        <v>0</v>
      </c>
      <c r="I22" s="4">
        <f ca="1">-SUMIFS(INDIRECT("Tab_000.Trial["&amp;I$4&amp;"]"),Tab_000.Trial[CONTA],$B22)</f>
        <v>0</v>
      </c>
      <c r="J22" s="78">
        <f t="shared" ca="1" si="1"/>
        <v>0</v>
      </c>
      <c r="K22" s="78">
        <f t="shared" ca="1" si="2"/>
        <v>0</v>
      </c>
      <c r="L22" s="4">
        <f ca="1">-SUMIFS(INDIRECT("Tab_000.Trial["&amp;L$4&amp;"]"),Tab_000.Trial[CONTA],$B22)</f>
        <v>0</v>
      </c>
      <c r="M22" s="78">
        <f t="shared" ca="1" si="3"/>
        <v>0</v>
      </c>
      <c r="N22" s="78">
        <f t="shared" ca="1" si="4"/>
        <v>0</v>
      </c>
      <c r="O22" s="4">
        <f ca="1">-SUMIFS(INDIRECT("Tab_000.Trial["&amp;O$4&amp;"]"),Tab_000.Trial[CONTA],$B22)</f>
        <v>0</v>
      </c>
      <c r="P22" s="78">
        <f t="shared" ca="1" si="5"/>
        <v>0</v>
      </c>
      <c r="Q22" s="78">
        <f t="shared" ca="1" si="6"/>
        <v>0</v>
      </c>
      <c r="R22" s="4">
        <f ca="1">-SUMIFS(INDIRECT("Tab_000.Trial["&amp;R$4&amp;"]"),Tab_000.Trial[CONTA],$B22)</f>
        <v>0</v>
      </c>
      <c r="S22" s="78">
        <f t="shared" ca="1" si="7"/>
        <v>0</v>
      </c>
      <c r="T22" s="78">
        <f t="shared" ca="1" si="8"/>
        <v>0</v>
      </c>
      <c r="U22" s="4">
        <f ca="1">-SUMIFS(INDIRECT("Tab_000.Trial["&amp;U$4&amp;"]"),Tab_000.Trial[CONTA],$B22)</f>
        <v>0</v>
      </c>
      <c r="V22" s="78">
        <f t="shared" ca="1" si="9"/>
        <v>0</v>
      </c>
      <c r="W22" s="78">
        <f t="shared" ca="1" si="10"/>
        <v>0</v>
      </c>
      <c r="X22" s="4">
        <f ca="1">-SUMIFS(INDIRECT("Tab_000.Trial["&amp;X$4&amp;"]"),Tab_000.Trial[CONTA],$B22)</f>
        <v>0</v>
      </c>
      <c r="Y22" s="78">
        <f t="shared" ca="1" si="21"/>
        <v>0</v>
      </c>
      <c r="Z22" s="78">
        <f t="shared" ca="1" si="22"/>
        <v>0</v>
      </c>
      <c r="AA22" s="4">
        <f ca="1">-SUMIFS(INDIRECT("Tab_000.Trial["&amp;AA$4&amp;"]"),Tab_000.Trial[CONTA],$B22)</f>
        <v>0</v>
      </c>
      <c r="AB22" s="78">
        <f t="shared" ca="1" si="11"/>
        <v>0</v>
      </c>
      <c r="AC22" s="78">
        <f t="shared" ca="1" si="12"/>
        <v>0</v>
      </c>
      <c r="AD22" s="4">
        <f ca="1">-SUMIFS(INDIRECT("Tab_000.Trial["&amp;AD$4&amp;"]"),Tab_000.Trial[CONTA],$B22)</f>
        <v>0</v>
      </c>
      <c r="AE22" s="78">
        <f t="shared" ca="1" si="13"/>
        <v>0</v>
      </c>
      <c r="AF22" s="78">
        <f t="shared" ca="1" si="14"/>
        <v>0</v>
      </c>
      <c r="AG22" s="4">
        <f ca="1">-SUMIFS(INDIRECT("Tab_000.Trial["&amp;AG$4&amp;"]"),Tab_000.Trial[CONTA],$B22)</f>
        <v>0</v>
      </c>
      <c r="AH22" s="78">
        <f t="shared" ca="1" si="15"/>
        <v>0</v>
      </c>
      <c r="AI22" s="78">
        <f t="shared" ca="1" si="16"/>
        <v>0</v>
      </c>
      <c r="AJ22" s="4">
        <f ca="1">-SUMIFS(INDIRECT("Tab_000.Trial["&amp;AJ$4&amp;"]"),Tab_000.Trial[CONTA],$B22)</f>
        <v>0</v>
      </c>
      <c r="AK22" s="78">
        <f t="shared" ca="1" si="17"/>
        <v>0</v>
      </c>
      <c r="AL22" s="78">
        <f t="shared" ca="1" si="18"/>
        <v>0</v>
      </c>
    </row>
    <row r="23" spans="2:40" ht="5.0999999999999996" hidden="1" customHeight="1" outlineLevel="1" x14ac:dyDescent="0.3">
      <c r="B23" s="74"/>
      <c r="C23" s="75"/>
      <c r="D23" s="76"/>
      <c r="E23" s="77"/>
      <c r="F23" s="76"/>
      <c r="G23" s="77"/>
      <c r="H23" s="77"/>
      <c r="I23" s="76"/>
      <c r="J23" s="77"/>
      <c r="K23" s="77"/>
      <c r="L23" s="76"/>
      <c r="M23" s="77"/>
      <c r="N23" s="77"/>
      <c r="O23" s="76"/>
      <c r="P23" s="77"/>
      <c r="Q23" s="77"/>
      <c r="R23" s="76"/>
      <c r="S23" s="77"/>
      <c r="T23" s="77"/>
      <c r="U23" s="76"/>
      <c r="V23" s="77"/>
      <c r="W23" s="77"/>
      <c r="X23" s="76"/>
      <c r="Y23" s="77"/>
      <c r="Z23" s="77"/>
      <c r="AA23" s="76"/>
      <c r="AB23" s="77"/>
      <c r="AC23" s="77"/>
      <c r="AD23" s="76"/>
      <c r="AE23" s="77"/>
      <c r="AF23" s="77"/>
      <c r="AG23" s="76"/>
      <c r="AH23" s="77"/>
      <c r="AI23" s="77"/>
      <c r="AJ23" s="76"/>
      <c r="AK23" s="77"/>
      <c r="AL23" s="77"/>
    </row>
    <row r="24" spans="2:40" ht="15" customHeight="1" x14ac:dyDescent="0.3">
      <c r="B24" s="3" t="s">
        <v>102</v>
      </c>
      <c r="C24" s="1" t="s">
        <v>155</v>
      </c>
      <c r="D24" s="4">
        <f ca="1">SUBTOTAL(9,D$25:D$30)</f>
        <v>0</v>
      </c>
      <c r="E24" s="78">
        <f t="shared" ref="E24:E29" ca="1" si="23">IFERROR($D24/$D$6,0)</f>
        <v>0</v>
      </c>
      <c r="F24" s="4">
        <f ca="1">SUBTOTAL(9,F$25:F$30)</f>
        <v>0</v>
      </c>
      <c r="G24" s="78">
        <f ca="1">IFERROR($F24/$F$6,0)</f>
        <v>0</v>
      </c>
      <c r="H24" s="78">
        <f t="shared" ref="H24:H29" ca="1" si="24">IFERROR(($F24-$D24)/ABS($D24),0)</f>
        <v>0</v>
      </c>
      <c r="I24" s="4">
        <f ca="1">SUBTOTAL(9,I$25:I$30)</f>
        <v>0</v>
      </c>
      <c r="J24" s="78">
        <f ca="1">IFERROR($I24/$I$6,0)</f>
        <v>0</v>
      </c>
      <c r="K24" s="78">
        <f ca="1">IFERROR(($I24-$F24)/ABS($F24),0)</f>
        <v>0</v>
      </c>
      <c r="L24" s="4">
        <f ca="1">SUBTOTAL(9,L$25:L$30)</f>
        <v>0</v>
      </c>
      <c r="M24" s="78">
        <f ca="1">IFERROR($L24/$L$6,0)</f>
        <v>0</v>
      </c>
      <c r="N24" s="78">
        <f ca="1">IFERROR(($L24-$I24)/ABS($I24),0)</f>
        <v>0</v>
      </c>
      <c r="O24" s="4">
        <f ca="1">SUBTOTAL(9,O$25:O$30)</f>
        <v>0</v>
      </c>
      <c r="P24" s="78">
        <f ca="1">IFERROR($O24/$O$6,0)</f>
        <v>0</v>
      </c>
      <c r="Q24" s="78">
        <f ca="1">IFERROR(($O24-$L24)/ABS($L24),0)</f>
        <v>0</v>
      </c>
      <c r="R24" s="4">
        <f ca="1">SUBTOTAL(9,R$25:R$30)</f>
        <v>-11</v>
      </c>
      <c r="S24" s="78">
        <f ca="1">IFERROR($R24/$R$6,0)</f>
        <v>0</v>
      </c>
      <c r="T24" s="78">
        <f ca="1">IFERROR(($R24-$O24)/ABS($O24),0)</f>
        <v>0</v>
      </c>
      <c r="U24" s="4">
        <f ca="1">SUBTOTAL(9,U$25:U$30)</f>
        <v>-11</v>
      </c>
      <c r="V24" s="78">
        <f ca="1">IFERROR($U24/$U$6,0)</f>
        <v>0</v>
      </c>
      <c r="W24" s="78">
        <f ca="1">IFERROR(($U24-$R24)/ABS($R24),0)</f>
        <v>0</v>
      </c>
      <c r="X24" s="4">
        <f ca="1">SUBTOTAL(9,X$25:X$30)</f>
        <v>-11</v>
      </c>
      <c r="Y24" s="78">
        <f t="shared" ref="Y24:Y29" ca="1" si="25">IFERROR($X24/$X$6,0)</f>
        <v>0</v>
      </c>
      <c r="Z24" s="78">
        <f t="shared" ref="Z24:Z29" ca="1" si="26">IFERROR(($X24-$U24)/ABS($U24),0)</f>
        <v>0</v>
      </c>
      <c r="AA24" s="4">
        <f ca="1">SUBTOTAL(9,AA$25:AA$30)</f>
        <v>-12078.33</v>
      </c>
      <c r="AB24" s="78">
        <f ca="1">IFERROR($AA24/$AA$6,0)</f>
        <v>-1.2500000000000001E-2</v>
      </c>
      <c r="AC24" s="78">
        <f ca="1">IFERROR(($AA24-$X24)/ABS($X24),0)</f>
        <v>-1097.03</v>
      </c>
      <c r="AD24" s="4">
        <f ca="1">SUBTOTAL(9,AD$25:AD$30)</f>
        <v>-12.1</v>
      </c>
      <c r="AE24" s="78">
        <f ca="1">IFERROR($AD24/$AD$6,0)</f>
        <v>0</v>
      </c>
      <c r="AF24" s="78">
        <f ca="1">IFERROR(($AD24-$AA24)/ABS($AA24),0)</f>
        <v>0.999</v>
      </c>
      <c r="AG24" s="4">
        <f ca="1">SUBTOTAL(9,AG$25:AG$30)</f>
        <v>-1899</v>
      </c>
      <c r="AH24" s="78">
        <f ca="1">IFERROR($AG24/$AG$6,0)</f>
        <v>-2.0999999999999999E-3</v>
      </c>
      <c r="AI24" s="78">
        <f ca="1">IFERROR(($AG24-$AD24)/ABS($AD24),0)</f>
        <v>-155.94210000000001</v>
      </c>
      <c r="AJ24" s="4">
        <f ca="1">SUBTOTAL(9,AJ$25:AJ$30)</f>
        <v>-265.62</v>
      </c>
      <c r="AK24" s="78">
        <f ca="1">IFERROR($AJ24/$AJ$6,0)</f>
        <v>-2.0000000000000001E-4</v>
      </c>
      <c r="AL24" s="78">
        <f ca="1">IFERROR(($AJ24-$AG24)/ABS($AG24),0)</f>
        <v>0.86009999999999998</v>
      </c>
    </row>
    <row r="25" spans="2:40" ht="15" customHeight="1" outlineLevel="1" x14ac:dyDescent="0.3">
      <c r="B25" s="183" t="s">
        <v>855</v>
      </c>
      <c r="C25" s="183" t="s">
        <v>856</v>
      </c>
      <c r="D25" s="4">
        <f ca="1">-SUMIFS(INDIRECT("Tab_000.Trial["&amp;D$4&amp;"]"),Tab_000.Trial[CONTA],$B25)</f>
        <v>0</v>
      </c>
      <c r="E25" s="78">
        <f t="shared" ca="1" si="23"/>
        <v>0</v>
      </c>
      <c r="F25" s="4">
        <f ca="1">-SUMIFS(INDIRECT("Tab_000.Trial["&amp;F$4&amp;"]"),Tab_000.Trial[CONTA],$B25)</f>
        <v>0</v>
      </c>
      <c r="G25" s="78">
        <f ca="1">IFERROR($F25/$F$6,0)</f>
        <v>0</v>
      </c>
      <c r="H25" s="78">
        <f t="shared" ca="1" si="24"/>
        <v>0</v>
      </c>
      <c r="I25" s="4">
        <f ca="1">-SUMIFS(INDIRECT("Tab_000.Trial["&amp;I$4&amp;"]"),Tab_000.Trial[CONTA],$B25)</f>
        <v>0</v>
      </c>
      <c r="J25" s="78">
        <f t="shared" ref="J25:J29" ca="1" si="27">IFERROR($I25/$I$6,0)</f>
        <v>0</v>
      </c>
      <c r="K25" s="78">
        <f t="shared" ref="K25:K29" ca="1" si="28">IFERROR(($I25-$F25)/ABS($F25),0)</f>
        <v>0</v>
      </c>
      <c r="L25" s="4">
        <f ca="1">-SUMIFS(INDIRECT("Tab_000.Trial["&amp;L$4&amp;"]"),Tab_000.Trial[CONTA],$B25)</f>
        <v>0</v>
      </c>
      <c r="M25" s="78">
        <f t="shared" ref="M25:M29" ca="1" si="29">IFERROR($L25/$L$6,0)</f>
        <v>0</v>
      </c>
      <c r="N25" s="78">
        <f t="shared" ref="N25:N29" ca="1" si="30">IFERROR(($L25-$I25)/ABS($I25),0)</f>
        <v>0</v>
      </c>
      <c r="O25" s="4">
        <f ca="1">-SUMIFS(INDIRECT("Tab_000.Trial["&amp;O$4&amp;"]"),Tab_000.Trial[CONTA],$B25)</f>
        <v>0</v>
      </c>
      <c r="P25" s="78">
        <f t="shared" ref="P25:P29" ca="1" si="31">IFERROR($O25/$O$6,0)</f>
        <v>0</v>
      </c>
      <c r="Q25" s="78">
        <f t="shared" ref="Q25:Q29" ca="1" si="32">IFERROR(($O25-$L25)/ABS($L25),0)</f>
        <v>0</v>
      </c>
      <c r="R25" s="4">
        <f ca="1">-SUMIFS(INDIRECT("Tab_000.Trial["&amp;R$4&amp;"]"),Tab_000.Trial[CONTA],$B25)</f>
        <v>-11</v>
      </c>
      <c r="S25" s="78">
        <f t="shared" ref="S25:S29" ca="1" si="33">IFERROR($R25/$R$6,0)</f>
        <v>0</v>
      </c>
      <c r="T25" s="78">
        <f t="shared" ref="T25:T29" ca="1" si="34">IFERROR(($R25-$O25)/ABS($O25),0)</f>
        <v>0</v>
      </c>
      <c r="U25" s="4">
        <f ca="1">-SUMIFS(INDIRECT("Tab_000.Trial["&amp;U$4&amp;"]"),Tab_000.Trial[CONTA],$B25)</f>
        <v>-11</v>
      </c>
      <c r="V25" s="78">
        <f t="shared" ref="V25:V29" ca="1" si="35">IFERROR($U25/$U$6,0)</f>
        <v>0</v>
      </c>
      <c r="W25" s="78">
        <f t="shared" ref="W25:W29" ca="1" si="36">IFERROR(($U25-$R25)/ABS($R25),0)</f>
        <v>0</v>
      </c>
      <c r="X25" s="4">
        <f ca="1">-SUMIFS(INDIRECT("Tab_000.Trial["&amp;X$4&amp;"]"),Tab_000.Trial[CONTA],$B25)</f>
        <v>-11</v>
      </c>
      <c r="Y25" s="78">
        <f t="shared" ca="1" si="25"/>
        <v>0</v>
      </c>
      <c r="Z25" s="78">
        <f t="shared" ca="1" si="26"/>
        <v>0</v>
      </c>
      <c r="AA25" s="4">
        <f ca="1">-SUMIFS(INDIRECT("Tab_000.Trial["&amp;AA$4&amp;"]"),Tab_000.Trial[CONTA],$B25)</f>
        <v>-12078.33</v>
      </c>
      <c r="AB25" s="78">
        <f t="shared" ref="AB25:AB29" ca="1" si="37">IFERROR($AA25/$AA$6,0)</f>
        <v>-1.2500000000000001E-2</v>
      </c>
      <c r="AC25" s="78">
        <f t="shared" ref="AC25:AC29" ca="1" si="38">IFERROR(($AA25-$X25)/ABS($X25),0)</f>
        <v>-1097.03</v>
      </c>
      <c r="AD25" s="4">
        <f ca="1">-SUMIFS(INDIRECT("Tab_000.Trial["&amp;AD$4&amp;"]"),Tab_000.Trial[CONTA],$B25)</f>
        <v>-12.1</v>
      </c>
      <c r="AE25" s="78">
        <f t="shared" ref="AE25:AE29" ca="1" si="39">IFERROR($AD25/$AD$6,0)</f>
        <v>0</v>
      </c>
      <c r="AF25" s="78">
        <f t="shared" ref="AF25:AF29" ca="1" si="40">IFERROR(($AD25-$AA25)/ABS($AA25),0)</f>
        <v>0.999</v>
      </c>
      <c r="AG25" s="4">
        <f ca="1">-SUMIFS(INDIRECT("Tab_000.Trial["&amp;AG$4&amp;"]"),Tab_000.Trial[CONTA],$B25)</f>
        <v>-1899</v>
      </c>
      <c r="AH25" s="78">
        <f t="shared" ref="AH25:AH29" ca="1" si="41">IFERROR($AG25/$AG$6,0)</f>
        <v>-2.0999999999999999E-3</v>
      </c>
      <c r="AI25" s="78">
        <f t="shared" ref="AI25:AI29" ca="1" si="42">IFERROR(($AG25-$AD25)/ABS($AD25),0)</f>
        <v>-155.94210000000001</v>
      </c>
      <c r="AJ25" s="4">
        <f ca="1">-SUMIFS(INDIRECT("Tab_000.Trial["&amp;AJ$4&amp;"]"),Tab_000.Trial[CONTA],$B25)</f>
        <v>-265.62</v>
      </c>
      <c r="AK25" s="78">
        <f t="shared" ref="AK25:AK29" ca="1" si="43">IFERROR($AJ25/$AJ$6,0)</f>
        <v>-2.0000000000000001E-4</v>
      </c>
      <c r="AL25" s="78">
        <f t="shared" ref="AL25:AL29" ca="1" si="44">IFERROR(($AJ25-$AG25)/ABS($AG25),0)</f>
        <v>0.86009999999999998</v>
      </c>
      <c r="AN25" s="141"/>
    </row>
    <row r="26" spans="2:40" ht="15" customHeight="1" outlineLevel="1" x14ac:dyDescent="0.3">
      <c r="B26" s="14"/>
      <c r="C26" s="14"/>
      <c r="D26" s="4">
        <f ca="1">-SUMIFS(INDIRECT("Tab_000.Trial["&amp;D$4&amp;"]"),Tab_000.Trial[CONTA],$B26)</f>
        <v>0</v>
      </c>
      <c r="E26" s="78">
        <f t="shared" ca="1" si="23"/>
        <v>0</v>
      </c>
      <c r="F26" s="4">
        <f ca="1">-SUMIFS(INDIRECT("Tab_000.Trial["&amp;F$4&amp;"]"),Tab_000.Trial[CONTA],$B26)</f>
        <v>0</v>
      </c>
      <c r="G26" s="78">
        <f t="shared" ref="G26:G29" ca="1" si="45">IFERROR($F26/$F$6,0)</f>
        <v>0</v>
      </c>
      <c r="H26" s="78">
        <f t="shared" ca="1" si="24"/>
        <v>0</v>
      </c>
      <c r="I26" s="4">
        <f ca="1">-SUMIFS(INDIRECT("Tab_000.Trial["&amp;I$4&amp;"]"),Tab_000.Trial[CONTA],$B26)</f>
        <v>0</v>
      </c>
      <c r="J26" s="78">
        <f t="shared" ca="1" si="27"/>
        <v>0</v>
      </c>
      <c r="K26" s="78">
        <f t="shared" ca="1" si="28"/>
        <v>0</v>
      </c>
      <c r="L26" s="4">
        <f ca="1">-SUMIFS(INDIRECT("Tab_000.Trial["&amp;L$4&amp;"]"),Tab_000.Trial[CONTA],$B26)</f>
        <v>0</v>
      </c>
      <c r="M26" s="78">
        <f t="shared" ca="1" si="29"/>
        <v>0</v>
      </c>
      <c r="N26" s="78">
        <f t="shared" ca="1" si="30"/>
        <v>0</v>
      </c>
      <c r="O26" s="4">
        <f ca="1">-SUMIFS(INDIRECT("Tab_000.Trial["&amp;O$4&amp;"]"),Tab_000.Trial[CONTA],$B26)</f>
        <v>0</v>
      </c>
      <c r="P26" s="78">
        <f t="shared" ca="1" si="31"/>
        <v>0</v>
      </c>
      <c r="Q26" s="78">
        <f t="shared" ca="1" si="32"/>
        <v>0</v>
      </c>
      <c r="R26" s="4">
        <f ca="1">-SUMIFS(INDIRECT("Tab_000.Trial["&amp;R$4&amp;"]"),Tab_000.Trial[CONTA],$B26)</f>
        <v>0</v>
      </c>
      <c r="S26" s="78">
        <f t="shared" ca="1" si="33"/>
        <v>0</v>
      </c>
      <c r="T26" s="78">
        <f t="shared" ca="1" si="34"/>
        <v>0</v>
      </c>
      <c r="U26" s="4">
        <f ca="1">-SUMIFS(INDIRECT("Tab_000.Trial["&amp;U$4&amp;"]"),Tab_000.Trial[CONTA],$B26)</f>
        <v>0</v>
      </c>
      <c r="V26" s="78">
        <f t="shared" ca="1" si="35"/>
        <v>0</v>
      </c>
      <c r="W26" s="78">
        <f t="shared" ca="1" si="36"/>
        <v>0</v>
      </c>
      <c r="X26" s="4">
        <f ca="1">-SUMIFS(INDIRECT("Tab_000.Trial["&amp;X$4&amp;"]"),Tab_000.Trial[CONTA],$B26)</f>
        <v>0</v>
      </c>
      <c r="Y26" s="78">
        <f t="shared" ca="1" si="25"/>
        <v>0</v>
      </c>
      <c r="Z26" s="78">
        <f t="shared" ca="1" si="26"/>
        <v>0</v>
      </c>
      <c r="AA26" s="4">
        <f ca="1">-SUMIFS(INDIRECT("Tab_000.Trial["&amp;AA$4&amp;"]"),Tab_000.Trial[CONTA],$B26)</f>
        <v>0</v>
      </c>
      <c r="AB26" s="78">
        <f t="shared" ca="1" si="37"/>
        <v>0</v>
      </c>
      <c r="AC26" s="78">
        <f t="shared" ca="1" si="38"/>
        <v>0</v>
      </c>
      <c r="AD26" s="4">
        <f ca="1">-SUMIFS(INDIRECT("Tab_000.Trial["&amp;AD$4&amp;"]"),Tab_000.Trial[CONTA],$B26)</f>
        <v>0</v>
      </c>
      <c r="AE26" s="78">
        <f t="shared" ca="1" si="39"/>
        <v>0</v>
      </c>
      <c r="AF26" s="78">
        <f t="shared" ca="1" si="40"/>
        <v>0</v>
      </c>
      <c r="AG26" s="4">
        <f ca="1">-SUMIFS(INDIRECT("Tab_000.Trial["&amp;AG$4&amp;"]"),Tab_000.Trial[CONTA],$B26)</f>
        <v>0</v>
      </c>
      <c r="AH26" s="78">
        <f t="shared" ca="1" si="41"/>
        <v>0</v>
      </c>
      <c r="AI26" s="78">
        <f t="shared" ca="1" si="42"/>
        <v>0</v>
      </c>
      <c r="AJ26" s="4">
        <f ca="1">-SUMIFS(INDIRECT("Tab_000.Trial["&amp;AJ$4&amp;"]"),Tab_000.Trial[CONTA],$B26)</f>
        <v>0</v>
      </c>
      <c r="AK26" s="78">
        <f t="shared" ca="1" si="43"/>
        <v>0</v>
      </c>
      <c r="AL26" s="78">
        <f t="shared" ca="1" si="44"/>
        <v>0</v>
      </c>
      <c r="AM26" s="78"/>
    </row>
    <row r="27" spans="2:40" ht="15" customHeight="1" outlineLevel="1" x14ac:dyDescent="0.3">
      <c r="B27" s="14"/>
      <c r="C27" s="14"/>
      <c r="D27" s="4">
        <f ca="1">-SUMIFS(INDIRECT("Tab_000.Trial["&amp;D$4&amp;"]"),Tab_000.Trial[CONTA],$B27)</f>
        <v>0</v>
      </c>
      <c r="E27" s="78">
        <f t="shared" ca="1" si="23"/>
        <v>0</v>
      </c>
      <c r="F27" s="4">
        <f ca="1">-SUMIFS(INDIRECT("Tab_000.Trial["&amp;F$4&amp;"]"),Tab_000.Trial[CONTA],$B27)</f>
        <v>0</v>
      </c>
      <c r="G27" s="78">
        <f t="shared" ca="1" si="45"/>
        <v>0</v>
      </c>
      <c r="H27" s="78">
        <f t="shared" ca="1" si="24"/>
        <v>0</v>
      </c>
      <c r="I27" s="4">
        <f ca="1">-SUMIFS(INDIRECT("Tab_000.Trial["&amp;I$4&amp;"]"),Tab_000.Trial[CONTA],$B27)</f>
        <v>0</v>
      </c>
      <c r="J27" s="78">
        <f t="shared" ca="1" si="27"/>
        <v>0</v>
      </c>
      <c r="K27" s="78">
        <f t="shared" ca="1" si="28"/>
        <v>0</v>
      </c>
      <c r="L27" s="4">
        <f ca="1">-SUMIFS(INDIRECT("Tab_000.Trial["&amp;L$4&amp;"]"),Tab_000.Trial[CONTA],$B27)</f>
        <v>0</v>
      </c>
      <c r="M27" s="78">
        <f t="shared" ca="1" si="29"/>
        <v>0</v>
      </c>
      <c r="N27" s="78">
        <f t="shared" ca="1" si="30"/>
        <v>0</v>
      </c>
      <c r="O27" s="4">
        <f ca="1">-SUMIFS(INDIRECT("Tab_000.Trial["&amp;O$4&amp;"]"),Tab_000.Trial[CONTA],$B27)</f>
        <v>0</v>
      </c>
      <c r="P27" s="78">
        <f t="shared" ca="1" si="31"/>
        <v>0</v>
      </c>
      <c r="Q27" s="78">
        <f t="shared" ca="1" si="32"/>
        <v>0</v>
      </c>
      <c r="R27" s="4">
        <f ca="1">-SUMIFS(INDIRECT("Tab_000.Trial["&amp;R$4&amp;"]"),Tab_000.Trial[CONTA],$B27)</f>
        <v>0</v>
      </c>
      <c r="S27" s="78">
        <f t="shared" ca="1" si="33"/>
        <v>0</v>
      </c>
      <c r="T27" s="78">
        <f t="shared" ca="1" si="34"/>
        <v>0</v>
      </c>
      <c r="U27" s="4">
        <f ca="1">-SUMIFS(INDIRECT("Tab_000.Trial["&amp;U$4&amp;"]"),Tab_000.Trial[CONTA],$B27)</f>
        <v>0</v>
      </c>
      <c r="V27" s="78">
        <f t="shared" ca="1" si="35"/>
        <v>0</v>
      </c>
      <c r="W27" s="78">
        <f t="shared" ca="1" si="36"/>
        <v>0</v>
      </c>
      <c r="X27" s="4">
        <f ca="1">-SUMIFS(INDIRECT("Tab_000.Trial["&amp;X$4&amp;"]"),Tab_000.Trial[CONTA],$B27)</f>
        <v>0</v>
      </c>
      <c r="Y27" s="78">
        <f t="shared" ca="1" si="25"/>
        <v>0</v>
      </c>
      <c r="Z27" s="78">
        <f t="shared" ca="1" si="26"/>
        <v>0</v>
      </c>
      <c r="AA27" s="4">
        <f ca="1">-SUMIFS(INDIRECT("Tab_000.Trial["&amp;AA$4&amp;"]"),Tab_000.Trial[CONTA],$B27)</f>
        <v>0</v>
      </c>
      <c r="AB27" s="78">
        <f t="shared" ca="1" si="37"/>
        <v>0</v>
      </c>
      <c r="AC27" s="78">
        <f t="shared" ca="1" si="38"/>
        <v>0</v>
      </c>
      <c r="AD27" s="4">
        <f ca="1">-SUMIFS(INDIRECT("Tab_000.Trial["&amp;AD$4&amp;"]"),Tab_000.Trial[CONTA],$B27)</f>
        <v>0</v>
      </c>
      <c r="AE27" s="78">
        <f t="shared" ca="1" si="39"/>
        <v>0</v>
      </c>
      <c r="AF27" s="78">
        <f t="shared" ca="1" si="40"/>
        <v>0</v>
      </c>
      <c r="AG27" s="4">
        <f ca="1">-SUMIFS(INDIRECT("Tab_000.Trial["&amp;AG$4&amp;"]"),Tab_000.Trial[CONTA],$B27)</f>
        <v>0</v>
      </c>
      <c r="AH27" s="78">
        <f t="shared" ca="1" si="41"/>
        <v>0</v>
      </c>
      <c r="AI27" s="78">
        <f t="shared" ca="1" si="42"/>
        <v>0</v>
      </c>
      <c r="AJ27" s="4">
        <f ca="1">-SUMIFS(INDIRECT("Tab_000.Trial["&amp;AJ$4&amp;"]"),Tab_000.Trial[CONTA],$B27)</f>
        <v>0</v>
      </c>
      <c r="AK27" s="78">
        <f t="shared" ca="1" si="43"/>
        <v>0</v>
      </c>
      <c r="AL27" s="78">
        <f t="shared" ca="1" si="44"/>
        <v>0</v>
      </c>
    </row>
    <row r="28" spans="2:40" ht="15" customHeight="1" outlineLevel="1" x14ac:dyDescent="0.3">
      <c r="B28" s="14"/>
      <c r="C28" s="14"/>
      <c r="D28" s="4">
        <f ca="1">-SUMIFS(INDIRECT("Tab_000.Trial["&amp;D$4&amp;"]"),Tab_000.Trial[CONTA],$B28)</f>
        <v>0</v>
      </c>
      <c r="E28" s="78">
        <f t="shared" ca="1" si="23"/>
        <v>0</v>
      </c>
      <c r="F28" s="4">
        <f ca="1">-SUMIFS(INDIRECT("Tab_000.Trial["&amp;F$4&amp;"]"),Tab_000.Trial[CONTA],$B28)</f>
        <v>0</v>
      </c>
      <c r="G28" s="78">
        <f t="shared" ca="1" si="45"/>
        <v>0</v>
      </c>
      <c r="H28" s="78">
        <f t="shared" ca="1" si="24"/>
        <v>0</v>
      </c>
      <c r="I28" s="4">
        <f ca="1">-SUMIFS(INDIRECT("Tab_000.Trial["&amp;I$4&amp;"]"),Tab_000.Trial[CONTA],$B28)</f>
        <v>0</v>
      </c>
      <c r="J28" s="78">
        <f t="shared" ca="1" si="27"/>
        <v>0</v>
      </c>
      <c r="K28" s="78">
        <f t="shared" ca="1" si="28"/>
        <v>0</v>
      </c>
      <c r="L28" s="4">
        <f ca="1">-SUMIFS(INDIRECT("Tab_000.Trial["&amp;L$4&amp;"]"),Tab_000.Trial[CONTA],$B28)</f>
        <v>0</v>
      </c>
      <c r="M28" s="78">
        <f t="shared" ca="1" si="29"/>
        <v>0</v>
      </c>
      <c r="N28" s="78">
        <f t="shared" ca="1" si="30"/>
        <v>0</v>
      </c>
      <c r="O28" s="4">
        <f ca="1">-SUMIFS(INDIRECT("Tab_000.Trial["&amp;O$4&amp;"]"),Tab_000.Trial[CONTA],$B28)</f>
        <v>0</v>
      </c>
      <c r="P28" s="78">
        <f t="shared" ca="1" si="31"/>
        <v>0</v>
      </c>
      <c r="Q28" s="78">
        <f t="shared" ca="1" si="32"/>
        <v>0</v>
      </c>
      <c r="R28" s="4">
        <f ca="1">-SUMIFS(INDIRECT("Tab_000.Trial["&amp;R$4&amp;"]"),Tab_000.Trial[CONTA],$B28)</f>
        <v>0</v>
      </c>
      <c r="S28" s="78">
        <f t="shared" ca="1" si="33"/>
        <v>0</v>
      </c>
      <c r="T28" s="78">
        <f t="shared" ca="1" si="34"/>
        <v>0</v>
      </c>
      <c r="U28" s="4">
        <f ca="1">-SUMIFS(INDIRECT("Tab_000.Trial["&amp;U$4&amp;"]"),Tab_000.Trial[CONTA],$B28)</f>
        <v>0</v>
      </c>
      <c r="V28" s="78">
        <f t="shared" ca="1" si="35"/>
        <v>0</v>
      </c>
      <c r="W28" s="78">
        <f t="shared" ca="1" si="36"/>
        <v>0</v>
      </c>
      <c r="X28" s="4">
        <f ca="1">-SUMIFS(INDIRECT("Tab_000.Trial["&amp;X$4&amp;"]"),Tab_000.Trial[CONTA],$B28)</f>
        <v>0</v>
      </c>
      <c r="Y28" s="78">
        <f t="shared" ca="1" si="25"/>
        <v>0</v>
      </c>
      <c r="Z28" s="78">
        <f t="shared" ca="1" si="26"/>
        <v>0</v>
      </c>
      <c r="AA28" s="4">
        <f ca="1">-SUMIFS(INDIRECT("Tab_000.Trial["&amp;AA$4&amp;"]"),Tab_000.Trial[CONTA],$B28)</f>
        <v>0</v>
      </c>
      <c r="AB28" s="78">
        <f t="shared" ca="1" si="37"/>
        <v>0</v>
      </c>
      <c r="AC28" s="78">
        <f t="shared" ca="1" si="38"/>
        <v>0</v>
      </c>
      <c r="AD28" s="4">
        <f ca="1">-SUMIFS(INDIRECT("Tab_000.Trial["&amp;AD$4&amp;"]"),Tab_000.Trial[CONTA],$B28)</f>
        <v>0</v>
      </c>
      <c r="AE28" s="78">
        <f t="shared" ca="1" si="39"/>
        <v>0</v>
      </c>
      <c r="AF28" s="78">
        <f t="shared" ca="1" si="40"/>
        <v>0</v>
      </c>
      <c r="AG28" s="4">
        <f ca="1">-SUMIFS(INDIRECT("Tab_000.Trial["&amp;AG$4&amp;"]"),Tab_000.Trial[CONTA],$B28)</f>
        <v>0</v>
      </c>
      <c r="AH28" s="78">
        <f t="shared" ca="1" si="41"/>
        <v>0</v>
      </c>
      <c r="AI28" s="78">
        <f t="shared" ca="1" si="42"/>
        <v>0</v>
      </c>
      <c r="AJ28" s="4">
        <f ca="1">-SUMIFS(INDIRECT("Tab_000.Trial["&amp;AJ$4&amp;"]"),Tab_000.Trial[CONTA],$B28)</f>
        <v>0</v>
      </c>
      <c r="AK28" s="78">
        <f t="shared" ca="1" si="43"/>
        <v>0</v>
      </c>
      <c r="AL28" s="78">
        <f t="shared" ca="1" si="44"/>
        <v>0</v>
      </c>
    </row>
    <row r="29" spans="2:40" ht="15" customHeight="1" outlineLevel="1" x14ac:dyDescent="0.3">
      <c r="B29" s="14"/>
      <c r="C29" s="14"/>
      <c r="D29" s="4">
        <f ca="1">-SUMIFS(INDIRECT("Tab_000.Trial["&amp;D$4&amp;"]"),Tab_000.Trial[CONTA],$B29)</f>
        <v>0</v>
      </c>
      <c r="E29" s="78">
        <f t="shared" ca="1" si="23"/>
        <v>0</v>
      </c>
      <c r="F29" s="4">
        <f ca="1">-SUMIFS(INDIRECT("Tab_000.Trial["&amp;F$4&amp;"]"),Tab_000.Trial[CONTA],$B29)</f>
        <v>0</v>
      </c>
      <c r="G29" s="78">
        <f t="shared" ca="1" si="45"/>
        <v>0</v>
      </c>
      <c r="H29" s="78">
        <f t="shared" ca="1" si="24"/>
        <v>0</v>
      </c>
      <c r="I29" s="4">
        <f ca="1">-SUMIFS(INDIRECT("Tab_000.Trial["&amp;I$4&amp;"]"),Tab_000.Trial[CONTA],$B29)</f>
        <v>0</v>
      </c>
      <c r="J29" s="78">
        <f t="shared" ca="1" si="27"/>
        <v>0</v>
      </c>
      <c r="K29" s="78">
        <f t="shared" ca="1" si="28"/>
        <v>0</v>
      </c>
      <c r="L29" s="4">
        <f ca="1">-SUMIFS(INDIRECT("Tab_000.Trial["&amp;L$4&amp;"]"),Tab_000.Trial[CONTA],$B29)</f>
        <v>0</v>
      </c>
      <c r="M29" s="78">
        <f t="shared" ca="1" si="29"/>
        <v>0</v>
      </c>
      <c r="N29" s="78">
        <f t="shared" ca="1" si="30"/>
        <v>0</v>
      </c>
      <c r="O29" s="4">
        <f ca="1">-SUMIFS(INDIRECT("Tab_000.Trial["&amp;O$4&amp;"]"),Tab_000.Trial[CONTA],$B29)</f>
        <v>0</v>
      </c>
      <c r="P29" s="78">
        <f t="shared" ca="1" si="31"/>
        <v>0</v>
      </c>
      <c r="Q29" s="78">
        <f t="shared" ca="1" si="32"/>
        <v>0</v>
      </c>
      <c r="R29" s="4">
        <f ca="1">-SUMIFS(INDIRECT("Tab_000.Trial["&amp;R$4&amp;"]"),Tab_000.Trial[CONTA],$B29)</f>
        <v>0</v>
      </c>
      <c r="S29" s="78">
        <f t="shared" ca="1" si="33"/>
        <v>0</v>
      </c>
      <c r="T29" s="78">
        <f t="shared" ca="1" si="34"/>
        <v>0</v>
      </c>
      <c r="U29" s="4">
        <f ca="1">-SUMIFS(INDIRECT("Tab_000.Trial["&amp;U$4&amp;"]"),Tab_000.Trial[CONTA],$B29)</f>
        <v>0</v>
      </c>
      <c r="V29" s="78">
        <f t="shared" ca="1" si="35"/>
        <v>0</v>
      </c>
      <c r="W29" s="78">
        <f t="shared" ca="1" si="36"/>
        <v>0</v>
      </c>
      <c r="X29" s="4">
        <f ca="1">-SUMIFS(INDIRECT("Tab_000.Trial["&amp;X$4&amp;"]"),Tab_000.Trial[CONTA],$B29)</f>
        <v>0</v>
      </c>
      <c r="Y29" s="78">
        <f t="shared" ca="1" si="25"/>
        <v>0</v>
      </c>
      <c r="Z29" s="78">
        <f t="shared" ca="1" si="26"/>
        <v>0</v>
      </c>
      <c r="AA29" s="4">
        <f ca="1">-SUMIFS(INDIRECT("Tab_000.Trial["&amp;AA$4&amp;"]"),Tab_000.Trial[CONTA],$B29)</f>
        <v>0</v>
      </c>
      <c r="AB29" s="78">
        <f t="shared" ca="1" si="37"/>
        <v>0</v>
      </c>
      <c r="AC29" s="78">
        <f t="shared" ca="1" si="38"/>
        <v>0</v>
      </c>
      <c r="AD29" s="4">
        <f ca="1">-SUMIFS(INDIRECT("Tab_000.Trial["&amp;AD$4&amp;"]"),Tab_000.Trial[CONTA],$B29)</f>
        <v>0</v>
      </c>
      <c r="AE29" s="78">
        <f t="shared" ca="1" si="39"/>
        <v>0</v>
      </c>
      <c r="AF29" s="78">
        <f t="shared" ca="1" si="40"/>
        <v>0</v>
      </c>
      <c r="AG29" s="4">
        <f ca="1">-SUMIFS(INDIRECT("Tab_000.Trial["&amp;AG$4&amp;"]"),Tab_000.Trial[CONTA],$B29)</f>
        <v>0</v>
      </c>
      <c r="AH29" s="78">
        <f t="shared" ca="1" si="41"/>
        <v>0</v>
      </c>
      <c r="AI29" s="78">
        <f t="shared" ca="1" si="42"/>
        <v>0</v>
      </c>
      <c r="AJ29" s="4">
        <f ca="1">-SUMIFS(INDIRECT("Tab_000.Trial["&amp;AJ$4&amp;"]"),Tab_000.Trial[CONTA],$B29)</f>
        <v>0</v>
      </c>
      <c r="AK29" s="78">
        <f t="shared" ca="1" si="43"/>
        <v>0</v>
      </c>
      <c r="AL29" s="78">
        <f t="shared" ca="1" si="44"/>
        <v>0</v>
      </c>
    </row>
    <row r="30" spans="2:40" ht="5.0999999999999996" customHeight="1" outlineLevel="1" x14ac:dyDescent="0.3">
      <c r="B30" s="74"/>
      <c r="C30" s="75"/>
      <c r="D30" s="76"/>
      <c r="E30" s="77"/>
      <c r="F30" s="76"/>
      <c r="G30" s="77"/>
      <c r="H30" s="77"/>
      <c r="I30" s="76"/>
      <c r="J30" s="77"/>
      <c r="K30" s="77"/>
      <c r="L30" s="76"/>
      <c r="M30" s="77"/>
      <c r="N30" s="77"/>
      <c r="O30" s="76"/>
      <c r="P30" s="77"/>
      <c r="Q30" s="77"/>
      <c r="R30" s="76"/>
      <c r="S30" s="77"/>
      <c r="T30" s="77"/>
      <c r="U30" s="76"/>
      <c r="V30" s="77"/>
      <c r="W30" s="77"/>
      <c r="X30" s="76"/>
      <c r="Y30" s="77"/>
      <c r="Z30" s="77"/>
      <c r="AA30" s="76"/>
      <c r="AB30" s="77"/>
      <c r="AC30" s="77"/>
      <c r="AD30" s="76"/>
      <c r="AE30" s="77"/>
      <c r="AF30" s="77"/>
      <c r="AG30" s="76"/>
      <c r="AH30" s="77"/>
      <c r="AI30" s="77"/>
      <c r="AJ30" s="76"/>
      <c r="AK30" s="77"/>
      <c r="AL30" s="77"/>
    </row>
    <row r="31" spans="2:40" ht="5.0999999999999996" customHeight="1" x14ac:dyDescent="0.3"/>
    <row r="32" spans="2:40" ht="15" customHeight="1" x14ac:dyDescent="0.3">
      <c r="C32" s="17" t="s">
        <v>151</v>
      </c>
      <c r="D32" s="16">
        <f ca="1">SUBTOTAL(9,D$5:D$31)</f>
        <v>933250.2</v>
      </c>
      <c r="E32" s="80">
        <f ca="1">IFERROR($D32/$D$6,0)</f>
        <v>1</v>
      </c>
      <c r="F32" s="16">
        <f ca="1">SUBTOTAL(9,F$5:F$31)</f>
        <v>524610.84</v>
      </c>
      <c r="G32" s="80">
        <f ca="1">IFERROR($F32/$F$6,0)</f>
        <v>1</v>
      </c>
      <c r="H32" s="80">
        <f ca="1">IFERROR(($F32-$D32)/ABS($D32),0)</f>
        <v>-0.43790000000000001</v>
      </c>
      <c r="I32" s="16">
        <f ca="1">SUBTOTAL(9,I$5:I$31)</f>
        <v>1038172.34</v>
      </c>
      <c r="J32" s="80">
        <f ca="1">IFERROR($I32/$I$6,0)</f>
        <v>1</v>
      </c>
      <c r="K32" s="80">
        <f t="shared" ref="K32" ca="1" si="46">IFERROR(($I32-$F32)/ABS($F32),0)</f>
        <v>0.97889999999999999</v>
      </c>
      <c r="L32" s="16">
        <f ca="1">SUBTOTAL(9,L$5:L$31)</f>
        <v>1001169.45</v>
      </c>
      <c r="M32" s="80">
        <f ca="1">IFERROR($L32/$L$6,0)</f>
        <v>1</v>
      </c>
      <c r="N32" s="80">
        <f t="shared" ref="N32" ca="1" si="47">IFERROR(($L32-$I32)/ABS($I32),0)</f>
        <v>-3.56E-2</v>
      </c>
      <c r="O32" s="16">
        <f ca="1">SUBTOTAL(9,O$5:O$31)</f>
        <v>1201105.67</v>
      </c>
      <c r="P32" s="80">
        <f ca="1">IFERROR($O32/$O$6,0)</f>
        <v>1</v>
      </c>
      <c r="Q32" s="80">
        <f t="shared" ref="Q32" ca="1" si="48">IFERROR(($O32-$L32)/ABS($L32),0)</f>
        <v>0.19969999999999999</v>
      </c>
      <c r="R32" s="16">
        <f ca="1">SUBTOTAL(9,R$5:R$31)</f>
        <v>1059340.3600000001</v>
      </c>
      <c r="S32" s="80">
        <f ca="1">IFERROR($R32/$R$6,0)</f>
        <v>1</v>
      </c>
      <c r="T32" s="80">
        <f t="shared" ref="T32" ca="1" si="49">IFERROR(($R32-$O32)/ABS($O32),0)</f>
        <v>-0.11799999999999999</v>
      </c>
      <c r="U32" s="16">
        <f ca="1">SUBTOTAL(9,U$5:U$31)</f>
        <v>1059340.3600000001</v>
      </c>
      <c r="V32" s="80">
        <f ca="1">IFERROR($U32/$U$6,0)</f>
        <v>1</v>
      </c>
      <c r="W32" s="80">
        <f t="shared" ref="W32" ca="1" si="50">IFERROR(($U32-$R32)/ABS($R32),0)</f>
        <v>0</v>
      </c>
      <c r="X32" s="16">
        <f ca="1">SUBTOTAL(9,X$5:X$31)</f>
        <v>1059340.3600000001</v>
      </c>
      <c r="Y32" s="80">
        <f ca="1">IFERROR($X32/$X$6,0)</f>
        <v>1</v>
      </c>
      <c r="Z32" s="80">
        <f t="shared" ref="Z32" ca="1" si="51">IFERROR(($X32-$U32)/ABS($U32),0)</f>
        <v>0</v>
      </c>
      <c r="AA32" s="16">
        <f ca="1">SUBTOTAL(9,AA$5:AA$31)</f>
        <v>955827.24</v>
      </c>
      <c r="AB32" s="80">
        <f ca="1">IFERROR($AA32/$AA$6,0)</f>
        <v>0.98750000000000004</v>
      </c>
      <c r="AC32" s="80">
        <f t="shared" ref="AC32" ca="1" si="52">IFERROR(($AA32-$X32)/ABS($X32),0)</f>
        <v>-9.7699999999999995E-2</v>
      </c>
      <c r="AD32" s="16">
        <f ca="1">SUBTOTAL(9,AD$5:AD$31)</f>
        <v>1224812.8700000001</v>
      </c>
      <c r="AE32" s="80">
        <f ca="1">IFERROR($AD32/$AD$6,0)</f>
        <v>1</v>
      </c>
      <c r="AF32" s="80">
        <f t="shared" ref="AF32" ca="1" si="53">IFERROR(($AD32-$AA32)/ABS($AA32),0)</f>
        <v>0.28139999999999998</v>
      </c>
      <c r="AG32" s="16">
        <f ca="1">SUBTOTAL(9,AG$5:AG$31)</f>
        <v>901704.15</v>
      </c>
      <c r="AH32" s="80">
        <f ca="1">IFERROR($AG32/$AG$6,0)</f>
        <v>0.99790000000000001</v>
      </c>
      <c r="AI32" s="80">
        <f t="shared" ref="AI32" ca="1" si="54">IFERROR(($AG32-$AD32)/ABS($AD32),0)</f>
        <v>-0.26379999999999998</v>
      </c>
      <c r="AJ32" s="16">
        <f ca="1">SUBTOTAL(9,AJ$5:AJ$31)</f>
        <v>1473831.54</v>
      </c>
      <c r="AK32" s="80">
        <f ca="1">IFERROR($AJ32/$AJ$6,0)</f>
        <v>0.99980000000000002</v>
      </c>
      <c r="AL32" s="80">
        <f t="shared" ref="AL32" ca="1" si="55">IFERROR(($AJ32-$AG32)/ABS($AG32),0)</f>
        <v>0.63449999999999995</v>
      </c>
    </row>
    <row r="33" spans="2:39" ht="5.0999999999999996" customHeight="1" x14ac:dyDescent="0.3"/>
    <row r="34" spans="2:39" ht="18.75" customHeight="1" x14ac:dyDescent="0.3">
      <c r="C34" s="17" t="s">
        <v>152</v>
      </c>
    </row>
    <row r="35" spans="2:39" ht="15" customHeight="1" collapsed="1" x14ac:dyDescent="0.3">
      <c r="B35" s="3" t="s">
        <v>103</v>
      </c>
      <c r="C35" s="1" t="s">
        <v>153</v>
      </c>
      <c r="D35" s="4">
        <f ca="1">SUBTOTAL(9,D$36:D$52)</f>
        <v>-890872.91</v>
      </c>
      <c r="E35" s="78">
        <f t="shared" ref="E35:E51" ca="1" si="56">IFERROR($D35/$D$6,0)</f>
        <v>-0.9546</v>
      </c>
      <c r="F35" s="4">
        <f ca="1">SUBTOTAL(9,F$36:F$52)</f>
        <v>-207282.28</v>
      </c>
      <c r="G35" s="78">
        <f t="shared" ref="G35:G51" ca="1" si="57">IFERROR($F35/$F$6,0)</f>
        <v>-0.39510000000000001</v>
      </c>
      <c r="H35" s="78">
        <f t="shared" ref="H35:H51" ca="1" si="58">IFERROR(($F35-$D35)/ABS($D35),0)</f>
        <v>0.76729999999999998</v>
      </c>
      <c r="I35" s="4">
        <f ca="1">SUBTOTAL(9,I$36:I$52)</f>
        <v>-438094.15</v>
      </c>
      <c r="J35" s="78">
        <f t="shared" ref="J35:J51" ca="1" si="59">IFERROR($I35/$I$6,0)</f>
        <v>-0.42199999999999999</v>
      </c>
      <c r="K35" s="78">
        <f t="shared" ref="K35:K51" ca="1" si="60">IFERROR(($I35-$F35)/ABS($F35),0)</f>
        <v>-1.1134999999999999</v>
      </c>
      <c r="L35" s="4">
        <f ca="1">SUBTOTAL(9,L$36:L$52)</f>
        <v>-699144.15</v>
      </c>
      <c r="M35" s="78">
        <f t="shared" ref="M35:M51" ca="1" si="61">IFERROR($L35/$L$6,0)</f>
        <v>-0.69830000000000003</v>
      </c>
      <c r="N35" s="78">
        <f t="shared" ref="N35:N51" ca="1" si="62">IFERROR(($L35-$I35)/ABS($I35),0)</f>
        <v>-0.59589999999999999</v>
      </c>
      <c r="O35" s="4">
        <f ca="1">SUBTOTAL(9,O$36:O$52)</f>
        <v>-721099.43</v>
      </c>
      <c r="P35" s="78">
        <f t="shared" ref="P35:P51" ca="1" si="63">IFERROR($O35/$O$6,0)</f>
        <v>-0.60040000000000004</v>
      </c>
      <c r="Q35" s="78">
        <f t="shared" ref="Q35:Q51" ca="1" si="64">IFERROR(($O35-$L35)/ABS($L35),0)</f>
        <v>-3.1399999999999997E-2</v>
      </c>
      <c r="R35" s="4">
        <f ca="1">SUBTOTAL(9,R$36:R$52)</f>
        <v>-736710.83</v>
      </c>
      <c r="S35" s="78">
        <f t="shared" ref="S35:S51" ca="1" si="65">IFERROR($R35/$R$6,0)</f>
        <v>-0.69540000000000002</v>
      </c>
      <c r="T35" s="78">
        <f t="shared" ref="T35:T51" ca="1" si="66">IFERROR(($R35-$O35)/ABS($O35),0)</f>
        <v>-2.1600000000000001E-2</v>
      </c>
      <c r="U35" s="4">
        <f ca="1">SUBTOTAL(9,U$36:U$52)</f>
        <v>-736710.83</v>
      </c>
      <c r="V35" s="78">
        <f ca="1">IFERROR($U35/$U$6,0)</f>
        <v>-0.69540000000000002</v>
      </c>
      <c r="W35" s="78">
        <f t="shared" ref="W35:W51" ca="1" si="67">IFERROR(($U35-$R35)/ABS($R35),0)</f>
        <v>0</v>
      </c>
      <c r="X35" s="4">
        <f ca="1">SUBTOTAL(9,X$36:X$52)</f>
        <v>-736710.83</v>
      </c>
      <c r="Y35" s="78">
        <f t="shared" ref="Y35:Y51" ca="1" si="68">IFERROR($X35/$X$6,0)</f>
        <v>-0.69540000000000002</v>
      </c>
      <c r="Z35" s="78">
        <f t="shared" ref="Z35:Z51" ca="1" si="69">IFERROR(($X35-$U35)/ABS($U35),0)</f>
        <v>0</v>
      </c>
      <c r="AA35" s="4">
        <f ca="1">SUBTOTAL(9,AA$36:AA$52)</f>
        <v>-611117.25</v>
      </c>
      <c r="AB35" s="78">
        <f t="shared" ref="AB35:AB51" ca="1" si="70">IFERROR($AA35/$AA$6,0)</f>
        <v>-0.63139999999999996</v>
      </c>
      <c r="AC35" s="78">
        <f t="shared" ref="AC35:AC51" ca="1" si="71">IFERROR(($AA35-$X35)/ABS($X35),0)</f>
        <v>0.17050000000000001</v>
      </c>
      <c r="AD35" s="4">
        <f ca="1">SUBTOTAL(9,AD$36:AD$52)</f>
        <v>-840074.84</v>
      </c>
      <c r="AE35" s="78">
        <f t="shared" ref="AE35:AE51" ca="1" si="72">IFERROR($AD35/$AD$6,0)</f>
        <v>-0.68589999999999995</v>
      </c>
      <c r="AF35" s="78">
        <f t="shared" ref="AF35:AF51" ca="1" si="73">IFERROR(($AD35-$AA35)/ABS($AA35),0)</f>
        <v>-0.37469999999999998</v>
      </c>
      <c r="AG35" s="4">
        <f ca="1">SUBTOTAL(9,AG$36:AG$52)</f>
        <v>-343701.9</v>
      </c>
      <c r="AH35" s="78">
        <f t="shared" ref="AH35:AH51" ca="1" si="74">IFERROR($AG35/$AG$6,0)</f>
        <v>-0.38040000000000002</v>
      </c>
      <c r="AI35" s="78">
        <f t="shared" ref="AI35:AI51" ca="1" si="75">IFERROR(($AG35-$AD35)/ABS($AD35),0)</f>
        <v>0.59089999999999998</v>
      </c>
      <c r="AJ35" s="4">
        <f ca="1">SUBTOTAL(9,AJ$36:AJ$52)</f>
        <v>-1484675.58</v>
      </c>
      <c r="AK35" s="78">
        <f t="shared" ref="AK35:AK51" ca="1" si="76">IFERROR($AJ35/$AJ$6,0)</f>
        <v>-1.0072000000000001</v>
      </c>
      <c r="AL35" s="78">
        <f t="shared" ref="AL35:AL51" ca="1" si="77">IFERROR(($AJ35-$AG35)/ABS($AG35),0)</f>
        <v>-3.3197000000000001</v>
      </c>
    </row>
    <row r="36" spans="2:39" ht="15" hidden="1" customHeight="1" outlineLevel="1" x14ac:dyDescent="0.3">
      <c r="B36" s="14" t="s">
        <v>397</v>
      </c>
      <c r="C36" s="14" t="s">
        <v>398</v>
      </c>
      <c r="D36" s="4">
        <f ca="1">-SUMIFS(INDIRECT("Tab_000.Trial["&amp;D$4&amp;"]"),Tab_000.Trial[CONTA],$B36)</f>
        <v>-2235.4699999999998</v>
      </c>
      <c r="E36" s="78">
        <f t="shared" ca="1" si="56"/>
        <v>-2.3999999999999998E-3</v>
      </c>
      <c r="F36" s="4">
        <f ca="1">-SUMIFS(INDIRECT("Tab_000.Trial["&amp;F$4&amp;"]"),Tab_000.Trial[CONTA],$B36)</f>
        <v>0</v>
      </c>
      <c r="G36" s="78">
        <f t="shared" ca="1" si="57"/>
        <v>0</v>
      </c>
      <c r="H36" s="78">
        <f t="shared" ca="1" si="58"/>
        <v>1</v>
      </c>
      <c r="I36" s="4">
        <f ca="1">-SUMIFS(INDIRECT("Tab_000.Trial["&amp;I$4&amp;"]"),Tab_000.Trial[CONTA],$B36)</f>
        <v>-3552.79</v>
      </c>
      <c r="J36" s="78">
        <f t="shared" ca="1" si="59"/>
        <v>-3.3999999999999998E-3</v>
      </c>
      <c r="K36" s="78">
        <f t="shared" ca="1" si="60"/>
        <v>0</v>
      </c>
      <c r="L36" s="4">
        <f ca="1">-SUMIFS(INDIRECT("Tab_000.Trial["&amp;L$4&amp;"]"),Tab_000.Trial[CONTA],$B36)</f>
        <v>-590.51</v>
      </c>
      <c r="M36" s="78">
        <f t="shared" ca="1" si="61"/>
        <v>-5.9999999999999995E-4</v>
      </c>
      <c r="N36" s="78">
        <f t="shared" ca="1" si="62"/>
        <v>0.83379999999999999</v>
      </c>
      <c r="O36" s="4">
        <f ca="1">-SUMIFS(INDIRECT("Tab_000.Trial["&amp;O$4&amp;"]"),Tab_000.Trial[CONTA],$B36)</f>
        <v>0</v>
      </c>
      <c r="P36" s="78">
        <f t="shared" ca="1" si="63"/>
        <v>0</v>
      </c>
      <c r="Q36" s="78">
        <f t="shared" ca="1" si="64"/>
        <v>1</v>
      </c>
      <c r="R36" s="4">
        <f ca="1">-SUMIFS(INDIRECT("Tab_000.Trial["&amp;R$4&amp;"]"),Tab_000.Trial[CONTA],$B36)</f>
        <v>-1711.6</v>
      </c>
      <c r="S36" s="78">
        <f t="shared" ca="1" si="65"/>
        <v>-1.6000000000000001E-3</v>
      </c>
      <c r="T36" s="78">
        <f t="shared" ca="1" si="66"/>
        <v>0</v>
      </c>
      <c r="U36" s="4">
        <f ca="1">-SUMIFS(INDIRECT("Tab_000.Trial["&amp;U$4&amp;"]"),Tab_000.Trial[CONTA],$B36)</f>
        <v>-1711.6</v>
      </c>
      <c r="V36" s="78">
        <f t="shared" ref="V36:V51" ca="1" si="78">IFERROR($U36/$U$6,0)</f>
        <v>-1.6000000000000001E-3</v>
      </c>
      <c r="W36" s="78">
        <f t="shared" ca="1" si="67"/>
        <v>0</v>
      </c>
      <c r="X36" s="4">
        <f ca="1">-SUMIFS(INDIRECT("Tab_000.Trial["&amp;X$4&amp;"]"),Tab_000.Trial[CONTA],$B36)</f>
        <v>-1711.6</v>
      </c>
      <c r="Y36" s="78">
        <f t="shared" ca="1" si="68"/>
        <v>-1.6000000000000001E-3</v>
      </c>
      <c r="Z36" s="78">
        <f t="shared" ca="1" si="69"/>
        <v>0</v>
      </c>
      <c r="AA36" s="4">
        <f ca="1">-SUMIFS(INDIRECT("Tab_000.Trial["&amp;AA$4&amp;"]"),Tab_000.Trial[CONTA],$B36)</f>
        <v>-25.49</v>
      </c>
      <c r="AB36" s="78">
        <f t="shared" ca="1" si="70"/>
        <v>0</v>
      </c>
      <c r="AC36" s="78">
        <f t="shared" ca="1" si="71"/>
        <v>0.98509999999999998</v>
      </c>
      <c r="AD36" s="4">
        <f ca="1">-SUMIFS(INDIRECT("Tab_000.Trial["&amp;AD$4&amp;"]"),Tab_000.Trial[CONTA],$B36)</f>
        <v>-1148.25</v>
      </c>
      <c r="AE36" s="78">
        <f t="shared" ca="1" si="72"/>
        <v>-8.9999999999999998E-4</v>
      </c>
      <c r="AF36" s="78">
        <f t="shared" ca="1" si="73"/>
        <v>-44.0471</v>
      </c>
      <c r="AG36" s="4">
        <f ca="1">-SUMIFS(INDIRECT("Tab_000.Trial["&amp;AG$4&amp;"]"),Tab_000.Trial[CONTA],$B36)</f>
        <v>0</v>
      </c>
      <c r="AH36" s="78">
        <f t="shared" ca="1" si="74"/>
        <v>0</v>
      </c>
      <c r="AI36" s="78">
        <f t="shared" ca="1" si="75"/>
        <v>1</v>
      </c>
      <c r="AJ36" s="4">
        <f ca="1">-SUMIFS(INDIRECT("Tab_000.Trial["&amp;AJ$4&amp;"]"),Tab_000.Trial[CONTA],$B36)</f>
        <v>-1359.52</v>
      </c>
      <c r="AK36" s="78">
        <f t="shared" ca="1" si="76"/>
        <v>-8.9999999999999998E-4</v>
      </c>
      <c r="AL36" s="78">
        <f t="shared" ca="1" si="77"/>
        <v>0</v>
      </c>
      <c r="AM36" s="178" t="s">
        <v>764</v>
      </c>
    </row>
    <row r="37" spans="2:39" ht="15" hidden="1" customHeight="1" outlineLevel="1" x14ac:dyDescent="0.3">
      <c r="B37" s="14" t="s">
        <v>399</v>
      </c>
      <c r="C37" s="14" t="s">
        <v>400</v>
      </c>
      <c r="D37" s="4">
        <f ca="1">-SUMIFS(INDIRECT("Tab_000.Trial["&amp;D$4&amp;"]"),Tab_000.Trial[CONTA],$B37)</f>
        <v>0</v>
      </c>
      <c r="E37" s="78">
        <f t="shared" ca="1" si="56"/>
        <v>0</v>
      </c>
      <c r="F37" s="4">
        <f ca="1">-SUMIFS(INDIRECT("Tab_000.Trial["&amp;F$4&amp;"]"),Tab_000.Trial[CONTA],$B37)</f>
        <v>0</v>
      </c>
      <c r="G37" s="78">
        <f t="shared" ca="1" si="57"/>
        <v>0</v>
      </c>
      <c r="H37" s="78">
        <f t="shared" ca="1" si="58"/>
        <v>0</v>
      </c>
      <c r="I37" s="4">
        <f ca="1">-SUMIFS(INDIRECT("Tab_000.Trial["&amp;I$4&amp;"]"),Tab_000.Trial[CONTA],$B37)</f>
        <v>0</v>
      </c>
      <c r="J37" s="78">
        <f t="shared" ca="1" si="59"/>
        <v>0</v>
      </c>
      <c r="K37" s="78">
        <f t="shared" ca="1" si="60"/>
        <v>0</v>
      </c>
      <c r="L37" s="4">
        <f ca="1">-SUMIFS(INDIRECT("Tab_000.Trial["&amp;L$4&amp;"]"),Tab_000.Trial[CONTA],$B37)</f>
        <v>0</v>
      </c>
      <c r="M37" s="78">
        <f t="shared" ca="1" si="61"/>
        <v>0</v>
      </c>
      <c r="N37" s="78">
        <f t="shared" ca="1" si="62"/>
        <v>0</v>
      </c>
      <c r="O37" s="4">
        <f ca="1">-SUMIFS(INDIRECT("Tab_000.Trial["&amp;O$4&amp;"]"),Tab_000.Trial[CONTA],$B37)</f>
        <v>0</v>
      </c>
      <c r="P37" s="78">
        <f t="shared" ca="1" si="63"/>
        <v>0</v>
      </c>
      <c r="Q37" s="78">
        <f t="shared" ca="1" si="64"/>
        <v>0</v>
      </c>
      <c r="R37" s="4">
        <f ca="1">-SUMIFS(INDIRECT("Tab_000.Trial["&amp;R$4&amp;"]"),Tab_000.Trial[CONTA],$B37)</f>
        <v>0</v>
      </c>
      <c r="S37" s="78">
        <f t="shared" ca="1" si="65"/>
        <v>0</v>
      </c>
      <c r="T37" s="78">
        <f t="shared" ca="1" si="66"/>
        <v>0</v>
      </c>
      <c r="U37" s="4">
        <f ca="1">-SUMIFS(INDIRECT("Tab_000.Trial["&amp;U$4&amp;"]"),Tab_000.Trial[CONTA],$B37)</f>
        <v>0</v>
      </c>
      <c r="V37" s="78">
        <f t="shared" ca="1" si="78"/>
        <v>0</v>
      </c>
      <c r="W37" s="78">
        <f t="shared" ca="1" si="67"/>
        <v>0</v>
      </c>
      <c r="X37" s="4">
        <f ca="1">-SUMIFS(INDIRECT("Tab_000.Trial["&amp;X$4&amp;"]"),Tab_000.Trial[CONTA],$B37)</f>
        <v>0</v>
      </c>
      <c r="Y37" s="78">
        <f t="shared" ca="1" si="68"/>
        <v>0</v>
      </c>
      <c r="Z37" s="78">
        <f t="shared" ca="1" si="69"/>
        <v>0</v>
      </c>
      <c r="AA37" s="4">
        <f ca="1">-SUMIFS(INDIRECT("Tab_000.Trial["&amp;AA$4&amp;"]"),Tab_000.Trial[CONTA],$B37)</f>
        <v>-593.83000000000004</v>
      </c>
      <c r="AB37" s="78">
        <f t="shared" ca="1" si="70"/>
        <v>-5.9999999999999995E-4</v>
      </c>
      <c r="AC37" s="78">
        <f t="shared" ca="1" si="71"/>
        <v>0</v>
      </c>
      <c r="AD37" s="4">
        <f ca="1">-SUMIFS(INDIRECT("Tab_000.Trial["&amp;AD$4&amp;"]"),Tab_000.Trial[CONTA],$B37)</f>
        <v>-1037.8</v>
      </c>
      <c r="AE37" s="78">
        <f t="shared" ca="1" si="72"/>
        <v>-8.0000000000000004E-4</v>
      </c>
      <c r="AF37" s="78">
        <f t="shared" ca="1" si="73"/>
        <v>-0.74760000000000004</v>
      </c>
      <c r="AG37" s="4">
        <f ca="1">-SUMIFS(INDIRECT("Tab_000.Trial["&amp;AG$4&amp;"]"),Tab_000.Trial[CONTA],$B37)</f>
        <v>0</v>
      </c>
      <c r="AH37" s="78">
        <f t="shared" ca="1" si="74"/>
        <v>0</v>
      </c>
      <c r="AI37" s="78">
        <f t="shared" ca="1" si="75"/>
        <v>1</v>
      </c>
      <c r="AJ37" s="4">
        <f ca="1">-SUMIFS(INDIRECT("Tab_000.Trial["&amp;AJ$4&amp;"]"),Tab_000.Trial[CONTA],$B37)</f>
        <v>0</v>
      </c>
      <c r="AK37" s="78">
        <f t="shared" ca="1" si="76"/>
        <v>0</v>
      </c>
      <c r="AL37" s="78">
        <f t="shared" ca="1" si="77"/>
        <v>0</v>
      </c>
      <c r="AM37" s="178"/>
    </row>
    <row r="38" spans="2:39" ht="15" hidden="1" customHeight="1" outlineLevel="1" x14ac:dyDescent="0.3">
      <c r="B38" s="14" t="s">
        <v>401</v>
      </c>
      <c r="C38" s="14" t="s">
        <v>402</v>
      </c>
      <c r="D38" s="4">
        <f ca="1">-SUMIFS(INDIRECT("Tab_000.Trial["&amp;D$4&amp;"]"),Tab_000.Trial[CONTA],$B38)</f>
        <v>0</v>
      </c>
      <c r="E38" s="78">
        <f t="shared" ca="1" si="56"/>
        <v>0</v>
      </c>
      <c r="F38" s="4">
        <f ca="1">-SUMIFS(INDIRECT("Tab_000.Trial["&amp;F$4&amp;"]"),Tab_000.Trial[CONTA],$B38)</f>
        <v>0</v>
      </c>
      <c r="G38" s="78">
        <f t="shared" ca="1" si="57"/>
        <v>0</v>
      </c>
      <c r="H38" s="78">
        <f t="shared" ca="1" si="58"/>
        <v>0</v>
      </c>
      <c r="I38" s="4">
        <f ca="1">-SUMIFS(INDIRECT("Tab_000.Trial["&amp;I$4&amp;"]"),Tab_000.Trial[CONTA],$B38)</f>
        <v>0</v>
      </c>
      <c r="J38" s="78">
        <f t="shared" ca="1" si="59"/>
        <v>0</v>
      </c>
      <c r="K38" s="78">
        <f t="shared" ca="1" si="60"/>
        <v>0</v>
      </c>
      <c r="L38" s="4">
        <f ca="1">-SUMIFS(INDIRECT("Tab_000.Trial["&amp;L$4&amp;"]"),Tab_000.Trial[CONTA],$B38)</f>
        <v>0</v>
      </c>
      <c r="M38" s="78">
        <f t="shared" ca="1" si="61"/>
        <v>0</v>
      </c>
      <c r="N38" s="78">
        <f t="shared" ca="1" si="62"/>
        <v>0</v>
      </c>
      <c r="O38" s="4">
        <f ca="1">-SUMIFS(INDIRECT("Tab_000.Trial["&amp;O$4&amp;"]"),Tab_000.Trial[CONTA],$B38)</f>
        <v>0</v>
      </c>
      <c r="P38" s="78">
        <f t="shared" ca="1" si="63"/>
        <v>0</v>
      </c>
      <c r="Q38" s="78">
        <f t="shared" ca="1" si="64"/>
        <v>0</v>
      </c>
      <c r="R38" s="4">
        <f ca="1">-SUMIFS(INDIRECT("Tab_000.Trial["&amp;R$4&amp;"]"),Tab_000.Trial[CONTA],$B38)</f>
        <v>0</v>
      </c>
      <c r="S38" s="78">
        <f t="shared" ca="1" si="65"/>
        <v>0</v>
      </c>
      <c r="T38" s="78">
        <f t="shared" ca="1" si="66"/>
        <v>0</v>
      </c>
      <c r="U38" s="4">
        <f ca="1">-SUMIFS(INDIRECT("Tab_000.Trial["&amp;U$4&amp;"]"),Tab_000.Trial[CONTA],$B38)</f>
        <v>0</v>
      </c>
      <c r="V38" s="78">
        <f t="shared" ca="1" si="78"/>
        <v>0</v>
      </c>
      <c r="W38" s="78">
        <f t="shared" ca="1" si="67"/>
        <v>0</v>
      </c>
      <c r="X38" s="4">
        <f ca="1">-SUMIFS(INDIRECT("Tab_000.Trial["&amp;X$4&amp;"]"),Tab_000.Trial[CONTA],$B38)</f>
        <v>0</v>
      </c>
      <c r="Y38" s="78">
        <f t="shared" ca="1" si="68"/>
        <v>0</v>
      </c>
      <c r="Z38" s="78">
        <f t="shared" ca="1" si="69"/>
        <v>0</v>
      </c>
      <c r="AA38" s="4">
        <f ca="1">-SUMIFS(INDIRECT("Tab_000.Trial["&amp;AA$4&amp;"]"),Tab_000.Trial[CONTA],$B38)</f>
        <v>0</v>
      </c>
      <c r="AB38" s="78">
        <f t="shared" ca="1" si="70"/>
        <v>0</v>
      </c>
      <c r="AC38" s="78">
        <f t="shared" ca="1" si="71"/>
        <v>0</v>
      </c>
      <c r="AD38" s="4">
        <f ca="1">-SUMIFS(INDIRECT("Tab_000.Trial["&amp;AD$4&amp;"]"),Tab_000.Trial[CONTA],$B38)</f>
        <v>0</v>
      </c>
      <c r="AE38" s="78">
        <f t="shared" ca="1" si="72"/>
        <v>0</v>
      </c>
      <c r="AF38" s="78">
        <f t="shared" ca="1" si="73"/>
        <v>0</v>
      </c>
      <c r="AG38" s="4">
        <f ca="1">-SUMIFS(INDIRECT("Tab_000.Trial["&amp;AG$4&amp;"]"),Tab_000.Trial[CONTA],$B38)</f>
        <v>0</v>
      </c>
      <c r="AH38" s="78">
        <f t="shared" ca="1" si="74"/>
        <v>0</v>
      </c>
      <c r="AI38" s="78">
        <f t="shared" ca="1" si="75"/>
        <v>0</v>
      </c>
      <c r="AJ38" s="4">
        <f ca="1">-SUMIFS(INDIRECT("Tab_000.Trial["&amp;AJ$4&amp;"]"),Tab_000.Trial[CONTA],$B38)</f>
        <v>0</v>
      </c>
      <c r="AK38" s="78">
        <f t="shared" ca="1" si="76"/>
        <v>0</v>
      </c>
      <c r="AL38" s="78">
        <f t="shared" ca="1" si="77"/>
        <v>0</v>
      </c>
    </row>
    <row r="39" spans="2:39" ht="15" hidden="1" customHeight="1" outlineLevel="1" x14ac:dyDescent="0.3">
      <c r="B39" s="14" t="s">
        <v>403</v>
      </c>
      <c r="C39" s="14" t="s">
        <v>404</v>
      </c>
      <c r="D39" s="4">
        <f ca="1">-SUMIFS(INDIRECT("Tab_000.Trial["&amp;D$4&amp;"]"),Tab_000.Trial[CONTA],$B39)</f>
        <v>-4135.96</v>
      </c>
      <c r="E39" s="78">
        <f t="shared" ca="1" si="56"/>
        <v>-4.4000000000000003E-3</v>
      </c>
      <c r="F39" s="4">
        <f ca="1">-SUMIFS(INDIRECT("Tab_000.Trial["&amp;F$4&amp;"]"),Tab_000.Trial[CONTA],$B39)</f>
        <v>-4135.96</v>
      </c>
      <c r="G39" s="78">
        <f t="shared" ca="1" si="57"/>
        <v>-7.9000000000000008E-3</v>
      </c>
      <c r="H39" s="78">
        <f t="shared" ca="1" si="58"/>
        <v>0</v>
      </c>
      <c r="I39" s="4">
        <f ca="1">-SUMIFS(INDIRECT("Tab_000.Trial["&amp;I$4&amp;"]"),Tab_000.Trial[CONTA],$B39)</f>
        <v>-4135.96</v>
      </c>
      <c r="J39" s="78">
        <f t="shared" ca="1" si="59"/>
        <v>-4.0000000000000001E-3</v>
      </c>
      <c r="K39" s="78">
        <f t="shared" ca="1" si="60"/>
        <v>0</v>
      </c>
      <c r="L39" s="4">
        <f ca="1">-SUMIFS(INDIRECT("Tab_000.Trial["&amp;L$4&amp;"]"),Tab_000.Trial[CONTA],$B39)</f>
        <v>-4135.96</v>
      </c>
      <c r="M39" s="78">
        <f t="shared" ca="1" si="61"/>
        <v>-4.1000000000000003E-3</v>
      </c>
      <c r="N39" s="78">
        <f t="shared" ca="1" si="62"/>
        <v>0</v>
      </c>
      <c r="O39" s="4">
        <f ca="1">-SUMIFS(INDIRECT("Tab_000.Trial["&amp;O$4&amp;"]"),Tab_000.Trial[CONTA],$B39)</f>
        <v>-4135.96</v>
      </c>
      <c r="P39" s="78">
        <f t="shared" ca="1" si="63"/>
        <v>-3.3999999999999998E-3</v>
      </c>
      <c r="Q39" s="78">
        <f t="shared" ca="1" si="64"/>
        <v>0</v>
      </c>
      <c r="R39" s="4">
        <f ca="1">-SUMIFS(INDIRECT("Tab_000.Trial["&amp;R$4&amp;"]"),Tab_000.Trial[CONTA],$B39)</f>
        <v>-4135.96</v>
      </c>
      <c r="S39" s="78">
        <f t="shared" ca="1" si="65"/>
        <v>-3.8999999999999998E-3</v>
      </c>
      <c r="T39" s="78">
        <f t="shared" ca="1" si="66"/>
        <v>0</v>
      </c>
      <c r="U39" s="4">
        <f ca="1">-SUMIFS(INDIRECT("Tab_000.Trial["&amp;U$4&amp;"]"),Tab_000.Trial[CONTA],$B39)</f>
        <v>-4135.96</v>
      </c>
      <c r="V39" s="78">
        <f t="shared" ca="1" si="78"/>
        <v>-3.8999999999999998E-3</v>
      </c>
      <c r="W39" s="78">
        <f t="shared" ca="1" si="67"/>
        <v>0</v>
      </c>
      <c r="X39" s="4">
        <f ca="1">-SUMIFS(INDIRECT("Tab_000.Trial["&amp;X$4&amp;"]"),Tab_000.Trial[CONTA],$B39)</f>
        <v>-4135.96</v>
      </c>
      <c r="Y39" s="78">
        <f t="shared" ca="1" si="68"/>
        <v>-3.8999999999999998E-3</v>
      </c>
      <c r="Z39" s="78">
        <f t="shared" ca="1" si="69"/>
        <v>0</v>
      </c>
      <c r="AA39" s="4">
        <f ca="1">-SUMIFS(INDIRECT("Tab_000.Trial["&amp;AA$4&amp;"]"),Tab_000.Trial[CONTA],$B39)</f>
        <v>-5400.76</v>
      </c>
      <c r="AB39" s="78">
        <f t="shared" ca="1" si="70"/>
        <v>-5.5999999999999999E-3</v>
      </c>
      <c r="AC39" s="78">
        <f t="shared" ca="1" si="71"/>
        <v>-0.30580000000000002</v>
      </c>
      <c r="AD39" s="4">
        <f ca="1">-SUMIFS(INDIRECT("Tab_000.Trial["&amp;AD$4&amp;"]"),Tab_000.Trial[CONTA],$B39)</f>
        <v>-4415.96</v>
      </c>
      <c r="AE39" s="78">
        <f t="shared" ca="1" si="72"/>
        <v>-3.5999999999999999E-3</v>
      </c>
      <c r="AF39" s="78">
        <f t="shared" ca="1" si="73"/>
        <v>0.18229999999999999</v>
      </c>
      <c r="AG39" s="4">
        <f ca="1">-SUMIFS(INDIRECT("Tab_000.Trial["&amp;AG$4&amp;"]"),Tab_000.Trial[CONTA],$B39)</f>
        <v>-4665.55</v>
      </c>
      <c r="AH39" s="78">
        <f t="shared" ca="1" si="74"/>
        <v>-5.1999999999999998E-3</v>
      </c>
      <c r="AI39" s="78">
        <f t="shared" ca="1" si="75"/>
        <v>-5.6500000000000002E-2</v>
      </c>
      <c r="AJ39" s="4">
        <f ca="1">-SUMIFS(INDIRECT("Tab_000.Trial["&amp;AJ$4&amp;"]"),Tab_000.Trial[CONTA],$B39)</f>
        <v>-4585.96</v>
      </c>
      <c r="AK39" s="78">
        <f t="shared" ca="1" si="76"/>
        <v>-3.0999999999999999E-3</v>
      </c>
      <c r="AL39" s="78">
        <f t="shared" ca="1" si="77"/>
        <v>1.7100000000000001E-2</v>
      </c>
    </row>
    <row r="40" spans="2:39" ht="15" hidden="1" customHeight="1" outlineLevel="1" x14ac:dyDescent="0.3">
      <c r="B40" s="14" t="s">
        <v>405</v>
      </c>
      <c r="C40" s="14" t="s">
        <v>406</v>
      </c>
      <c r="D40" s="4">
        <f ca="1">-SUMIFS(INDIRECT("Tab_000.Trial["&amp;D$4&amp;"]"),Tab_000.Trial[CONTA],$B40)</f>
        <v>-27797</v>
      </c>
      <c r="E40" s="78">
        <f t="shared" ca="1" si="56"/>
        <v>-2.98E-2</v>
      </c>
      <c r="F40" s="4">
        <f ca="1">-SUMIFS(INDIRECT("Tab_000.Trial["&amp;F$4&amp;"]"),Tab_000.Trial[CONTA],$B40)</f>
        <v>-25340</v>
      </c>
      <c r="G40" s="78">
        <f t="shared" ca="1" si="57"/>
        <v>-4.8300000000000003E-2</v>
      </c>
      <c r="H40" s="78">
        <f t="shared" ca="1" si="58"/>
        <v>8.8400000000000006E-2</v>
      </c>
      <c r="I40" s="4">
        <f ca="1">-SUMIFS(INDIRECT("Tab_000.Trial["&amp;I$4&amp;"]"),Tab_000.Trial[CONTA],$B40)</f>
        <v>-23310</v>
      </c>
      <c r="J40" s="78">
        <f t="shared" ca="1" si="59"/>
        <v>-2.2499999999999999E-2</v>
      </c>
      <c r="K40" s="78">
        <f t="shared" ca="1" si="60"/>
        <v>8.0100000000000005E-2</v>
      </c>
      <c r="L40" s="4">
        <f ca="1">-SUMIFS(INDIRECT("Tab_000.Trial["&amp;L$4&amp;"]"),Tab_000.Trial[CONTA],$B40)</f>
        <v>-31370</v>
      </c>
      <c r="M40" s="78">
        <f t="shared" ca="1" si="61"/>
        <v>-3.1300000000000001E-2</v>
      </c>
      <c r="N40" s="78">
        <f t="shared" ca="1" si="62"/>
        <v>-0.3458</v>
      </c>
      <c r="O40" s="4">
        <f ca="1">-SUMIFS(INDIRECT("Tab_000.Trial["&amp;O$4&amp;"]"),Tab_000.Trial[CONTA],$B40)</f>
        <v>-31320</v>
      </c>
      <c r="P40" s="78">
        <f t="shared" ca="1" si="63"/>
        <v>-2.6100000000000002E-2</v>
      </c>
      <c r="Q40" s="78">
        <f t="shared" ca="1" si="64"/>
        <v>1.6000000000000001E-3</v>
      </c>
      <c r="R40" s="4">
        <f ca="1">-SUMIFS(INDIRECT("Tab_000.Trial["&amp;R$4&amp;"]"),Tab_000.Trial[CONTA],$B40)</f>
        <v>-27840</v>
      </c>
      <c r="S40" s="78">
        <f t="shared" ca="1" si="65"/>
        <v>-2.63E-2</v>
      </c>
      <c r="T40" s="78">
        <f t="shared" ca="1" si="66"/>
        <v>0.1111</v>
      </c>
      <c r="U40" s="4">
        <f ca="1">-SUMIFS(INDIRECT("Tab_000.Trial["&amp;U$4&amp;"]"),Tab_000.Trial[CONTA],$B40)</f>
        <v>-27840</v>
      </c>
      <c r="V40" s="78">
        <f t="shared" ca="1" si="78"/>
        <v>-2.63E-2</v>
      </c>
      <c r="W40" s="78">
        <f t="shared" ca="1" si="67"/>
        <v>0</v>
      </c>
      <c r="X40" s="4">
        <f ca="1">-SUMIFS(INDIRECT("Tab_000.Trial["&amp;X$4&amp;"]"),Tab_000.Trial[CONTA],$B40)</f>
        <v>-27840</v>
      </c>
      <c r="Y40" s="78">
        <f t="shared" ca="1" si="68"/>
        <v>-2.63E-2</v>
      </c>
      <c r="Z40" s="78">
        <f t="shared" ca="1" si="69"/>
        <v>0</v>
      </c>
      <c r="AA40" s="4">
        <f ca="1">-SUMIFS(INDIRECT("Tab_000.Trial["&amp;AA$4&amp;"]"),Tab_000.Trial[CONTA],$B40)</f>
        <v>-32060</v>
      </c>
      <c r="AB40" s="78">
        <f t="shared" ca="1" si="70"/>
        <v>-3.3099999999999997E-2</v>
      </c>
      <c r="AC40" s="78">
        <f t="shared" ca="1" si="71"/>
        <v>-0.15160000000000001</v>
      </c>
      <c r="AD40" s="4">
        <f ca="1">-SUMIFS(INDIRECT("Tab_000.Trial["&amp;AD$4&amp;"]"),Tab_000.Trial[CONTA],$B40)</f>
        <v>-27750</v>
      </c>
      <c r="AE40" s="78">
        <f t="shared" ca="1" si="72"/>
        <v>-2.2700000000000001E-2</v>
      </c>
      <c r="AF40" s="78">
        <f t="shared" ca="1" si="73"/>
        <v>0.13439999999999999</v>
      </c>
      <c r="AG40" s="4">
        <f ca="1">-SUMIFS(INDIRECT("Tab_000.Trial["&amp;AG$4&amp;"]"),Tab_000.Trial[CONTA],$B40)</f>
        <v>-40210</v>
      </c>
      <c r="AH40" s="78">
        <f t="shared" ca="1" si="74"/>
        <v>-4.4499999999999998E-2</v>
      </c>
      <c r="AI40" s="78">
        <f t="shared" ca="1" si="75"/>
        <v>-0.44900000000000001</v>
      </c>
      <c r="AJ40" s="4">
        <f ca="1">-SUMIFS(INDIRECT("Tab_000.Trial["&amp;AJ$4&amp;"]"),Tab_000.Trial[CONTA],$B40)</f>
        <v>-22720</v>
      </c>
      <c r="AK40" s="78">
        <f t="shared" ca="1" si="76"/>
        <v>-1.54E-2</v>
      </c>
      <c r="AL40" s="78">
        <f t="shared" ca="1" si="77"/>
        <v>0.435</v>
      </c>
    </row>
    <row r="41" spans="2:39" ht="15" hidden="1" customHeight="1" outlineLevel="1" x14ac:dyDescent="0.3">
      <c r="B41" s="14" t="s">
        <v>407</v>
      </c>
      <c r="C41" s="14" t="s">
        <v>408</v>
      </c>
      <c r="D41" s="4">
        <f ca="1">-SUMIFS(INDIRECT("Tab_000.Trial["&amp;D$4&amp;"]"),Tab_000.Trial[CONTA],$B41)</f>
        <v>-2247.19</v>
      </c>
      <c r="E41" s="78">
        <f t="shared" ca="1" si="56"/>
        <v>-2.3999999999999998E-3</v>
      </c>
      <c r="F41" s="4">
        <f ca="1">-SUMIFS(INDIRECT("Tab_000.Trial["&amp;F$4&amp;"]"),Tab_000.Trial[CONTA],$B41)</f>
        <v>0</v>
      </c>
      <c r="G41" s="78">
        <f t="shared" ca="1" si="57"/>
        <v>0</v>
      </c>
      <c r="H41" s="78">
        <f t="shared" ca="1" si="58"/>
        <v>1</v>
      </c>
      <c r="I41" s="4">
        <f ca="1">-SUMIFS(INDIRECT("Tab_000.Trial["&amp;I$4&amp;"]"),Tab_000.Trial[CONTA],$B41)</f>
        <v>-3730.33</v>
      </c>
      <c r="J41" s="78">
        <f t="shared" ca="1" si="59"/>
        <v>-3.5999999999999999E-3</v>
      </c>
      <c r="K41" s="78">
        <f t="shared" ca="1" si="60"/>
        <v>0</v>
      </c>
      <c r="L41" s="4">
        <f ca="1">-SUMIFS(INDIRECT("Tab_000.Trial["&amp;L$4&amp;"]"),Tab_000.Trial[CONTA],$B41)</f>
        <v>-3000</v>
      </c>
      <c r="M41" s="78">
        <f t="shared" ca="1" si="61"/>
        <v>-3.0000000000000001E-3</v>
      </c>
      <c r="N41" s="78">
        <f t="shared" ca="1" si="62"/>
        <v>0.1958</v>
      </c>
      <c r="O41" s="4">
        <f ca="1">-SUMIFS(INDIRECT("Tab_000.Trial["&amp;O$4&amp;"]"),Tab_000.Trial[CONTA],$B41)</f>
        <v>-6000</v>
      </c>
      <c r="P41" s="78">
        <f t="shared" ca="1" si="63"/>
        <v>-5.0000000000000001E-3</v>
      </c>
      <c r="Q41" s="78">
        <f t="shared" ca="1" si="64"/>
        <v>-1</v>
      </c>
      <c r="R41" s="4">
        <f ca="1">-SUMIFS(INDIRECT("Tab_000.Trial["&amp;R$4&amp;"]"),Tab_000.Trial[CONTA],$B41)</f>
        <v>0</v>
      </c>
      <c r="S41" s="78">
        <f t="shared" ca="1" si="65"/>
        <v>0</v>
      </c>
      <c r="T41" s="78">
        <f t="shared" ca="1" si="66"/>
        <v>1</v>
      </c>
      <c r="U41" s="4">
        <f ca="1">-SUMIFS(INDIRECT("Tab_000.Trial["&amp;U$4&amp;"]"),Tab_000.Trial[CONTA],$B41)</f>
        <v>0</v>
      </c>
      <c r="V41" s="78">
        <f t="shared" ca="1" si="78"/>
        <v>0</v>
      </c>
      <c r="W41" s="78">
        <f t="shared" ca="1" si="67"/>
        <v>0</v>
      </c>
      <c r="X41" s="4">
        <f ca="1">-SUMIFS(INDIRECT("Tab_000.Trial["&amp;X$4&amp;"]"),Tab_000.Trial[CONTA],$B41)</f>
        <v>0</v>
      </c>
      <c r="Y41" s="78">
        <f t="shared" ca="1" si="68"/>
        <v>0</v>
      </c>
      <c r="Z41" s="78">
        <f t="shared" ca="1" si="69"/>
        <v>0</v>
      </c>
      <c r="AA41" s="4">
        <f ca="1">-SUMIFS(INDIRECT("Tab_000.Trial["&amp;AA$4&amp;"]"),Tab_000.Trial[CONTA],$B41)</f>
        <v>0</v>
      </c>
      <c r="AB41" s="78">
        <f t="shared" ca="1" si="70"/>
        <v>0</v>
      </c>
      <c r="AC41" s="78">
        <f t="shared" ca="1" si="71"/>
        <v>0</v>
      </c>
      <c r="AD41" s="4">
        <f ca="1">-SUMIFS(INDIRECT("Tab_000.Trial["&amp;AD$4&amp;"]"),Tab_000.Trial[CONTA],$B41)</f>
        <v>0</v>
      </c>
      <c r="AE41" s="78">
        <f t="shared" ca="1" si="72"/>
        <v>0</v>
      </c>
      <c r="AF41" s="78">
        <f t="shared" ca="1" si="73"/>
        <v>0</v>
      </c>
      <c r="AG41" s="4">
        <f ca="1">-SUMIFS(INDIRECT("Tab_000.Trial["&amp;AG$4&amp;"]"),Tab_000.Trial[CONTA],$B41)</f>
        <v>0</v>
      </c>
      <c r="AH41" s="78">
        <f t="shared" ca="1" si="74"/>
        <v>0</v>
      </c>
      <c r="AI41" s="78">
        <f t="shared" ca="1" si="75"/>
        <v>0</v>
      </c>
      <c r="AJ41" s="4">
        <f ca="1">-SUMIFS(INDIRECT("Tab_000.Trial["&amp;AJ$4&amp;"]"),Tab_000.Trial[CONTA],$B41)</f>
        <v>0</v>
      </c>
      <c r="AK41" s="78">
        <f t="shared" ca="1" si="76"/>
        <v>0</v>
      </c>
      <c r="AL41" s="78">
        <f t="shared" ca="1" si="77"/>
        <v>0</v>
      </c>
    </row>
    <row r="42" spans="2:39" ht="15" hidden="1" customHeight="1" outlineLevel="1" x14ac:dyDescent="0.3">
      <c r="B42" s="14" t="s">
        <v>409</v>
      </c>
      <c r="C42" s="14" t="s">
        <v>410</v>
      </c>
      <c r="D42" s="4">
        <f ca="1">-SUMIFS(INDIRECT("Tab_000.Trial["&amp;D$4&amp;"]"),Tab_000.Trial[CONTA],$B42)</f>
        <v>0</v>
      </c>
      <c r="E42" s="78">
        <f t="shared" ca="1" si="56"/>
        <v>0</v>
      </c>
      <c r="F42" s="4">
        <f ca="1">-SUMIFS(INDIRECT("Tab_000.Trial["&amp;F$4&amp;"]"),Tab_000.Trial[CONTA],$B42)</f>
        <v>0</v>
      </c>
      <c r="G42" s="78">
        <f t="shared" ca="1" si="57"/>
        <v>0</v>
      </c>
      <c r="H42" s="78">
        <f t="shared" ca="1" si="58"/>
        <v>0</v>
      </c>
      <c r="I42" s="4">
        <f ca="1">-SUMIFS(INDIRECT("Tab_000.Trial["&amp;I$4&amp;"]"),Tab_000.Trial[CONTA],$B42)</f>
        <v>0</v>
      </c>
      <c r="J42" s="78">
        <f t="shared" ca="1" si="59"/>
        <v>0</v>
      </c>
      <c r="K42" s="78">
        <f t="shared" ca="1" si="60"/>
        <v>0</v>
      </c>
      <c r="L42" s="4">
        <f ca="1">-SUMIFS(INDIRECT("Tab_000.Trial["&amp;L$4&amp;"]"),Tab_000.Trial[CONTA],$B42)</f>
        <v>0</v>
      </c>
      <c r="M42" s="78">
        <f t="shared" ca="1" si="61"/>
        <v>0</v>
      </c>
      <c r="N42" s="78">
        <f t="shared" ca="1" si="62"/>
        <v>0</v>
      </c>
      <c r="O42" s="4">
        <f ca="1">-SUMIFS(INDIRECT("Tab_000.Trial["&amp;O$4&amp;"]"),Tab_000.Trial[CONTA],$B42)</f>
        <v>0</v>
      </c>
      <c r="P42" s="78">
        <f t="shared" ca="1" si="63"/>
        <v>0</v>
      </c>
      <c r="Q42" s="78">
        <f t="shared" ca="1" si="64"/>
        <v>0</v>
      </c>
      <c r="R42" s="4">
        <f ca="1">-SUMIFS(INDIRECT("Tab_000.Trial["&amp;R$4&amp;"]"),Tab_000.Trial[CONTA],$B42)</f>
        <v>0</v>
      </c>
      <c r="S42" s="78">
        <f t="shared" ca="1" si="65"/>
        <v>0</v>
      </c>
      <c r="T42" s="78">
        <f t="shared" ca="1" si="66"/>
        <v>0</v>
      </c>
      <c r="U42" s="4">
        <f ca="1">-SUMIFS(INDIRECT("Tab_000.Trial["&amp;U$4&amp;"]"),Tab_000.Trial[CONTA],$B42)</f>
        <v>0</v>
      </c>
      <c r="V42" s="78">
        <f t="shared" ca="1" si="78"/>
        <v>0</v>
      </c>
      <c r="W42" s="78">
        <f t="shared" ca="1" si="67"/>
        <v>0</v>
      </c>
      <c r="X42" s="4">
        <f ca="1">-SUMIFS(INDIRECT("Tab_000.Trial["&amp;X$4&amp;"]"),Tab_000.Trial[CONTA],$B42)</f>
        <v>0</v>
      </c>
      <c r="Y42" s="78">
        <f t="shared" ca="1" si="68"/>
        <v>0</v>
      </c>
      <c r="Z42" s="78">
        <f t="shared" ca="1" si="69"/>
        <v>0</v>
      </c>
      <c r="AA42" s="4">
        <f ca="1">-SUMIFS(INDIRECT("Tab_000.Trial["&amp;AA$4&amp;"]"),Tab_000.Trial[CONTA],$B42)</f>
        <v>0</v>
      </c>
      <c r="AB42" s="78">
        <f t="shared" ca="1" si="70"/>
        <v>0</v>
      </c>
      <c r="AC42" s="78">
        <f t="shared" ca="1" si="71"/>
        <v>0</v>
      </c>
      <c r="AD42" s="4">
        <f ca="1">-SUMIFS(INDIRECT("Tab_000.Trial["&amp;AD$4&amp;"]"),Tab_000.Trial[CONTA],$B42)</f>
        <v>0</v>
      </c>
      <c r="AE42" s="78">
        <f t="shared" ca="1" si="72"/>
        <v>0</v>
      </c>
      <c r="AF42" s="78">
        <f t="shared" ca="1" si="73"/>
        <v>0</v>
      </c>
      <c r="AG42" s="4">
        <f ca="1">-SUMIFS(INDIRECT("Tab_000.Trial["&amp;AG$4&amp;"]"),Tab_000.Trial[CONTA],$B42)</f>
        <v>0</v>
      </c>
      <c r="AH42" s="78">
        <f t="shared" ca="1" si="74"/>
        <v>0</v>
      </c>
      <c r="AI42" s="78">
        <f t="shared" ca="1" si="75"/>
        <v>0</v>
      </c>
      <c r="AJ42" s="4">
        <f ca="1">-SUMIFS(INDIRECT("Tab_000.Trial["&amp;AJ$4&amp;"]"),Tab_000.Trial[CONTA],$B42)</f>
        <v>0</v>
      </c>
      <c r="AK42" s="78">
        <f t="shared" ca="1" si="76"/>
        <v>0</v>
      </c>
      <c r="AL42" s="78">
        <f t="shared" ca="1" si="77"/>
        <v>0</v>
      </c>
    </row>
    <row r="43" spans="2:39" ht="15" hidden="1" customHeight="1" outlineLevel="1" x14ac:dyDescent="0.3">
      <c r="B43" s="14" t="s">
        <v>411</v>
      </c>
      <c r="C43" s="14" t="s">
        <v>412</v>
      </c>
      <c r="D43" s="4">
        <f ca="1">-SUMIFS(INDIRECT("Tab_000.Trial["&amp;D$4&amp;"]"),Tab_000.Trial[CONTA],$B43)</f>
        <v>-300</v>
      </c>
      <c r="E43" s="78">
        <f t="shared" ca="1" si="56"/>
        <v>-2.9999999999999997E-4</v>
      </c>
      <c r="F43" s="4">
        <f ca="1">-SUMIFS(INDIRECT("Tab_000.Trial["&amp;F$4&amp;"]"),Tab_000.Trial[CONTA],$B43)</f>
        <v>0</v>
      </c>
      <c r="G43" s="78">
        <f t="shared" ca="1" si="57"/>
        <v>0</v>
      </c>
      <c r="H43" s="78">
        <f t="shared" ca="1" si="58"/>
        <v>1</v>
      </c>
      <c r="I43" s="4">
        <f ca="1">-SUMIFS(INDIRECT("Tab_000.Trial["&amp;I$4&amp;"]"),Tab_000.Trial[CONTA],$B43)</f>
        <v>0</v>
      </c>
      <c r="J43" s="78">
        <f t="shared" ca="1" si="59"/>
        <v>0</v>
      </c>
      <c r="K43" s="78">
        <f t="shared" ca="1" si="60"/>
        <v>0</v>
      </c>
      <c r="L43" s="4">
        <f ca="1">-SUMIFS(INDIRECT("Tab_000.Trial["&amp;L$4&amp;"]"),Tab_000.Trial[CONTA],$B43)</f>
        <v>0</v>
      </c>
      <c r="M43" s="78">
        <f t="shared" ca="1" si="61"/>
        <v>0</v>
      </c>
      <c r="N43" s="78">
        <f t="shared" ca="1" si="62"/>
        <v>0</v>
      </c>
      <c r="O43" s="4">
        <f ca="1">-SUMIFS(INDIRECT("Tab_000.Trial["&amp;O$4&amp;"]"),Tab_000.Trial[CONTA],$B43)</f>
        <v>0</v>
      </c>
      <c r="P43" s="78">
        <f t="shared" ca="1" si="63"/>
        <v>0</v>
      </c>
      <c r="Q43" s="78">
        <f t="shared" ca="1" si="64"/>
        <v>0</v>
      </c>
      <c r="R43" s="4">
        <f ca="1">-SUMIFS(INDIRECT("Tab_000.Trial["&amp;R$4&amp;"]"),Tab_000.Trial[CONTA],$B43)</f>
        <v>0</v>
      </c>
      <c r="S43" s="78">
        <f t="shared" ca="1" si="65"/>
        <v>0</v>
      </c>
      <c r="T43" s="78">
        <f t="shared" ca="1" si="66"/>
        <v>0</v>
      </c>
      <c r="U43" s="4">
        <f ca="1">-SUMIFS(INDIRECT("Tab_000.Trial["&amp;U$4&amp;"]"),Tab_000.Trial[CONTA],$B43)</f>
        <v>0</v>
      </c>
      <c r="V43" s="78">
        <f t="shared" ca="1" si="78"/>
        <v>0</v>
      </c>
      <c r="W43" s="78">
        <f t="shared" ca="1" si="67"/>
        <v>0</v>
      </c>
      <c r="X43" s="4">
        <f ca="1">-SUMIFS(INDIRECT("Tab_000.Trial["&amp;X$4&amp;"]"),Tab_000.Trial[CONTA],$B43)</f>
        <v>0</v>
      </c>
      <c r="Y43" s="78">
        <f t="shared" ca="1" si="68"/>
        <v>0</v>
      </c>
      <c r="Z43" s="78">
        <f t="shared" ca="1" si="69"/>
        <v>0</v>
      </c>
      <c r="AA43" s="4">
        <f ca="1">-SUMIFS(INDIRECT("Tab_000.Trial["&amp;AA$4&amp;"]"),Tab_000.Trial[CONTA],$B43)</f>
        <v>0</v>
      </c>
      <c r="AB43" s="78">
        <f t="shared" ca="1" si="70"/>
        <v>0</v>
      </c>
      <c r="AC43" s="78">
        <f t="shared" ca="1" si="71"/>
        <v>0</v>
      </c>
      <c r="AD43" s="4">
        <f ca="1">-SUMIFS(INDIRECT("Tab_000.Trial["&amp;AD$4&amp;"]"),Tab_000.Trial[CONTA],$B43)</f>
        <v>0</v>
      </c>
      <c r="AE43" s="78">
        <f t="shared" ca="1" si="72"/>
        <v>0</v>
      </c>
      <c r="AF43" s="78">
        <f t="shared" ca="1" si="73"/>
        <v>0</v>
      </c>
      <c r="AG43" s="4">
        <f ca="1">-SUMIFS(INDIRECT("Tab_000.Trial["&amp;AG$4&amp;"]"),Tab_000.Trial[CONTA],$B43)</f>
        <v>0</v>
      </c>
      <c r="AH43" s="78">
        <f t="shared" ca="1" si="74"/>
        <v>0</v>
      </c>
      <c r="AI43" s="78">
        <f t="shared" ca="1" si="75"/>
        <v>0</v>
      </c>
      <c r="AJ43" s="4">
        <f ca="1">-SUMIFS(INDIRECT("Tab_000.Trial["&amp;AJ$4&amp;"]"),Tab_000.Trial[CONTA],$B43)</f>
        <v>0</v>
      </c>
      <c r="AK43" s="78">
        <f t="shared" ca="1" si="76"/>
        <v>0</v>
      </c>
      <c r="AL43" s="78">
        <f t="shared" ca="1" si="77"/>
        <v>0</v>
      </c>
    </row>
    <row r="44" spans="2:39" ht="15" hidden="1" customHeight="1" outlineLevel="1" x14ac:dyDescent="0.3">
      <c r="B44" s="14" t="s">
        <v>413</v>
      </c>
      <c r="C44" s="14" t="s">
        <v>414</v>
      </c>
      <c r="D44" s="4">
        <f ca="1">-SUMIFS(INDIRECT("Tab_000.Trial["&amp;D$4&amp;"]"),Tab_000.Trial[CONTA],$B44)</f>
        <v>-1290.8399999999999</v>
      </c>
      <c r="E44" s="78">
        <f t="shared" ca="1" si="56"/>
        <v>-1.4E-3</v>
      </c>
      <c r="F44" s="4">
        <f ca="1">-SUMIFS(INDIRECT("Tab_000.Trial["&amp;F$4&amp;"]"),Tab_000.Trial[CONTA],$B44)</f>
        <v>0</v>
      </c>
      <c r="G44" s="78">
        <f t="shared" ca="1" si="57"/>
        <v>0</v>
      </c>
      <c r="H44" s="78">
        <f t="shared" ca="1" si="58"/>
        <v>1</v>
      </c>
      <c r="I44" s="4">
        <f ca="1">-SUMIFS(INDIRECT("Tab_000.Trial["&amp;I$4&amp;"]"),Tab_000.Trial[CONTA],$B44)</f>
        <v>-832.04</v>
      </c>
      <c r="J44" s="78">
        <f t="shared" ca="1" si="59"/>
        <v>-8.0000000000000004E-4</v>
      </c>
      <c r="K44" s="78">
        <f t="shared" ca="1" si="60"/>
        <v>0</v>
      </c>
      <c r="L44" s="4">
        <f ca="1">-SUMIFS(INDIRECT("Tab_000.Trial["&amp;L$4&amp;"]"),Tab_000.Trial[CONTA],$B44)</f>
        <v>-583.45000000000005</v>
      </c>
      <c r="M44" s="78">
        <f t="shared" ca="1" si="61"/>
        <v>-5.9999999999999995E-4</v>
      </c>
      <c r="N44" s="78">
        <f t="shared" ca="1" si="62"/>
        <v>0.29880000000000001</v>
      </c>
      <c r="O44" s="4">
        <f ca="1">-SUMIFS(INDIRECT("Tab_000.Trial["&amp;O$4&amp;"]"),Tab_000.Trial[CONTA],$B44)</f>
        <v>-888.37</v>
      </c>
      <c r="P44" s="78">
        <f t="shared" ca="1" si="63"/>
        <v>-6.9999999999999999E-4</v>
      </c>
      <c r="Q44" s="78">
        <f t="shared" ca="1" si="64"/>
        <v>-0.52259999999999995</v>
      </c>
      <c r="R44" s="4">
        <f ca="1">-SUMIFS(INDIRECT("Tab_000.Trial["&amp;R$4&amp;"]"),Tab_000.Trial[CONTA],$B44)</f>
        <v>-599.41999999999996</v>
      </c>
      <c r="S44" s="78">
        <f t="shared" ca="1" si="65"/>
        <v>-5.9999999999999995E-4</v>
      </c>
      <c r="T44" s="78">
        <f t="shared" ca="1" si="66"/>
        <v>0.32529999999999998</v>
      </c>
      <c r="U44" s="4">
        <f ca="1">-SUMIFS(INDIRECT("Tab_000.Trial["&amp;U$4&amp;"]"),Tab_000.Trial[CONTA],$B44)</f>
        <v>-599.41999999999996</v>
      </c>
      <c r="V44" s="78">
        <f t="shared" ca="1" si="78"/>
        <v>-5.9999999999999995E-4</v>
      </c>
      <c r="W44" s="78">
        <f t="shared" ca="1" si="67"/>
        <v>0</v>
      </c>
      <c r="X44" s="4">
        <f ca="1">-SUMIFS(INDIRECT("Tab_000.Trial["&amp;X$4&amp;"]"),Tab_000.Trial[CONTA],$B44)</f>
        <v>-599.41999999999996</v>
      </c>
      <c r="Y44" s="78">
        <f t="shared" ca="1" si="68"/>
        <v>-5.9999999999999995E-4</v>
      </c>
      <c r="Z44" s="78">
        <f t="shared" ca="1" si="69"/>
        <v>0</v>
      </c>
      <c r="AA44" s="4">
        <f ca="1">-SUMIFS(INDIRECT("Tab_000.Trial["&amp;AA$4&amp;"]"),Tab_000.Trial[CONTA],$B44)</f>
        <v>0</v>
      </c>
      <c r="AB44" s="78">
        <f t="shared" ca="1" si="70"/>
        <v>0</v>
      </c>
      <c r="AC44" s="78">
        <f t="shared" ca="1" si="71"/>
        <v>1</v>
      </c>
      <c r="AD44" s="4">
        <f ca="1">-SUMIFS(INDIRECT("Tab_000.Trial["&amp;AD$4&amp;"]"),Tab_000.Trial[CONTA],$B44)</f>
        <v>-1130.6099999999999</v>
      </c>
      <c r="AE44" s="78">
        <f t="shared" ca="1" si="72"/>
        <v>-8.9999999999999998E-4</v>
      </c>
      <c r="AF44" s="78">
        <f t="shared" ca="1" si="73"/>
        <v>0</v>
      </c>
      <c r="AG44" s="4">
        <f ca="1">-SUMIFS(INDIRECT("Tab_000.Trial["&amp;AG$4&amp;"]"),Tab_000.Trial[CONTA],$B44)</f>
        <v>-908.66</v>
      </c>
      <c r="AH44" s="78">
        <f t="shared" ca="1" si="74"/>
        <v>-1E-3</v>
      </c>
      <c r="AI44" s="78">
        <f t="shared" ca="1" si="75"/>
        <v>0.1963</v>
      </c>
      <c r="AJ44" s="4">
        <f ca="1">-SUMIFS(INDIRECT("Tab_000.Trial["&amp;AJ$4&amp;"]"),Tab_000.Trial[CONTA],$B44)</f>
        <v>-951.45</v>
      </c>
      <c r="AK44" s="78">
        <f t="shared" ca="1" si="76"/>
        <v>-5.9999999999999995E-4</v>
      </c>
      <c r="AL44" s="78">
        <f t="shared" ca="1" si="77"/>
        <v>-4.7100000000000003E-2</v>
      </c>
    </row>
    <row r="45" spans="2:39" ht="15" hidden="1" customHeight="1" outlineLevel="1" x14ac:dyDescent="0.3">
      <c r="B45" s="14" t="s">
        <v>415</v>
      </c>
      <c r="C45" s="14" t="s">
        <v>416</v>
      </c>
      <c r="D45" s="4">
        <f ca="1">-SUMIFS(INDIRECT("Tab_000.Trial["&amp;D$4&amp;"]"),Tab_000.Trial[CONTA],$B45)</f>
        <v>0</v>
      </c>
      <c r="E45" s="78">
        <f t="shared" ca="1" si="56"/>
        <v>0</v>
      </c>
      <c r="F45" s="4">
        <f ca="1">-SUMIFS(INDIRECT("Tab_000.Trial["&amp;F$4&amp;"]"),Tab_000.Trial[CONTA],$B45)</f>
        <v>0</v>
      </c>
      <c r="G45" s="78">
        <f t="shared" ca="1" si="57"/>
        <v>0</v>
      </c>
      <c r="H45" s="78">
        <f t="shared" ca="1" si="58"/>
        <v>0</v>
      </c>
      <c r="I45" s="4">
        <f ca="1">-SUMIFS(INDIRECT("Tab_000.Trial["&amp;I$4&amp;"]"),Tab_000.Trial[CONTA],$B45)</f>
        <v>0</v>
      </c>
      <c r="J45" s="78">
        <f t="shared" ca="1" si="59"/>
        <v>0</v>
      </c>
      <c r="K45" s="78">
        <f t="shared" ca="1" si="60"/>
        <v>0</v>
      </c>
      <c r="L45" s="4">
        <f ca="1">-SUMIFS(INDIRECT("Tab_000.Trial["&amp;L$4&amp;"]"),Tab_000.Trial[CONTA],$B45)</f>
        <v>0</v>
      </c>
      <c r="M45" s="78">
        <f t="shared" ca="1" si="61"/>
        <v>0</v>
      </c>
      <c r="N45" s="78">
        <f t="shared" ca="1" si="62"/>
        <v>0</v>
      </c>
      <c r="O45" s="4">
        <f ca="1">-SUMIFS(INDIRECT("Tab_000.Trial["&amp;O$4&amp;"]"),Tab_000.Trial[CONTA],$B45)</f>
        <v>0</v>
      </c>
      <c r="P45" s="78">
        <f t="shared" ca="1" si="63"/>
        <v>0</v>
      </c>
      <c r="Q45" s="78">
        <f t="shared" ca="1" si="64"/>
        <v>0</v>
      </c>
      <c r="R45" s="4">
        <f ca="1">-SUMIFS(INDIRECT("Tab_000.Trial["&amp;R$4&amp;"]"),Tab_000.Trial[CONTA],$B45)</f>
        <v>0</v>
      </c>
      <c r="S45" s="78">
        <f t="shared" ca="1" si="65"/>
        <v>0</v>
      </c>
      <c r="T45" s="78">
        <f t="shared" ca="1" si="66"/>
        <v>0</v>
      </c>
      <c r="U45" s="4">
        <f ca="1">-SUMIFS(INDIRECT("Tab_000.Trial["&amp;U$4&amp;"]"),Tab_000.Trial[CONTA],$B45)</f>
        <v>0</v>
      </c>
      <c r="V45" s="78">
        <f t="shared" ca="1" si="78"/>
        <v>0</v>
      </c>
      <c r="W45" s="78">
        <f t="shared" ca="1" si="67"/>
        <v>0</v>
      </c>
      <c r="X45" s="4">
        <f ca="1">-SUMIFS(INDIRECT("Tab_000.Trial["&amp;X$4&amp;"]"),Tab_000.Trial[CONTA],$B45)</f>
        <v>0</v>
      </c>
      <c r="Y45" s="78">
        <f t="shared" ca="1" si="68"/>
        <v>0</v>
      </c>
      <c r="Z45" s="78">
        <f t="shared" ca="1" si="69"/>
        <v>0</v>
      </c>
      <c r="AA45" s="4">
        <f ca="1">-SUMIFS(INDIRECT("Tab_000.Trial["&amp;AA$4&amp;"]"),Tab_000.Trial[CONTA],$B45)</f>
        <v>0</v>
      </c>
      <c r="AB45" s="78">
        <f t="shared" ca="1" si="70"/>
        <v>0</v>
      </c>
      <c r="AC45" s="78">
        <f t="shared" ca="1" si="71"/>
        <v>0</v>
      </c>
      <c r="AD45" s="4">
        <f ca="1">-SUMIFS(INDIRECT("Tab_000.Trial["&amp;AD$4&amp;"]"),Tab_000.Trial[CONTA],$B45)</f>
        <v>0</v>
      </c>
      <c r="AE45" s="78">
        <f t="shared" ca="1" si="72"/>
        <v>0</v>
      </c>
      <c r="AF45" s="78">
        <f t="shared" ca="1" si="73"/>
        <v>0</v>
      </c>
      <c r="AG45" s="4">
        <f ca="1">-SUMIFS(INDIRECT("Tab_000.Trial["&amp;AG$4&amp;"]"),Tab_000.Trial[CONTA],$B45)</f>
        <v>0</v>
      </c>
      <c r="AH45" s="78">
        <f t="shared" ca="1" si="74"/>
        <v>0</v>
      </c>
      <c r="AI45" s="78">
        <f t="shared" ca="1" si="75"/>
        <v>0</v>
      </c>
      <c r="AJ45" s="4">
        <f ca="1">-SUMIFS(INDIRECT("Tab_000.Trial["&amp;AJ$4&amp;"]"),Tab_000.Trial[CONTA],$B45)</f>
        <v>0</v>
      </c>
      <c r="AK45" s="78">
        <f t="shared" ca="1" si="76"/>
        <v>0</v>
      </c>
      <c r="AL45" s="78">
        <f t="shared" ca="1" si="77"/>
        <v>0</v>
      </c>
    </row>
    <row r="46" spans="2:39" ht="15" hidden="1" customHeight="1" outlineLevel="1" x14ac:dyDescent="0.3">
      <c r="B46" s="14" t="s">
        <v>417</v>
      </c>
      <c r="C46" s="14" t="s">
        <v>418</v>
      </c>
      <c r="D46" s="4">
        <f ca="1">-SUMIFS(INDIRECT("Tab_000.Trial["&amp;D$4&amp;"]"),Tab_000.Trial[CONTA],$B46)</f>
        <v>0</v>
      </c>
      <c r="E46" s="78">
        <f t="shared" ca="1" si="56"/>
        <v>0</v>
      </c>
      <c r="F46" s="4">
        <f ca="1">-SUMIFS(INDIRECT("Tab_000.Trial["&amp;F$4&amp;"]"),Tab_000.Trial[CONTA],$B46)</f>
        <v>0</v>
      </c>
      <c r="G46" s="78">
        <f t="shared" ca="1" si="57"/>
        <v>0</v>
      </c>
      <c r="H46" s="78">
        <f t="shared" ca="1" si="58"/>
        <v>0</v>
      </c>
      <c r="I46" s="4">
        <f ca="1">-SUMIFS(INDIRECT("Tab_000.Trial["&amp;I$4&amp;"]"),Tab_000.Trial[CONTA],$B46)</f>
        <v>0</v>
      </c>
      <c r="J46" s="78">
        <f t="shared" ca="1" si="59"/>
        <v>0</v>
      </c>
      <c r="K46" s="78">
        <f t="shared" ca="1" si="60"/>
        <v>0</v>
      </c>
      <c r="L46" s="4">
        <f ca="1">-SUMIFS(INDIRECT("Tab_000.Trial["&amp;L$4&amp;"]"),Tab_000.Trial[CONTA],$B46)</f>
        <v>0</v>
      </c>
      <c r="M46" s="78">
        <f t="shared" ca="1" si="61"/>
        <v>0</v>
      </c>
      <c r="N46" s="78">
        <f t="shared" ca="1" si="62"/>
        <v>0</v>
      </c>
      <c r="O46" s="4">
        <f ca="1">-SUMIFS(INDIRECT("Tab_000.Trial["&amp;O$4&amp;"]"),Tab_000.Trial[CONTA],$B46)</f>
        <v>0</v>
      </c>
      <c r="P46" s="78">
        <f t="shared" ca="1" si="63"/>
        <v>0</v>
      </c>
      <c r="Q46" s="78">
        <f t="shared" ca="1" si="64"/>
        <v>0</v>
      </c>
      <c r="R46" s="4">
        <f ca="1">-SUMIFS(INDIRECT("Tab_000.Trial["&amp;R$4&amp;"]"),Tab_000.Trial[CONTA],$B46)</f>
        <v>0</v>
      </c>
      <c r="S46" s="78">
        <f t="shared" ca="1" si="65"/>
        <v>0</v>
      </c>
      <c r="T46" s="78">
        <f t="shared" ca="1" si="66"/>
        <v>0</v>
      </c>
      <c r="U46" s="4">
        <f ca="1">-SUMIFS(INDIRECT("Tab_000.Trial["&amp;U$4&amp;"]"),Tab_000.Trial[CONTA],$B46)</f>
        <v>0</v>
      </c>
      <c r="V46" s="78">
        <f t="shared" ca="1" si="78"/>
        <v>0</v>
      </c>
      <c r="W46" s="78">
        <f t="shared" ca="1" si="67"/>
        <v>0</v>
      </c>
      <c r="X46" s="4">
        <f ca="1">-SUMIFS(INDIRECT("Tab_000.Trial["&amp;X$4&amp;"]"),Tab_000.Trial[CONTA],$B46)</f>
        <v>0</v>
      </c>
      <c r="Y46" s="78">
        <f t="shared" ca="1" si="68"/>
        <v>0</v>
      </c>
      <c r="Z46" s="78">
        <f t="shared" ca="1" si="69"/>
        <v>0</v>
      </c>
      <c r="AA46" s="4">
        <f ca="1">-SUMIFS(INDIRECT("Tab_000.Trial["&amp;AA$4&amp;"]"),Tab_000.Trial[CONTA],$B46)</f>
        <v>-52.46</v>
      </c>
      <c r="AB46" s="78">
        <f t="shared" ca="1" si="70"/>
        <v>-1E-4</v>
      </c>
      <c r="AC46" s="78">
        <f t="shared" ca="1" si="71"/>
        <v>0</v>
      </c>
      <c r="AD46" s="4">
        <f ca="1">-SUMIFS(INDIRECT("Tab_000.Trial["&amp;AD$4&amp;"]"),Tab_000.Trial[CONTA],$B46)</f>
        <v>0</v>
      </c>
      <c r="AE46" s="78">
        <f t="shared" ca="1" si="72"/>
        <v>0</v>
      </c>
      <c r="AF46" s="78">
        <f t="shared" ca="1" si="73"/>
        <v>1</v>
      </c>
      <c r="AG46" s="4">
        <f ca="1">-SUMIFS(INDIRECT("Tab_000.Trial["&amp;AG$4&amp;"]"),Tab_000.Trial[CONTA],$B46)</f>
        <v>0</v>
      </c>
      <c r="AH46" s="78">
        <f t="shared" ca="1" si="74"/>
        <v>0</v>
      </c>
      <c r="AI46" s="78">
        <f t="shared" ca="1" si="75"/>
        <v>0</v>
      </c>
      <c r="AJ46" s="4">
        <f ca="1">-SUMIFS(INDIRECT("Tab_000.Trial["&amp;AJ$4&amp;"]"),Tab_000.Trial[CONTA],$B46)</f>
        <v>0</v>
      </c>
      <c r="AK46" s="78">
        <f t="shared" ca="1" si="76"/>
        <v>0</v>
      </c>
      <c r="AL46" s="78">
        <f t="shared" ca="1" si="77"/>
        <v>0</v>
      </c>
    </row>
    <row r="47" spans="2:39" ht="15" hidden="1" customHeight="1" outlineLevel="1" x14ac:dyDescent="0.3">
      <c r="B47" s="14" t="s">
        <v>419</v>
      </c>
      <c r="C47" s="14" t="s">
        <v>420</v>
      </c>
      <c r="D47" s="4">
        <f ca="1">-SUMIFS(INDIRECT("Tab_000.Trial["&amp;D$4&amp;"]"),Tab_000.Trial[CONTA],$B47)</f>
        <v>-427.26</v>
      </c>
      <c r="E47" s="78">
        <f t="shared" ca="1" si="56"/>
        <v>-5.0000000000000001E-4</v>
      </c>
      <c r="F47" s="4">
        <f ca="1">-SUMIFS(INDIRECT("Tab_000.Trial["&amp;F$4&amp;"]"),Tab_000.Trial[CONTA],$B47)</f>
        <v>-427.26</v>
      </c>
      <c r="G47" s="78">
        <f t="shared" ca="1" si="57"/>
        <v>-8.0000000000000004E-4</v>
      </c>
      <c r="H47" s="78">
        <f t="shared" ca="1" si="58"/>
        <v>0</v>
      </c>
      <c r="I47" s="4">
        <f ca="1">-SUMIFS(INDIRECT("Tab_000.Trial["&amp;I$4&amp;"]"),Tab_000.Trial[CONTA],$B47)</f>
        <v>-427.26</v>
      </c>
      <c r="J47" s="78">
        <f t="shared" ca="1" si="59"/>
        <v>-4.0000000000000002E-4</v>
      </c>
      <c r="K47" s="78">
        <f t="shared" ca="1" si="60"/>
        <v>0</v>
      </c>
      <c r="L47" s="4">
        <f ca="1">-SUMIFS(INDIRECT("Tab_000.Trial["&amp;L$4&amp;"]"),Tab_000.Trial[CONTA],$B47)</f>
        <v>-427.26</v>
      </c>
      <c r="M47" s="78">
        <f t="shared" ca="1" si="61"/>
        <v>-4.0000000000000002E-4</v>
      </c>
      <c r="N47" s="78">
        <f t="shared" ca="1" si="62"/>
        <v>0</v>
      </c>
      <c r="O47" s="4">
        <f ca="1">-SUMIFS(INDIRECT("Tab_000.Trial["&amp;O$4&amp;"]"),Tab_000.Trial[CONTA],$B47)</f>
        <v>-1266.58</v>
      </c>
      <c r="P47" s="78">
        <f t="shared" ca="1" si="63"/>
        <v>-1.1000000000000001E-3</v>
      </c>
      <c r="Q47" s="78">
        <f t="shared" ca="1" si="64"/>
        <v>-1.9643999999999999</v>
      </c>
      <c r="R47" s="4">
        <f ca="1">-SUMIFS(INDIRECT("Tab_000.Trial["&amp;R$4&amp;"]"),Tab_000.Trial[CONTA],$B47)</f>
        <v>-427.26</v>
      </c>
      <c r="S47" s="78">
        <f t="shared" ca="1" si="65"/>
        <v>-4.0000000000000002E-4</v>
      </c>
      <c r="T47" s="78">
        <f t="shared" ca="1" si="66"/>
        <v>0.66269999999999996</v>
      </c>
      <c r="U47" s="4">
        <f ca="1">-SUMIFS(INDIRECT("Tab_000.Trial["&amp;U$4&amp;"]"),Tab_000.Trial[CONTA],$B47)</f>
        <v>-427.26</v>
      </c>
      <c r="V47" s="78">
        <f t="shared" ca="1" si="78"/>
        <v>-4.0000000000000002E-4</v>
      </c>
      <c r="W47" s="78">
        <f t="shared" ca="1" si="67"/>
        <v>0</v>
      </c>
      <c r="X47" s="4">
        <f ca="1">-SUMIFS(INDIRECT("Tab_000.Trial["&amp;X$4&amp;"]"),Tab_000.Trial[CONTA],$B47)</f>
        <v>-427.26</v>
      </c>
      <c r="Y47" s="78">
        <f t="shared" ca="1" si="68"/>
        <v>-4.0000000000000002E-4</v>
      </c>
      <c r="Z47" s="78">
        <f t="shared" ca="1" si="69"/>
        <v>0</v>
      </c>
      <c r="AA47" s="4">
        <f ca="1">-SUMIFS(INDIRECT("Tab_000.Trial["&amp;AA$4&amp;"]"),Tab_000.Trial[CONTA],$B47)</f>
        <v>-1683.21</v>
      </c>
      <c r="AB47" s="78">
        <f t="shared" ca="1" si="70"/>
        <v>-1.6999999999999999E-3</v>
      </c>
      <c r="AC47" s="78">
        <f t="shared" ca="1" si="71"/>
        <v>-2.9394999999999998</v>
      </c>
      <c r="AD47" s="4">
        <f ca="1">-SUMIFS(INDIRECT("Tab_000.Trial["&amp;AD$4&amp;"]"),Tab_000.Trial[CONTA],$B47)</f>
        <v>-427.26</v>
      </c>
      <c r="AE47" s="78">
        <f t="shared" ca="1" si="72"/>
        <v>-2.9999999999999997E-4</v>
      </c>
      <c r="AF47" s="78">
        <f t="shared" ca="1" si="73"/>
        <v>0.74619999999999997</v>
      </c>
      <c r="AG47" s="4">
        <f ca="1">-SUMIFS(INDIRECT("Tab_000.Trial["&amp;AG$4&amp;"]"),Tab_000.Trial[CONTA],$B47)</f>
        <v>-427.26</v>
      </c>
      <c r="AH47" s="78">
        <f t="shared" ca="1" si="74"/>
        <v>-5.0000000000000001E-4</v>
      </c>
      <c r="AI47" s="78">
        <f t="shared" ca="1" si="75"/>
        <v>0</v>
      </c>
      <c r="AJ47" s="4">
        <f ca="1">-SUMIFS(INDIRECT("Tab_000.Trial["&amp;AJ$4&amp;"]"),Tab_000.Trial[CONTA],$B47)</f>
        <v>-427.26</v>
      </c>
      <c r="AK47" s="78">
        <f t="shared" ca="1" si="76"/>
        <v>-2.9999999999999997E-4</v>
      </c>
      <c r="AL47" s="78">
        <f t="shared" ca="1" si="77"/>
        <v>0</v>
      </c>
    </row>
    <row r="48" spans="2:39" ht="15" hidden="1" customHeight="1" outlineLevel="1" x14ac:dyDescent="0.3">
      <c r="B48" s="14" t="s">
        <v>421</v>
      </c>
      <c r="C48" s="14" t="s">
        <v>422</v>
      </c>
      <c r="D48" s="4">
        <f ca="1">-SUMIFS(INDIRECT("Tab_000.Trial["&amp;D$4&amp;"]"),Tab_000.Trial[CONTA],$B48)</f>
        <v>-187419.37</v>
      </c>
      <c r="E48" s="78">
        <f t="shared" ca="1" si="56"/>
        <v>-0.20080000000000001</v>
      </c>
      <c r="F48" s="4">
        <f ca="1">-SUMIFS(INDIRECT("Tab_000.Trial["&amp;F$4&amp;"]"),Tab_000.Trial[CONTA],$B48)</f>
        <v>0</v>
      </c>
      <c r="G48" s="78">
        <f t="shared" ca="1" si="57"/>
        <v>0</v>
      </c>
      <c r="H48" s="78">
        <f t="shared" ca="1" si="58"/>
        <v>1</v>
      </c>
      <c r="I48" s="4">
        <f ca="1">-SUMIFS(INDIRECT("Tab_000.Trial["&amp;I$4&amp;"]"),Tab_000.Trial[CONTA],$B48)</f>
        <v>-247414.93</v>
      </c>
      <c r="J48" s="78">
        <f t="shared" ca="1" si="59"/>
        <v>-0.23830000000000001</v>
      </c>
      <c r="K48" s="78">
        <f t="shared" ca="1" si="60"/>
        <v>0</v>
      </c>
      <c r="L48" s="4">
        <f ca="1">-SUMIFS(INDIRECT("Tab_000.Trial["&amp;L$4&amp;"]"),Tab_000.Trial[CONTA],$B48)</f>
        <v>-180215.42</v>
      </c>
      <c r="M48" s="78">
        <f t="shared" ca="1" si="61"/>
        <v>-0.18</v>
      </c>
      <c r="N48" s="78">
        <f t="shared" ca="1" si="62"/>
        <v>0.27160000000000001</v>
      </c>
      <c r="O48" s="4">
        <f ca="1">-SUMIFS(INDIRECT("Tab_000.Trial["&amp;O$4&amp;"]"),Tab_000.Trial[CONTA],$B48)</f>
        <v>-332680.82</v>
      </c>
      <c r="P48" s="78">
        <f t="shared" ca="1" si="63"/>
        <v>-0.27700000000000002</v>
      </c>
      <c r="Q48" s="78">
        <f t="shared" ca="1" si="64"/>
        <v>-0.84599999999999997</v>
      </c>
      <c r="R48" s="4">
        <f ca="1">-SUMIFS(INDIRECT("Tab_000.Trial["&amp;R$4&amp;"]"),Tab_000.Trial[CONTA],$B48)</f>
        <v>-323149.34999999998</v>
      </c>
      <c r="S48" s="78">
        <f t="shared" ca="1" si="65"/>
        <v>-0.30499999999999999</v>
      </c>
      <c r="T48" s="78">
        <f t="shared" ca="1" si="66"/>
        <v>2.87E-2</v>
      </c>
      <c r="U48" s="4">
        <f ca="1">-SUMIFS(INDIRECT("Tab_000.Trial["&amp;U$4&amp;"]"),Tab_000.Trial[CONTA],$B48)</f>
        <v>-323149.34999999998</v>
      </c>
      <c r="V48" s="78">
        <f t="shared" ca="1" si="78"/>
        <v>-0.30499999999999999</v>
      </c>
      <c r="W48" s="78">
        <f t="shared" ca="1" si="67"/>
        <v>0</v>
      </c>
      <c r="X48" s="4">
        <f ca="1">-SUMIFS(INDIRECT("Tab_000.Trial["&amp;X$4&amp;"]"),Tab_000.Trial[CONTA],$B48)</f>
        <v>-323149.34999999998</v>
      </c>
      <c r="Y48" s="78">
        <f t="shared" ca="1" si="68"/>
        <v>-0.30499999999999999</v>
      </c>
      <c r="Z48" s="78">
        <f t="shared" ca="1" si="69"/>
        <v>0</v>
      </c>
      <c r="AA48" s="4">
        <f ca="1">-SUMIFS(INDIRECT("Tab_000.Trial["&amp;AA$4&amp;"]"),Tab_000.Trial[CONTA],$B48)</f>
        <v>-198337.07</v>
      </c>
      <c r="AB48" s="78">
        <f t="shared" ca="1" si="70"/>
        <v>-0.2049</v>
      </c>
      <c r="AC48" s="78">
        <f t="shared" ca="1" si="71"/>
        <v>0.38619999999999999</v>
      </c>
      <c r="AD48" s="4">
        <f ca="1">-SUMIFS(INDIRECT("Tab_000.Trial["&amp;AD$4&amp;"]"),Tab_000.Trial[CONTA],$B48)</f>
        <v>-429781.84</v>
      </c>
      <c r="AE48" s="78">
        <f t="shared" ca="1" si="72"/>
        <v>-0.35089999999999999</v>
      </c>
      <c r="AF48" s="78">
        <f t="shared" ca="1" si="73"/>
        <v>-1.1669</v>
      </c>
      <c r="AG48" s="4">
        <f ca="1">-SUMIFS(INDIRECT("Tab_000.Trial["&amp;AG$4&amp;"]"),Tab_000.Trial[CONTA],$B48)</f>
        <v>-188073.31</v>
      </c>
      <c r="AH48" s="78">
        <f t="shared" ca="1" si="74"/>
        <v>-0.20810000000000001</v>
      </c>
      <c r="AI48" s="78">
        <f t="shared" ca="1" si="75"/>
        <v>0.56240000000000001</v>
      </c>
      <c r="AJ48" s="4">
        <f ca="1">-SUMIFS(INDIRECT("Tab_000.Trial["&amp;AJ$4&amp;"]"),Tab_000.Trial[CONTA],$B48)</f>
        <v>-442629.02</v>
      </c>
      <c r="AK48" s="78">
        <f t="shared" ca="1" si="76"/>
        <v>-0.30030000000000001</v>
      </c>
      <c r="AL48" s="78">
        <f t="shared" ca="1" si="77"/>
        <v>-1.3534999999999999</v>
      </c>
    </row>
    <row r="49" spans="2:39" ht="15" hidden="1" customHeight="1" outlineLevel="1" x14ac:dyDescent="0.3">
      <c r="B49" s="14" t="s">
        <v>423</v>
      </c>
      <c r="C49" s="14" t="s">
        <v>424</v>
      </c>
      <c r="D49" s="4">
        <f ca="1">-SUMIFS(INDIRECT("Tab_000.Trial["&amp;D$4&amp;"]"),Tab_000.Trial[CONTA],$B49)</f>
        <v>-542450.57999999996</v>
      </c>
      <c r="E49" s="78">
        <f t="shared" ca="1" si="56"/>
        <v>-0.58120000000000005</v>
      </c>
      <c r="F49" s="4">
        <f ca="1">-SUMIFS(INDIRECT("Tab_000.Trial["&amp;F$4&amp;"]"),Tab_000.Trial[CONTA],$B49)</f>
        <v>-177379.06</v>
      </c>
      <c r="G49" s="78">
        <f t="shared" ca="1" si="57"/>
        <v>-0.33810000000000001</v>
      </c>
      <c r="H49" s="78">
        <f t="shared" ca="1" si="58"/>
        <v>0.67300000000000004</v>
      </c>
      <c r="I49" s="4">
        <f ca="1">-SUMIFS(INDIRECT("Tab_000.Trial["&amp;I$4&amp;"]"),Tab_000.Trial[CONTA],$B49)</f>
        <v>0</v>
      </c>
      <c r="J49" s="78">
        <f t="shared" ca="1" si="59"/>
        <v>0</v>
      </c>
      <c r="K49" s="78">
        <f t="shared" ca="1" si="60"/>
        <v>1</v>
      </c>
      <c r="L49" s="4">
        <f ca="1">-SUMIFS(INDIRECT("Tab_000.Trial["&amp;L$4&amp;"]"),Tab_000.Trial[CONTA],$B49)</f>
        <v>-346532.11</v>
      </c>
      <c r="M49" s="78">
        <f t="shared" ca="1" si="61"/>
        <v>-0.34610000000000002</v>
      </c>
      <c r="N49" s="78">
        <f t="shared" ca="1" si="62"/>
        <v>0</v>
      </c>
      <c r="O49" s="4">
        <f ca="1">-SUMIFS(INDIRECT("Tab_000.Trial["&amp;O$4&amp;"]"),Tab_000.Trial[CONTA],$B49)</f>
        <v>-206948.02</v>
      </c>
      <c r="P49" s="78">
        <f t="shared" ca="1" si="63"/>
        <v>-0.17230000000000001</v>
      </c>
      <c r="Q49" s="78">
        <f t="shared" ca="1" si="64"/>
        <v>0.40279999999999999</v>
      </c>
      <c r="R49" s="4">
        <f ca="1">-SUMIFS(INDIRECT("Tab_000.Trial["&amp;R$4&amp;"]"),Tab_000.Trial[CONTA],$B49)</f>
        <v>-244965.36</v>
      </c>
      <c r="S49" s="78">
        <f t="shared" ca="1" si="65"/>
        <v>-0.23119999999999999</v>
      </c>
      <c r="T49" s="78">
        <f t="shared" ca="1" si="66"/>
        <v>-0.1837</v>
      </c>
      <c r="U49" s="4">
        <f ca="1">-SUMIFS(INDIRECT("Tab_000.Trial["&amp;U$4&amp;"]"),Tab_000.Trial[CONTA],$B49)</f>
        <v>-244965.36</v>
      </c>
      <c r="V49" s="78">
        <f t="shared" ca="1" si="78"/>
        <v>-0.23119999999999999</v>
      </c>
      <c r="W49" s="78">
        <f t="shared" ca="1" si="67"/>
        <v>0</v>
      </c>
      <c r="X49" s="4">
        <f ca="1">-SUMIFS(INDIRECT("Tab_000.Trial["&amp;X$4&amp;"]"),Tab_000.Trial[CONTA],$B49)</f>
        <v>-244965.36</v>
      </c>
      <c r="Y49" s="78">
        <f t="shared" ca="1" si="68"/>
        <v>-0.23119999999999999</v>
      </c>
      <c r="Z49" s="78">
        <f t="shared" ca="1" si="69"/>
        <v>0</v>
      </c>
      <c r="AA49" s="4">
        <f ca="1">-SUMIFS(INDIRECT("Tab_000.Trial["&amp;AA$4&amp;"]"),Tab_000.Trial[CONTA],$B49)</f>
        <v>-244385.99</v>
      </c>
      <c r="AB49" s="78">
        <f t="shared" ca="1" si="70"/>
        <v>-0.2525</v>
      </c>
      <c r="AC49" s="78">
        <f t="shared" ca="1" si="71"/>
        <v>2.3999999999999998E-3</v>
      </c>
      <c r="AD49" s="4">
        <f ca="1">-SUMIFS(INDIRECT("Tab_000.Trial["&amp;AD$4&amp;"]"),Tab_000.Trial[CONTA],$B49)</f>
        <v>-225471.28</v>
      </c>
      <c r="AE49" s="78">
        <f t="shared" ca="1" si="72"/>
        <v>-0.18410000000000001</v>
      </c>
      <c r="AF49" s="78">
        <f t="shared" ca="1" si="73"/>
        <v>7.7399999999999997E-2</v>
      </c>
      <c r="AG49" s="4">
        <f ca="1">-SUMIFS(INDIRECT("Tab_000.Trial["&amp;AG$4&amp;"]"),Tab_000.Trial[CONTA],$B49)</f>
        <v>0</v>
      </c>
      <c r="AH49" s="78">
        <f t="shared" ca="1" si="74"/>
        <v>0</v>
      </c>
      <c r="AI49" s="78">
        <f t="shared" ca="1" si="75"/>
        <v>1</v>
      </c>
      <c r="AJ49" s="4">
        <f ca="1">-SUMIFS(INDIRECT("Tab_000.Trial["&amp;AJ$4&amp;"]"),Tab_000.Trial[CONTA],$B49)</f>
        <v>-899207.33</v>
      </c>
      <c r="AK49" s="78">
        <f t="shared" ca="1" si="76"/>
        <v>-0.61</v>
      </c>
      <c r="AL49" s="78">
        <f t="shared" ca="1" si="77"/>
        <v>0</v>
      </c>
    </row>
    <row r="50" spans="2:39" ht="15" hidden="1" customHeight="1" outlineLevel="1" x14ac:dyDescent="0.3">
      <c r="B50" s="14" t="s">
        <v>425</v>
      </c>
      <c r="C50" s="14" t="s">
        <v>426</v>
      </c>
      <c r="D50" s="4">
        <f ca="1">-SUMIFS(INDIRECT("Tab_000.Trial["&amp;D$4&amp;"]"),Tab_000.Trial[CONTA],$B50)</f>
        <v>0</v>
      </c>
      <c r="E50" s="78">
        <f t="shared" ca="1" si="56"/>
        <v>0</v>
      </c>
      <c r="F50" s="4">
        <f ca="1">-SUMIFS(INDIRECT("Tab_000.Trial["&amp;F$4&amp;"]"),Tab_000.Trial[CONTA],$B50)</f>
        <v>0</v>
      </c>
      <c r="G50" s="78">
        <f t="shared" ca="1" si="57"/>
        <v>0</v>
      </c>
      <c r="H50" s="78">
        <f t="shared" ca="1" si="58"/>
        <v>0</v>
      </c>
      <c r="I50" s="4">
        <f ca="1">-SUMIFS(INDIRECT("Tab_000.Trial["&amp;I$4&amp;"]"),Tab_000.Trial[CONTA],$B50)</f>
        <v>0</v>
      </c>
      <c r="J50" s="78">
        <f t="shared" ca="1" si="59"/>
        <v>0</v>
      </c>
      <c r="K50" s="78">
        <f t="shared" ca="1" si="60"/>
        <v>0</v>
      </c>
      <c r="L50" s="4">
        <f ca="1">-SUMIFS(INDIRECT("Tab_000.Trial["&amp;L$4&amp;"]"),Tab_000.Trial[CONTA],$B50)</f>
        <v>0</v>
      </c>
      <c r="M50" s="78">
        <f t="shared" ca="1" si="61"/>
        <v>0</v>
      </c>
      <c r="N50" s="78">
        <f t="shared" ca="1" si="62"/>
        <v>0</v>
      </c>
      <c r="O50" s="4">
        <f ca="1">-SUMIFS(INDIRECT("Tab_000.Trial["&amp;O$4&amp;"]"),Tab_000.Trial[CONTA],$B50)</f>
        <v>0</v>
      </c>
      <c r="P50" s="78">
        <f t="shared" ca="1" si="63"/>
        <v>0</v>
      </c>
      <c r="Q50" s="78">
        <f t="shared" ca="1" si="64"/>
        <v>0</v>
      </c>
      <c r="R50" s="4">
        <f ca="1">-SUMIFS(INDIRECT("Tab_000.Trial["&amp;R$4&amp;"]"),Tab_000.Trial[CONTA],$B50)</f>
        <v>0</v>
      </c>
      <c r="S50" s="78">
        <f t="shared" ca="1" si="65"/>
        <v>0</v>
      </c>
      <c r="T50" s="78">
        <f t="shared" ca="1" si="66"/>
        <v>0</v>
      </c>
      <c r="U50" s="4">
        <f ca="1">-SUMIFS(INDIRECT("Tab_000.Trial["&amp;U$4&amp;"]"),Tab_000.Trial[CONTA],$B50)</f>
        <v>0</v>
      </c>
      <c r="V50" s="78">
        <f t="shared" ca="1" si="78"/>
        <v>0</v>
      </c>
      <c r="W50" s="78">
        <f t="shared" ca="1" si="67"/>
        <v>0</v>
      </c>
      <c r="X50" s="4">
        <f ca="1">-SUMIFS(INDIRECT("Tab_000.Trial["&amp;X$4&amp;"]"),Tab_000.Trial[CONTA],$B50)</f>
        <v>0</v>
      </c>
      <c r="Y50" s="78">
        <f t="shared" ca="1" si="68"/>
        <v>0</v>
      </c>
      <c r="Z50" s="78">
        <f t="shared" ca="1" si="69"/>
        <v>0</v>
      </c>
      <c r="AA50" s="4">
        <f ca="1">-SUMIFS(INDIRECT("Tab_000.Trial["&amp;AA$4&amp;"]"),Tab_000.Trial[CONTA],$B50)</f>
        <v>0</v>
      </c>
      <c r="AB50" s="78">
        <f t="shared" ca="1" si="70"/>
        <v>0</v>
      </c>
      <c r="AC50" s="78">
        <f t="shared" ca="1" si="71"/>
        <v>0</v>
      </c>
      <c r="AD50" s="4">
        <f ca="1">-SUMIFS(INDIRECT("Tab_000.Trial["&amp;AD$4&amp;"]"),Tab_000.Trial[CONTA],$B50)</f>
        <v>0</v>
      </c>
      <c r="AE50" s="78">
        <f t="shared" ca="1" si="72"/>
        <v>0</v>
      </c>
      <c r="AF50" s="78">
        <f t="shared" ca="1" si="73"/>
        <v>0</v>
      </c>
      <c r="AG50" s="4">
        <f ca="1">-SUMIFS(INDIRECT("Tab_000.Trial["&amp;AG$4&amp;"]"),Tab_000.Trial[CONTA],$B50)</f>
        <v>0</v>
      </c>
      <c r="AH50" s="78">
        <f t="shared" ca="1" si="74"/>
        <v>0</v>
      </c>
      <c r="AI50" s="78">
        <f t="shared" ca="1" si="75"/>
        <v>0</v>
      </c>
      <c r="AJ50" s="4">
        <f ca="1">-SUMIFS(INDIRECT("Tab_000.Trial["&amp;AJ$4&amp;"]"),Tab_000.Trial[CONTA],$B50)</f>
        <v>0</v>
      </c>
      <c r="AK50" s="78">
        <f t="shared" ca="1" si="76"/>
        <v>0</v>
      </c>
      <c r="AL50" s="78">
        <f t="shared" ca="1" si="77"/>
        <v>0</v>
      </c>
    </row>
    <row r="51" spans="2:39" ht="15" hidden="1" customHeight="1" outlineLevel="1" x14ac:dyDescent="0.3">
      <c r="B51" s="14" t="s">
        <v>738</v>
      </c>
      <c r="C51" s="14" t="s">
        <v>367</v>
      </c>
      <c r="D51" s="4">
        <f ca="1">-SUMIFS(INDIRECT("Tab_000.Trial["&amp;D$4&amp;"]"),Tab_000.Trial[CONTA],$B51)</f>
        <v>-122569.24</v>
      </c>
      <c r="E51" s="78">
        <f t="shared" ca="1" si="56"/>
        <v>-0.1313</v>
      </c>
      <c r="F51" s="4">
        <f ca="1">-SUMIFS(INDIRECT("Tab_000.Trial["&amp;F$4&amp;"]"),Tab_000.Trial[CONTA],$B51)</f>
        <v>0</v>
      </c>
      <c r="G51" s="78">
        <f t="shared" ca="1" si="57"/>
        <v>0</v>
      </c>
      <c r="H51" s="78">
        <f t="shared" ca="1" si="58"/>
        <v>1</v>
      </c>
      <c r="I51" s="4">
        <f ca="1">-SUMIFS(INDIRECT("Tab_000.Trial["&amp;I$4&amp;"]"),Tab_000.Trial[CONTA],$B51)</f>
        <v>-154690.84</v>
      </c>
      <c r="J51" s="78">
        <f t="shared" ca="1" si="59"/>
        <v>-0.14899999999999999</v>
      </c>
      <c r="K51" s="78">
        <f t="shared" ca="1" si="60"/>
        <v>0</v>
      </c>
      <c r="L51" s="4">
        <f ca="1">-SUMIFS(INDIRECT("Tab_000.Trial["&amp;L$4&amp;"]"),Tab_000.Trial[CONTA],$B51)</f>
        <v>-132289.44</v>
      </c>
      <c r="M51" s="78">
        <f t="shared" ca="1" si="61"/>
        <v>-0.1321</v>
      </c>
      <c r="N51" s="78">
        <f t="shared" ca="1" si="62"/>
        <v>0.14480000000000001</v>
      </c>
      <c r="O51" s="4">
        <f ca="1">-SUMIFS(INDIRECT("Tab_000.Trial["&amp;O$4&amp;"]"),Tab_000.Trial[CONTA],$B51)</f>
        <v>-137859.68</v>
      </c>
      <c r="P51" s="78">
        <f t="shared" ca="1" si="63"/>
        <v>-0.1148</v>
      </c>
      <c r="Q51" s="78">
        <f t="shared" ca="1" si="64"/>
        <v>-4.2099999999999999E-2</v>
      </c>
      <c r="R51" s="4">
        <f ca="1">-SUMIFS(INDIRECT("Tab_000.Trial["&amp;R$4&amp;"]"),Tab_000.Trial[CONTA],$B51)</f>
        <v>-133881.88</v>
      </c>
      <c r="S51" s="78">
        <f t="shared" ca="1" si="65"/>
        <v>-0.12640000000000001</v>
      </c>
      <c r="T51" s="78">
        <f t="shared" ca="1" si="66"/>
        <v>2.8899999999999999E-2</v>
      </c>
      <c r="U51" s="4">
        <f ca="1">-SUMIFS(INDIRECT("Tab_000.Trial["&amp;U$4&amp;"]"),Tab_000.Trial[CONTA],$B51)</f>
        <v>-133881.88</v>
      </c>
      <c r="V51" s="78">
        <f t="shared" ca="1" si="78"/>
        <v>-0.12640000000000001</v>
      </c>
      <c r="W51" s="78">
        <f t="shared" ca="1" si="67"/>
        <v>0</v>
      </c>
      <c r="X51" s="4">
        <f ca="1">-SUMIFS(INDIRECT("Tab_000.Trial["&amp;X$4&amp;"]"),Tab_000.Trial[CONTA],$B51)</f>
        <v>-133881.88</v>
      </c>
      <c r="Y51" s="78">
        <f t="shared" ca="1" si="68"/>
        <v>-0.12640000000000001</v>
      </c>
      <c r="Z51" s="78">
        <f t="shared" ca="1" si="69"/>
        <v>0</v>
      </c>
      <c r="AA51" s="4">
        <f ca="1">-SUMIFS(INDIRECT("Tab_000.Trial["&amp;AA$4&amp;"]"),Tab_000.Trial[CONTA],$B51)</f>
        <v>-128578.44</v>
      </c>
      <c r="AB51" s="78">
        <f t="shared" ca="1" si="70"/>
        <v>-0.1328</v>
      </c>
      <c r="AC51" s="78">
        <f t="shared" ca="1" si="71"/>
        <v>3.9600000000000003E-2</v>
      </c>
      <c r="AD51" s="4">
        <f ca="1">-SUMIFS(INDIRECT("Tab_000.Trial["&amp;AD$4&amp;"]"),Tab_000.Trial[CONTA],$B51)</f>
        <v>-148911.84</v>
      </c>
      <c r="AE51" s="78">
        <f t="shared" ca="1" si="72"/>
        <v>-0.1216</v>
      </c>
      <c r="AF51" s="78">
        <f t="shared" ca="1" si="73"/>
        <v>-0.15809999999999999</v>
      </c>
      <c r="AG51" s="4">
        <f ca="1">-SUMIFS(INDIRECT("Tab_000.Trial["&amp;AG$4&amp;"]"),Tab_000.Trial[CONTA],$B51)</f>
        <v>-109417.12</v>
      </c>
      <c r="AH51" s="78">
        <f t="shared" ca="1" si="74"/>
        <v>-0.1211</v>
      </c>
      <c r="AI51" s="78">
        <f t="shared" ca="1" si="75"/>
        <v>0.26519999999999999</v>
      </c>
      <c r="AJ51" s="4">
        <f ca="1">-SUMIFS(INDIRECT("Tab_000.Trial["&amp;AJ$4&amp;"]"),Tab_000.Trial[CONTA],$B51)</f>
        <v>-112795.04</v>
      </c>
      <c r="AK51" s="78">
        <f t="shared" ca="1" si="76"/>
        <v>-7.6499999999999999E-2</v>
      </c>
      <c r="AL51" s="78">
        <f t="shared" ca="1" si="77"/>
        <v>-3.09E-2</v>
      </c>
    </row>
    <row r="52" spans="2:39" ht="5.0999999999999996" hidden="1" customHeight="1" outlineLevel="1" x14ac:dyDescent="0.3">
      <c r="B52" s="74"/>
      <c r="C52" s="75"/>
      <c r="D52" s="76"/>
      <c r="E52" s="77"/>
      <c r="F52" s="76"/>
      <c r="G52" s="77"/>
      <c r="H52" s="77"/>
      <c r="I52" s="76"/>
      <c r="J52" s="77"/>
      <c r="K52" s="77"/>
      <c r="L52" s="76"/>
      <c r="M52" s="77"/>
      <c r="N52" s="77"/>
      <c r="O52" s="76"/>
      <c r="P52" s="77"/>
      <c r="Q52" s="77"/>
      <c r="R52" s="76"/>
      <c r="S52" s="77"/>
      <c r="T52" s="77"/>
      <c r="U52" s="76"/>
      <c r="V52" s="77"/>
      <c r="W52" s="77"/>
      <c r="X52" s="76"/>
      <c r="Y52" s="77"/>
      <c r="Z52" s="77"/>
      <c r="AA52" s="76"/>
      <c r="AB52" s="77"/>
      <c r="AC52" s="77"/>
      <c r="AD52" s="76"/>
      <c r="AE52" s="77"/>
      <c r="AF52" s="77"/>
      <c r="AG52" s="76"/>
      <c r="AH52" s="77"/>
      <c r="AI52" s="77"/>
      <c r="AJ52" s="76"/>
      <c r="AK52" s="77"/>
      <c r="AL52" s="77"/>
    </row>
    <row r="53" spans="2:39" ht="18" customHeight="1" x14ac:dyDescent="0.3"/>
    <row r="54" spans="2:39" ht="15" customHeight="1" x14ac:dyDescent="0.3">
      <c r="C54" s="17" t="s">
        <v>65</v>
      </c>
      <c r="D54" s="16">
        <f ca="1">SUBTOTAL(9,D$5:D$53)</f>
        <v>42377.29</v>
      </c>
      <c r="E54" s="80">
        <f ca="1">IFERROR($D54/$D$6,0)</f>
        <v>4.5400000000000003E-2</v>
      </c>
      <c r="F54" s="16">
        <f ca="1">SUBTOTAL(9,F$5:F$53)</f>
        <v>317328.56</v>
      </c>
      <c r="G54" s="80">
        <f ca="1">IFERROR($F54/$F$6,0)</f>
        <v>0.60489999999999999</v>
      </c>
      <c r="H54" s="80">
        <f ca="1">IFERROR(($F54-$D54)/ABS($D54),0)</f>
        <v>6.4882</v>
      </c>
      <c r="I54" s="16">
        <f ca="1">SUBTOTAL(9,I$5:I$53)</f>
        <v>600078.18999999994</v>
      </c>
      <c r="J54" s="80">
        <f ca="1">IFERROR($I54/$I$6,0)</f>
        <v>0.57799999999999996</v>
      </c>
      <c r="K54" s="80">
        <f t="shared" ref="K54" ca="1" si="79">IFERROR(($I54-$F54)/ABS($F54),0)</f>
        <v>0.89100000000000001</v>
      </c>
      <c r="L54" s="16">
        <f ca="1">SUBTOTAL(9,L$5:L$53)</f>
        <v>302025.3</v>
      </c>
      <c r="M54" s="80">
        <f ca="1">IFERROR($L54/$L$6,0)</f>
        <v>0.30170000000000002</v>
      </c>
      <c r="N54" s="80">
        <f t="shared" ref="N54" ca="1" si="80">IFERROR(($L54-$I54)/ABS($I54),0)</f>
        <v>-0.49669999999999997</v>
      </c>
      <c r="O54" s="16">
        <f ca="1">SUBTOTAL(9,O$5:O$53)</f>
        <v>480006.24</v>
      </c>
      <c r="P54" s="80">
        <f ca="1">IFERROR($O54/$O$6,0)</f>
        <v>0.39960000000000001</v>
      </c>
      <c r="Q54" s="80">
        <f t="shared" ref="Q54" ca="1" si="81">IFERROR(($O54-$L54)/ABS($L54),0)</f>
        <v>0.58930000000000005</v>
      </c>
      <c r="R54" s="16">
        <f ca="1">SUBTOTAL(9,R$5:R$53)</f>
        <v>322629.53000000003</v>
      </c>
      <c r="S54" s="80">
        <f ca="1">IFERROR($R54/$R$6,0)</f>
        <v>0.30459999999999998</v>
      </c>
      <c r="T54" s="80">
        <f t="shared" ref="T54" ca="1" si="82">IFERROR(($R54-$O54)/ABS($O54),0)</f>
        <v>-0.32790000000000002</v>
      </c>
      <c r="U54" s="16">
        <f ca="1">SUBTOTAL(9,U$5:U$53)</f>
        <v>322629.53000000003</v>
      </c>
      <c r="V54" s="80">
        <f ca="1">IFERROR($U54/$U$6,0)</f>
        <v>0.30459999999999998</v>
      </c>
      <c r="W54" s="80">
        <f t="shared" ref="W54" ca="1" si="83">IFERROR(($U54-$R54)/ABS($R54),0)</f>
        <v>0</v>
      </c>
      <c r="X54" s="16">
        <f ca="1">SUBTOTAL(9,X$5:X$53)</f>
        <v>322629.53000000003</v>
      </c>
      <c r="Y54" s="80">
        <f ca="1">IFERROR($X54/$X$6,0)</f>
        <v>0.30459999999999998</v>
      </c>
      <c r="Z54" s="80">
        <f t="shared" ref="Z54" ca="1" si="84">IFERROR(($X54-$U54)/ABS($U54),0)</f>
        <v>0</v>
      </c>
      <c r="AA54" s="16">
        <f ca="1">SUBTOTAL(9,AA$5:AA$53)</f>
        <v>344709.99</v>
      </c>
      <c r="AB54" s="80">
        <f ca="1">IFERROR($AA54/$AA$6,0)</f>
        <v>0.35610000000000003</v>
      </c>
      <c r="AC54" s="80">
        <f t="shared" ref="AC54" ca="1" si="85">IFERROR(($AA54-$X54)/ABS($X54),0)</f>
        <v>6.8400000000000002E-2</v>
      </c>
      <c r="AD54" s="16">
        <f ca="1">SUBTOTAL(9,AD$5:AD$53)</f>
        <v>384738.03</v>
      </c>
      <c r="AE54" s="80">
        <f ca="1">IFERROR($AD54/$AD$6,0)</f>
        <v>0.31409999999999999</v>
      </c>
      <c r="AF54" s="80">
        <f t="shared" ref="AF54" ca="1" si="86">IFERROR(($AD54-$AA54)/ABS($AA54),0)</f>
        <v>0.11609999999999999</v>
      </c>
      <c r="AG54" s="16">
        <f ca="1">SUBTOTAL(9,AG$5:AG$53)</f>
        <v>558002.25</v>
      </c>
      <c r="AH54" s="80">
        <f ca="1">IFERROR($AG54/$AG$6,0)</f>
        <v>0.61750000000000005</v>
      </c>
      <c r="AI54" s="80">
        <f t="shared" ref="AI54" ca="1" si="87">IFERROR(($AG54-$AD54)/ABS($AD54),0)</f>
        <v>0.45029999999999998</v>
      </c>
      <c r="AJ54" s="16">
        <f ca="1">SUBTOTAL(9,AJ$5:AJ$53)</f>
        <v>-10844.04</v>
      </c>
      <c r="AK54" s="80">
        <f ca="1">IFERROR($AJ54/$AJ$6,0)</f>
        <v>-7.4000000000000003E-3</v>
      </c>
      <c r="AL54" s="80">
        <f t="shared" ref="AL54" ca="1" si="88">IFERROR(($AJ54-$AG54)/ABS($AG54),0)</f>
        <v>-1.0194000000000001</v>
      </c>
    </row>
    <row r="55" spans="2:39" ht="5.0999999999999996" customHeight="1" x14ac:dyDescent="0.3"/>
    <row r="56" spans="2:39" ht="9.9" customHeight="1" x14ac:dyDescent="0.3">
      <c r="C56" s="17" t="s">
        <v>86</v>
      </c>
    </row>
    <row r="57" spans="2:39" ht="15" customHeight="1" collapsed="1" x14ac:dyDescent="0.3">
      <c r="B57" s="3" t="s">
        <v>104</v>
      </c>
      <c r="C57" s="3" t="s">
        <v>146</v>
      </c>
      <c r="D57" s="4">
        <f ca="1">SUBTOTAL(9,D$58:D$93)</f>
        <v>-200564.34</v>
      </c>
      <c r="E57" s="78">
        <f t="shared" ref="E57:E92" ca="1" si="89">IFERROR($D57/$D$6,0)</f>
        <v>-0.21490000000000001</v>
      </c>
      <c r="F57" s="4">
        <f ca="1">SUBTOTAL(9,F$58:F$93)</f>
        <v>-207990.16</v>
      </c>
      <c r="G57" s="78">
        <f ca="1">IFERROR($F57/$F$6,0)</f>
        <v>-0.39650000000000002</v>
      </c>
      <c r="H57" s="78">
        <f t="shared" ref="H57:H92" ca="1" si="90">IFERROR(($F57-$D57)/ABS($D57),0)</f>
        <v>-3.6999999999999998E-2</v>
      </c>
      <c r="I57" s="4">
        <f ca="1">SUBTOTAL(9,I$58:I$93)</f>
        <v>-207604.77</v>
      </c>
      <c r="J57" s="78">
        <f ca="1">IFERROR($I57/$I$6,0)</f>
        <v>-0.2</v>
      </c>
      <c r="K57" s="78">
        <f ca="1">IFERROR(($I57-$F57)/ABS($F57),0)</f>
        <v>1.9E-3</v>
      </c>
      <c r="L57" s="4">
        <f ca="1">SUBTOTAL(9,L$58:L$93)</f>
        <v>-186151.86</v>
      </c>
      <c r="M57" s="78">
        <f ca="1">IFERROR($L57/$L$6,0)</f>
        <v>-0.18590000000000001</v>
      </c>
      <c r="N57" s="78">
        <f ca="1">IFERROR(($L57-$I57)/ABS($I57),0)</f>
        <v>0.1033</v>
      </c>
      <c r="O57" s="4">
        <f ca="1">SUBTOTAL(9,O$58:O$93)</f>
        <v>-181114.04</v>
      </c>
      <c r="P57" s="78">
        <f ca="1">IFERROR($O57/$O$6,0)</f>
        <v>-0.15079999999999999</v>
      </c>
      <c r="Q57" s="78">
        <f ca="1">IFERROR(($O57-$L57)/ABS($L57),0)</f>
        <v>2.7099999999999999E-2</v>
      </c>
      <c r="R57" s="4">
        <f ca="1">SUBTOTAL(9,R$58:R$93)</f>
        <v>-159061.79999999999</v>
      </c>
      <c r="S57" s="78">
        <f ca="1">IFERROR($R57/$R$6,0)</f>
        <v>-0.1502</v>
      </c>
      <c r="T57" s="78">
        <f ca="1">IFERROR(($R57-$O57)/ABS($O57),0)</f>
        <v>0.12180000000000001</v>
      </c>
      <c r="U57" s="4">
        <f ca="1">SUBTOTAL(9,U$58:U$93)</f>
        <v>-159061.79999999999</v>
      </c>
      <c r="V57" s="78">
        <f ca="1">IFERROR($U57/$U$6,0)</f>
        <v>-0.1502</v>
      </c>
      <c r="W57" s="78">
        <f ca="1">IFERROR(($U57-$R57)/ABS($R57),0)</f>
        <v>0</v>
      </c>
      <c r="X57" s="4">
        <f ca="1">SUBTOTAL(9,X$58:X$93)</f>
        <v>-159061.79999999999</v>
      </c>
      <c r="Y57" s="78">
        <f ca="1">IFERROR($X57/$X$6,0)</f>
        <v>-0.1502</v>
      </c>
      <c r="Z57" s="78">
        <f ca="1">IFERROR(($X57-$U57)/ABS($U57),0)</f>
        <v>0</v>
      </c>
      <c r="AA57" s="4">
        <f ca="1">SUBTOTAL(9,AA$58:AA$93)</f>
        <v>-187941.84</v>
      </c>
      <c r="AB57" s="78">
        <f ca="1">IFERROR($AA57/$AA$6,0)</f>
        <v>-0.19420000000000001</v>
      </c>
      <c r="AC57" s="78">
        <f ca="1">IFERROR(($AA57-$X57)/ABS($X57),0)</f>
        <v>-0.18160000000000001</v>
      </c>
      <c r="AD57" s="4">
        <f ca="1">SUBTOTAL(9,AD$58:AD$93)</f>
        <v>-173614.13</v>
      </c>
      <c r="AE57" s="78">
        <f ca="1">IFERROR($AD57/$AD$6,0)</f>
        <v>-0.14169999999999999</v>
      </c>
      <c r="AF57" s="78">
        <f ca="1">IFERROR(($AD57-$AA57)/ABS($AA57),0)</f>
        <v>7.6200000000000004E-2</v>
      </c>
      <c r="AG57" s="4">
        <f ca="1">SUBTOTAL(9,AG$58:AG$93)</f>
        <v>-188441.15</v>
      </c>
      <c r="AH57" s="78">
        <f ca="1">IFERROR($AG57/$AG$6,0)</f>
        <v>-0.20849999999999999</v>
      </c>
      <c r="AI57" s="78">
        <f ca="1">IFERROR(($AG57-$AD57)/ABS($AD57),0)</f>
        <v>-8.5400000000000004E-2</v>
      </c>
      <c r="AJ57" s="4">
        <f ca="1">SUBTOTAL(9,AJ$58:AJ$93)</f>
        <v>-175790.21</v>
      </c>
      <c r="AK57" s="78">
        <f ca="1">IFERROR($AJ57/$AJ$6,0)</f>
        <v>-0.1193</v>
      </c>
      <c r="AL57" s="78">
        <f ca="1">IFERROR(($AJ57-$AG57)/ABS($AG57),0)</f>
        <v>6.7100000000000007E-2</v>
      </c>
    </row>
    <row r="58" spans="2:39" ht="15" hidden="1" customHeight="1" outlineLevel="1" x14ac:dyDescent="0.3">
      <c r="B58" s="14" t="s">
        <v>195</v>
      </c>
      <c r="C58" s="14" t="s">
        <v>427</v>
      </c>
      <c r="D58" s="4">
        <f ca="1">-SUMIFS(INDIRECT("Tab_000.Trial["&amp;D$4&amp;"]"),Tab_000.Trial[CONTA],$B58)</f>
        <v>9283.35</v>
      </c>
      <c r="E58" s="78">
        <f t="shared" ca="1" si="89"/>
        <v>9.9000000000000008E-3</v>
      </c>
      <c r="F58" s="4">
        <f ca="1">-SUMIFS(INDIRECT("Tab_000.Trial["&amp;F$4&amp;"]"),Tab_000.Trial[CONTA],$B58)</f>
        <v>0</v>
      </c>
      <c r="G58" s="78">
        <f t="shared" ref="G58:G170" ca="1" si="91">IFERROR($F58/$F$6,0)</f>
        <v>0</v>
      </c>
      <c r="H58" s="78">
        <f t="shared" ca="1" si="90"/>
        <v>-1</v>
      </c>
      <c r="I58" s="4">
        <f ca="1">-SUMIFS(INDIRECT("Tab_000.Trial["&amp;I$4&amp;"]"),Tab_000.Trial[CONTA],$B58)</f>
        <v>-54617.88</v>
      </c>
      <c r="J58" s="78">
        <f t="shared" ref="J58:J170" ca="1" si="92">IFERROR($I58/$I$6,0)</f>
        <v>-5.2600000000000001E-2</v>
      </c>
      <c r="K58" s="78">
        <f t="shared" ref="K58:K168" ca="1" si="93">IFERROR(($I58-$F58)/ABS($F58),0)</f>
        <v>0</v>
      </c>
      <c r="L58" s="4">
        <f ca="1">-SUMIFS(INDIRECT("Tab_000.Trial["&amp;L$4&amp;"]"),Tab_000.Trial[CONTA],$B58)</f>
        <v>-67332.59</v>
      </c>
      <c r="M58" s="78">
        <f t="shared" ref="M58:M170" ca="1" si="94">IFERROR($L58/$L$6,0)</f>
        <v>-6.7299999999999999E-2</v>
      </c>
      <c r="N58" s="78">
        <f t="shared" ref="N58:N168" ca="1" si="95">IFERROR(($L58-$I58)/ABS($I58),0)</f>
        <v>-0.23280000000000001</v>
      </c>
      <c r="O58" s="4">
        <f ca="1">-SUMIFS(INDIRECT("Tab_000.Trial["&amp;O$4&amp;"]"),Tab_000.Trial[CONTA],$B58)</f>
        <v>-65332.63</v>
      </c>
      <c r="P58" s="78">
        <f t="shared" ref="P58:P92" ca="1" si="96">IFERROR($O58/$O$6,0)</f>
        <v>-5.4399999999999997E-2</v>
      </c>
      <c r="Q58" s="78">
        <f t="shared" ref="Q58:Q92" ca="1" si="97">IFERROR(($O58-$L58)/ABS($L58),0)</f>
        <v>2.9700000000000001E-2</v>
      </c>
      <c r="R58" s="4">
        <f ca="1">-SUMIFS(INDIRECT("Tab_000.Trial["&amp;R$4&amp;"]"),Tab_000.Trial[CONTA],$B58)</f>
        <v>-37076.21</v>
      </c>
      <c r="S58" s="78">
        <f t="shared" ref="S58:S170" ca="1" si="98">IFERROR($R58/$R$6,0)</f>
        <v>-3.5000000000000003E-2</v>
      </c>
      <c r="T58" s="78">
        <f t="shared" ref="T58:T168" ca="1" si="99">IFERROR(($R58-$O58)/ABS($O58),0)</f>
        <v>0.4325</v>
      </c>
      <c r="U58" s="4">
        <f ca="1">-SUMIFS(INDIRECT("Tab_000.Trial["&amp;U$4&amp;"]"),Tab_000.Trial[CONTA],$B58)</f>
        <v>-37076.21</v>
      </c>
      <c r="V58" s="78">
        <f t="shared" ref="V58:V170" ca="1" si="100">IFERROR($U58/$U$6,0)</f>
        <v>-3.5000000000000003E-2</v>
      </c>
      <c r="W58" s="78">
        <f t="shared" ref="W58:W168" ca="1" si="101">IFERROR(($U58-$R58)/ABS($R58),0)</f>
        <v>0</v>
      </c>
      <c r="X58" s="4">
        <f ca="1">-SUMIFS(INDIRECT("Tab_000.Trial["&amp;X$4&amp;"]"),Tab_000.Trial[CONTA],$B58)</f>
        <v>-37076.21</v>
      </c>
      <c r="Y58" s="78">
        <f t="shared" ref="Y58:Y92" ca="1" si="102">IFERROR($X58/$X$6,0)</f>
        <v>-3.5000000000000003E-2</v>
      </c>
      <c r="Z58" s="78">
        <f t="shared" ref="Z58:Z92" ca="1" si="103">IFERROR(($X58-$U58)/ABS($U58),0)</f>
        <v>0</v>
      </c>
      <c r="AA58" s="4">
        <f ca="1">-SUMIFS(INDIRECT("Tab_000.Trial["&amp;AA$4&amp;"]"),Tab_000.Trial[CONTA],$B58)</f>
        <v>-62503.12</v>
      </c>
      <c r="AB58" s="78">
        <f t="shared" ref="AB58:AB170" ca="1" si="104">IFERROR($AA58/$AA$6,0)</f>
        <v>-6.4600000000000005E-2</v>
      </c>
      <c r="AC58" s="78">
        <f t="shared" ref="AC58:AC168" ca="1" si="105">IFERROR(($AA58-$X58)/ABS($X58),0)</f>
        <v>-0.68579999999999997</v>
      </c>
      <c r="AD58" s="4">
        <f ca="1">-SUMIFS(INDIRECT("Tab_000.Trial["&amp;AD$4&amp;"]"),Tab_000.Trial[CONTA],$B58)</f>
        <v>-47197.23</v>
      </c>
      <c r="AE58" s="78">
        <f t="shared" ref="AE58:AE170" ca="1" si="106">IFERROR($AD58/$AD$6,0)</f>
        <v>-3.85E-2</v>
      </c>
      <c r="AF58" s="78">
        <f t="shared" ref="AF58:AF168" ca="1" si="107">IFERROR(($AD58-$AA58)/ABS($AA58),0)</f>
        <v>0.24490000000000001</v>
      </c>
      <c r="AG58" s="4">
        <f ca="1">-SUMIFS(INDIRECT("Tab_000.Trial["&amp;AG$4&amp;"]"),Tab_000.Trial[CONTA],$B58)</f>
        <v>-58344.11</v>
      </c>
      <c r="AH58" s="78">
        <f t="shared" ref="AH58:AH170" ca="1" si="108">IFERROR($AG58/$AG$6,0)</f>
        <v>-6.4600000000000005E-2</v>
      </c>
      <c r="AI58" s="78">
        <f t="shared" ref="AI58:AI168" ca="1" si="109">IFERROR(($AG58-$AD58)/ABS($AD58),0)</f>
        <v>-0.23619999999999999</v>
      </c>
      <c r="AJ58" s="4">
        <f ca="1">-SUMIFS(INDIRECT("Tab_000.Trial["&amp;AJ$4&amp;"]"),Tab_000.Trial[CONTA],$B58)</f>
        <v>-62486.02</v>
      </c>
      <c r="AK58" s="78">
        <f t="shared" ref="AK58:AK170" ca="1" si="110">IFERROR($AJ58/$AJ$6,0)</f>
        <v>-4.24E-2</v>
      </c>
      <c r="AL58" s="78">
        <f t="shared" ref="AL58:AL168" ca="1" si="111">IFERROR(($AJ58-$AG58)/ABS($AG58),0)</f>
        <v>-7.0999999999999994E-2</v>
      </c>
    </row>
    <row r="59" spans="2:39" ht="15" hidden="1" customHeight="1" outlineLevel="1" x14ac:dyDescent="0.3">
      <c r="B59" s="14" t="s">
        <v>428</v>
      </c>
      <c r="C59" s="14" t="s">
        <v>429</v>
      </c>
      <c r="D59" s="4">
        <f ca="1">-SUMIFS(INDIRECT("Tab_000.Trial["&amp;D$4&amp;"]"),Tab_000.Trial[CONTA],$B59)</f>
        <v>0</v>
      </c>
      <c r="E59" s="78">
        <f t="shared" ca="1" si="89"/>
        <v>0</v>
      </c>
      <c r="F59" s="4">
        <f ca="1">-SUMIFS(INDIRECT("Tab_000.Trial["&amp;F$4&amp;"]"),Tab_000.Trial[CONTA],$B59)</f>
        <v>0</v>
      </c>
      <c r="G59" s="78">
        <f t="shared" ca="1" si="91"/>
        <v>0</v>
      </c>
      <c r="H59" s="78">
        <f t="shared" ca="1" si="90"/>
        <v>0</v>
      </c>
      <c r="I59" s="4">
        <f ca="1">-SUMIFS(INDIRECT("Tab_000.Trial["&amp;I$4&amp;"]"),Tab_000.Trial[CONTA],$B59)</f>
        <v>0</v>
      </c>
      <c r="J59" s="78">
        <f t="shared" ca="1" si="92"/>
        <v>0</v>
      </c>
      <c r="K59" s="78">
        <f t="shared" ca="1" si="93"/>
        <v>0</v>
      </c>
      <c r="L59" s="4">
        <f ca="1">-SUMIFS(INDIRECT("Tab_000.Trial["&amp;L$4&amp;"]"),Tab_000.Trial[CONTA],$B59)</f>
        <v>0</v>
      </c>
      <c r="M59" s="78">
        <f t="shared" ca="1" si="94"/>
        <v>0</v>
      </c>
      <c r="N59" s="78">
        <f t="shared" ca="1" si="95"/>
        <v>0</v>
      </c>
      <c r="O59" s="4">
        <f ca="1">-SUMIFS(INDIRECT("Tab_000.Trial["&amp;O$4&amp;"]"),Tab_000.Trial[CONTA],$B59)</f>
        <v>0</v>
      </c>
      <c r="P59" s="78">
        <f t="shared" ca="1" si="96"/>
        <v>0</v>
      </c>
      <c r="Q59" s="78">
        <f t="shared" ca="1" si="97"/>
        <v>0</v>
      </c>
      <c r="R59" s="4">
        <f ca="1">-SUMIFS(INDIRECT("Tab_000.Trial["&amp;R$4&amp;"]"),Tab_000.Trial[CONTA],$B59)</f>
        <v>0</v>
      </c>
      <c r="S59" s="78">
        <f t="shared" ca="1" si="98"/>
        <v>0</v>
      </c>
      <c r="T59" s="78">
        <f t="shared" ca="1" si="99"/>
        <v>0</v>
      </c>
      <c r="U59" s="4">
        <f ca="1">-SUMIFS(INDIRECT("Tab_000.Trial["&amp;U$4&amp;"]"),Tab_000.Trial[CONTA],$B59)</f>
        <v>0</v>
      </c>
      <c r="V59" s="78">
        <f t="shared" ca="1" si="100"/>
        <v>0</v>
      </c>
      <c r="W59" s="78">
        <f t="shared" ca="1" si="101"/>
        <v>0</v>
      </c>
      <c r="X59" s="4">
        <f ca="1">-SUMIFS(INDIRECT("Tab_000.Trial["&amp;X$4&amp;"]"),Tab_000.Trial[CONTA],$B59)</f>
        <v>0</v>
      </c>
      <c r="Y59" s="78">
        <f t="shared" ca="1" si="102"/>
        <v>0</v>
      </c>
      <c r="Z59" s="78">
        <f t="shared" ca="1" si="103"/>
        <v>0</v>
      </c>
      <c r="AA59" s="4">
        <f ca="1">-SUMIFS(INDIRECT("Tab_000.Trial["&amp;AA$4&amp;"]"),Tab_000.Trial[CONTA],$B59)</f>
        <v>0</v>
      </c>
      <c r="AB59" s="78">
        <f t="shared" ca="1" si="104"/>
        <v>0</v>
      </c>
      <c r="AC59" s="78">
        <f t="shared" ca="1" si="105"/>
        <v>0</v>
      </c>
      <c r="AD59" s="4">
        <f ca="1">-SUMIFS(INDIRECT("Tab_000.Trial["&amp;AD$4&amp;"]"),Tab_000.Trial[CONTA],$B59)</f>
        <v>0</v>
      </c>
      <c r="AE59" s="78">
        <f t="shared" ca="1" si="106"/>
        <v>0</v>
      </c>
      <c r="AF59" s="78">
        <f t="shared" ca="1" si="107"/>
        <v>0</v>
      </c>
      <c r="AG59" s="4">
        <f ca="1">-SUMIFS(INDIRECT("Tab_000.Trial["&amp;AG$4&amp;"]"),Tab_000.Trial[CONTA],$B59)</f>
        <v>0</v>
      </c>
      <c r="AH59" s="78">
        <f t="shared" ca="1" si="108"/>
        <v>0</v>
      </c>
      <c r="AI59" s="78">
        <f t="shared" ca="1" si="109"/>
        <v>0</v>
      </c>
      <c r="AJ59" s="4">
        <f ca="1">-SUMIFS(INDIRECT("Tab_000.Trial["&amp;AJ$4&amp;"]"),Tab_000.Trial[CONTA],$B59)</f>
        <v>0</v>
      </c>
      <c r="AK59" s="78">
        <f t="shared" ca="1" si="110"/>
        <v>0</v>
      </c>
      <c r="AL59" s="78">
        <f t="shared" ca="1" si="111"/>
        <v>0</v>
      </c>
    </row>
    <row r="60" spans="2:39" s="178" customFormat="1" ht="15" hidden="1" customHeight="1" outlineLevel="1" x14ac:dyDescent="0.3">
      <c r="B60" s="176" t="s">
        <v>430</v>
      </c>
      <c r="C60" s="176" t="s">
        <v>431</v>
      </c>
      <c r="D60" s="165">
        <f ca="1">-SUMIFS(INDIRECT("Tab_000.Trial["&amp;D$4&amp;"]"),Tab_000.Trial[CONTA],$B60)</f>
        <v>-7059.76</v>
      </c>
      <c r="E60" s="177">
        <f t="shared" ca="1" si="89"/>
        <v>-7.6E-3</v>
      </c>
      <c r="F60" s="165">
        <f ca="1">-SUMIFS(INDIRECT("Tab_000.Trial["&amp;F$4&amp;"]"),Tab_000.Trial[CONTA],$B60)</f>
        <v>0</v>
      </c>
      <c r="G60" s="177">
        <f t="shared" ca="1" si="91"/>
        <v>0</v>
      </c>
      <c r="H60" s="177">
        <f t="shared" ca="1" si="90"/>
        <v>1</v>
      </c>
      <c r="I60" s="165">
        <f ca="1">-SUMIFS(INDIRECT("Tab_000.Trial["&amp;I$4&amp;"]"),Tab_000.Trial[CONTA],$B60)</f>
        <v>-6910.43</v>
      </c>
      <c r="J60" s="177">
        <f t="shared" ca="1" si="92"/>
        <v>-6.7000000000000002E-3</v>
      </c>
      <c r="K60" s="177">
        <f t="shared" ca="1" si="93"/>
        <v>0</v>
      </c>
      <c r="L60" s="165">
        <f ca="1">-SUMIFS(INDIRECT("Tab_000.Trial["&amp;L$4&amp;"]"),Tab_000.Trial[CONTA],$B60)</f>
        <v>-8176.23</v>
      </c>
      <c r="M60" s="177">
        <f t="shared" ca="1" si="94"/>
        <v>-8.2000000000000007E-3</v>
      </c>
      <c r="N60" s="177">
        <f t="shared" ca="1" si="95"/>
        <v>-0.1832</v>
      </c>
      <c r="O60" s="165">
        <f ca="1">-SUMIFS(INDIRECT("Tab_000.Trial["&amp;O$4&amp;"]"),Tab_000.Trial[CONTA],$B60)</f>
        <v>-8440.17</v>
      </c>
      <c r="P60" s="177">
        <f t="shared" ca="1" si="96"/>
        <v>-7.0000000000000001E-3</v>
      </c>
      <c r="Q60" s="177">
        <f t="shared" ca="1" si="97"/>
        <v>-3.2300000000000002E-2</v>
      </c>
      <c r="R60" s="165">
        <f ca="1">-SUMIFS(INDIRECT("Tab_000.Trial["&amp;R$4&amp;"]"),Tab_000.Trial[CONTA],$B60)</f>
        <v>-6726.67</v>
      </c>
      <c r="S60" s="177">
        <f t="shared" ca="1" si="98"/>
        <v>-6.3E-3</v>
      </c>
      <c r="T60" s="177">
        <f t="shared" ca="1" si="99"/>
        <v>0.20300000000000001</v>
      </c>
      <c r="U60" s="165">
        <f ca="1">-SUMIFS(INDIRECT("Tab_000.Trial["&amp;U$4&amp;"]"),Tab_000.Trial[CONTA],$B60)</f>
        <v>-6726.67</v>
      </c>
      <c r="V60" s="177">
        <f t="shared" ca="1" si="100"/>
        <v>-6.3E-3</v>
      </c>
      <c r="W60" s="177">
        <f t="shared" ca="1" si="101"/>
        <v>0</v>
      </c>
      <c r="X60" s="165">
        <f ca="1">-SUMIFS(INDIRECT("Tab_000.Trial["&amp;X$4&amp;"]"),Tab_000.Trial[CONTA],$B60)</f>
        <v>-6726.67</v>
      </c>
      <c r="Y60" s="177">
        <f t="shared" ca="1" si="102"/>
        <v>-6.3E-3</v>
      </c>
      <c r="Z60" s="177">
        <f t="shared" ca="1" si="103"/>
        <v>0</v>
      </c>
      <c r="AA60" s="165">
        <f ca="1">-SUMIFS(INDIRECT("Tab_000.Trial["&amp;AA$4&amp;"]"),Tab_000.Trial[CONTA],$B60)</f>
        <v>-8432.86</v>
      </c>
      <c r="AB60" s="177">
        <f t="shared" ca="1" si="104"/>
        <v>-8.6999999999999994E-3</v>
      </c>
      <c r="AC60" s="177">
        <f t="shared" ca="1" si="105"/>
        <v>-0.25359999999999999</v>
      </c>
      <c r="AD60" s="165">
        <f ca="1">-SUMIFS(INDIRECT("Tab_000.Trial["&amp;AD$4&amp;"]"),Tab_000.Trial[CONTA],$B60)</f>
        <v>-12504.53</v>
      </c>
      <c r="AE60" s="177">
        <f t="shared" ca="1" si="106"/>
        <v>-1.0200000000000001E-2</v>
      </c>
      <c r="AF60" s="177">
        <f t="shared" ca="1" si="107"/>
        <v>-0.48280000000000001</v>
      </c>
      <c r="AG60" s="165">
        <f ca="1">-SUMIFS(INDIRECT("Tab_000.Trial["&amp;AG$4&amp;"]"),Tab_000.Trial[CONTA],$B60)</f>
        <v>-12494.88</v>
      </c>
      <c r="AH60" s="177">
        <f t="shared" ca="1" si="108"/>
        <v>-1.38E-2</v>
      </c>
      <c r="AI60" s="177">
        <f t="shared" ca="1" si="109"/>
        <v>8.0000000000000004E-4</v>
      </c>
      <c r="AJ60" s="165">
        <f ca="1">-SUMIFS(INDIRECT("Tab_000.Trial["&amp;AJ$4&amp;"]"),Tab_000.Trial[CONTA],$B60)</f>
        <v>-12630.74</v>
      </c>
      <c r="AK60" s="177">
        <f t="shared" ca="1" si="110"/>
        <v>-8.6E-3</v>
      </c>
      <c r="AL60" s="177">
        <f t="shared" ca="1" si="111"/>
        <v>-1.09E-2</v>
      </c>
      <c r="AM60" s="178" t="s">
        <v>778</v>
      </c>
    </row>
    <row r="61" spans="2:39" s="178" customFormat="1" ht="15" hidden="1" customHeight="1" outlineLevel="1" x14ac:dyDescent="0.3">
      <c r="B61" s="176" t="s">
        <v>432</v>
      </c>
      <c r="C61" s="176" t="s">
        <v>433</v>
      </c>
      <c r="D61" s="165">
        <f ca="1">-SUMIFS(INDIRECT("Tab_000.Trial["&amp;D$4&amp;"]"),Tab_000.Trial[CONTA],$B61)</f>
        <v>-5045.03</v>
      </c>
      <c r="E61" s="177">
        <f t="shared" ca="1" si="89"/>
        <v>-5.4000000000000003E-3</v>
      </c>
      <c r="F61" s="165">
        <f ca="1">-SUMIFS(INDIRECT("Tab_000.Trial["&amp;F$4&amp;"]"),Tab_000.Trial[CONTA],$B61)</f>
        <v>0</v>
      </c>
      <c r="G61" s="177">
        <f t="shared" ca="1" si="91"/>
        <v>0</v>
      </c>
      <c r="H61" s="177">
        <f t="shared" ca="1" si="90"/>
        <v>1</v>
      </c>
      <c r="I61" s="165">
        <f ca="1">-SUMIFS(INDIRECT("Tab_000.Trial["&amp;I$4&amp;"]"),Tab_000.Trial[CONTA],$B61)</f>
        <v>-5045.03</v>
      </c>
      <c r="J61" s="177">
        <f t="shared" ca="1" si="92"/>
        <v>-4.8999999999999998E-3</v>
      </c>
      <c r="K61" s="177">
        <f t="shared" ca="1" si="93"/>
        <v>0</v>
      </c>
      <c r="L61" s="165">
        <f ca="1">-SUMIFS(INDIRECT("Tab_000.Trial["&amp;L$4&amp;"]"),Tab_000.Trial[CONTA],$B61)</f>
        <v>-5044.99</v>
      </c>
      <c r="M61" s="177">
        <f t="shared" ca="1" si="94"/>
        <v>-5.0000000000000001E-3</v>
      </c>
      <c r="N61" s="177">
        <f t="shared" ca="1" si="95"/>
        <v>0</v>
      </c>
      <c r="O61" s="165">
        <f ca="1">-SUMIFS(INDIRECT("Tab_000.Trial["&amp;O$4&amp;"]"),Tab_000.Trial[CONTA],$B61)</f>
        <v>-5045.05</v>
      </c>
      <c r="P61" s="177">
        <f t="shared" ca="1" si="96"/>
        <v>-4.1999999999999997E-3</v>
      </c>
      <c r="Q61" s="177">
        <f t="shared" ca="1" si="97"/>
        <v>0</v>
      </c>
      <c r="R61" s="165">
        <f ca="1">-SUMIFS(INDIRECT("Tab_000.Trial["&amp;R$4&amp;"]"),Tab_000.Trial[CONTA],$B61)</f>
        <v>-6330.11</v>
      </c>
      <c r="S61" s="177">
        <f t="shared" ca="1" si="98"/>
        <v>-6.0000000000000001E-3</v>
      </c>
      <c r="T61" s="177">
        <f t="shared" ca="1" si="99"/>
        <v>-0.25469999999999998</v>
      </c>
      <c r="U61" s="165">
        <f ca="1">-SUMIFS(INDIRECT("Tab_000.Trial["&amp;U$4&amp;"]"),Tab_000.Trial[CONTA],$B61)</f>
        <v>-6330.11</v>
      </c>
      <c r="V61" s="177">
        <f t="shared" ca="1" si="100"/>
        <v>-6.0000000000000001E-3</v>
      </c>
      <c r="W61" s="177">
        <f t="shared" ca="1" si="101"/>
        <v>0</v>
      </c>
      <c r="X61" s="165">
        <f ca="1">-SUMIFS(INDIRECT("Tab_000.Trial["&amp;X$4&amp;"]"),Tab_000.Trial[CONTA],$B61)</f>
        <v>-6330.11</v>
      </c>
      <c r="Y61" s="177">
        <f t="shared" ca="1" si="102"/>
        <v>-6.0000000000000001E-3</v>
      </c>
      <c r="Z61" s="177">
        <f t="shared" ca="1" si="103"/>
        <v>0</v>
      </c>
      <c r="AA61" s="165">
        <f ca="1">-SUMIFS(INDIRECT("Tab_000.Trial["&amp;AA$4&amp;"]"),Tab_000.Trial[CONTA],$B61)</f>
        <v>-7267.45</v>
      </c>
      <c r="AB61" s="177">
        <f t="shared" ca="1" si="104"/>
        <v>-7.4999999999999997E-3</v>
      </c>
      <c r="AC61" s="177">
        <f t="shared" ca="1" si="105"/>
        <v>-0.14810000000000001</v>
      </c>
      <c r="AD61" s="165">
        <f ca="1">-SUMIFS(INDIRECT("Tab_000.Trial["&amp;AD$4&amp;"]"),Tab_000.Trial[CONTA],$B61)</f>
        <v>0</v>
      </c>
      <c r="AE61" s="177">
        <f t="shared" ca="1" si="106"/>
        <v>0</v>
      </c>
      <c r="AF61" s="177">
        <f t="shared" ca="1" si="107"/>
        <v>1</v>
      </c>
      <c r="AG61" s="165">
        <f ca="1">-SUMIFS(INDIRECT("Tab_000.Trial["&amp;AG$4&amp;"]"),Tab_000.Trial[CONTA],$B61)</f>
        <v>0</v>
      </c>
      <c r="AH61" s="177">
        <f t="shared" ca="1" si="108"/>
        <v>0</v>
      </c>
      <c r="AI61" s="177">
        <f t="shared" ca="1" si="109"/>
        <v>0</v>
      </c>
      <c r="AJ61" s="165">
        <f ca="1">-SUMIFS(INDIRECT("Tab_000.Trial["&amp;AJ$4&amp;"]"),Tab_000.Trial[CONTA],$B61)</f>
        <v>-3434.46</v>
      </c>
      <c r="AK61" s="177">
        <f t="shared" ca="1" si="110"/>
        <v>-2.3E-3</v>
      </c>
      <c r="AL61" s="177">
        <f t="shared" ca="1" si="111"/>
        <v>0</v>
      </c>
      <c r="AM61" s="178" t="s">
        <v>778</v>
      </c>
    </row>
    <row r="62" spans="2:39" ht="15" hidden="1" customHeight="1" outlineLevel="1" x14ac:dyDescent="0.3">
      <c r="B62" s="14" t="s">
        <v>434</v>
      </c>
      <c r="C62" s="14" t="s">
        <v>435</v>
      </c>
      <c r="D62" s="4">
        <f ca="1">-SUMIFS(INDIRECT("Tab_000.Trial["&amp;D$4&amp;"]"),Tab_000.Trial[CONTA],$B62)</f>
        <v>-15206.61</v>
      </c>
      <c r="E62" s="78">
        <f t="shared" ca="1" si="89"/>
        <v>-1.6299999999999999E-2</v>
      </c>
      <c r="F62" s="4">
        <f ca="1">-SUMIFS(INDIRECT("Tab_000.Trial["&amp;F$4&amp;"]"),Tab_000.Trial[CONTA],$B62)</f>
        <v>-17072.71</v>
      </c>
      <c r="G62" s="78">
        <f t="shared" ca="1" si="91"/>
        <v>-3.2500000000000001E-2</v>
      </c>
      <c r="H62" s="78">
        <f t="shared" ca="1" si="90"/>
        <v>-0.1227</v>
      </c>
      <c r="I62" s="4">
        <f ca="1">-SUMIFS(INDIRECT("Tab_000.Trial["&amp;I$4&amp;"]"),Tab_000.Trial[CONTA],$B62)</f>
        <v>-43481.66</v>
      </c>
      <c r="J62" s="78">
        <f t="shared" ca="1" si="92"/>
        <v>-4.19E-2</v>
      </c>
      <c r="K62" s="78">
        <f t="shared" ca="1" si="93"/>
        <v>-1.5468999999999999</v>
      </c>
      <c r="L62" s="4">
        <f ca="1">-SUMIFS(INDIRECT("Tab_000.Trial["&amp;L$4&amp;"]"),Tab_000.Trial[CONTA],$B62)</f>
        <v>-25759.51</v>
      </c>
      <c r="M62" s="78">
        <f t="shared" ca="1" si="94"/>
        <v>-2.5700000000000001E-2</v>
      </c>
      <c r="N62" s="78">
        <f t="shared" ca="1" si="95"/>
        <v>0.40760000000000002</v>
      </c>
      <c r="O62" s="4">
        <f ca="1">-SUMIFS(INDIRECT("Tab_000.Trial["&amp;O$4&amp;"]"),Tab_000.Trial[CONTA],$B62)</f>
        <v>-20626.18</v>
      </c>
      <c r="P62" s="78">
        <f t="shared" ca="1" si="96"/>
        <v>-1.72E-2</v>
      </c>
      <c r="Q62" s="78">
        <f t="shared" ca="1" si="97"/>
        <v>0.1993</v>
      </c>
      <c r="R62" s="4">
        <f ca="1">-SUMIFS(INDIRECT("Tab_000.Trial["&amp;R$4&amp;"]"),Tab_000.Trial[CONTA],$B62)</f>
        <v>-23562.880000000001</v>
      </c>
      <c r="S62" s="78">
        <f t="shared" ca="1" si="98"/>
        <v>-2.2200000000000001E-2</v>
      </c>
      <c r="T62" s="78">
        <f t="shared" ca="1" si="99"/>
        <v>-0.1424</v>
      </c>
      <c r="U62" s="4">
        <f ca="1">-SUMIFS(INDIRECT("Tab_000.Trial["&amp;U$4&amp;"]"),Tab_000.Trial[CONTA],$B62)</f>
        <v>-23562.880000000001</v>
      </c>
      <c r="V62" s="78">
        <f t="shared" ca="1" si="100"/>
        <v>-2.2200000000000001E-2</v>
      </c>
      <c r="W62" s="78">
        <f t="shared" ca="1" si="101"/>
        <v>0</v>
      </c>
      <c r="X62" s="4">
        <f ca="1">-SUMIFS(INDIRECT("Tab_000.Trial["&amp;X$4&amp;"]"),Tab_000.Trial[CONTA],$B62)</f>
        <v>-23562.880000000001</v>
      </c>
      <c r="Y62" s="78">
        <f t="shared" ca="1" si="102"/>
        <v>-2.2200000000000001E-2</v>
      </c>
      <c r="Z62" s="78">
        <f t="shared" ca="1" si="103"/>
        <v>0</v>
      </c>
      <c r="AA62" s="4">
        <f ca="1">-SUMIFS(INDIRECT("Tab_000.Trial["&amp;AA$4&amp;"]"),Tab_000.Trial[CONTA],$B62)</f>
        <v>-24645.94</v>
      </c>
      <c r="AB62" s="78">
        <f t="shared" ca="1" si="104"/>
        <v>-2.5499999999999998E-2</v>
      </c>
      <c r="AC62" s="78">
        <f t="shared" ca="1" si="105"/>
        <v>-4.5999999999999999E-2</v>
      </c>
      <c r="AD62" s="4">
        <f ca="1">-SUMIFS(INDIRECT("Tab_000.Trial["&amp;AD$4&amp;"]"),Tab_000.Trial[CONTA],$B62)</f>
        <v>-22808.03</v>
      </c>
      <c r="AE62" s="78">
        <f t="shared" ca="1" si="106"/>
        <v>-1.8599999999999998E-2</v>
      </c>
      <c r="AF62" s="78">
        <f t="shared" ca="1" si="107"/>
        <v>7.46E-2</v>
      </c>
      <c r="AG62" s="4">
        <f ca="1">-SUMIFS(INDIRECT("Tab_000.Trial["&amp;AG$4&amp;"]"),Tab_000.Trial[CONTA],$B62)</f>
        <v>-22808.03</v>
      </c>
      <c r="AH62" s="78">
        <f t="shared" ca="1" si="108"/>
        <v>-2.52E-2</v>
      </c>
      <c r="AI62" s="78">
        <f t="shared" ca="1" si="109"/>
        <v>0</v>
      </c>
      <c r="AJ62" s="4">
        <f ca="1">-SUMIFS(INDIRECT("Tab_000.Trial["&amp;AJ$4&amp;"]"),Tab_000.Trial[CONTA],$B62)</f>
        <v>-22808.03</v>
      </c>
      <c r="AK62" s="78">
        <f t="shared" ca="1" si="110"/>
        <v>-1.55E-2</v>
      </c>
      <c r="AL62" s="78">
        <f t="shared" ca="1" si="111"/>
        <v>0</v>
      </c>
    </row>
    <row r="63" spans="2:39" ht="15" hidden="1" customHeight="1" outlineLevel="1" x14ac:dyDescent="0.3">
      <c r="B63" s="14" t="s">
        <v>436</v>
      </c>
      <c r="C63" s="14" t="s">
        <v>437</v>
      </c>
      <c r="D63" s="4">
        <f ca="1">-SUMIFS(INDIRECT("Tab_000.Trial["&amp;D$4&amp;"]"),Tab_000.Trial[CONTA],$B63)</f>
        <v>-13434.9</v>
      </c>
      <c r="E63" s="78">
        <f t="shared" ca="1" si="89"/>
        <v>-1.44E-2</v>
      </c>
      <c r="F63" s="4">
        <f ca="1">-SUMIFS(INDIRECT("Tab_000.Trial["&amp;F$4&amp;"]"),Tab_000.Trial[CONTA],$B63)</f>
        <v>0</v>
      </c>
      <c r="G63" s="78">
        <f t="shared" ca="1" si="91"/>
        <v>0</v>
      </c>
      <c r="H63" s="78">
        <f t="shared" ca="1" si="90"/>
        <v>1</v>
      </c>
      <c r="I63" s="4">
        <f ca="1">-SUMIFS(INDIRECT("Tab_000.Trial["&amp;I$4&amp;"]"),Tab_000.Trial[CONTA],$B63)</f>
        <v>-19888.310000000001</v>
      </c>
      <c r="J63" s="78">
        <f t="shared" ca="1" si="92"/>
        <v>-1.9199999999999998E-2</v>
      </c>
      <c r="K63" s="78">
        <f t="shared" ca="1" si="93"/>
        <v>0</v>
      </c>
      <c r="L63" s="4">
        <f ca="1">-SUMIFS(INDIRECT("Tab_000.Trial["&amp;L$4&amp;"]"),Tab_000.Trial[CONTA],$B63)</f>
        <v>-18989.13</v>
      </c>
      <c r="M63" s="78">
        <f t="shared" ca="1" si="94"/>
        <v>-1.9E-2</v>
      </c>
      <c r="N63" s="78">
        <f t="shared" ca="1" si="95"/>
        <v>4.5199999999999997E-2</v>
      </c>
      <c r="O63" s="4">
        <f ca="1">-SUMIFS(INDIRECT("Tab_000.Trial["&amp;O$4&amp;"]"),Tab_000.Trial[CONTA],$B63)</f>
        <v>-20549.78</v>
      </c>
      <c r="P63" s="78">
        <f t="shared" ca="1" si="96"/>
        <v>-1.7100000000000001E-2</v>
      </c>
      <c r="Q63" s="78">
        <f t="shared" ca="1" si="97"/>
        <v>-8.2199999999999995E-2</v>
      </c>
      <c r="R63" s="4">
        <f ca="1">-SUMIFS(INDIRECT("Tab_000.Trial["&amp;R$4&amp;"]"),Tab_000.Trial[CONTA],$B63)</f>
        <v>-9936.44</v>
      </c>
      <c r="S63" s="78">
        <f t="shared" ca="1" si="98"/>
        <v>-9.4000000000000004E-3</v>
      </c>
      <c r="T63" s="78">
        <f t="shared" ca="1" si="99"/>
        <v>0.51649999999999996</v>
      </c>
      <c r="U63" s="4">
        <f ca="1">-SUMIFS(INDIRECT("Tab_000.Trial["&amp;U$4&amp;"]"),Tab_000.Trial[CONTA],$B63)</f>
        <v>-9936.44</v>
      </c>
      <c r="V63" s="78">
        <f t="shared" ca="1" si="100"/>
        <v>-9.4000000000000004E-3</v>
      </c>
      <c r="W63" s="78">
        <f t="shared" ca="1" si="101"/>
        <v>0</v>
      </c>
      <c r="X63" s="4">
        <f ca="1">-SUMIFS(INDIRECT("Tab_000.Trial["&amp;X$4&amp;"]"),Tab_000.Trial[CONTA],$B63)</f>
        <v>-9936.44</v>
      </c>
      <c r="Y63" s="78">
        <f t="shared" ca="1" si="102"/>
        <v>-9.4000000000000004E-3</v>
      </c>
      <c r="Z63" s="78">
        <f t="shared" ca="1" si="103"/>
        <v>0</v>
      </c>
      <c r="AA63" s="4">
        <f ca="1">-SUMIFS(INDIRECT("Tab_000.Trial["&amp;AA$4&amp;"]"),Tab_000.Trial[CONTA],$B63)</f>
        <v>-21881.74</v>
      </c>
      <c r="AB63" s="78">
        <f t="shared" ca="1" si="104"/>
        <v>-2.2599999999999999E-2</v>
      </c>
      <c r="AC63" s="78">
        <f t="shared" ca="1" si="105"/>
        <v>-1.2021999999999999</v>
      </c>
      <c r="AD63" s="4">
        <f ca="1">-SUMIFS(INDIRECT("Tab_000.Trial["&amp;AD$4&amp;"]"),Tab_000.Trial[CONTA],$B63)</f>
        <v>-10875.9</v>
      </c>
      <c r="AE63" s="78">
        <f t="shared" ca="1" si="106"/>
        <v>-8.8999999999999999E-3</v>
      </c>
      <c r="AF63" s="78">
        <f t="shared" ca="1" si="107"/>
        <v>0.503</v>
      </c>
      <c r="AG63" s="4">
        <f ca="1">-SUMIFS(INDIRECT("Tab_000.Trial["&amp;AG$4&amp;"]"),Tab_000.Trial[CONTA],$B63)</f>
        <v>-15239.75</v>
      </c>
      <c r="AH63" s="78">
        <f t="shared" ca="1" si="108"/>
        <v>-1.6899999999999998E-2</v>
      </c>
      <c r="AI63" s="78">
        <f t="shared" ca="1" si="109"/>
        <v>-0.4012</v>
      </c>
      <c r="AJ63" s="4">
        <f ca="1">-SUMIFS(INDIRECT("Tab_000.Trial["&amp;AJ$4&amp;"]"),Tab_000.Trial[CONTA],$B63)</f>
        <v>-16267.6</v>
      </c>
      <c r="AK63" s="78">
        <f t="shared" ca="1" si="110"/>
        <v>-1.0999999999999999E-2</v>
      </c>
      <c r="AL63" s="78">
        <f t="shared" ca="1" si="111"/>
        <v>-6.7400000000000002E-2</v>
      </c>
    </row>
    <row r="64" spans="2:39" ht="15" hidden="1" customHeight="1" outlineLevel="1" x14ac:dyDescent="0.3">
      <c r="B64" s="14" t="s">
        <v>438</v>
      </c>
      <c r="C64" s="14" t="s">
        <v>196</v>
      </c>
      <c r="D64" s="4">
        <f ca="1">-SUMIFS(INDIRECT("Tab_000.Trial["&amp;D$4&amp;"]"),Tab_000.Trial[CONTA],$B64)</f>
        <v>-2354.0700000000002</v>
      </c>
      <c r="E64" s="78">
        <f t="shared" ca="1" si="89"/>
        <v>-2.5000000000000001E-3</v>
      </c>
      <c r="F64" s="4">
        <f ca="1">-SUMIFS(INDIRECT("Tab_000.Trial["&amp;F$4&amp;"]"),Tab_000.Trial[CONTA],$B64)</f>
        <v>0</v>
      </c>
      <c r="G64" s="78">
        <f t="shared" ca="1" si="91"/>
        <v>0</v>
      </c>
      <c r="H64" s="78">
        <f t="shared" ca="1" si="90"/>
        <v>1</v>
      </c>
      <c r="I64" s="4">
        <f ca="1">-SUMIFS(INDIRECT("Tab_000.Trial["&amp;I$4&amp;"]"),Tab_000.Trial[CONTA],$B64)</f>
        <v>-4191.8999999999996</v>
      </c>
      <c r="J64" s="78">
        <f t="shared" ca="1" si="92"/>
        <v>-4.0000000000000001E-3</v>
      </c>
      <c r="K64" s="78">
        <f t="shared" ca="1" si="93"/>
        <v>0</v>
      </c>
      <c r="L64" s="4">
        <f ca="1">-SUMIFS(INDIRECT("Tab_000.Trial["&amp;L$4&amp;"]"),Tab_000.Trial[CONTA],$B64)</f>
        <v>-4298.72</v>
      </c>
      <c r="M64" s="78">
        <f t="shared" ca="1" si="94"/>
        <v>-4.3E-3</v>
      </c>
      <c r="N64" s="78">
        <f t="shared" ca="1" si="95"/>
        <v>-2.5499999999999998E-2</v>
      </c>
      <c r="O64" s="4">
        <f ca="1">-SUMIFS(INDIRECT("Tab_000.Trial["&amp;O$4&amp;"]"),Tab_000.Trial[CONTA],$B64)</f>
        <v>-4443.78</v>
      </c>
      <c r="P64" s="78">
        <f t="shared" ca="1" si="96"/>
        <v>-3.7000000000000002E-3</v>
      </c>
      <c r="Q64" s="78">
        <f t="shared" ca="1" si="97"/>
        <v>-3.3700000000000001E-2</v>
      </c>
      <c r="R64" s="4">
        <f ca="1">-SUMIFS(INDIRECT("Tab_000.Trial["&amp;R$4&amp;"]"),Tab_000.Trial[CONTA],$B64)</f>
        <v>-2844.42</v>
      </c>
      <c r="S64" s="78">
        <f t="shared" ca="1" si="98"/>
        <v>-2.7000000000000001E-3</v>
      </c>
      <c r="T64" s="78">
        <f t="shared" ca="1" si="99"/>
        <v>0.3599</v>
      </c>
      <c r="U64" s="4">
        <f ca="1">-SUMIFS(INDIRECT("Tab_000.Trial["&amp;U$4&amp;"]"),Tab_000.Trial[CONTA],$B64)</f>
        <v>-2844.42</v>
      </c>
      <c r="V64" s="78">
        <f t="shared" ca="1" si="100"/>
        <v>-2.7000000000000001E-3</v>
      </c>
      <c r="W64" s="78">
        <f t="shared" ca="1" si="101"/>
        <v>0</v>
      </c>
      <c r="X64" s="4">
        <f ca="1">-SUMIFS(INDIRECT("Tab_000.Trial["&amp;X$4&amp;"]"),Tab_000.Trial[CONTA],$B64)</f>
        <v>-2844.42</v>
      </c>
      <c r="Y64" s="78">
        <f t="shared" ca="1" si="102"/>
        <v>-2.7000000000000001E-3</v>
      </c>
      <c r="Z64" s="78">
        <f t="shared" ca="1" si="103"/>
        <v>0</v>
      </c>
      <c r="AA64" s="4">
        <f ca="1">-SUMIFS(INDIRECT("Tab_000.Trial["&amp;AA$4&amp;"]"),Tab_000.Trial[CONTA],$B64)</f>
        <v>-6484.71</v>
      </c>
      <c r="AB64" s="78">
        <f t="shared" ca="1" si="104"/>
        <v>-6.7000000000000002E-3</v>
      </c>
      <c r="AC64" s="78">
        <f t="shared" ca="1" si="105"/>
        <v>-1.2798</v>
      </c>
      <c r="AD64" s="4">
        <f ca="1">-SUMIFS(INDIRECT("Tab_000.Trial["&amp;AD$4&amp;"]"),Tab_000.Trial[CONTA],$B64)</f>
        <v>-3628.72</v>
      </c>
      <c r="AE64" s="78">
        <f t="shared" ca="1" si="106"/>
        <v>-3.0000000000000001E-3</v>
      </c>
      <c r="AF64" s="78">
        <f t="shared" ca="1" si="107"/>
        <v>0.44040000000000001</v>
      </c>
      <c r="AG64" s="4">
        <f ca="1">-SUMIFS(INDIRECT("Tab_000.Trial["&amp;AG$4&amp;"]"),Tab_000.Trial[CONTA],$B64)</f>
        <v>-4549.16</v>
      </c>
      <c r="AH64" s="78">
        <f t="shared" ca="1" si="108"/>
        <v>-5.0000000000000001E-3</v>
      </c>
      <c r="AI64" s="78">
        <f t="shared" ca="1" si="109"/>
        <v>-0.25369999999999998</v>
      </c>
      <c r="AJ64" s="4">
        <f ca="1">-SUMIFS(INDIRECT("Tab_000.Trial["&amp;AJ$4&amp;"]"),Tab_000.Trial[CONTA],$B64)</f>
        <v>-4855.9799999999996</v>
      </c>
      <c r="AK64" s="78">
        <f t="shared" ca="1" si="110"/>
        <v>-3.3E-3</v>
      </c>
      <c r="AL64" s="78">
        <f t="shared" ca="1" si="111"/>
        <v>-6.7400000000000002E-2</v>
      </c>
    </row>
    <row r="65" spans="2:39" ht="15" hidden="1" customHeight="1" outlineLevel="1" x14ac:dyDescent="0.3">
      <c r="B65" s="14" t="s">
        <v>439</v>
      </c>
      <c r="C65" s="14" t="s">
        <v>440</v>
      </c>
      <c r="D65" s="4">
        <f ca="1">-SUMIFS(INDIRECT("Tab_000.Trial["&amp;D$4&amp;"]"),Tab_000.Trial[CONTA],$B65)</f>
        <v>-645.88</v>
      </c>
      <c r="E65" s="78">
        <f t="shared" ca="1" si="89"/>
        <v>-6.9999999999999999E-4</v>
      </c>
      <c r="F65" s="4">
        <f ca="1">-SUMIFS(INDIRECT("Tab_000.Trial["&amp;F$4&amp;"]"),Tab_000.Trial[CONTA],$B65)</f>
        <v>0</v>
      </c>
      <c r="G65" s="78">
        <f t="shared" ca="1" si="91"/>
        <v>0</v>
      </c>
      <c r="H65" s="78">
        <f t="shared" ca="1" si="90"/>
        <v>1</v>
      </c>
      <c r="I65" s="4">
        <f ca="1">-SUMIFS(INDIRECT("Tab_000.Trial["&amp;I$4&amp;"]"),Tab_000.Trial[CONTA],$B65)</f>
        <v>-714.27</v>
      </c>
      <c r="J65" s="78">
        <f t="shared" ca="1" si="92"/>
        <v>-6.9999999999999999E-4</v>
      </c>
      <c r="K65" s="78">
        <f t="shared" ca="1" si="93"/>
        <v>0</v>
      </c>
      <c r="L65" s="4">
        <f ca="1">-SUMIFS(INDIRECT("Tab_000.Trial["&amp;L$4&amp;"]"),Tab_000.Trial[CONTA],$B65)</f>
        <v>-686.17</v>
      </c>
      <c r="M65" s="78">
        <f t="shared" ca="1" si="94"/>
        <v>-6.9999999999999999E-4</v>
      </c>
      <c r="N65" s="78">
        <f t="shared" ca="1" si="95"/>
        <v>3.9300000000000002E-2</v>
      </c>
      <c r="O65" s="4">
        <f ca="1">-SUMIFS(INDIRECT("Tab_000.Trial["&amp;O$4&amp;"]"),Tab_000.Trial[CONTA],$B65)</f>
        <v>-762.53</v>
      </c>
      <c r="P65" s="78">
        <f t="shared" ca="1" si="96"/>
        <v>-5.9999999999999995E-4</v>
      </c>
      <c r="Q65" s="78">
        <f t="shared" ca="1" si="97"/>
        <v>-0.1113</v>
      </c>
      <c r="R65" s="4">
        <f ca="1">-SUMIFS(INDIRECT("Tab_000.Trial["&amp;R$4&amp;"]"),Tab_000.Trial[CONTA],$B65)</f>
        <v>-370.77</v>
      </c>
      <c r="S65" s="78">
        <f t="shared" ca="1" si="98"/>
        <v>-2.9999999999999997E-4</v>
      </c>
      <c r="T65" s="78">
        <f t="shared" ca="1" si="99"/>
        <v>0.51380000000000003</v>
      </c>
      <c r="U65" s="4">
        <f ca="1">-SUMIFS(INDIRECT("Tab_000.Trial["&amp;U$4&amp;"]"),Tab_000.Trial[CONTA],$B65)</f>
        <v>-370.77</v>
      </c>
      <c r="V65" s="78">
        <f t="shared" ca="1" si="100"/>
        <v>-2.9999999999999997E-4</v>
      </c>
      <c r="W65" s="78">
        <f t="shared" ca="1" si="101"/>
        <v>0</v>
      </c>
      <c r="X65" s="4">
        <f ca="1">-SUMIFS(INDIRECT("Tab_000.Trial["&amp;X$4&amp;"]"),Tab_000.Trial[CONTA],$B65)</f>
        <v>-370.77</v>
      </c>
      <c r="Y65" s="78">
        <f t="shared" ca="1" si="102"/>
        <v>-2.9999999999999997E-4</v>
      </c>
      <c r="Z65" s="78">
        <f t="shared" ca="1" si="103"/>
        <v>0</v>
      </c>
      <c r="AA65" s="4">
        <f ca="1">-SUMIFS(INDIRECT("Tab_000.Trial["&amp;AA$4&amp;"]"),Tab_000.Trial[CONTA],$B65)</f>
        <v>-652.73</v>
      </c>
      <c r="AB65" s="78">
        <f t="shared" ca="1" si="104"/>
        <v>-6.9999999999999999E-4</v>
      </c>
      <c r="AC65" s="78">
        <f t="shared" ca="1" si="105"/>
        <v>-0.76049999999999995</v>
      </c>
      <c r="AD65" s="4">
        <f ca="1">-SUMIFS(INDIRECT("Tab_000.Trial["&amp;AD$4&amp;"]"),Tab_000.Trial[CONTA],$B65)</f>
        <v>-453.61</v>
      </c>
      <c r="AE65" s="78">
        <f t="shared" ca="1" si="106"/>
        <v>-4.0000000000000002E-4</v>
      </c>
      <c r="AF65" s="78">
        <f t="shared" ca="1" si="107"/>
        <v>0.30509999999999998</v>
      </c>
      <c r="AG65" s="4">
        <f ca="1">-SUMIFS(INDIRECT("Tab_000.Trial["&amp;AG$4&amp;"]"),Tab_000.Trial[CONTA],$B65)</f>
        <v>-568.65</v>
      </c>
      <c r="AH65" s="78">
        <f t="shared" ca="1" si="108"/>
        <v>-5.9999999999999995E-4</v>
      </c>
      <c r="AI65" s="78">
        <f t="shared" ca="1" si="109"/>
        <v>-0.25359999999999999</v>
      </c>
      <c r="AJ65" s="4">
        <f ca="1">-SUMIFS(INDIRECT("Tab_000.Trial["&amp;AJ$4&amp;"]"),Tab_000.Trial[CONTA],$B65)</f>
        <v>-533.79</v>
      </c>
      <c r="AK65" s="78">
        <f t="shared" ca="1" si="110"/>
        <v>-4.0000000000000002E-4</v>
      </c>
      <c r="AL65" s="78">
        <f t="shared" ca="1" si="111"/>
        <v>6.13E-2</v>
      </c>
      <c r="AM65" s="142"/>
    </row>
    <row r="66" spans="2:39" ht="15" hidden="1" customHeight="1" outlineLevel="1" x14ac:dyDescent="0.3">
      <c r="B66" s="14" t="s">
        <v>441</v>
      </c>
      <c r="C66" s="14" t="s">
        <v>427</v>
      </c>
      <c r="D66" s="4">
        <f ca="1">-SUMIFS(INDIRECT("Tab_000.Trial["&amp;D$4&amp;"]"),Tab_000.Trial[CONTA],$B66)</f>
        <v>-54518.48</v>
      </c>
      <c r="E66" s="78">
        <f t="shared" ca="1" si="89"/>
        <v>-5.8400000000000001E-2</v>
      </c>
      <c r="F66" s="4">
        <f ca="1">-SUMIFS(INDIRECT("Tab_000.Trial["&amp;F$4&amp;"]"),Tab_000.Trial[CONTA],$B66)</f>
        <v>0</v>
      </c>
      <c r="G66" s="78">
        <f t="shared" ca="1" si="91"/>
        <v>0</v>
      </c>
      <c r="H66" s="78">
        <f t="shared" ca="1" si="90"/>
        <v>1</v>
      </c>
      <c r="I66" s="4">
        <f ca="1">-SUMIFS(INDIRECT("Tab_000.Trial["&amp;I$4&amp;"]"),Tab_000.Trial[CONTA],$B66)</f>
        <v>-45873.4</v>
      </c>
      <c r="J66" s="78">
        <f t="shared" ca="1" si="92"/>
        <v>-4.4200000000000003E-2</v>
      </c>
      <c r="K66" s="78">
        <f t="shared" ca="1" si="93"/>
        <v>0</v>
      </c>
      <c r="L66" s="4">
        <f ca="1">-SUMIFS(INDIRECT("Tab_000.Trial["&amp;L$4&amp;"]"),Tab_000.Trial[CONTA],$B66)</f>
        <v>-31271.81</v>
      </c>
      <c r="M66" s="78">
        <f t="shared" ca="1" si="94"/>
        <v>-3.1199999999999999E-2</v>
      </c>
      <c r="N66" s="78">
        <f t="shared" ca="1" si="95"/>
        <v>0.31830000000000003</v>
      </c>
      <c r="O66" s="4">
        <f ca="1">-SUMIFS(INDIRECT("Tab_000.Trial["&amp;O$4&amp;"]"),Tab_000.Trial[CONTA],$B66)</f>
        <v>-31271.81</v>
      </c>
      <c r="P66" s="78">
        <f t="shared" ca="1" si="96"/>
        <v>-2.5999999999999999E-2</v>
      </c>
      <c r="Q66" s="78">
        <f t="shared" ca="1" si="97"/>
        <v>0</v>
      </c>
      <c r="R66" s="4">
        <f ca="1">-SUMIFS(INDIRECT("Tab_000.Trial["&amp;R$4&amp;"]"),Tab_000.Trial[CONTA],$B66)</f>
        <v>-43052.47</v>
      </c>
      <c r="S66" s="78">
        <f t="shared" ca="1" si="98"/>
        <v>-4.0599999999999997E-2</v>
      </c>
      <c r="T66" s="78">
        <f t="shared" ca="1" si="99"/>
        <v>-0.37669999999999998</v>
      </c>
      <c r="U66" s="4">
        <f ca="1">-SUMIFS(INDIRECT("Tab_000.Trial["&amp;U$4&amp;"]"),Tab_000.Trial[CONTA],$B66)</f>
        <v>-43052.47</v>
      </c>
      <c r="V66" s="78">
        <f t="shared" ca="1" si="100"/>
        <v>-4.0599999999999997E-2</v>
      </c>
      <c r="W66" s="78">
        <f t="shared" ca="1" si="101"/>
        <v>0</v>
      </c>
      <c r="X66" s="4">
        <f ca="1">-SUMIFS(INDIRECT("Tab_000.Trial["&amp;X$4&amp;"]"),Tab_000.Trial[CONTA],$B66)</f>
        <v>-43052.47</v>
      </c>
      <c r="Y66" s="78">
        <f t="shared" ca="1" si="102"/>
        <v>-4.0599999999999997E-2</v>
      </c>
      <c r="Z66" s="78">
        <f t="shared" ca="1" si="103"/>
        <v>0</v>
      </c>
      <c r="AA66" s="4">
        <f ca="1">-SUMIFS(INDIRECT("Tab_000.Trial["&amp;AA$4&amp;"]"),Tab_000.Trial[CONTA],$B66)</f>
        <v>-38251.360000000001</v>
      </c>
      <c r="AB66" s="78">
        <f t="shared" ca="1" si="104"/>
        <v>-3.95E-2</v>
      </c>
      <c r="AC66" s="78">
        <f t="shared" ca="1" si="105"/>
        <v>0.1115</v>
      </c>
      <c r="AD66" s="4">
        <f ca="1">-SUMIFS(INDIRECT("Tab_000.Trial["&amp;AD$4&amp;"]"),Tab_000.Trial[CONTA],$B66)</f>
        <v>-45619.59</v>
      </c>
      <c r="AE66" s="78">
        <f t="shared" ca="1" si="106"/>
        <v>-3.7199999999999997E-2</v>
      </c>
      <c r="AF66" s="78">
        <f t="shared" ca="1" si="107"/>
        <v>-0.19259999999999999</v>
      </c>
      <c r="AG66" s="4">
        <f ca="1">-SUMIFS(INDIRECT("Tab_000.Trial["&amp;AG$4&amp;"]"),Tab_000.Trial[CONTA],$B66)</f>
        <v>-44188.5</v>
      </c>
      <c r="AH66" s="78">
        <f t="shared" ca="1" si="108"/>
        <v>-4.8899999999999999E-2</v>
      </c>
      <c r="AI66" s="78">
        <f t="shared" ca="1" si="109"/>
        <v>3.1399999999999997E-2</v>
      </c>
      <c r="AJ66" s="4">
        <f ca="1">-SUMIFS(INDIRECT("Tab_000.Trial["&amp;AJ$4&amp;"]"),Tab_000.Trial[CONTA],$B66)</f>
        <v>-44697.96</v>
      </c>
      <c r="AK66" s="78">
        <f t="shared" ca="1" si="110"/>
        <v>-3.0300000000000001E-2</v>
      </c>
      <c r="AL66" s="78">
        <f t="shared" ca="1" si="111"/>
        <v>-1.15E-2</v>
      </c>
      <c r="AM66" s="142"/>
    </row>
    <row r="67" spans="2:39" ht="15" hidden="1" customHeight="1" outlineLevel="1" x14ac:dyDescent="0.3">
      <c r="B67" s="14" t="s">
        <v>442</v>
      </c>
      <c r="C67" s="14" t="s">
        <v>429</v>
      </c>
      <c r="D67" s="4">
        <f ca="1">-SUMIFS(INDIRECT("Tab_000.Trial["&amp;D$4&amp;"]"),Tab_000.Trial[CONTA],$B67)</f>
        <v>0</v>
      </c>
      <c r="E67" s="78">
        <f t="shared" ca="1" si="89"/>
        <v>0</v>
      </c>
      <c r="F67" s="4">
        <f ca="1">-SUMIFS(INDIRECT("Tab_000.Trial["&amp;F$4&amp;"]"),Tab_000.Trial[CONTA],$B67)</f>
        <v>0</v>
      </c>
      <c r="G67" s="78">
        <f t="shared" ca="1" si="91"/>
        <v>0</v>
      </c>
      <c r="H67" s="78">
        <f t="shared" ca="1" si="90"/>
        <v>0</v>
      </c>
      <c r="I67" s="4">
        <f ca="1">-SUMIFS(INDIRECT("Tab_000.Trial["&amp;I$4&amp;"]"),Tab_000.Trial[CONTA],$B67)</f>
        <v>0</v>
      </c>
      <c r="J67" s="78">
        <f t="shared" ca="1" si="92"/>
        <v>0</v>
      </c>
      <c r="K67" s="78">
        <f t="shared" ca="1" si="93"/>
        <v>0</v>
      </c>
      <c r="L67" s="4">
        <f ca="1">-SUMIFS(INDIRECT("Tab_000.Trial["&amp;L$4&amp;"]"),Tab_000.Trial[CONTA],$B67)</f>
        <v>0</v>
      </c>
      <c r="M67" s="78">
        <f t="shared" ca="1" si="94"/>
        <v>0</v>
      </c>
      <c r="N67" s="78">
        <f t="shared" ca="1" si="95"/>
        <v>0</v>
      </c>
      <c r="O67" s="4">
        <f ca="1">-SUMIFS(INDIRECT("Tab_000.Trial["&amp;O$4&amp;"]"),Tab_000.Trial[CONTA],$B67)</f>
        <v>0</v>
      </c>
      <c r="P67" s="78">
        <f t="shared" ca="1" si="96"/>
        <v>0</v>
      </c>
      <c r="Q67" s="78">
        <f t="shared" ca="1" si="97"/>
        <v>0</v>
      </c>
      <c r="R67" s="4">
        <f ca="1">-SUMIFS(INDIRECT("Tab_000.Trial["&amp;R$4&amp;"]"),Tab_000.Trial[CONTA],$B67)</f>
        <v>0</v>
      </c>
      <c r="S67" s="78">
        <f t="shared" ca="1" si="98"/>
        <v>0</v>
      </c>
      <c r="T67" s="78">
        <f t="shared" ca="1" si="99"/>
        <v>0</v>
      </c>
      <c r="U67" s="4">
        <f ca="1">-SUMIFS(INDIRECT("Tab_000.Trial["&amp;U$4&amp;"]"),Tab_000.Trial[CONTA],$B67)</f>
        <v>0</v>
      </c>
      <c r="V67" s="78">
        <f t="shared" ca="1" si="100"/>
        <v>0</v>
      </c>
      <c r="W67" s="78">
        <f t="shared" ca="1" si="101"/>
        <v>0</v>
      </c>
      <c r="X67" s="4">
        <f ca="1">-SUMIFS(INDIRECT("Tab_000.Trial["&amp;X$4&amp;"]"),Tab_000.Trial[CONTA],$B67)</f>
        <v>0</v>
      </c>
      <c r="Y67" s="78">
        <f t="shared" ca="1" si="102"/>
        <v>0</v>
      </c>
      <c r="Z67" s="78">
        <f t="shared" ca="1" si="103"/>
        <v>0</v>
      </c>
      <c r="AA67" s="4">
        <f ca="1">-SUMIFS(INDIRECT("Tab_000.Trial["&amp;AA$4&amp;"]"),Tab_000.Trial[CONTA],$B67)</f>
        <v>0</v>
      </c>
      <c r="AB67" s="78">
        <f t="shared" ca="1" si="104"/>
        <v>0</v>
      </c>
      <c r="AC67" s="78">
        <f t="shared" ca="1" si="105"/>
        <v>0</v>
      </c>
      <c r="AD67" s="4">
        <f ca="1">-SUMIFS(INDIRECT("Tab_000.Trial["&amp;AD$4&amp;"]"),Tab_000.Trial[CONTA],$B67)</f>
        <v>0</v>
      </c>
      <c r="AE67" s="78">
        <f t="shared" ca="1" si="106"/>
        <v>0</v>
      </c>
      <c r="AF67" s="78">
        <f t="shared" ca="1" si="107"/>
        <v>0</v>
      </c>
      <c r="AG67" s="4">
        <f ca="1">-SUMIFS(INDIRECT("Tab_000.Trial["&amp;AG$4&amp;"]"),Tab_000.Trial[CONTA],$B67)</f>
        <v>0</v>
      </c>
      <c r="AH67" s="78">
        <f t="shared" ca="1" si="108"/>
        <v>0</v>
      </c>
      <c r="AI67" s="78">
        <f t="shared" ca="1" si="109"/>
        <v>0</v>
      </c>
      <c r="AJ67" s="4">
        <f ca="1">-SUMIFS(INDIRECT("Tab_000.Trial["&amp;AJ$4&amp;"]"),Tab_000.Trial[CONTA],$B67)</f>
        <v>0</v>
      </c>
      <c r="AK67" s="78">
        <f t="shared" ca="1" si="110"/>
        <v>0</v>
      </c>
      <c r="AL67" s="78">
        <f t="shared" ca="1" si="111"/>
        <v>0</v>
      </c>
    </row>
    <row r="68" spans="2:39" ht="15" hidden="1" customHeight="1" outlineLevel="1" x14ac:dyDescent="0.3">
      <c r="B68" s="14" t="s">
        <v>443</v>
      </c>
      <c r="C68" s="14" t="s">
        <v>431</v>
      </c>
      <c r="D68" s="4">
        <f ca="1">-SUMIFS(INDIRECT("Tab_000.Trial["&amp;D$4&amp;"]"),Tab_000.Trial[CONTA],$B68)</f>
        <v>-10254.450000000001</v>
      </c>
      <c r="E68" s="78">
        <f t="shared" ca="1" si="89"/>
        <v>-1.0999999999999999E-2</v>
      </c>
      <c r="F68" s="4">
        <f ca="1">-SUMIFS(INDIRECT("Tab_000.Trial["&amp;F$4&amp;"]"),Tab_000.Trial[CONTA],$B68)</f>
        <v>0</v>
      </c>
      <c r="G68" s="78">
        <f t="shared" ca="1" si="91"/>
        <v>0</v>
      </c>
      <c r="H68" s="78">
        <f t="shared" ca="1" si="90"/>
        <v>1</v>
      </c>
      <c r="I68" s="4">
        <f ca="1">-SUMIFS(INDIRECT("Tab_000.Trial["&amp;I$4&amp;"]"),Tab_000.Trial[CONTA],$B68)</f>
        <v>-4442.91</v>
      </c>
      <c r="J68" s="78">
        <f t="shared" ca="1" si="92"/>
        <v>-4.3E-3</v>
      </c>
      <c r="K68" s="78">
        <f t="shared" ca="1" si="93"/>
        <v>0</v>
      </c>
      <c r="L68" s="4">
        <f ca="1">-SUMIFS(INDIRECT("Tab_000.Trial["&amp;L$4&amp;"]"),Tab_000.Trial[CONTA],$B68)</f>
        <v>-2959.89</v>
      </c>
      <c r="M68" s="78">
        <f t="shared" ca="1" si="94"/>
        <v>-3.0000000000000001E-3</v>
      </c>
      <c r="N68" s="78">
        <f t="shared" ca="1" si="95"/>
        <v>0.33379999999999999</v>
      </c>
      <c r="O68" s="4">
        <f ca="1">-SUMIFS(INDIRECT("Tab_000.Trial["&amp;O$4&amp;"]"),Tab_000.Trial[CONTA],$B68)</f>
        <v>-2226.54</v>
      </c>
      <c r="P68" s="78">
        <f t="shared" ca="1" si="96"/>
        <v>-1.9E-3</v>
      </c>
      <c r="Q68" s="78">
        <f t="shared" ca="1" si="97"/>
        <v>0.24779999999999999</v>
      </c>
      <c r="R68" s="4">
        <f ca="1">-SUMIFS(INDIRECT("Tab_000.Trial["&amp;R$4&amp;"]"),Tab_000.Trial[CONTA],$B68)</f>
        <v>-4673.3599999999997</v>
      </c>
      <c r="S68" s="78">
        <f t="shared" ca="1" si="98"/>
        <v>-4.4000000000000003E-3</v>
      </c>
      <c r="T68" s="78">
        <f t="shared" ca="1" si="99"/>
        <v>-1.0989</v>
      </c>
      <c r="U68" s="4">
        <f ca="1">-SUMIFS(INDIRECT("Tab_000.Trial["&amp;U$4&amp;"]"),Tab_000.Trial[CONTA],$B68)</f>
        <v>-4673.3599999999997</v>
      </c>
      <c r="V68" s="78">
        <f t="shared" ca="1" si="100"/>
        <v>-4.4000000000000003E-3</v>
      </c>
      <c r="W68" s="78">
        <f t="shared" ca="1" si="101"/>
        <v>0</v>
      </c>
      <c r="X68" s="4">
        <f ca="1">-SUMIFS(INDIRECT("Tab_000.Trial["&amp;X$4&amp;"]"),Tab_000.Trial[CONTA],$B68)</f>
        <v>-4673.3599999999997</v>
      </c>
      <c r="Y68" s="78">
        <f t="shared" ca="1" si="102"/>
        <v>-4.4000000000000003E-3</v>
      </c>
      <c r="Z68" s="78">
        <f t="shared" ca="1" si="103"/>
        <v>0</v>
      </c>
      <c r="AA68" s="4">
        <f ca="1">-SUMIFS(INDIRECT("Tab_000.Trial["&amp;AA$4&amp;"]"),Tab_000.Trial[CONTA],$B68)</f>
        <v>-4813.3599999999997</v>
      </c>
      <c r="AB68" s="78">
        <f t="shared" ca="1" si="104"/>
        <v>-5.0000000000000001E-3</v>
      </c>
      <c r="AC68" s="78">
        <f t="shared" ca="1" si="105"/>
        <v>-0.03</v>
      </c>
      <c r="AD68" s="4">
        <f ca="1">-SUMIFS(INDIRECT("Tab_000.Trial["&amp;AD$4&amp;"]"),Tab_000.Trial[CONTA],$B68)</f>
        <v>0</v>
      </c>
      <c r="AE68" s="78">
        <f t="shared" ca="1" si="106"/>
        <v>0</v>
      </c>
      <c r="AF68" s="78">
        <f t="shared" ca="1" si="107"/>
        <v>1</v>
      </c>
      <c r="AG68" s="4">
        <f ca="1">-SUMIFS(INDIRECT("Tab_000.Trial["&amp;AG$4&amp;"]"),Tab_000.Trial[CONTA],$B68)</f>
        <v>0</v>
      </c>
      <c r="AH68" s="78">
        <f t="shared" ca="1" si="108"/>
        <v>0</v>
      </c>
      <c r="AI68" s="78">
        <f t="shared" ca="1" si="109"/>
        <v>0</v>
      </c>
      <c r="AJ68" s="4">
        <f ca="1">-SUMIFS(INDIRECT("Tab_000.Trial["&amp;AJ$4&amp;"]"),Tab_000.Trial[CONTA],$B68)</f>
        <v>0</v>
      </c>
      <c r="AK68" s="78">
        <f t="shared" ca="1" si="110"/>
        <v>0</v>
      </c>
      <c r="AL68" s="78">
        <f t="shared" ca="1" si="111"/>
        <v>0</v>
      </c>
    </row>
    <row r="69" spans="2:39" ht="15" hidden="1" customHeight="1" outlineLevel="1" x14ac:dyDescent="0.3">
      <c r="B69" s="14" t="s">
        <v>444</v>
      </c>
      <c r="C69" s="14" t="s">
        <v>433</v>
      </c>
      <c r="D69" s="4">
        <f ca="1">-SUMIFS(INDIRECT("Tab_000.Trial["&amp;D$4&amp;"]"),Tab_000.Trial[CONTA],$B69)</f>
        <v>-6223.05</v>
      </c>
      <c r="E69" s="78">
        <f t="shared" ca="1" si="89"/>
        <v>-6.7000000000000002E-3</v>
      </c>
      <c r="F69" s="4">
        <f ca="1">-SUMIFS(INDIRECT("Tab_000.Trial["&amp;F$4&amp;"]"),Tab_000.Trial[CONTA],$B69)</f>
        <v>0</v>
      </c>
      <c r="G69" s="78">
        <f t="shared" ca="1" si="91"/>
        <v>0</v>
      </c>
      <c r="H69" s="78">
        <f t="shared" ca="1" si="90"/>
        <v>1</v>
      </c>
      <c r="I69" s="4">
        <f ca="1">-SUMIFS(INDIRECT("Tab_000.Trial["&amp;I$4&amp;"]"),Tab_000.Trial[CONTA],$B69)</f>
        <v>-3238.34</v>
      </c>
      <c r="J69" s="78">
        <f t="shared" ca="1" si="92"/>
        <v>-3.0999999999999999E-3</v>
      </c>
      <c r="K69" s="78">
        <f t="shared" ca="1" si="93"/>
        <v>0</v>
      </c>
      <c r="L69" s="4">
        <f ca="1">-SUMIFS(INDIRECT("Tab_000.Trial["&amp;L$4&amp;"]"),Tab_000.Trial[CONTA],$B69)</f>
        <v>-3238.34</v>
      </c>
      <c r="M69" s="78">
        <f t="shared" ca="1" si="94"/>
        <v>-3.2000000000000002E-3</v>
      </c>
      <c r="N69" s="78">
        <f t="shared" ca="1" si="95"/>
        <v>0</v>
      </c>
      <c r="O69" s="4">
        <f ca="1">-SUMIFS(INDIRECT("Tab_000.Trial["&amp;O$4&amp;"]"),Tab_000.Trial[CONTA],$B69)</f>
        <v>-3505.01</v>
      </c>
      <c r="P69" s="78">
        <f t="shared" ca="1" si="96"/>
        <v>-2.8999999999999998E-3</v>
      </c>
      <c r="Q69" s="78">
        <f t="shared" ca="1" si="97"/>
        <v>-8.2299999999999998E-2</v>
      </c>
      <c r="R69" s="4">
        <f ca="1">-SUMIFS(INDIRECT("Tab_000.Trial["&amp;R$4&amp;"]"),Tab_000.Trial[CONTA],$B69)</f>
        <v>-2219.91</v>
      </c>
      <c r="S69" s="78">
        <f t="shared" ca="1" si="98"/>
        <v>-2.0999999999999999E-3</v>
      </c>
      <c r="T69" s="78">
        <f t="shared" ca="1" si="99"/>
        <v>0.36659999999999998</v>
      </c>
      <c r="U69" s="4">
        <f ca="1">-SUMIFS(INDIRECT("Tab_000.Trial["&amp;U$4&amp;"]"),Tab_000.Trial[CONTA],$B69)</f>
        <v>-2219.91</v>
      </c>
      <c r="V69" s="78">
        <f t="shared" ca="1" si="100"/>
        <v>-2.0999999999999999E-3</v>
      </c>
      <c r="W69" s="78">
        <f t="shared" ca="1" si="101"/>
        <v>0</v>
      </c>
      <c r="X69" s="4">
        <f ca="1">-SUMIFS(INDIRECT("Tab_000.Trial["&amp;X$4&amp;"]"),Tab_000.Trial[CONTA],$B69)</f>
        <v>-2219.91</v>
      </c>
      <c r="Y69" s="78">
        <f t="shared" ca="1" si="102"/>
        <v>-2.0999999999999999E-3</v>
      </c>
      <c r="Z69" s="78">
        <f t="shared" ca="1" si="103"/>
        <v>0</v>
      </c>
      <c r="AA69" s="4">
        <f ca="1">-SUMIFS(INDIRECT("Tab_000.Trial["&amp;AA$4&amp;"]"),Tab_000.Trial[CONTA],$B69)</f>
        <v>-2829.22</v>
      </c>
      <c r="AB69" s="78">
        <f t="shared" ca="1" si="104"/>
        <v>-2.8999999999999998E-3</v>
      </c>
      <c r="AC69" s="78">
        <f t="shared" ca="1" si="105"/>
        <v>-0.27450000000000002</v>
      </c>
      <c r="AD69" s="4">
        <f ca="1">-SUMIFS(INDIRECT("Tab_000.Trial["&amp;AD$4&amp;"]"),Tab_000.Trial[CONTA],$B69)</f>
        <v>-8651.6</v>
      </c>
      <c r="AE69" s="78">
        <f t="shared" ca="1" si="106"/>
        <v>-7.1000000000000004E-3</v>
      </c>
      <c r="AF69" s="78">
        <f t="shared" ca="1" si="107"/>
        <v>-2.0579000000000001</v>
      </c>
      <c r="AG69" s="4">
        <f ca="1">-SUMIFS(INDIRECT("Tab_000.Trial["&amp;AG$4&amp;"]"),Tab_000.Trial[CONTA],$B69)</f>
        <v>-8651.6200000000008</v>
      </c>
      <c r="AH69" s="78">
        <f t="shared" ca="1" si="108"/>
        <v>-9.5999999999999992E-3</v>
      </c>
      <c r="AI69" s="78">
        <f t="shared" ca="1" si="109"/>
        <v>0</v>
      </c>
      <c r="AJ69" s="4">
        <f ca="1">-SUMIFS(INDIRECT("Tab_000.Trial["&amp;AJ$4&amp;"]"),Tab_000.Trial[CONTA],$B69)</f>
        <v>18430.560000000001</v>
      </c>
      <c r="AK69" s="78">
        <f t="shared" ca="1" si="110"/>
        <v>1.2500000000000001E-2</v>
      </c>
      <c r="AL69" s="78">
        <f t="shared" ca="1" si="111"/>
        <v>3.1303000000000001</v>
      </c>
    </row>
    <row r="70" spans="2:39" ht="15" hidden="1" customHeight="1" outlineLevel="1" x14ac:dyDescent="0.3">
      <c r="B70" s="14" t="s">
        <v>445</v>
      </c>
      <c r="C70" s="14" t="s">
        <v>446</v>
      </c>
      <c r="D70" s="4">
        <f ca="1">-SUMIFS(INDIRECT("Tab_000.Trial["&amp;D$4&amp;"]"),Tab_000.Trial[CONTA],$B70)</f>
        <v>0</v>
      </c>
      <c r="E70" s="78">
        <f t="shared" ca="1" si="89"/>
        <v>0</v>
      </c>
      <c r="F70" s="4">
        <f ca="1">-SUMIFS(INDIRECT("Tab_000.Trial["&amp;F$4&amp;"]"),Tab_000.Trial[CONTA],$B70)</f>
        <v>0</v>
      </c>
      <c r="G70" s="78">
        <f t="shared" ca="1" si="91"/>
        <v>0</v>
      </c>
      <c r="H70" s="78">
        <f t="shared" ca="1" si="90"/>
        <v>0</v>
      </c>
      <c r="I70" s="4">
        <f ca="1">-SUMIFS(INDIRECT("Tab_000.Trial["&amp;I$4&amp;"]"),Tab_000.Trial[CONTA],$B70)</f>
        <v>0</v>
      </c>
      <c r="J70" s="78">
        <f t="shared" ca="1" si="92"/>
        <v>0</v>
      </c>
      <c r="K70" s="78">
        <f t="shared" ca="1" si="93"/>
        <v>0</v>
      </c>
      <c r="L70" s="4">
        <f ca="1">-SUMIFS(INDIRECT("Tab_000.Trial["&amp;L$4&amp;"]"),Tab_000.Trial[CONTA],$B70)</f>
        <v>0</v>
      </c>
      <c r="M70" s="78">
        <f t="shared" ca="1" si="94"/>
        <v>0</v>
      </c>
      <c r="N70" s="78">
        <f t="shared" ca="1" si="95"/>
        <v>0</v>
      </c>
      <c r="O70" s="4">
        <f ca="1">-SUMIFS(INDIRECT("Tab_000.Trial["&amp;O$4&amp;"]"),Tab_000.Trial[CONTA],$B70)</f>
        <v>0</v>
      </c>
      <c r="P70" s="78">
        <f t="shared" ca="1" si="96"/>
        <v>0</v>
      </c>
      <c r="Q70" s="78">
        <f t="shared" ca="1" si="97"/>
        <v>0</v>
      </c>
      <c r="R70" s="4">
        <f ca="1">-SUMIFS(INDIRECT("Tab_000.Trial["&amp;R$4&amp;"]"),Tab_000.Trial[CONTA],$B70)</f>
        <v>0</v>
      </c>
      <c r="S70" s="78">
        <f t="shared" ca="1" si="98"/>
        <v>0</v>
      </c>
      <c r="T70" s="78">
        <f t="shared" ca="1" si="99"/>
        <v>0</v>
      </c>
      <c r="U70" s="4">
        <f ca="1">-SUMIFS(INDIRECT("Tab_000.Trial["&amp;U$4&amp;"]"),Tab_000.Trial[CONTA],$B70)</f>
        <v>0</v>
      </c>
      <c r="V70" s="78">
        <f t="shared" ca="1" si="100"/>
        <v>0</v>
      </c>
      <c r="W70" s="78">
        <f t="shared" ca="1" si="101"/>
        <v>0</v>
      </c>
      <c r="X70" s="4">
        <f ca="1">-SUMIFS(INDIRECT("Tab_000.Trial["&amp;X$4&amp;"]"),Tab_000.Trial[CONTA],$B70)</f>
        <v>0</v>
      </c>
      <c r="Y70" s="78">
        <f t="shared" ca="1" si="102"/>
        <v>0</v>
      </c>
      <c r="Z70" s="78">
        <f t="shared" ca="1" si="103"/>
        <v>0</v>
      </c>
      <c r="AA70" s="4">
        <f ca="1">-SUMIFS(INDIRECT("Tab_000.Trial["&amp;AA$4&amp;"]"),Tab_000.Trial[CONTA],$B70)</f>
        <v>0</v>
      </c>
      <c r="AB70" s="78">
        <f t="shared" ca="1" si="104"/>
        <v>0</v>
      </c>
      <c r="AC70" s="78">
        <f t="shared" ca="1" si="105"/>
        <v>0</v>
      </c>
      <c r="AD70" s="4">
        <f ca="1">-SUMIFS(INDIRECT("Tab_000.Trial["&amp;AD$4&amp;"]"),Tab_000.Trial[CONTA],$B70)</f>
        <v>0</v>
      </c>
      <c r="AE70" s="78">
        <f t="shared" ca="1" si="106"/>
        <v>0</v>
      </c>
      <c r="AF70" s="78">
        <f t="shared" ca="1" si="107"/>
        <v>0</v>
      </c>
      <c r="AG70" s="4">
        <f ca="1">-SUMIFS(INDIRECT("Tab_000.Trial["&amp;AG$4&amp;"]"),Tab_000.Trial[CONTA],$B70)</f>
        <v>0</v>
      </c>
      <c r="AH70" s="78">
        <f t="shared" ca="1" si="108"/>
        <v>0</v>
      </c>
      <c r="AI70" s="78">
        <f t="shared" ca="1" si="109"/>
        <v>0</v>
      </c>
      <c r="AJ70" s="4">
        <f ca="1">-SUMIFS(INDIRECT("Tab_000.Trial["&amp;AJ$4&amp;"]"),Tab_000.Trial[CONTA],$B70)</f>
        <v>0</v>
      </c>
      <c r="AK70" s="78">
        <f t="shared" ca="1" si="110"/>
        <v>0</v>
      </c>
      <c r="AL70" s="78">
        <f t="shared" ca="1" si="111"/>
        <v>0</v>
      </c>
    </row>
    <row r="71" spans="2:39" ht="15" hidden="1" customHeight="1" outlineLevel="1" x14ac:dyDescent="0.3">
      <c r="B71" s="14" t="s">
        <v>447</v>
      </c>
      <c r="C71" s="14" t="s">
        <v>448</v>
      </c>
      <c r="D71" s="4">
        <f ca="1">-SUMIFS(INDIRECT("Tab_000.Trial["&amp;D$4&amp;"]"),Tab_000.Trial[CONTA],$B71)</f>
        <v>0</v>
      </c>
      <c r="E71" s="78">
        <f t="shared" ca="1" si="89"/>
        <v>0</v>
      </c>
      <c r="F71" s="4">
        <f ca="1">-SUMIFS(INDIRECT("Tab_000.Trial["&amp;F$4&amp;"]"),Tab_000.Trial[CONTA],$B71)</f>
        <v>0</v>
      </c>
      <c r="G71" s="78">
        <f t="shared" ca="1" si="91"/>
        <v>0</v>
      </c>
      <c r="H71" s="78">
        <f t="shared" ca="1" si="90"/>
        <v>0</v>
      </c>
      <c r="I71" s="4">
        <f ca="1">-SUMIFS(INDIRECT("Tab_000.Trial["&amp;I$4&amp;"]"),Tab_000.Trial[CONTA],$B71)</f>
        <v>0</v>
      </c>
      <c r="J71" s="78">
        <f t="shared" ca="1" si="92"/>
        <v>0</v>
      </c>
      <c r="K71" s="78">
        <f t="shared" ca="1" si="93"/>
        <v>0</v>
      </c>
      <c r="L71" s="4">
        <f ca="1">-SUMIFS(INDIRECT("Tab_000.Trial["&amp;L$4&amp;"]"),Tab_000.Trial[CONTA],$B71)</f>
        <v>0</v>
      </c>
      <c r="M71" s="78">
        <f t="shared" ca="1" si="94"/>
        <v>0</v>
      </c>
      <c r="N71" s="78">
        <f t="shared" ca="1" si="95"/>
        <v>0</v>
      </c>
      <c r="O71" s="4">
        <f ca="1">-SUMIFS(INDIRECT("Tab_000.Trial["&amp;O$4&amp;"]"),Tab_000.Trial[CONTA],$B71)</f>
        <v>-476.67</v>
      </c>
      <c r="P71" s="78">
        <f t="shared" ca="1" si="96"/>
        <v>-4.0000000000000002E-4</v>
      </c>
      <c r="Q71" s="78">
        <f t="shared" ca="1" si="97"/>
        <v>0</v>
      </c>
      <c r="R71" s="4">
        <f ca="1">-SUMIFS(INDIRECT("Tab_000.Trial["&amp;R$4&amp;"]"),Tab_000.Trial[CONTA],$B71)</f>
        <v>0</v>
      </c>
      <c r="S71" s="78">
        <f t="shared" ca="1" si="98"/>
        <v>0</v>
      </c>
      <c r="T71" s="78">
        <f t="shared" ca="1" si="99"/>
        <v>1</v>
      </c>
      <c r="U71" s="4">
        <f ca="1">-SUMIFS(INDIRECT("Tab_000.Trial["&amp;U$4&amp;"]"),Tab_000.Trial[CONTA],$B71)</f>
        <v>0</v>
      </c>
      <c r="V71" s="78">
        <f t="shared" ca="1" si="100"/>
        <v>0</v>
      </c>
      <c r="W71" s="78">
        <f t="shared" ca="1" si="101"/>
        <v>0</v>
      </c>
      <c r="X71" s="4">
        <f ca="1">-SUMIFS(INDIRECT("Tab_000.Trial["&amp;X$4&amp;"]"),Tab_000.Trial[CONTA],$B71)</f>
        <v>0</v>
      </c>
      <c r="Y71" s="78">
        <f t="shared" ca="1" si="102"/>
        <v>0</v>
      </c>
      <c r="Z71" s="78">
        <f t="shared" ca="1" si="103"/>
        <v>0</v>
      </c>
      <c r="AA71" s="4">
        <f ca="1">-SUMIFS(INDIRECT("Tab_000.Trial["&amp;AA$4&amp;"]"),Tab_000.Trial[CONTA],$B71)</f>
        <v>-1100</v>
      </c>
      <c r="AB71" s="78">
        <f t="shared" ca="1" si="104"/>
        <v>-1.1000000000000001E-3</v>
      </c>
      <c r="AC71" s="78">
        <f t="shared" ca="1" si="105"/>
        <v>0</v>
      </c>
      <c r="AD71" s="4">
        <f ca="1">-SUMIFS(INDIRECT("Tab_000.Trial["&amp;AD$4&amp;"]"),Tab_000.Trial[CONTA],$B71)</f>
        <v>0</v>
      </c>
      <c r="AE71" s="78">
        <f t="shared" ca="1" si="106"/>
        <v>0</v>
      </c>
      <c r="AF71" s="78">
        <f t="shared" ca="1" si="107"/>
        <v>1</v>
      </c>
      <c r="AG71" s="4">
        <f ca="1">-SUMIFS(INDIRECT("Tab_000.Trial["&amp;AG$4&amp;"]"),Tab_000.Trial[CONTA],$B71)</f>
        <v>0</v>
      </c>
      <c r="AH71" s="78">
        <f t="shared" ca="1" si="108"/>
        <v>0</v>
      </c>
      <c r="AI71" s="78">
        <f t="shared" ca="1" si="109"/>
        <v>0</v>
      </c>
      <c r="AJ71" s="4">
        <f ca="1">-SUMIFS(INDIRECT("Tab_000.Trial["&amp;AJ$4&amp;"]"),Tab_000.Trial[CONTA],$B71)</f>
        <v>0</v>
      </c>
      <c r="AK71" s="78">
        <f t="shared" ca="1" si="110"/>
        <v>0</v>
      </c>
      <c r="AL71" s="78">
        <f t="shared" ca="1" si="111"/>
        <v>0</v>
      </c>
    </row>
    <row r="72" spans="2:39" ht="15" hidden="1" customHeight="1" outlineLevel="1" x14ac:dyDescent="0.3">
      <c r="B72" s="14" t="s">
        <v>449</v>
      </c>
      <c r="C72" s="14" t="s">
        <v>450</v>
      </c>
      <c r="D72" s="4">
        <f ca="1">-SUMIFS(INDIRECT("Tab_000.Trial["&amp;D$4&amp;"]"),Tab_000.Trial[CONTA],$B72)</f>
        <v>0</v>
      </c>
      <c r="E72" s="78">
        <f t="shared" ca="1" si="89"/>
        <v>0</v>
      </c>
      <c r="F72" s="4">
        <f ca="1">-SUMIFS(INDIRECT("Tab_000.Trial["&amp;F$4&amp;"]"),Tab_000.Trial[CONTA],$B72)</f>
        <v>0</v>
      </c>
      <c r="G72" s="78">
        <f t="shared" ca="1" si="91"/>
        <v>0</v>
      </c>
      <c r="H72" s="78">
        <f t="shared" ca="1" si="90"/>
        <v>0</v>
      </c>
      <c r="I72" s="4">
        <f ca="1">-SUMIFS(INDIRECT("Tab_000.Trial["&amp;I$4&amp;"]"),Tab_000.Trial[CONTA],$B72)</f>
        <v>0</v>
      </c>
      <c r="J72" s="78">
        <f t="shared" ca="1" si="92"/>
        <v>0</v>
      </c>
      <c r="K72" s="78">
        <f t="shared" ca="1" si="93"/>
        <v>0</v>
      </c>
      <c r="L72" s="4">
        <f ca="1">-SUMIFS(INDIRECT("Tab_000.Trial["&amp;L$4&amp;"]"),Tab_000.Trial[CONTA],$B72)</f>
        <v>0</v>
      </c>
      <c r="M72" s="78">
        <f t="shared" ca="1" si="94"/>
        <v>0</v>
      </c>
      <c r="N72" s="78">
        <f t="shared" ca="1" si="95"/>
        <v>0</v>
      </c>
      <c r="O72" s="4">
        <f ca="1">-SUMIFS(INDIRECT("Tab_000.Trial["&amp;O$4&amp;"]"),Tab_000.Trial[CONTA],$B72)</f>
        <v>0</v>
      </c>
      <c r="P72" s="78">
        <f t="shared" ca="1" si="96"/>
        <v>0</v>
      </c>
      <c r="Q72" s="78">
        <f t="shared" ca="1" si="97"/>
        <v>0</v>
      </c>
      <c r="R72" s="4">
        <f ca="1">-SUMIFS(INDIRECT("Tab_000.Trial["&amp;R$4&amp;"]"),Tab_000.Trial[CONTA],$B72)</f>
        <v>0</v>
      </c>
      <c r="S72" s="78">
        <f t="shared" ca="1" si="98"/>
        <v>0</v>
      </c>
      <c r="T72" s="78">
        <f t="shared" ca="1" si="99"/>
        <v>0</v>
      </c>
      <c r="U72" s="4">
        <f ca="1">-SUMIFS(INDIRECT("Tab_000.Trial["&amp;U$4&amp;"]"),Tab_000.Trial[CONTA],$B72)</f>
        <v>0</v>
      </c>
      <c r="V72" s="78">
        <f t="shared" ca="1" si="100"/>
        <v>0</v>
      </c>
      <c r="W72" s="78">
        <f t="shared" ca="1" si="101"/>
        <v>0</v>
      </c>
      <c r="X72" s="4">
        <f ca="1">-SUMIFS(INDIRECT("Tab_000.Trial["&amp;X$4&amp;"]"),Tab_000.Trial[CONTA],$B72)</f>
        <v>0</v>
      </c>
      <c r="Y72" s="78">
        <f t="shared" ca="1" si="102"/>
        <v>0</v>
      </c>
      <c r="Z72" s="78">
        <f t="shared" ca="1" si="103"/>
        <v>0</v>
      </c>
      <c r="AA72" s="4">
        <f ca="1">-SUMIFS(INDIRECT("Tab_000.Trial["&amp;AA$4&amp;"]"),Tab_000.Trial[CONTA],$B72)</f>
        <v>0</v>
      </c>
      <c r="AB72" s="78">
        <f t="shared" ca="1" si="104"/>
        <v>0</v>
      </c>
      <c r="AC72" s="78">
        <f t="shared" ca="1" si="105"/>
        <v>0</v>
      </c>
      <c r="AD72" s="4">
        <f ca="1">-SUMIFS(INDIRECT("Tab_000.Trial["&amp;AD$4&amp;"]"),Tab_000.Trial[CONTA],$B72)</f>
        <v>0</v>
      </c>
      <c r="AE72" s="78">
        <f t="shared" ca="1" si="106"/>
        <v>0</v>
      </c>
      <c r="AF72" s="78">
        <f t="shared" ca="1" si="107"/>
        <v>0</v>
      </c>
      <c r="AG72" s="4">
        <f ca="1">-SUMIFS(INDIRECT("Tab_000.Trial["&amp;AG$4&amp;"]"),Tab_000.Trial[CONTA],$B72)</f>
        <v>0</v>
      </c>
      <c r="AH72" s="78">
        <f t="shared" ca="1" si="108"/>
        <v>0</v>
      </c>
      <c r="AI72" s="78">
        <f t="shared" ca="1" si="109"/>
        <v>0</v>
      </c>
      <c r="AJ72" s="4">
        <f ca="1">-SUMIFS(INDIRECT("Tab_000.Trial["&amp;AJ$4&amp;"]"),Tab_000.Trial[CONTA],$B72)</f>
        <v>0</v>
      </c>
      <c r="AK72" s="78">
        <f t="shared" ca="1" si="110"/>
        <v>0</v>
      </c>
      <c r="AL72" s="78">
        <f t="shared" ca="1" si="111"/>
        <v>0</v>
      </c>
    </row>
    <row r="73" spans="2:39" ht="15" hidden="1" customHeight="1" outlineLevel="1" x14ac:dyDescent="0.3">
      <c r="B73" s="14" t="s">
        <v>451</v>
      </c>
      <c r="C73" s="14" t="s">
        <v>437</v>
      </c>
      <c r="D73" s="4">
        <f ca="1">-SUMIFS(INDIRECT("Tab_000.Trial["&amp;D$4&amp;"]"),Tab_000.Trial[CONTA],$B73)</f>
        <v>-18491.599999999999</v>
      </c>
      <c r="E73" s="78">
        <f t="shared" ca="1" si="89"/>
        <v>-1.9800000000000002E-2</v>
      </c>
      <c r="F73" s="4">
        <f ca="1">-SUMIFS(INDIRECT("Tab_000.Trial["&amp;F$4&amp;"]"),Tab_000.Trial[CONTA],$B73)</f>
        <v>0</v>
      </c>
      <c r="G73" s="78">
        <f t="shared" ca="1" si="91"/>
        <v>0</v>
      </c>
      <c r="H73" s="78">
        <f t="shared" ca="1" si="90"/>
        <v>1</v>
      </c>
      <c r="I73" s="4">
        <f ca="1">-SUMIFS(INDIRECT("Tab_000.Trial["&amp;I$4&amp;"]"),Tab_000.Trial[CONTA],$B73)</f>
        <v>-8380.82</v>
      </c>
      <c r="J73" s="78">
        <f t="shared" ca="1" si="92"/>
        <v>-8.0999999999999996E-3</v>
      </c>
      <c r="K73" s="78">
        <f t="shared" ca="1" si="93"/>
        <v>0</v>
      </c>
      <c r="L73" s="4">
        <f ca="1">-SUMIFS(INDIRECT("Tab_000.Trial["&amp;L$4&amp;"]"),Tab_000.Trial[CONTA],$B73)</f>
        <v>-8380.82</v>
      </c>
      <c r="M73" s="78">
        <f t="shared" ca="1" si="94"/>
        <v>-8.3999999999999995E-3</v>
      </c>
      <c r="N73" s="78">
        <f t="shared" ca="1" si="95"/>
        <v>0</v>
      </c>
      <c r="O73" s="4">
        <f ca="1">-SUMIFS(INDIRECT("Tab_000.Trial["&amp;O$4&amp;"]"),Tab_000.Trial[CONTA],$B73)</f>
        <v>-8380.82</v>
      </c>
      <c r="P73" s="78">
        <f t="shared" ca="1" si="96"/>
        <v>-7.0000000000000001E-3</v>
      </c>
      <c r="Q73" s="78">
        <f t="shared" ca="1" si="97"/>
        <v>0</v>
      </c>
      <c r="R73" s="4">
        <f ca="1">-SUMIFS(INDIRECT("Tab_000.Trial["&amp;R$4&amp;"]"),Tab_000.Trial[CONTA],$B73)</f>
        <v>-11538.01</v>
      </c>
      <c r="S73" s="78">
        <f t="shared" ca="1" si="98"/>
        <v>-1.09E-2</v>
      </c>
      <c r="T73" s="78">
        <f t="shared" ca="1" si="99"/>
        <v>-0.37669999999999998</v>
      </c>
      <c r="U73" s="4">
        <f ca="1">-SUMIFS(INDIRECT("Tab_000.Trial["&amp;U$4&amp;"]"),Tab_000.Trial[CONTA],$B73)</f>
        <v>-11538.01</v>
      </c>
      <c r="V73" s="78">
        <f t="shared" ca="1" si="100"/>
        <v>-1.09E-2</v>
      </c>
      <c r="W73" s="78">
        <f t="shared" ca="1" si="101"/>
        <v>0</v>
      </c>
      <c r="X73" s="4">
        <f ca="1">-SUMIFS(INDIRECT("Tab_000.Trial["&amp;X$4&amp;"]"),Tab_000.Trial[CONTA],$B73)</f>
        <v>-11538.01</v>
      </c>
      <c r="Y73" s="78">
        <f t="shared" ca="1" si="102"/>
        <v>-1.09E-2</v>
      </c>
      <c r="Z73" s="78">
        <f t="shared" ca="1" si="103"/>
        <v>0</v>
      </c>
      <c r="AA73" s="4">
        <f ca="1">-SUMIFS(INDIRECT("Tab_000.Trial["&amp;AA$4&amp;"]"),Tab_000.Trial[CONTA],$B73)</f>
        <v>-7356.94</v>
      </c>
      <c r="AB73" s="78">
        <f t="shared" ca="1" si="104"/>
        <v>-7.6E-3</v>
      </c>
      <c r="AC73" s="78">
        <f t="shared" ca="1" si="105"/>
        <v>0.3624</v>
      </c>
      <c r="AD73" s="4">
        <f ca="1">-SUMIFS(INDIRECT("Tab_000.Trial["&amp;AD$4&amp;"]"),Tab_000.Trial[CONTA],$B73)</f>
        <v>-11588.06</v>
      </c>
      <c r="AE73" s="78">
        <f t="shared" ca="1" si="106"/>
        <v>-9.4999999999999998E-3</v>
      </c>
      <c r="AF73" s="78">
        <f t="shared" ca="1" si="107"/>
        <v>-0.57509999999999994</v>
      </c>
      <c r="AG73" s="4">
        <f ca="1">-SUMIFS(INDIRECT("Tab_000.Trial["&amp;AG$4&amp;"]"),Tab_000.Trial[CONTA],$B73)</f>
        <v>-11451.52</v>
      </c>
      <c r="AH73" s="78">
        <f t="shared" ca="1" si="108"/>
        <v>-1.2699999999999999E-2</v>
      </c>
      <c r="AI73" s="78">
        <f t="shared" ca="1" si="109"/>
        <v>1.18E-2</v>
      </c>
      <c r="AJ73" s="4">
        <f ca="1">-SUMIFS(INDIRECT("Tab_000.Trial["&amp;AJ$4&amp;"]"),Tab_000.Trial[CONTA],$B73)</f>
        <v>-16830.82</v>
      </c>
      <c r="AK73" s="78">
        <f t="shared" ca="1" si="110"/>
        <v>-1.14E-2</v>
      </c>
      <c r="AL73" s="78">
        <f t="shared" ca="1" si="111"/>
        <v>-0.46970000000000001</v>
      </c>
    </row>
    <row r="74" spans="2:39" ht="15" hidden="1" customHeight="1" outlineLevel="1" x14ac:dyDescent="0.3">
      <c r="B74" s="14" t="s">
        <v>452</v>
      </c>
      <c r="C74" s="14" t="s">
        <v>196</v>
      </c>
      <c r="D74" s="4">
        <f ca="1">-SUMIFS(INDIRECT("Tab_000.Trial["&amp;D$4&amp;"]"),Tab_000.Trial[CONTA],$B74)</f>
        <v>-5519.86</v>
      </c>
      <c r="E74" s="78">
        <f t="shared" ca="1" si="89"/>
        <v>-5.8999999999999999E-3</v>
      </c>
      <c r="F74" s="4">
        <f ca="1">-SUMIFS(INDIRECT("Tab_000.Trial["&amp;F$4&amp;"]"),Tab_000.Trial[CONTA],$B74)</f>
        <v>-188664.95</v>
      </c>
      <c r="G74" s="78">
        <f t="shared" ca="1" si="91"/>
        <v>-0.35959999999999998</v>
      </c>
      <c r="H74" s="78">
        <f t="shared" ca="1" si="90"/>
        <v>-33.179299999999998</v>
      </c>
      <c r="I74" s="4">
        <f ca="1">-SUMIFS(INDIRECT("Tab_000.Trial["&amp;I$4&amp;"]"),Tab_000.Trial[CONTA],$B74)</f>
        <v>-2501.7199999999998</v>
      </c>
      <c r="J74" s="78">
        <f t="shared" ca="1" si="92"/>
        <v>-2.3999999999999998E-3</v>
      </c>
      <c r="K74" s="78">
        <f t="shared" ca="1" si="93"/>
        <v>0.98670000000000002</v>
      </c>
      <c r="L74" s="4">
        <f ca="1">-SUMIFS(INDIRECT("Tab_000.Trial["&amp;L$4&amp;"]"),Tab_000.Trial[CONTA],$B74)</f>
        <v>-2501.7199999999998</v>
      </c>
      <c r="M74" s="78">
        <f t="shared" ca="1" si="94"/>
        <v>-2.5000000000000001E-3</v>
      </c>
      <c r="N74" s="78">
        <f t="shared" ca="1" si="95"/>
        <v>0</v>
      </c>
      <c r="O74" s="4">
        <f ca="1">-SUMIFS(INDIRECT("Tab_000.Trial["&amp;O$4&amp;"]"),Tab_000.Trial[CONTA],$B74)</f>
        <v>-2501.7199999999998</v>
      </c>
      <c r="P74" s="78">
        <f t="shared" ca="1" si="96"/>
        <v>-2.0999999999999999E-3</v>
      </c>
      <c r="Q74" s="78">
        <f t="shared" ca="1" si="97"/>
        <v>0</v>
      </c>
      <c r="R74" s="4">
        <f ca="1">-SUMIFS(INDIRECT("Tab_000.Trial["&amp;R$4&amp;"]"),Tab_000.Trial[CONTA],$B74)</f>
        <v>-3444.18</v>
      </c>
      <c r="S74" s="78">
        <f t="shared" ca="1" si="98"/>
        <v>-3.3E-3</v>
      </c>
      <c r="T74" s="78">
        <f t="shared" ca="1" si="99"/>
        <v>-0.37669999999999998</v>
      </c>
      <c r="U74" s="4">
        <f ca="1">-SUMIFS(INDIRECT("Tab_000.Trial["&amp;U$4&amp;"]"),Tab_000.Trial[CONTA],$B74)</f>
        <v>-3444.18</v>
      </c>
      <c r="V74" s="78">
        <f t="shared" ca="1" si="100"/>
        <v>-3.3E-3</v>
      </c>
      <c r="W74" s="78">
        <f t="shared" ca="1" si="101"/>
        <v>0</v>
      </c>
      <c r="X74" s="4">
        <f ca="1">-SUMIFS(INDIRECT("Tab_000.Trial["&amp;X$4&amp;"]"),Tab_000.Trial[CONTA],$B74)</f>
        <v>-3444.18</v>
      </c>
      <c r="Y74" s="78">
        <f t="shared" ca="1" si="102"/>
        <v>-3.3E-3</v>
      </c>
      <c r="Z74" s="78">
        <f t="shared" ca="1" si="103"/>
        <v>0</v>
      </c>
      <c r="AA74" s="4">
        <f ca="1">-SUMIFS(INDIRECT("Tab_000.Trial["&amp;AA$4&amp;"]"),Tab_000.Trial[CONTA],$B74)</f>
        <v>-2196.1</v>
      </c>
      <c r="AB74" s="78">
        <f t="shared" ca="1" si="104"/>
        <v>-2.3E-3</v>
      </c>
      <c r="AC74" s="78">
        <f t="shared" ca="1" si="105"/>
        <v>0.3624</v>
      </c>
      <c r="AD74" s="4">
        <f ca="1">-SUMIFS(INDIRECT("Tab_000.Trial["&amp;AD$4&amp;"]"),Tab_000.Trial[CONTA],$B74)</f>
        <v>-3459.12</v>
      </c>
      <c r="AE74" s="78">
        <f t="shared" ca="1" si="106"/>
        <v>-2.8E-3</v>
      </c>
      <c r="AF74" s="78">
        <f t="shared" ca="1" si="107"/>
        <v>-0.57509999999999994</v>
      </c>
      <c r="AG74" s="4">
        <f ca="1">-SUMIFS(INDIRECT("Tab_000.Trial["&amp;AG$4&amp;"]"),Tab_000.Trial[CONTA],$B74)</f>
        <v>-3418.36</v>
      </c>
      <c r="AH74" s="78">
        <f t="shared" ca="1" si="108"/>
        <v>-3.8E-3</v>
      </c>
      <c r="AI74" s="78">
        <f t="shared" ca="1" si="109"/>
        <v>1.18E-2</v>
      </c>
      <c r="AJ74" s="4">
        <f ca="1">-SUMIFS(INDIRECT("Tab_000.Trial["&amp;AJ$4&amp;"]"),Tab_000.Trial[CONTA],$B74)</f>
        <v>-3459.12</v>
      </c>
      <c r="AK74" s="78">
        <f t="shared" ca="1" si="110"/>
        <v>-2.3E-3</v>
      </c>
      <c r="AL74" s="78">
        <f t="shared" ca="1" si="111"/>
        <v>-1.1900000000000001E-2</v>
      </c>
    </row>
    <row r="75" spans="2:39" ht="15" hidden="1" customHeight="1" outlineLevel="1" x14ac:dyDescent="0.3">
      <c r="B75" s="14" t="s">
        <v>453</v>
      </c>
      <c r="C75" s="14" t="s">
        <v>454</v>
      </c>
      <c r="D75" s="4">
        <f ca="1">-SUMIFS(INDIRECT("Tab_000.Trial["&amp;D$4&amp;"]"),Tab_000.Trial[CONTA],$B75)</f>
        <v>-689.98</v>
      </c>
      <c r="E75" s="78">
        <f t="shared" ca="1" si="89"/>
        <v>-6.9999999999999999E-4</v>
      </c>
      <c r="F75" s="4">
        <f ca="1">-SUMIFS(INDIRECT("Tab_000.Trial["&amp;F$4&amp;"]"),Tab_000.Trial[CONTA],$B75)</f>
        <v>0</v>
      </c>
      <c r="G75" s="78">
        <f t="shared" ca="1" si="91"/>
        <v>0</v>
      </c>
      <c r="H75" s="78">
        <f t="shared" ca="1" si="90"/>
        <v>1</v>
      </c>
      <c r="I75" s="4">
        <f ca="1">-SUMIFS(INDIRECT("Tab_000.Trial["&amp;I$4&amp;"]"),Tab_000.Trial[CONTA],$B75)</f>
        <v>-312.72000000000003</v>
      </c>
      <c r="J75" s="78">
        <f t="shared" ca="1" si="92"/>
        <v>-2.9999999999999997E-4</v>
      </c>
      <c r="K75" s="78">
        <f t="shared" ca="1" si="93"/>
        <v>0</v>
      </c>
      <c r="L75" s="4">
        <f ca="1">-SUMIFS(INDIRECT("Tab_000.Trial["&amp;L$4&amp;"]"),Tab_000.Trial[CONTA],$B75)</f>
        <v>-312.72000000000003</v>
      </c>
      <c r="M75" s="78">
        <f t="shared" ca="1" si="94"/>
        <v>-2.9999999999999997E-4</v>
      </c>
      <c r="N75" s="78">
        <f t="shared" ca="1" si="95"/>
        <v>0</v>
      </c>
      <c r="O75" s="4">
        <f ca="1">-SUMIFS(INDIRECT("Tab_000.Trial["&amp;O$4&amp;"]"),Tab_000.Trial[CONTA],$B75)</f>
        <v>-312.72000000000003</v>
      </c>
      <c r="P75" s="78">
        <f t="shared" ca="1" si="96"/>
        <v>-2.9999999999999997E-4</v>
      </c>
      <c r="Q75" s="78">
        <f t="shared" ca="1" si="97"/>
        <v>0</v>
      </c>
      <c r="R75" s="4">
        <f ca="1">-SUMIFS(INDIRECT("Tab_000.Trial["&amp;R$4&amp;"]"),Tab_000.Trial[CONTA],$B75)</f>
        <v>-430.52</v>
      </c>
      <c r="S75" s="78">
        <f t="shared" ca="1" si="98"/>
        <v>-4.0000000000000002E-4</v>
      </c>
      <c r="T75" s="78">
        <f t="shared" ca="1" si="99"/>
        <v>-0.37669999999999998</v>
      </c>
      <c r="U75" s="4">
        <f ca="1">-SUMIFS(INDIRECT("Tab_000.Trial["&amp;U$4&amp;"]"),Tab_000.Trial[CONTA],$B75)</f>
        <v>-430.52</v>
      </c>
      <c r="V75" s="78">
        <f t="shared" ca="1" si="100"/>
        <v>-4.0000000000000002E-4</v>
      </c>
      <c r="W75" s="78">
        <f t="shared" ca="1" si="101"/>
        <v>0</v>
      </c>
      <c r="X75" s="4">
        <f ca="1">-SUMIFS(INDIRECT("Tab_000.Trial["&amp;X$4&amp;"]"),Tab_000.Trial[CONTA],$B75)</f>
        <v>-430.52</v>
      </c>
      <c r="Y75" s="78">
        <f t="shared" ca="1" si="102"/>
        <v>-4.0000000000000002E-4</v>
      </c>
      <c r="Z75" s="78">
        <f t="shared" ca="1" si="103"/>
        <v>0</v>
      </c>
      <c r="AA75" s="4">
        <f ca="1">-SUMIFS(INDIRECT("Tab_000.Trial["&amp;AA$4&amp;"]"),Tab_000.Trial[CONTA],$B75)</f>
        <v>-274.51</v>
      </c>
      <c r="AB75" s="78">
        <f t="shared" ca="1" si="104"/>
        <v>-2.9999999999999997E-4</v>
      </c>
      <c r="AC75" s="78">
        <f t="shared" ca="1" si="105"/>
        <v>0.3624</v>
      </c>
      <c r="AD75" s="4">
        <f ca="1">-SUMIFS(INDIRECT("Tab_000.Trial["&amp;AD$4&amp;"]"),Tab_000.Trial[CONTA],$B75)</f>
        <v>-432.39</v>
      </c>
      <c r="AE75" s="78">
        <f t="shared" ca="1" si="106"/>
        <v>-4.0000000000000002E-4</v>
      </c>
      <c r="AF75" s="78">
        <f t="shared" ca="1" si="107"/>
        <v>-0.57509999999999994</v>
      </c>
      <c r="AG75" s="4">
        <f ca="1">-SUMIFS(INDIRECT("Tab_000.Trial["&amp;AG$4&amp;"]"),Tab_000.Trial[CONTA],$B75)</f>
        <v>-427.3</v>
      </c>
      <c r="AH75" s="78">
        <f t="shared" ca="1" si="108"/>
        <v>-5.0000000000000001E-4</v>
      </c>
      <c r="AI75" s="78">
        <f t="shared" ca="1" si="109"/>
        <v>1.18E-2</v>
      </c>
      <c r="AJ75" s="4">
        <f ca="1">-SUMIFS(INDIRECT("Tab_000.Trial["&amp;AJ$4&amp;"]"),Tab_000.Trial[CONTA],$B75)</f>
        <v>-432.39</v>
      </c>
      <c r="AK75" s="78">
        <f t="shared" ca="1" si="110"/>
        <v>-2.9999999999999997E-4</v>
      </c>
      <c r="AL75" s="78">
        <f t="shared" ca="1" si="111"/>
        <v>-1.1900000000000001E-2</v>
      </c>
    </row>
    <row r="76" spans="2:39" ht="15" hidden="1" customHeight="1" outlineLevel="1" x14ac:dyDescent="0.3">
      <c r="B76" s="14" t="s">
        <v>748</v>
      </c>
      <c r="C76" s="14" t="s">
        <v>749</v>
      </c>
      <c r="D76" s="4">
        <f ca="1">-SUMIFS(INDIRECT("Tab_000.Trial["&amp;D$4&amp;"]"),Tab_000.Trial[CONTA],$B76)</f>
        <v>0</v>
      </c>
      <c r="E76" s="78">
        <f t="shared" ca="1" si="89"/>
        <v>0</v>
      </c>
      <c r="F76" s="4">
        <f ca="1">-SUMIFS(INDIRECT("Tab_000.Trial["&amp;F$4&amp;"]"),Tab_000.Trial[CONTA],$B76)</f>
        <v>0</v>
      </c>
      <c r="G76" s="78">
        <f t="shared" ca="1" si="91"/>
        <v>0</v>
      </c>
      <c r="H76" s="78">
        <f t="shared" ca="1" si="90"/>
        <v>0</v>
      </c>
      <c r="I76" s="4">
        <f ca="1">-SUMIFS(INDIRECT("Tab_000.Trial["&amp;I$4&amp;"]"),Tab_000.Trial[CONTA],$B76)</f>
        <v>0</v>
      </c>
      <c r="J76" s="78">
        <f t="shared" ca="1" si="92"/>
        <v>0</v>
      </c>
      <c r="K76" s="78">
        <f t="shared" ca="1" si="93"/>
        <v>0</v>
      </c>
      <c r="L76" s="4">
        <f ca="1">-SUMIFS(INDIRECT("Tab_000.Trial["&amp;L$4&amp;"]"),Tab_000.Trial[CONTA],$B76)</f>
        <v>0</v>
      </c>
      <c r="M76" s="78">
        <f t="shared" ca="1" si="94"/>
        <v>0</v>
      </c>
      <c r="N76" s="78">
        <f t="shared" ca="1" si="95"/>
        <v>0</v>
      </c>
      <c r="O76" s="4">
        <f ca="1">-SUMIFS(INDIRECT("Tab_000.Trial["&amp;O$4&amp;"]"),Tab_000.Trial[CONTA],$B76)</f>
        <v>0</v>
      </c>
      <c r="P76" s="78">
        <f t="shared" ca="1" si="96"/>
        <v>0</v>
      </c>
      <c r="Q76" s="78">
        <f t="shared" ca="1" si="97"/>
        <v>0</v>
      </c>
      <c r="R76" s="4">
        <f ca="1">-SUMIFS(INDIRECT("Tab_000.Trial["&amp;R$4&amp;"]"),Tab_000.Trial[CONTA],$B76)</f>
        <v>0</v>
      </c>
      <c r="S76" s="78">
        <f t="shared" ca="1" si="98"/>
        <v>0</v>
      </c>
      <c r="T76" s="78">
        <f t="shared" ca="1" si="99"/>
        <v>0</v>
      </c>
      <c r="U76" s="4">
        <f ca="1">-SUMIFS(INDIRECT("Tab_000.Trial["&amp;U$4&amp;"]"),Tab_000.Trial[CONTA],$B76)</f>
        <v>0</v>
      </c>
      <c r="V76" s="78">
        <f t="shared" ca="1" si="100"/>
        <v>0</v>
      </c>
      <c r="W76" s="78">
        <f t="shared" ca="1" si="101"/>
        <v>0</v>
      </c>
      <c r="X76" s="4">
        <f ca="1">-SUMIFS(INDIRECT("Tab_000.Trial["&amp;X$4&amp;"]"),Tab_000.Trial[CONTA],$B76)</f>
        <v>0</v>
      </c>
      <c r="Y76" s="78">
        <f t="shared" ca="1" si="102"/>
        <v>0</v>
      </c>
      <c r="Z76" s="78">
        <f t="shared" ca="1" si="103"/>
        <v>0</v>
      </c>
      <c r="AA76" s="4">
        <f ca="1">-SUMIFS(INDIRECT("Tab_000.Trial["&amp;AA$4&amp;"]"),Tab_000.Trial[CONTA],$B76)</f>
        <v>0</v>
      </c>
      <c r="AB76" s="78">
        <f t="shared" ca="1" si="104"/>
        <v>0</v>
      </c>
      <c r="AC76" s="78">
        <f t="shared" ca="1" si="105"/>
        <v>0</v>
      </c>
      <c r="AD76" s="4">
        <f ca="1">-SUMIFS(INDIRECT("Tab_000.Trial["&amp;AD$4&amp;"]"),Tab_000.Trial[CONTA],$B76)</f>
        <v>0</v>
      </c>
      <c r="AE76" s="78">
        <f t="shared" ca="1" si="106"/>
        <v>0</v>
      </c>
      <c r="AF76" s="78">
        <f t="shared" ca="1" si="107"/>
        <v>0</v>
      </c>
      <c r="AG76" s="4">
        <f ca="1">-SUMIFS(INDIRECT("Tab_000.Trial["&amp;AG$4&amp;"]"),Tab_000.Trial[CONTA],$B76)</f>
        <v>0</v>
      </c>
      <c r="AH76" s="78">
        <f t="shared" ca="1" si="108"/>
        <v>0</v>
      </c>
      <c r="AI76" s="78">
        <f t="shared" ca="1" si="109"/>
        <v>0</v>
      </c>
      <c r="AJ76" s="4">
        <f ca="1">-SUMIFS(INDIRECT("Tab_000.Trial["&amp;AJ$4&amp;"]"),Tab_000.Trial[CONTA],$B76)</f>
        <v>0</v>
      </c>
      <c r="AK76" s="78">
        <f t="shared" ca="1" si="110"/>
        <v>0</v>
      </c>
      <c r="AL76" s="78">
        <f t="shared" ca="1" si="111"/>
        <v>0</v>
      </c>
    </row>
    <row r="77" spans="2:39" ht="15" hidden="1" customHeight="1" outlineLevel="1" x14ac:dyDescent="0.3">
      <c r="B77" s="14" t="s">
        <v>750</v>
      </c>
      <c r="C77" s="14" t="s">
        <v>751</v>
      </c>
      <c r="D77" s="4">
        <f ca="1">-SUMIFS(INDIRECT("Tab_000.Trial["&amp;D$4&amp;"]"),Tab_000.Trial[CONTA],$B77)</f>
        <v>-1171.52</v>
      </c>
      <c r="E77" s="78">
        <f t="shared" ca="1" si="89"/>
        <v>-1.2999999999999999E-3</v>
      </c>
      <c r="F77" s="4">
        <f ca="1">-SUMIFS(INDIRECT("Tab_000.Trial["&amp;F$4&amp;"]"),Tab_000.Trial[CONTA],$B77)</f>
        <v>-2252.5</v>
      </c>
      <c r="G77" s="78">
        <f t="shared" ca="1" si="91"/>
        <v>-4.3E-3</v>
      </c>
      <c r="H77" s="78">
        <f t="shared" ca="1" si="90"/>
        <v>-0.92269999999999996</v>
      </c>
      <c r="I77" s="4">
        <f ca="1">-SUMIFS(INDIRECT("Tab_000.Trial["&amp;I$4&amp;"]"),Tab_000.Trial[CONTA],$B77)</f>
        <v>-1451.87</v>
      </c>
      <c r="J77" s="78">
        <f t="shared" ca="1" si="92"/>
        <v>-1.4E-3</v>
      </c>
      <c r="K77" s="78">
        <f t="shared" ca="1" si="93"/>
        <v>0.35539999999999999</v>
      </c>
      <c r="L77" s="4">
        <f ca="1">-SUMIFS(INDIRECT("Tab_000.Trial["&amp;L$4&amp;"]"),Tab_000.Trial[CONTA],$B77)</f>
        <v>-349.49</v>
      </c>
      <c r="M77" s="78">
        <f t="shared" ca="1" si="94"/>
        <v>-2.9999999999999997E-4</v>
      </c>
      <c r="N77" s="78">
        <f t="shared" ca="1" si="95"/>
        <v>0.75929999999999997</v>
      </c>
      <c r="O77" s="4">
        <f ca="1">-SUMIFS(INDIRECT("Tab_000.Trial["&amp;O$4&amp;"]"),Tab_000.Trial[CONTA],$B77)</f>
        <v>-105.4</v>
      </c>
      <c r="P77" s="78">
        <f t="shared" ca="1" si="96"/>
        <v>-1E-4</v>
      </c>
      <c r="Q77" s="78">
        <f t="shared" ca="1" si="97"/>
        <v>0.69840000000000002</v>
      </c>
      <c r="R77" s="4">
        <f ca="1">-SUMIFS(INDIRECT("Tab_000.Trial["&amp;R$4&amp;"]"),Tab_000.Trial[CONTA],$B77)</f>
        <v>285.27999999999997</v>
      </c>
      <c r="S77" s="78">
        <f t="shared" ca="1" si="98"/>
        <v>2.9999999999999997E-4</v>
      </c>
      <c r="T77" s="78">
        <f t="shared" ca="1" si="99"/>
        <v>3.7065999999999999</v>
      </c>
      <c r="U77" s="4">
        <f ca="1">-SUMIFS(INDIRECT("Tab_000.Trial["&amp;U$4&amp;"]"),Tab_000.Trial[CONTA],$B77)</f>
        <v>285.27999999999997</v>
      </c>
      <c r="V77" s="78">
        <f t="shared" ca="1" si="100"/>
        <v>2.9999999999999997E-4</v>
      </c>
      <c r="W77" s="78">
        <f t="shared" ca="1" si="101"/>
        <v>0</v>
      </c>
      <c r="X77" s="4">
        <f ca="1">-SUMIFS(INDIRECT("Tab_000.Trial["&amp;X$4&amp;"]"),Tab_000.Trial[CONTA],$B77)</f>
        <v>285.27999999999997</v>
      </c>
      <c r="Y77" s="78">
        <f t="shared" ca="1" si="102"/>
        <v>2.9999999999999997E-4</v>
      </c>
      <c r="Z77" s="78">
        <f t="shared" ca="1" si="103"/>
        <v>0</v>
      </c>
      <c r="AA77" s="4">
        <f ca="1">-SUMIFS(INDIRECT("Tab_000.Trial["&amp;AA$4&amp;"]"),Tab_000.Trial[CONTA],$B77)</f>
        <v>-2214.9</v>
      </c>
      <c r="AB77" s="78">
        <f t="shared" ca="1" si="104"/>
        <v>-2.3E-3</v>
      </c>
      <c r="AC77" s="78">
        <f t="shared" ca="1" si="105"/>
        <v>-8.7639999999999993</v>
      </c>
      <c r="AD77" s="4">
        <f ca="1">-SUMIFS(INDIRECT("Tab_000.Trial["&amp;AD$4&amp;"]"),Tab_000.Trial[CONTA],$B77)</f>
        <v>1188.78</v>
      </c>
      <c r="AE77" s="78">
        <f t="shared" ca="1" si="106"/>
        <v>1E-3</v>
      </c>
      <c r="AF77" s="78">
        <f t="shared" ca="1" si="107"/>
        <v>1.5367</v>
      </c>
      <c r="AG77" s="4">
        <f ca="1">-SUMIFS(INDIRECT("Tab_000.Trial["&amp;AG$4&amp;"]"),Tab_000.Trial[CONTA],$B77)</f>
        <v>1184.56</v>
      </c>
      <c r="AH77" s="78">
        <f t="shared" ca="1" si="108"/>
        <v>1.2999999999999999E-3</v>
      </c>
      <c r="AI77" s="78">
        <f t="shared" ca="1" si="109"/>
        <v>-3.5000000000000001E-3</v>
      </c>
      <c r="AJ77" s="4">
        <f ca="1">-SUMIFS(INDIRECT("Tab_000.Trial["&amp;AJ$4&amp;"]"),Tab_000.Trial[CONTA],$B77)</f>
        <v>1315.13</v>
      </c>
      <c r="AK77" s="78">
        <f t="shared" ca="1" si="110"/>
        <v>8.9999999999999998E-4</v>
      </c>
      <c r="AL77" s="78">
        <f t="shared" ca="1" si="111"/>
        <v>0.11020000000000001</v>
      </c>
    </row>
    <row r="78" spans="2:39" ht="15" hidden="1" customHeight="1" outlineLevel="1" x14ac:dyDescent="0.3">
      <c r="B78" s="14" t="s">
        <v>777</v>
      </c>
      <c r="C78" s="14" t="s">
        <v>749</v>
      </c>
      <c r="D78" s="4">
        <f ca="1">-SUMIFS(INDIRECT("Tab_000.Trial["&amp;D$4&amp;"]"),Tab_000.Trial[CONTA],$B78)</f>
        <v>0</v>
      </c>
      <c r="E78" s="78">
        <f t="shared" ca="1" si="89"/>
        <v>0</v>
      </c>
      <c r="F78" s="4">
        <f ca="1">-SUMIFS(INDIRECT("Tab_000.Trial["&amp;F$4&amp;"]"),Tab_000.Trial[CONTA],$B78)</f>
        <v>0</v>
      </c>
      <c r="G78" s="78">
        <f t="shared" ca="1" si="91"/>
        <v>0</v>
      </c>
      <c r="H78" s="78">
        <f t="shared" ca="1" si="90"/>
        <v>0</v>
      </c>
      <c r="I78" s="4">
        <f ca="1">-SUMIFS(INDIRECT("Tab_000.Trial["&amp;I$4&amp;"]"),Tab_000.Trial[CONTA],$B78)</f>
        <v>0</v>
      </c>
      <c r="J78" s="78">
        <f t="shared" ca="1" si="92"/>
        <v>0</v>
      </c>
      <c r="K78" s="78">
        <f t="shared" ca="1" si="93"/>
        <v>0</v>
      </c>
      <c r="L78" s="4">
        <f ca="1">-SUMIFS(INDIRECT("Tab_000.Trial["&amp;L$4&amp;"]"),Tab_000.Trial[CONTA],$B78)</f>
        <v>0</v>
      </c>
      <c r="M78" s="78">
        <f t="shared" ca="1" si="94"/>
        <v>0</v>
      </c>
      <c r="N78" s="78">
        <f t="shared" ca="1" si="95"/>
        <v>0</v>
      </c>
      <c r="O78" s="4">
        <f ca="1">-SUMIFS(INDIRECT("Tab_000.Trial["&amp;O$4&amp;"]"),Tab_000.Trial[CONTA],$B78)</f>
        <v>0</v>
      </c>
      <c r="P78" s="78">
        <f t="shared" ca="1" si="96"/>
        <v>0</v>
      </c>
      <c r="Q78" s="78">
        <f t="shared" ca="1" si="97"/>
        <v>0</v>
      </c>
      <c r="R78" s="4">
        <f ca="1">-SUMIFS(INDIRECT("Tab_000.Trial["&amp;R$4&amp;"]"),Tab_000.Trial[CONTA],$B78)</f>
        <v>0</v>
      </c>
      <c r="S78" s="78">
        <f t="shared" ca="1" si="98"/>
        <v>0</v>
      </c>
      <c r="T78" s="78">
        <f t="shared" ca="1" si="99"/>
        <v>0</v>
      </c>
      <c r="U78" s="4">
        <f ca="1">-SUMIFS(INDIRECT("Tab_000.Trial["&amp;U$4&amp;"]"),Tab_000.Trial[CONTA],$B78)</f>
        <v>0</v>
      </c>
      <c r="V78" s="78">
        <f t="shared" ca="1" si="100"/>
        <v>0</v>
      </c>
      <c r="W78" s="78">
        <f t="shared" ca="1" si="101"/>
        <v>0</v>
      </c>
      <c r="X78" s="4">
        <f ca="1">-SUMIFS(INDIRECT("Tab_000.Trial["&amp;X$4&amp;"]"),Tab_000.Trial[CONTA],$B78)</f>
        <v>0</v>
      </c>
      <c r="Y78" s="78">
        <f t="shared" ca="1" si="102"/>
        <v>0</v>
      </c>
      <c r="Z78" s="78">
        <f t="shared" ca="1" si="103"/>
        <v>0</v>
      </c>
      <c r="AA78" s="4">
        <f ca="1">-SUMIFS(INDIRECT("Tab_000.Trial["&amp;AA$4&amp;"]"),Tab_000.Trial[CONTA],$B78)</f>
        <v>0</v>
      </c>
      <c r="AB78" s="78">
        <f t="shared" ca="1" si="104"/>
        <v>0</v>
      </c>
      <c r="AC78" s="78">
        <f t="shared" ca="1" si="105"/>
        <v>0</v>
      </c>
      <c r="AD78" s="4">
        <f ca="1">-SUMIFS(INDIRECT("Tab_000.Trial["&amp;AD$4&amp;"]"),Tab_000.Trial[CONTA],$B78)</f>
        <v>0</v>
      </c>
      <c r="AE78" s="78">
        <f t="shared" ca="1" si="106"/>
        <v>0</v>
      </c>
      <c r="AF78" s="78">
        <f t="shared" ca="1" si="107"/>
        <v>0</v>
      </c>
      <c r="AG78" s="4">
        <f ca="1">-SUMIFS(INDIRECT("Tab_000.Trial["&amp;AG$4&amp;"]"),Tab_000.Trial[CONTA],$B78)</f>
        <v>0</v>
      </c>
      <c r="AH78" s="78">
        <f t="shared" ca="1" si="108"/>
        <v>0</v>
      </c>
      <c r="AI78" s="78">
        <f t="shared" ca="1" si="109"/>
        <v>0</v>
      </c>
      <c r="AJ78" s="4">
        <f ca="1">-SUMIFS(INDIRECT("Tab_000.Trial["&amp;AJ$4&amp;"]"),Tab_000.Trial[CONTA],$B78)</f>
        <v>0</v>
      </c>
      <c r="AK78" s="78">
        <f t="shared" ca="1" si="110"/>
        <v>0</v>
      </c>
      <c r="AL78" s="78">
        <f t="shared" ca="1" si="111"/>
        <v>0</v>
      </c>
    </row>
    <row r="79" spans="2:39" ht="15" hidden="1" customHeight="1" outlineLevel="1" x14ac:dyDescent="0.3">
      <c r="B79" s="14" t="s">
        <v>796</v>
      </c>
      <c r="C79" s="14" t="s">
        <v>797</v>
      </c>
      <c r="D79" s="4">
        <f ca="1">-SUMIFS(INDIRECT("Tab_000.Trial["&amp;D$4&amp;"]"),Tab_000.Trial[CONTA],$B79)</f>
        <v>-49658.59</v>
      </c>
      <c r="E79" s="78">
        <f t="shared" ca="1" si="89"/>
        <v>-5.3199999999999997E-2</v>
      </c>
      <c r="F79" s="4">
        <f ca="1">-SUMIFS(INDIRECT("Tab_000.Trial["&amp;F$4&amp;"]"),Tab_000.Trial[CONTA],$B79)</f>
        <v>0</v>
      </c>
      <c r="G79" s="78">
        <f t="shared" ca="1" si="91"/>
        <v>0</v>
      </c>
      <c r="H79" s="78">
        <f t="shared" ca="1" si="90"/>
        <v>1</v>
      </c>
      <c r="I79" s="4">
        <f ca="1">-SUMIFS(INDIRECT("Tab_000.Trial["&amp;I$4&amp;"]"),Tab_000.Trial[CONTA],$B79)</f>
        <v>-2718.52</v>
      </c>
      <c r="J79" s="78">
        <f t="shared" ca="1" si="92"/>
        <v>-2.5999999999999999E-3</v>
      </c>
      <c r="K79" s="78">
        <f t="shared" ca="1" si="93"/>
        <v>0</v>
      </c>
      <c r="L79" s="4">
        <f ca="1">-SUMIFS(INDIRECT("Tab_000.Trial["&amp;L$4&amp;"]"),Tab_000.Trial[CONTA],$B79)</f>
        <v>-1754.97</v>
      </c>
      <c r="M79" s="78">
        <f t="shared" ca="1" si="94"/>
        <v>-1.8E-3</v>
      </c>
      <c r="N79" s="78">
        <f t="shared" ca="1" si="95"/>
        <v>0.35439999999999999</v>
      </c>
      <c r="O79" s="4">
        <f ca="1">-SUMIFS(INDIRECT("Tab_000.Trial["&amp;O$4&amp;"]"),Tab_000.Trial[CONTA],$B79)</f>
        <v>-1802.78</v>
      </c>
      <c r="P79" s="78">
        <f t="shared" ca="1" si="96"/>
        <v>-1.5E-3</v>
      </c>
      <c r="Q79" s="78">
        <f t="shared" ca="1" si="97"/>
        <v>-2.7199999999999998E-2</v>
      </c>
      <c r="R79" s="4">
        <f ca="1">-SUMIFS(INDIRECT("Tab_000.Trial["&amp;R$4&amp;"]"),Tab_000.Trial[CONTA],$B79)</f>
        <v>-1802.73</v>
      </c>
      <c r="S79" s="78">
        <f t="shared" ca="1" si="98"/>
        <v>-1.6999999999999999E-3</v>
      </c>
      <c r="T79" s="78">
        <f t="shared" ca="1" si="99"/>
        <v>0</v>
      </c>
      <c r="U79" s="4">
        <f ca="1">-SUMIFS(INDIRECT("Tab_000.Trial["&amp;U$4&amp;"]"),Tab_000.Trial[CONTA],$B79)</f>
        <v>-1802.73</v>
      </c>
      <c r="V79" s="78">
        <f t="shared" ca="1" si="100"/>
        <v>-1.6999999999999999E-3</v>
      </c>
      <c r="W79" s="78">
        <f t="shared" ca="1" si="101"/>
        <v>0</v>
      </c>
      <c r="X79" s="4">
        <f ca="1">-SUMIFS(INDIRECT("Tab_000.Trial["&amp;X$4&amp;"]"),Tab_000.Trial[CONTA],$B79)</f>
        <v>-1802.73</v>
      </c>
      <c r="Y79" s="78">
        <f t="shared" ca="1" si="102"/>
        <v>-1.6999999999999999E-3</v>
      </c>
      <c r="Z79" s="78">
        <f t="shared" ca="1" si="103"/>
        <v>0</v>
      </c>
      <c r="AA79" s="4">
        <f ca="1">-SUMIFS(INDIRECT("Tab_000.Trial["&amp;AA$4&amp;"]"),Tab_000.Trial[CONTA],$B79)</f>
        <v>5668.96</v>
      </c>
      <c r="AB79" s="78">
        <f t="shared" ca="1" si="104"/>
        <v>5.8999999999999999E-3</v>
      </c>
      <c r="AC79" s="78">
        <f t="shared" ca="1" si="105"/>
        <v>4.1447000000000003</v>
      </c>
      <c r="AD79" s="4">
        <f ca="1">-SUMIFS(INDIRECT("Tab_000.Trial["&amp;AD$4&amp;"]"),Tab_000.Trial[CONTA],$B79)</f>
        <v>-3360.49</v>
      </c>
      <c r="AE79" s="78">
        <f t="shared" ca="1" si="106"/>
        <v>-2.7000000000000001E-3</v>
      </c>
      <c r="AF79" s="78">
        <f t="shared" ca="1" si="107"/>
        <v>-1.5928</v>
      </c>
      <c r="AG79" s="4">
        <f ca="1">-SUMIFS(INDIRECT("Tab_000.Trial["&amp;AG$4&amp;"]"),Tab_000.Trial[CONTA],$B79)</f>
        <v>-3314.3</v>
      </c>
      <c r="AH79" s="78">
        <f t="shared" ca="1" si="108"/>
        <v>-3.7000000000000002E-3</v>
      </c>
      <c r="AI79" s="78">
        <f t="shared" ca="1" si="109"/>
        <v>1.37E-2</v>
      </c>
      <c r="AJ79" s="4">
        <f ca="1">-SUMIFS(INDIRECT("Tab_000.Trial["&amp;AJ$4&amp;"]"),Tab_000.Trial[CONTA],$B79)</f>
        <v>-3360.42</v>
      </c>
      <c r="AK79" s="78">
        <f t="shared" ca="1" si="110"/>
        <v>-2.3E-3</v>
      </c>
      <c r="AL79" s="78">
        <f t="shared" ca="1" si="111"/>
        <v>-1.3899999999999999E-2</v>
      </c>
    </row>
    <row r="80" spans="2:39" ht="15" hidden="1" customHeight="1" outlineLevel="1" x14ac:dyDescent="0.3">
      <c r="B80" s="14" t="s">
        <v>798</v>
      </c>
      <c r="C80" s="14" t="s">
        <v>799</v>
      </c>
      <c r="D80" s="4">
        <f ca="1">-SUMIFS(INDIRECT("Tab_000.Trial["&amp;D$4&amp;"]"),Tab_000.Trial[CONTA],$B80)</f>
        <v>-179.93</v>
      </c>
      <c r="E80" s="78">
        <f t="shared" ca="1" si="89"/>
        <v>-2.0000000000000001E-4</v>
      </c>
      <c r="F80" s="4">
        <f ca="1">-SUMIFS(INDIRECT("Tab_000.Trial["&amp;F$4&amp;"]"),Tab_000.Trial[CONTA],$B80)</f>
        <v>0</v>
      </c>
      <c r="G80" s="78">
        <f t="shared" ca="1" si="91"/>
        <v>0</v>
      </c>
      <c r="H80" s="78">
        <f t="shared" ca="1" si="90"/>
        <v>1</v>
      </c>
      <c r="I80" s="4">
        <f ca="1">-SUMIFS(INDIRECT("Tab_000.Trial["&amp;I$4&amp;"]"),Tab_000.Trial[CONTA],$B80)</f>
        <v>-466.07</v>
      </c>
      <c r="J80" s="78">
        <f t="shared" ca="1" si="92"/>
        <v>-4.0000000000000002E-4</v>
      </c>
      <c r="K80" s="78">
        <f t="shared" ca="1" si="93"/>
        <v>0</v>
      </c>
      <c r="L80" s="4">
        <f ca="1">-SUMIFS(INDIRECT("Tab_000.Trial["&amp;L$4&amp;"]"),Tab_000.Trial[CONTA],$B80)</f>
        <v>-302.23</v>
      </c>
      <c r="M80" s="78">
        <f t="shared" ca="1" si="94"/>
        <v>-2.9999999999999997E-4</v>
      </c>
      <c r="N80" s="78">
        <f t="shared" ca="1" si="95"/>
        <v>0.35149999999999998</v>
      </c>
      <c r="O80" s="4">
        <f ca="1">-SUMIFS(INDIRECT("Tab_000.Trial["&amp;O$4&amp;"]"),Tab_000.Trial[CONTA],$B80)</f>
        <v>-538.13</v>
      </c>
      <c r="P80" s="78">
        <f t="shared" ca="1" si="96"/>
        <v>-4.0000000000000002E-4</v>
      </c>
      <c r="Q80" s="78">
        <f t="shared" ca="1" si="97"/>
        <v>-0.78049999999999997</v>
      </c>
      <c r="R80" s="4">
        <f ca="1">-SUMIFS(INDIRECT("Tab_000.Trial["&amp;R$4&amp;"]"),Tab_000.Trial[CONTA],$B80)</f>
        <v>-538.13</v>
      </c>
      <c r="S80" s="78">
        <f t="shared" ca="1" si="98"/>
        <v>-5.0000000000000001E-4</v>
      </c>
      <c r="T80" s="78">
        <f t="shared" ca="1" si="99"/>
        <v>0</v>
      </c>
      <c r="U80" s="4">
        <f ca="1">-SUMIFS(INDIRECT("Tab_000.Trial["&amp;U$4&amp;"]"),Tab_000.Trial[CONTA],$B80)</f>
        <v>-538.13</v>
      </c>
      <c r="V80" s="78">
        <f t="shared" ca="1" si="100"/>
        <v>-5.0000000000000001E-4</v>
      </c>
      <c r="W80" s="78">
        <f t="shared" ca="1" si="101"/>
        <v>0</v>
      </c>
      <c r="X80" s="4">
        <f ca="1">-SUMIFS(INDIRECT("Tab_000.Trial["&amp;X$4&amp;"]"),Tab_000.Trial[CONTA],$B80)</f>
        <v>-538.13</v>
      </c>
      <c r="Y80" s="78">
        <f t="shared" ca="1" si="102"/>
        <v>-5.0000000000000001E-4</v>
      </c>
      <c r="Z80" s="78">
        <f t="shared" ca="1" si="103"/>
        <v>0</v>
      </c>
      <c r="AA80" s="4">
        <f ca="1">-SUMIFS(INDIRECT("Tab_000.Trial["&amp;AA$4&amp;"]"),Tab_000.Trial[CONTA],$B80)</f>
        <v>1692.23</v>
      </c>
      <c r="AB80" s="78">
        <f t="shared" ca="1" si="104"/>
        <v>1.6999999999999999E-3</v>
      </c>
      <c r="AC80" s="78">
        <f t="shared" ca="1" si="105"/>
        <v>4.1445999999999996</v>
      </c>
      <c r="AD80" s="4">
        <f ca="1">-SUMIFS(INDIRECT("Tab_000.Trial["&amp;AD$4&amp;"]"),Tab_000.Trial[CONTA],$B80)</f>
        <v>-1003.12</v>
      </c>
      <c r="AE80" s="78">
        <f t="shared" ca="1" si="106"/>
        <v>-8.0000000000000004E-4</v>
      </c>
      <c r="AF80" s="78">
        <f t="shared" ca="1" si="107"/>
        <v>-1.5928</v>
      </c>
      <c r="AG80" s="4">
        <f ca="1">-SUMIFS(INDIRECT("Tab_000.Trial["&amp;AG$4&amp;"]"),Tab_000.Trial[CONTA],$B80)</f>
        <v>-948.78</v>
      </c>
      <c r="AH80" s="78">
        <f t="shared" ca="1" si="108"/>
        <v>-1E-3</v>
      </c>
      <c r="AI80" s="78">
        <f t="shared" ca="1" si="109"/>
        <v>5.4199999999999998E-2</v>
      </c>
      <c r="AJ80" s="4">
        <f ca="1">-SUMIFS(INDIRECT("Tab_000.Trial["&amp;AJ$4&amp;"]"),Tab_000.Trial[CONTA],$B80)</f>
        <v>-1003.1</v>
      </c>
      <c r="AK80" s="78">
        <f t="shared" ca="1" si="110"/>
        <v>-6.9999999999999999E-4</v>
      </c>
      <c r="AL80" s="78">
        <f t="shared" ca="1" si="111"/>
        <v>-5.7299999999999997E-2</v>
      </c>
    </row>
    <row r="81" spans="2:39" ht="15" hidden="1" customHeight="1" outlineLevel="1" x14ac:dyDescent="0.3">
      <c r="B81" s="14" t="s">
        <v>800</v>
      </c>
      <c r="C81" s="14" t="s">
        <v>801</v>
      </c>
      <c r="D81" s="4">
        <f ca="1">-SUMIFS(INDIRECT("Tab_000.Trial["&amp;D$4&amp;"]"),Tab_000.Trial[CONTA],$B81)</f>
        <v>-67.97</v>
      </c>
      <c r="E81" s="78">
        <f t="shared" ca="1" si="89"/>
        <v>-1E-4</v>
      </c>
      <c r="F81" s="4">
        <f ca="1">-SUMIFS(INDIRECT("Tab_000.Trial["&amp;F$4&amp;"]"),Tab_000.Trial[CONTA],$B81)</f>
        <v>0</v>
      </c>
      <c r="G81" s="78">
        <f t="shared" ca="1" si="91"/>
        <v>0</v>
      </c>
      <c r="H81" s="78">
        <f t="shared" ca="1" si="90"/>
        <v>1</v>
      </c>
      <c r="I81" s="4">
        <f ca="1">-SUMIFS(INDIRECT("Tab_000.Trial["&amp;I$4&amp;"]"),Tab_000.Trial[CONTA],$B81)</f>
        <v>-69.150000000000006</v>
      </c>
      <c r="J81" s="78">
        <f t="shared" ca="1" si="92"/>
        <v>-1E-4</v>
      </c>
      <c r="K81" s="78">
        <f t="shared" ca="1" si="93"/>
        <v>0</v>
      </c>
      <c r="L81" s="4">
        <f ca="1">-SUMIFS(INDIRECT("Tab_000.Trial["&amp;L$4&amp;"]"),Tab_000.Trial[CONTA],$B81)</f>
        <v>-73.290000000000006</v>
      </c>
      <c r="M81" s="78">
        <f t="shared" ca="1" si="94"/>
        <v>-1E-4</v>
      </c>
      <c r="N81" s="78">
        <f t="shared" ca="1" si="95"/>
        <v>-5.9900000000000002E-2</v>
      </c>
      <c r="O81" s="4">
        <f ca="1">-SUMIFS(INDIRECT("Tab_000.Trial["&amp;O$4&amp;"]"),Tab_000.Trial[CONTA],$B81)</f>
        <v>-75.510000000000005</v>
      </c>
      <c r="P81" s="78">
        <f t="shared" ca="1" si="96"/>
        <v>-1E-4</v>
      </c>
      <c r="Q81" s="78">
        <f t="shared" ca="1" si="97"/>
        <v>-3.0300000000000001E-2</v>
      </c>
      <c r="R81" s="4">
        <f ca="1">-SUMIFS(INDIRECT("Tab_000.Trial["&amp;R$4&amp;"]"),Tab_000.Trial[CONTA],$B81)</f>
        <v>-67.28</v>
      </c>
      <c r="S81" s="78">
        <f t="shared" ca="1" si="98"/>
        <v>-1E-4</v>
      </c>
      <c r="T81" s="78">
        <f t="shared" ca="1" si="99"/>
        <v>0.109</v>
      </c>
      <c r="U81" s="4">
        <f ca="1">-SUMIFS(INDIRECT("Tab_000.Trial["&amp;U$4&amp;"]"),Tab_000.Trial[CONTA],$B81)</f>
        <v>-67.28</v>
      </c>
      <c r="V81" s="78">
        <f t="shared" ca="1" si="100"/>
        <v>-1E-4</v>
      </c>
      <c r="W81" s="78">
        <f t="shared" ca="1" si="101"/>
        <v>0</v>
      </c>
      <c r="X81" s="4">
        <f ca="1">-SUMIFS(INDIRECT("Tab_000.Trial["&amp;X$4&amp;"]"),Tab_000.Trial[CONTA],$B81)</f>
        <v>-67.28</v>
      </c>
      <c r="Y81" s="78">
        <f t="shared" ca="1" si="102"/>
        <v>-1E-4</v>
      </c>
      <c r="Z81" s="78">
        <f t="shared" ca="1" si="103"/>
        <v>0</v>
      </c>
      <c r="AA81" s="4">
        <f ca="1">-SUMIFS(INDIRECT("Tab_000.Trial["&amp;AA$4&amp;"]"),Tab_000.Trial[CONTA],$B81)</f>
        <v>99.47</v>
      </c>
      <c r="AB81" s="78">
        <f t="shared" ca="1" si="104"/>
        <v>1E-4</v>
      </c>
      <c r="AC81" s="78">
        <f t="shared" ca="1" si="105"/>
        <v>2.4784000000000002</v>
      </c>
      <c r="AD81" s="4">
        <f ca="1">-SUMIFS(INDIRECT("Tab_000.Trial["&amp;AD$4&amp;"]"),Tab_000.Trial[CONTA],$B81)</f>
        <v>0</v>
      </c>
      <c r="AE81" s="78">
        <f t="shared" ca="1" si="106"/>
        <v>0</v>
      </c>
      <c r="AF81" s="78">
        <f t="shared" ca="1" si="107"/>
        <v>-1</v>
      </c>
      <c r="AG81" s="4">
        <f ca="1">-SUMIFS(INDIRECT("Tab_000.Trial["&amp;AG$4&amp;"]"),Tab_000.Trial[CONTA],$B81)</f>
        <v>0</v>
      </c>
      <c r="AH81" s="78">
        <f t="shared" ca="1" si="108"/>
        <v>0</v>
      </c>
      <c r="AI81" s="78">
        <f t="shared" ca="1" si="109"/>
        <v>0</v>
      </c>
      <c r="AJ81" s="4">
        <f ca="1">-SUMIFS(INDIRECT("Tab_000.Trial["&amp;AJ$4&amp;"]"),Tab_000.Trial[CONTA],$B81)</f>
        <v>0</v>
      </c>
      <c r="AK81" s="78">
        <f t="shared" ca="1" si="110"/>
        <v>0</v>
      </c>
      <c r="AL81" s="78">
        <f t="shared" ca="1" si="111"/>
        <v>0</v>
      </c>
    </row>
    <row r="82" spans="2:39" ht="15" hidden="1" customHeight="1" outlineLevel="1" x14ac:dyDescent="0.3">
      <c r="B82" s="14" t="s">
        <v>802</v>
      </c>
      <c r="C82" s="14" t="s">
        <v>803</v>
      </c>
      <c r="D82" s="4">
        <f ca="1">-SUMIFS(INDIRECT("Tab_000.Trial["&amp;D$4&amp;"]"),Tab_000.Trial[CONTA],$B82)</f>
        <v>-1352.06</v>
      </c>
      <c r="E82" s="78">
        <f t="shared" ca="1" si="89"/>
        <v>-1.4E-3</v>
      </c>
      <c r="F82" s="4">
        <f ca="1">-SUMIFS(INDIRECT("Tab_000.Trial["&amp;F$4&amp;"]"),Tab_000.Trial[CONTA],$B82)</f>
        <v>0</v>
      </c>
      <c r="G82" s="78">
        <f t="shared" ca="1" si="91"/>
        <v>0</v>
      </c>
      <c r="H82" s="78">
        <f t="shared" ca="1" si="90"/>
        <v>1</v>
      </c>
      <c r="I82" s="4">
        <f ca="1">-SUMIFS(INDIRECT("Tab_000.Trial["&amp;I$4&amp;"]"),Tab_000.Trial[CONTA],$B82)</f>
        <v>-1352.06</v>
      </c>
      <c r="J82" s="78">
        <f t="shared" ca="1" si="92"/>
        <v>-1.2999999999999999E-3</v>
      </c>
      <c r="K82" s="78">
        <f t="shared" ca="1" si="93"/>
        <v>0</v>
      </c>
      <c r="L82" s="4">
        <f ca="1">-SUMIFS(INDIRECT("Tab_000.Trial["&amp;L$4&amp;"]"),Tab_000.Trial[CONTA],$B82)</f>
        <v>-1352.07</v>
      </c>
      <c r="M82" s="78">
        <f t="shared" ca="1" si="94"/>
        <v>-1.4E-3</v>
      </c>
      <c r="N82" s="78">
        <f t="shared" ca="1" si="95"/>
        <v>0</v>
      </c>
      <c r="O82" s="4">
        <f ca="1">-SUMIFS(INDIRECT("Tab_000.Trial["&amp;O$4&amp;"]"),Tab_000.Trial[CONTA],$B82)</f>
        <v>-1352.1</v>
      </c>
      <c r="P82" s="78">
        <f t="shared" ca="1" si="96"/>
        <v>-1.1000000000000001E-3</v>
      </c>
      <c r="Q82" s="78">
        <f t="shared" ca="1" si="97"/>
        <v>0</v>
      </c>
      <c r="R82" s="4">
        <f ca="1">-SUMIFS(INDIRECT("Tab_000.Trial["&amp;R$4&amp;"]"),Tab_000.Trial[CONTA],$B82)</f>
        <v>-1695.5</v>
      </c>
      <c r="S82" s="78">
        <f t="shared" ca="1" si="98"/>
        <v>-1.6000000000000001E-3</v>
      </c>
      <c r="T82" s="78">
        <f t="shared" ca="1" si="99"/>
        <v>-0.254</v>
      </c>
      <c r="U82" s="4">
        <f ca="1">-SUMIFS(INDIRECT("Tab_000.Trial["&amp;U$4&amp;"]"),Tab_000.Trial[CONTA],$B82)</f>
        <v>-1695.5</v>
      </c>
      <c r="V82" s="78">
        <f t="shared" ca="1" si="100"/>
        <v>-1.6000000000000001E-3</v>
      </c>
      <c r="W82" s="78">
        <f t="shared" ca="1" si="101"/>
        <v>0</v>
      </c>
      <c r="X82" s="4">
        <f ca="1">-SUMIFS(INDIRECT("Tab_000.Trial["&amp;X$4&amp;"]"),Tab_000.Trial[CONTA],$B82)</f>
        <v>-1695.5</v>
      </c>
      <c r="Y82" s="78">
        <f t="shared" ca="1" si="102"/>
        <v>-1.6000000000000001E-3</v>
      </c>
      <c r="Z82" s="78">
        <f t="shared" ca="1" si="103"/>
        <v>0</v>
      </c>
      <c r="AA82" s="4">
        <f ca="1">-SUMIFS(INDIRECT("Tab_000.Trial["&amp;AA$4&amp;"]"),Tab_000.Trial[CONTA],$B82)</f>
        <v>-1783.72</v>
      </c>
      <c r="AB82" s="78">
        <f t="shared" ca="1" si="104"/>
        <v>-1.8E-3</v>
      </c>
      <c r="AC82" s="78">
        <f t="shared" ca="1" si="105"/>
        <v>-5.1999999999999998E-2</v>
      </c>
      <c r="AD82" s="4">
        <f ca="1">-SUMIFS(INDIRECT("Tab_000.Trial["&amp;AD$4&amp;"]"),Tab_000.Trial[CONTA],$B82)</f>
        <v>0</v>
      </c>
      <c r="AE82" s="78">
        <f t="shared" ca="1" si="106"/>
        <v>0</v>
      </c>
      <c r="AF82" s="78">
        <f t="shared" ca="1" si="107"/>
        <v>1</v>
      </c>
      <c r="AG82" s="4">
        <f ca="1">-SUMIFS(INDIRECT("Tab_000.Trial["&amp;AG$4&amp;"]"),Tab_000.Trial[CONTA],$B82)</f>
        <v>0</v>
      </c>
      <c r="AH82" s="78">
        <f t="shared" ca="1" si="108"/>
        <v>0</v>
      </c>
      <c r="AI82" s="78">
        <f t="shared" ca="1" si="109"/>
        <v>0</v>
      </c>
      <c r="AJ82" s="4">
        <f ca="1">-SUMIFS(INDIRECT("Tab_000.Trial["&amp;AJ$4&amp;"]"),Tab_000.Trial[CONTA],$B82)</f>
        <v>-989.74</v>
      </c>
      <c r="AK82" s="78">
        <f t="shared" ca="1" si="110"/>
        <v>-6.9999999999999999E-4</v>
      </c>
      <c r="AL82" s="78">
        <f t="shared" ca="1" si="111"/>
        <v>0</v>
      </c>
    </row>
    <row r="83" spans="2:39" ht="15" hidden="1" customHeight="1" outlineLevel="1" x14ac:dyDescent="0.3">
      <c r="B83" s="14" t="s">
        <v>804</v>
      </c>
      <c r="C83" s="14" t="s">
        <v>805</v>
      </c>
      <c r="D83" s="4">
        <f ca="1">-SUMIFS(INDIRECT("Tab_000.Trial["&amp;D$4&amp;"]"),Tab_000.Trial[CONTA],$B83)</f>
        <v>-403.57</v>
      </c>
      <c r="E83" s="78">
        <f t="shared" ca="1" si="89"/>
        <v>-4.0000000000000002E-4</v>
      </c>
      <c r="F83" s="4">
        <f ca="1">-SUMIFS(INDIRECT("Tab_000.Trial["&amp;F$4&amp;"]"),Tab_000.Trial[CONTA],$B83)</f>
        <v>0</v>
      </c>
      <c r="G83" s="78">
        <f t="shared" ca="1" si="91"/>
        <v>0</v>
      </c>
      <c r="H83" s="78">
        <f t="shared" ca="1" si="90"/>
        <v>1</v>
      </c>
      <c r="I83" s="4">
        <f ca="1">-SUMIFS(INDIRECT("Tab_000.Trial["&amp;I$4&amp;"]"),Tab_000.Trial[CONTA],$B83)</f>
        <v>-403.6</v>
      </c>
      <c r="J83" s="78">
        <f t="shared" ca="1" si="92"/>
        <v>-4.0000000000000002E-4</v>
      </c>
      <c r="K83" s="78">
        <f t="shared" ca="1" si="93"/>
        <v>0</v>
      </c>
      <c r="L83" s="4">
        <f ca="1">-SUMIFS(INDIRECT("Tab_000.Trial["&amp;L$4&amp;"]"),Tab_000.Trial[CONTA],$B83)</f>
        <v>-403.59</v>
      </c>
      <c r="M83" s="78">
        <f t="shared" ca="1" si="94"/>
        <v>-4.0000000000000002E-4</v>
      </c>
      <c r="N83" s="78">
        <f t="shared" ca="1" si="95"/>
        <v>0</v>
      </c>
      <c r="O83" s="4">
        <f ca="1">-SUMIFS(INDIRECT("Tab_000.Trial["&amp;O$4&amp;"]"),Tab_000.Trial[CONTA],$B83)</f>
        <v>-403.61</v>
      </c>
      <c r="P83" s="78">
        <f t="shared" ca="1" si="96"/>
        <v>-2.9999999999999997E-4</v>
      </c>
      <c r="Q83" s="78">
        <f t="shared" ca="1" si="97"/>
        <v>0</v>
      </c>
      <c r="R83" s="4">
        <f ca="1">-SUMIFS(INDIRECT("Tab_000.Trial["&amp;R$4&amp;"]"),Tab_000.Trial[CONTA],$B83)</f>
        <v>-506.41</v>
      </c>
      <c r="S83" s="78">
        <f t="shared" ca="1" si="98"/>
        <v>-5.0000000000000001E-4</v>
      </c>
      <c r="T83" s="78">
        <f t="shared" ca="1" si="99"/>
        <v>-0.25469999999999998</v>
      </c>
      <c r="U83" s="4">
        <f ca="1">-SUMIFS(INDIRECT("Tab_000.Trial["&amp;U$4&amp;"]"),Tab_000.Trial[CONTA],$B83)</f>
        <v>-506.41</v>
      </c>
      <c r="V83" s="78">
        <f t="shared" ca="1" si="100"/>
        <v>-5.0000000000000001E-4</v>
      </c>
      <c r="W83" s="78">
        <f t="shared" ca="1" si="101"/>
        <v>0</v>
      </c>
      <c r="X83" s="4">
        <f ca="1">-SUMIFS(INDIRECT("Tab_000.Trial["&amp;X$4&amp;"]"),Tab_000.Trial[CONTA],$B83)</f>
        <v>-506.41</v>
      </c>
      <c r="Y83" s="78">
        <f t="shared" ca="1" si="102"/>
        <v>-5.0000000000000001E-4</v>
      </c>
      <c r="Z83" s="78">
        <f t="shared" ca="1" si="103"/>
        <v>0</v>
      </c>
      <c r="AA83" s="4">
        <f ca="1">-SUMIFS(INDIRECT("Tab_000.Trial["&amp;AA$4&amp;"]"),Tab_000.Trial[CONTA],$B83)</f>
        <v>-581.41</v>
      </c>
      <c r="AB83" s="78">
        <f t="shared" ca="1" si="104"/>
        <v>-5.9999999999999995E-4</v>
      </c>
      <c r="AC83" s="78">
        <f t="shared" ca="1" si="105"/>
        <v>-0.14810000000000001</v>
      </c>
      <c r="AD83" s="4">
        <f ca="1">-SUMIFS(INDIRECT("Tab_000.Trial["&amp;AD$4&amp;"]"),Tab_000.Trial[CONTA],$B83)</f>
        <v>0</v>
      </c>
      <c r="AE83" s="78">
        <f t="shared" ca="1" si="106"/>
        <v>0</v>
      </c>
      <c r="AF83" s="78">
        <f t="shared" ca="1" si="107"/>
        <v>1</v>
      </c>
      <c r="AG83" s="4">
        <f ca="1">-SUMIFS(INDIRECT("Tab_000.Trial["&amp;AG$4&amp;"]"),Tab_000.Trial[CONTA],$B83)</f>
        <v>0</v>
      </c>
      <c r="AH83" s="78">
        <f t="shared" ca="1" si="108"/>
        <v>0</v>
      </c>
      <c r="AI83" s="78">
        <f t="shared" ca="1" si="109"/>
        <v>0</v>
      </c>
      <c r="AJ83" s="4">
        <f ca="1">-SUMIFS(INDIRECT("Tab_000.Trial["&amp;AJ$4&amp;"]"),Tab_000.Trial[CONTA],$B83)</f>
        <v>-303.47000000000003</v>
      </c>
      <c r="AK83" s="78">
        <f t="shared" ca="1" si="110"/>
        <v>-2.0000000000000001E-4</v>
      </c>
      <c r="AL83" s="78">
        <f t="shared" ca="1" si="111"/>
        <v>0</v>
      </c>
    </row>
    <row r="84" spans="2:39" ht="15" hidden="1" customHeight="1" outlineLevel="1" x14ac:dyDescent="0.3">
      <c r="B84" s="14" t="s">
        <v>806</v>
      </c>
      <c r="C84" s="14" t="s">
        <v>807</v>
      </c>
      <c r="D84" s="4">
        <f ca="1">-SUMIFS(INDIRECT("Tab_000.Trial["&amp;D$4&amp;"]"),Tab_000.Trial[CONTA],$B84)</f>
        <v>-50.45</v>
      </c>
      <c r="E84" s="78">
        <f t="shared" ca="1" si="89"/>
        <v>-1E-4</v>
      </c>
      <c r="F84" s="4">
        <f ca="1">-SUMIFS(INDIRECT("Tab_000.Trial["&amp;F$4&amp;"]"),Tab_000.Trial[CONTA],$B84)</f>
        <v>0</v>
      </c>
      <c r="G84" s="78">
        <f t="shared" ca="1" si="91"/>
        <v>0</v>
      </c>
      <c r="H84" s="78">
        <f t="shared" ca="1" si="90"/>
        <v>1</v>
      </c>
      <c r="I84" s="4">
        <f ca="1">-SUMIFS(INDIRECT("Tab_000.Trial["&amp;I$4&amp;"]"),Tab_000.Trial[CONTA],$B84)</f>
        <v>-50.44</v>
      </c>
      <c r="J84" s="78">
        <f t="shared" ca="1" si="92"/>
        <v>0</v>
      </c>
      <c r="K84" s="78">
        <f t="shared" ca="1" si="93"/>
        <v>0</v>
      </c>
      <c r="L84" s="4">
        <f ca="1">-SUMIFS(INDIRECT("Tab_000.Trial["&amp;L$4&amp;"]"),Tab_000.Trial[CONTA],$B84)</f>
        <v>-50.46</v>
      </c>
      <c r="M84" s="78">
        <f t="shared" ca="1" si="94"/>
        <v>-1E-4</v>
      </c>
      <c r="N84" s="78">
        <f t="shared" ca="1" si="95"/>
        <v>-4.0000000000000002E-4</v>
      </c>
      <c r="O84" s="4">
        <f ca="1">-SUMIFS(INDIRECT("Tab_000.Trial["&amp;O$4&amp;"]"),Tab_000.Trial[CONTA],$B84)</f>
        <v>-50.43</v>
      </c>
      <c r="P84" s="78">
        <f t="shared" ca="1" si="96"/>
        <v>0</v>
      </c>
      <c r="Q84" s="78">
        <f t="shared" ca="1" si="97"/>
        <v>5.9999999999999995E-4</v>
      </c>
      <c r="R84" s="4">
        <f ca="1">-SUMIFS(INDIRECT("Tab_000.Trial["&amp;R$4&amp;"]"),Tab_000.Trial[CONTA],$B84)</f>
        <v>-50.45</v>
      </c>
      <c r="S84" s="78">
        <f t="shared" ca="1" si="98"/>
        <v>0</v>
      </c>
      <c r="T84" s="78">
        <f t="shared" ca="1" si="99"/>
        <v>-4.0000000000000002E-4</v>
      </c>
      <c r="U84" s="4">
        <f ca="1">-SUMIFS(INDIRECT("Tab_000.Trial["&amp;U$4&amp;"]"),Tab_000.Trial[CONTA],$B84)</f>
        <v>-50.45</v>
      </c>
      <c r="V84" s="78">
        <f t="shared" ca="1" si="100"/>
        <v>0</v>
      </c>
      <c r="W84" s="78">
        <f t="shared" ca="1" si="101"/>
        <v>0</v>
      </c>
      <c r="X84" s="4">
        <f ca="1">-SUMIFS(INDIRECT("Tab_000.Trial["&amp;X$4&amp;"]"),Tab_000.Trial[CONTA],$B84)</f>
        <v>-50.45</v>
      </c>
      <c r="Y84" s="78">
        <f t="shared" ca="1" si="102"/>
        <v>0</v>
      </c>
      <c r="Z84" s="78">
        <f t="shared" ca="1" si="103"/>
        <v>0</v>
      </c>
      <c r="AA84" s="4">
        <f ca="1">-SUMIFS(INDIRECT("Tab_000.Trial["&amp;AA$4&amp;"]"),Tab_000.Trial[CONTA],$B84)</f>
        <v>138.96</v>
      </c>
      <c r="AB84" s="78">
        <f t="shared" ca="1" si="104"/>
        <v>1E-4</v>
      </c>
      <c r="AC84" s="78">
        <f t="shared" ca="1" si="105"/>
        <v>3.7544</v>
      </c>
      <c r="AD84" s="4">
        <f ca="1">-SUMIFS(INDIRECT("Tab_000.Trial["&amp;AD$4&amp;"]"),Tab_000.Trial[CONTA],$B84)</f>
        <v>-125.39</v>
      </c>
      <c r="AE84" s="78">
        <f t="shared" ca="1" si="106"/>
        <v>-1E-4</v>
      </c>
      <c r="AF84" s="78">
        <f t="shared" ca="1" si="107"/>
        <v>-1.9023000000000001</v>
      </c>
      <c r="AG84" s="4">
        <f ca="1">-SUMIFS(INDIRECT("Tab_000.Trial["&amp;AG$4&amp;"]"),Tab_000.Trial[CONTA],$B84)</f>
        <v>-125.41</v>
      </c>
      <c r="AH84" s="78">
        <f t="shared" ca="1" si="108"/>
        <v>-1E-4</v>
      </c>
      <c r="AI84" s="78">
        <f t="shared" ca="1" si="109"/>
        <v>-2.0000000000000001E-4</v>
      </c>
      <c r="AJ84" s="4">
        <f ca="1">-SUMIFS(INDIRECT("Tab_000.Trial["&amp;AJ$4&amp;"]"),Tab_000.Trial[CONTA],$B84)</f>
        <v>-152.31</v>
      </c>
      <c r="AK84" s="78">
        <f t="shared" ca="1" si="110"/>
        <v>-1E-4</v>
      </c>
      <c r="AL84" s="78">
        <f t="shared" ca="1" si="111"/>
        <v>-0.2145</v>
      </c>
    </row>
    <row r="85" spans="2:39" ht="15" hidden="1" customHeight="1" outlineLevel="1" x14ac:dyDescent="0.3">
      <c r="B85" s="14" t="s">
        <v>808</v>
      </c>
      <c r="C85" s="14" t="s">
        <v>797</v>
      </c>
      <c r="D85" s="4">
        <f ca="1">-SUMIFS(INDIRECT("Tab_000.Trial["&amp;D$4&amp;"]"),Tab_000.Trial[CONTA],$B85)</f>
        <v>-862.74</v>
      </c>
      <c r="E85" s="78">
        <f t="shared" ca="1" si="89"/>
        <v>-8.9999999999999998E-4</v>
      </c>
      <c r="F85" s="4">
        <f ca="1">-SUMIFS(INDIRECT("Tab_000.Trial["&amp;F$4&amp;"]"),Tab_000.Trial[CONTA],$B85)</f>
        <v>0</v>
      </c>
      <c r="G85" s="78">
        <f t="shared" ca="1" si="91"/>
        <v>0</v>
      </c>
      <c r="H85" s="78">
        <f t="shared" ca="1" si="90"/>
        <v>1</v>
      </c>
      <c r="I85" s="4">
        <f ca="1">-SUMIFS(INDIRECT("Tab_000.Trial["&amp;I$4&amp;"]"),Tab_000.Trial[CONTA],$B85)</f>
        <v>0</v>
      </c>
      <c r="J85" s="78">
        <f t="shared" ca="1" si="92"/>
        <v>0</v>
      </c>
      <c r="K85" s="78">
        <f t="shared" ca="1" si="93"/>
        <v>0</v>
      </c>
      <c r="L85" s="4">
        <f ca="1">-SUMIFS(INDIRECT("Tab_000.Trial["&amp;L$4&amp;"]"),Tab_000.Trial[CONTA],$B85)</f>
        <v>-1157.1500000000001</v>
      </c>
      <c r="M85" s="78">
        <f t="shared" ca="1" si="94"/>
        <v>-1.1999999999999999E-3</v>
      </c>
      <c r="N85" s="78">
        <f t="shared" ca="1" si="95"/>
        <v>0</v>
      </c>
      <c r="O85" s="4">
        <f ca="1">-SUMIFS(INDIRECT("Tab_000.Trial["&amp;O$4&amp;"]"),Tab_000.Trial[CONTA],$B85)</f>
        <v>-1252.44</v>
      </c>
      <c r="P85" s="78">
        <f t="shared" ca="1" si="96"/>
        <v>-1E-3</v>
      </c>
      <c r="Q85" s="78">
        <f t="shared" ca="1" si="97"/>
        <v>-8.2299999999999998E-2</v>
      </c>
      <c r="R85" s="4">
        <f ca="1">-SUMIFS(INDIRECT("Tab_000.Trial["&amp;R$4&amp;"]"),Tab_000.Trial[CONTA],$B85)</f>
        <v>-1252.46</v>
      </c>
      <c r="S85" s="78">
        <f t="shared" ca="1" si="98"/>
        <v>-1.1999999999999999E-3</v>
      </c>
      <c r="T85" s="78">
        <f t="shared" ca="1" si="99"/>
        <v>0</v>
      </c>
      <c r="U85" s="4">
        <f ca="1">-SUMIFS(INDIRECT("Tab_000.Trial["&amp;U$4&amp;"]"),Tab_000.Trial[CONTA],$B85)</f>
        <v>-1252.46</v>
      </c>
      <c r="V85" s="78">
        <f t="shared" ca="1" si="100"/>
        <v>-1.1999999999999999E-3</v>
      </c>
      <c r="W85" s="78">
        <f t="shared" ca="1" si="101"/>
        <v>0</v>
      </c>
      <c r="X85" s="4">
        <f ca="1">-SUMIFS(INDIRECT("Tab_000.Trial["&amp;X$4&amp;"]"),Tab_000.Trial[CONTA],$B85)</f>
        <v>-1252.46</v>
      </c>
      <c r="Y85" s="78">
        <f t="shared" ca="1" si="102"/>
        <v>-1.1999999999999999E-3</v>
      </c>
      <c r="Z85" s="78">
        <f t="shared" ca="1" si="103"/>
        <v>0</v>
      </c>
      <c r="AA85" s="4">
        <f ca="1">-SUMIFS(INDIRECT("Tab_000.Trial["&amp;AA$4&amp;"]"),Tab_000.Trial[CONTA],$B85)</f>
        <v>-932.15</v>
      </c>
      <c r="AB85" s="78">
        <f t="shared" ca="1" si="104"/>
        <v>-1E-3</v>
      </c>
      <c r="AC85" s="78">
        <f t="shared" ca="1" si="105"/>
        <v>0.25569999999999998</v>
      </c>
      <c r="AD85" s="4">
        <f ca="1">-SUMIFS(INDIRECT("Tab_000.Trial["&amp;AD$4&amp;"]"),Tab_000.Trial[CONTA],$B85)</f>
        <v>0</v>
      </c>
      <c r="AE85" s="78">
        <f t="shared" ca="1" si="106"/>
        <v>0</v>
      </c>
      <c r="AF85" s="78">
        <f t="shared" ca="1" si="107"/>
        <v>1</v>
      </c>
      <c r="AG85" s="4">
        <f ca="1">-SUMIFS(INDIRECT("Tab_000.Trial["&amp;AG$4&amp;"]"),Tab_000.Trial[CONTA],$B85)</f>
        <v>0</v>
      </c>
      <c r="AH85" s="78">
        <f t="shared" ca="1" si="108"/>
        <v>0</v>
      </c>
      <c r="AI85" s="78">
        <f t="shared" ca="1" si="109"/>
        <v>0</v>
      </c>
      <c r="AJ85" s="4">
        <f ca="1">-SUMIFS(INDIRECT("Tab_000.Trial["&amp;AJ$4&amp;"]"),Tab_000.Trial[CONTA],$B85)</f>
        <v>0</v>
      </c>
      <c r="AK85" s="78">
        <f t="shared" ca="1" si="110"/>
        <v>0</v>
      </c>
      <c r="AL85" s="78">
        <f t="shared" ca="1" si="111"/>
        <v>0</v>
      </c>
    </row>
    <row r="86" spans="2:39" ht="15" hidden="1" customHeight="1" outlineLevel="1" x14ac:dyDescent="0.3">
      <c r="B86" s="14" t="s">
        <v>809</v>
      </c>
      <c r="C86" s="14" t="s">
        <v>799</v>
      </c>
      <c r="D86" s="4">
        <f ca="1">-SUMIFS(INDIRECT("Tab_000.Trial["&amp;D$4&amp;"]"),Tab_000.Trial[CONTA],$B86)</f>
        <v>-14346.41</v>
      </c>
      <c r="E86" s="78">
        <f t="shared" ca="1" si="89"/>
        <v>-1.54E-2</v>
      </c>
      <c r="F86" s="4">
        <f ca="1">-SUMIFS(INDIRECT("Tab_000.Trial["&amp;F$4&amp;"]"),Tab_000.Trial[CONTA],$B86)</f>
        <v>0</v>
      </c>
      <c r="G86" s="78">
        <f t="shared" ca="1" si="91"/>
        <v>0</v>
      </c>
      <c r="H86" s="78">
        <f t="shared" ca="1" si="90"/>
        <v>1</v>
      </c>
      <c r="I86" s="4">
        <f ca="1">-SUMIFS(INDIRECT("Tab_000.Trial["&amp;I$4&amp;"]"),Tab_000.Trial[CONTA],$B86)</f>
        <v>-345.44</v>
      </c>
      <c r="J86" s="78">
        <f t="shared" ca="1" si="92"/>
        <v>-2.9999999999999997E-4</v>
      </c>
      <c r="K86" s="78">
        <f t="shared" ca="1" si="93"/>
        <v>0</v>
      </c>
      <c r="L86" s="4">
        <f ca="1">-SUMIFS(INDIRECT("Tab_000.Trial["&amp;L$4&amp;"]"),Tab_000.Trial[CONTA],$B86)</f>
        <v>-567.08000000000004</v>
      </c>
      <c r="M86" s="78">
        <f t="shared" ca="1" si="94"/>
        <v>-5.9999999999999995E-4</v>
      </c>
      <c r="N86" s="78">
        <f t="shared" ca="1" si="95"/>
        <v>-0.64159999999999995</v>
      </c>
      <c r="O86" s="4">
        <f ca="1">-SUMIFS(INDIRECT("Tab_000.Trial["&amp;O$4&amp;"]"),Tab_000.Trial[CONTA],$B86)</f>
        <v>-373.86</v>
      </c>
      <c r="P86" s="78">
        <f t="shared" ca="1" si="96"/>
        <v>-2.9999999999999997E-4</v>
      </c>
      <c r="Q86" s="78">
        <f t="shared" ca="1" si="97"/>
        <v>0.3407</v>
      </c>
      <c r="R86" s="4">
        <f ca="1">-SUMIFS(INDIRECT("Tab_000.Trial["&amp;R$4&amp;"]"),Tab_000.Trial[CONTA],$B86)</f>
        <v>-373.87</v>
      </c>
      <c r="S86" s="78">
        <f t="shared" ca="1" si="98"/>
        <v>-4.0000000000000002E-4</v>
      </c>
      <c r="T86" s="78">
        <f t="shared" ca="1" si="99"/>
        <v>0</v>
      </c>
      <c r="U86" s="4">
        <f ca="1">-SUMIFS(INDIRECT("Tab_000.Trial["&amp;U$4&amp;"]"),Tab_000.Trial[CONTA],$B86)</f>
        <v>-373.87</v>
      </c>
      <c r="V86" s="78">
        <f t="shared" ca="1" si="100"/>
        <v>-4.0000000000000002E-4</v>
      </c>
      <c r="W86" s="78">
        <f t="shared" ca="1" si="101"/>
        <v>0</v>
      </c>
      <c r="X86" s="4">
        <f ca="1">-SUMIFS(INDIRECT("Tab_000.Trial["&amp;X$4&amp;"]"),Tab_000.Trial[CONTA],$B86)</f>
        <v>-373.87</v>
      </c>
      <c r="Y86" s="78">
        <f t="shared" ca="1" si="102"/>
        <v>-4.0000000000000002E-4</v>
      </c>
      <c r="Z86" s="78">
        <f t="shared" ca="1" si="103"/>
        <v>0</v>
      </c>
      <c r="AA86" s="4">
        <f ca="1">-SUMIFS(INDIRECT("Tab_000.Trial["&amp;AA$4&amp;"]"),Tab_000.Trial[CONTA],$B86)</f>
        <v>-278.25</v>
      </c>
      <c r="AB86" s="78">
        <f t="shared" ca="1" si="104"/>
        <v>-2.9999999999999997E-4</v>
      </c>
      <c r="AC86" s="78">
        <f t="shared" ca="1" si="105"/>
        <v>0.25580000000000003</v>
      </c>
      <c r="AD86" s="4">
        <f ca="1">-SUMIFS(INDIRECT("Tab_000.Trial["&amp;AD$4&amp;"]"),Tab_000.Trial[CONTA],$B86)</f>
        <v>0</v>
      </c>
      <c r="AE86" s="78">
        <f t="shared" ca="1" si="106"/>
        <v>0</v>
      </c>
      <c r="AF86" s="78">
        <f t="shared" ca="1" si="107"/>
        <v>1</v>
      </c>
      <c r="AG86" s="4">
        <f ca="1">-SUMIFS(INDIRECT("Tab_000.Trial["&amp;AG$4&amp;"]"),Tab_000.Trial[CONTA],$B86)</f>
        <v>0</v>
      </c>
      <c r="AH86" s="78">
        <f t="shared" ca="1" si="108"/>
        <v>0</v>
      </c>
      <c r="AI86" s="78">
        <f t="shared" ca="1" si="109"/>
        <v>0</v>
      </c>
      <c r="AJ86" s="4">
        <f ca="1">-SUMIFS(INDIRECT("Tab_000.Trial["&amp;AJ$4&amp;"]"),Tab_000.Trial[CONTA],$B86)</f>
        <v>0</v>
      </c>
      <c r="AK86" s="78">
        <f t="shared" ca="1" si="110"/>
        <v>0</v>
      </c>
      <c r="AL86" s="78">
        <f t="shared" ca="1" si="111"/>
        <v>0</v>
      </c>
    </row>
    <row r="87" spans="2:39" ht="15" hidden="1" customHeight="1" outlineLevel="1" x14ac:dyDescent="0.3">
      <c r="B87" s="14" t="s">
        <v>810</v>
      </c>
      <c r="C87" s="14" t="s">
        <v>801</v>
      </c>
      <c r="D87" s="4">
        <f ca="1">-SUMIFS(INDIRECT("Tab_000.Trial["&amp;D$4&amp;"]"),Tab_000.Trial[CONTA],$B87)</f>
        <v>-82.97</v>
      </c>
      <c r="E87" s="78">
        <f t="shared" ca="1" si="89"/>
        <v>-1E-4</v>
      </c>
      <c r="F87" s="4">
        <f ca="1">-SUMIFS(INDIRECT("Tab_000.Trial["&amp;F$4&amp;"]"),Tab_000.Trial[CONTA],$B87)</f>
        <v>0</v>
      </c>
      <c r="G87" s="78">
        <f t="shared" ca="1" si="91"/>
        <v>0</v>
      </c>
      <c r="H87" s="78">
        <f t="shared" ca="1" si="90"/>
        <v>1</v>
      </c>
      <c r="I87" s="4">
        <f ca="1">-SUMIFS(INDIRECT("Tab_000.Trial["&amp;I$4&amp;"]"),Tab_000.Trial[CONTA],$B87)</f>
        <v>11.13</v>
      </c>
      <c r="J87" s="78">
        <f t="shared" ca="1" si="92"/>
        <v>0</v>
      </c>
      <c r="K87" s="78">
        <f t="shared" ca="1" si="93"/>
        <v>0</v>
      </c>
      <c r="L87" s="4">
        <f ca="1">-SUMIFS(INDIRECT("Tab_000.Trial["&amp;L$4&amp;"]"),Tab_000.Trial[CONTA],$B87)</f>
        <v>-29.6</v>
      </c>
      <c r="M87" s="78">
        <f t="shared" ca="1" si="94"/>
        <v>0</v>
      </c>
      <c r="N87" s="78">
        <f t="shared" ca="1" si="95"/>
        <v>-3.6595</v>
      </c>
      <c r="O87" s="4">
        <f ca="1">-SUMIFS(INDIRECT("Tab_000.Trial["&amp;O$4&amp;"]"),Tab_000.Trial[CONTA],$B87)</f>
        <v>-29.59</v>
      </c>
      <c r="P87" s="78">
        <f t="shared" ca="1" si="96"/>
        <v>0</v>
      </c>
      <c r="Q87" s="78">
        <f t="shared" ca="1" si="97"/>
        <v>2.9999999999999997E-4</v>
      </c>
      <c r="R87" s="4">
        <f ca="1">-SUMIFS(INDIRECT("Tab_000.Trial["&amp;R$4&amp;"]"),Tab_000.Trial[CONTA],$B87)</f>
        <v>-46.74</v>
      </c>
      <c r="S87" s="78">
        <f t="shared" ca="1" si="98"/>
        <v>0</v>
      </c>
      <c r="T87" s="78">
        <f t="shared" ca="1" si="99"/>
        <v>-0.5796</v>
      </c>
      <c r="U87" s="4">
        <f ca="1">-SUMIFS(INDIRECT("Tab_000.Trial["&amp;U$4&amp;"]"),Tab_000.Trial[CONTA],$B87)</f>
        <v>-46.74</v>
      </c>
      <c r="V87" s="78">
        <f t="shared" ca="1" si="100"/>
        <v>0</v>
      </c>
      <c r="W87" s="78">
        <f t="shared" ca="1" si="101"/>
        <v>0</v>
      </c>
      <c r="X87" s="4">
        <f ca="1">-SUMIFS(INDIRECT("Tab_000.Trial["&amp;X$4&amp;"]"),Tab_000.Trial[CONTA],$B87)</f>
        <v>-46.74</v>
      </c>
      <c r="Y87" s="78">
        <f t="shared" ca="1" si="102"/>
        <v>0</v>
      </c>
      <c r="Z87" s="78">
        <f t="shared" ca="1" si="103"/>
        <v>0</v>
      </c>
      <c r="AA87" s="4">
        <f ca="1">-SUMIFS(INDIRECT("Tab_000.Trial["&amp;AA$4&amp;"]"),Tab_000.Trial[CONTA],$B87)</f>
        <v>-48.14</v>
      </c>
      <c r="AB87" s="78">
        <f t="shared" ca="1" si="104"/>
        <v>0</v>
      </c>
      <c r="AC87" s="78">
        <f t="shared" ca="1" si="105"/>
        <v>-0.03</v>
      </c>
      <c r="AD87" s="4">
        <f ca="1">-SUMIFS(INDIRECT("Tab_000.Trial["&amp;AD$4&amp;"]"),Tab_000.Trial[CONTA],$B87)</f>
        <v>0</v>
      </c>
      <c r="AE87" s="78">
        <f t="shared" ca="1" si="106"/>
        <v>0</v>
      </c>
      <c r="AF87" s="78">
        <f t="shared" ca="1" si="107"/>
        <v>1</v>
      </c>
      <c r="AG87" s="4">
        <f ca="1">-SUMIFS(INDIRECT("Tab_000.Trial["&amp;AG$4&amp;"]"),Tab_000.Trial[CONTA],$B87)</f>
        <v>0</v>
      </c>
      <c r="AH87" s="78">
        <f t="shared" ca="1" si="108"/>
        <v>0</v>
      </c>
      <c r="AI87" s="78">
        <f t="shared" ca="1" si="109"/>
        <v>0</v>
      </c>
      <c r="AJ87" s="4">
        <f ca="1">-SUMIFS(INDIRECT("Tab_000.Trial["&amp;AJ$4&amp;"]"),Tab_000.Trial[CONTA],$B87)</f>
        <v>0</v>
      </c>
      <c r="AK87" s="78">
        <f t="shared" ca="1" si="110"/>
        <v>0</v>
      </c>
      <c r="AL87" s="78">
        <f t="shared" ca="1" si="111"/>
        <v>0</v>
      </c>
    </row>
    <row r="88" spans="2:39" ht="15" hidden="1" customHeight="1" outlineLevel="1" x14ac:dyDescent="0.3">
      <c r="B88" s="14" t="s">
        <v>811</v>
      </c>
      <c r="C88" s="14" t="s">
        <v>803</v>
      </c>
      <c r="D88" s="4">
        <f ca="1">-SUMIFS(INDIRECT("Tab_000.Trial["&amp;D$4&amp;"]"),Tab_000.Trial[CONTA],$B88)</f>
        <v>-1667.78</v>
      </c>
      <c r="E88" s="78">
        <f t="shared" ca="1" si="89"/>
        <v>-1.8E-3</v>
      </c>
      <c r="F88" s="4">
        <f ca="1">-SUMIFS(INDIRECT("Tab_000.Trial["&amp;F$4&amp;"]"),Tab_000.Trial[CONTA],$B88)</f>
        <v>0</v>
      </c>
      <c r="G88" s="78">
        <f t="shared" ca="1" si="91"/>
        <v>0</v>
      </c>
      <c r="H88" s="78">
        <f t="shared" ca="1" si="90"/>
        <v>1</v>
      </c>
      <c r="I88" s="4">
        <f ca="1">-SUMIFS(INDIRECT("Tab_000.Trial["&amp;I$4&amp;"]"),Tab_000.Trial[CONTA],$B88)</f>
        <v>-867.9</v>
      </c>
      <c r="J88" s="78">
        <f t="shared" ca="1" si="92"/>
        <v>-8.0000000000000004E-4</v>
      </c>
      <c r="K88" s="78">
        <f t="shared" ca="1" si="93"/>
        <v>0</v>
      </c>
      <c r="L88" s="4">
        <f ca="1">-SUMIFS(INDIRECT("Tab_000.Trial["&amp;L$4&amp;"]"),Tab_000.Trial[CONTA],$B88)</f>
        <v>-867.85</v>
      </c>
      <c r="M88" s="78">
        <f t="shared" ca="1" si="94"/>
        <v>-8.9999999999999998E-4</v>
      </c>
      <c r="N88" s="78">
        <f t="shared" ca="1" si="95"/>
        <v>1E-4</v>
      </c>
      <c r="O88" s="4">
        <f ca="1">-SUMIFS(INDIRECT("Tab_000.Trial["&amp;O$4&amp;"]"),Tab_000.Trial[CONTA],$B88)</f>
        <v>-939.31</v>
      </c>
      <c r="P88" s="78">
        <f t="shared" ca="1" si="96"/>
        <v>-8.0000000000000004E-4</v>
      </c>
      <c r="Q88" s="78">
        <f t="shared" ca="1" si="97"/>
        <v>-8.2299999999999998E-2</v>
      </c>
      <c r="R88" s="4">
        <f ca="1">-SUMIFS(INDIRECT("Tab_000.Trial["&amp;R$4&amp;"]"),Tab_000.Trial[CONTA],$B88)</f>
        <v>-594.92999999999995</v>
      </c>
      <c r="S88" s="78">
        <f t="shared" ca="1" si="98"/>
        <v>-5.9999999999999995E-4</v>
      </c>
      <c r="T88" s="78">
        <f t="shared" ca="1" si="99"/>
        <v>0.36659999999999998</v>
      </c>
      <c r="U88" s="4">
        <f ca="1">-SUMIFS(INDIRECT("Tab_000.Trial["&amp;U$4&amp;"]"),Tab_000.Trial[CONTA],$B88)</f>
        <v>-594.92999999999995</v>
      </c>
      <c r="V88" s="78">
        <f t="shared" ca="1" si="100"/>
        <v>-5.9999999999999995E-4</v>
      </c>
      <c r="W88" s="78">
        <f t="shared" ca="1" si="101"/>
        <v>0</v>
      </c>
      <c r="X88" s="4">
        <f ca="1">-SUMIFS(INDIRECT("Tab_000.Trial["&amp;X$4&amp;"]"),Tab_000.Trial[CONTA],$B88)</f>
        <v>-594.92999999999995</v>
      </c>
      <c r="Y88" s="78">
        <f t="shared" ca="1" si="102"/>
        <v>-5.9999999999999995E-4</v>
      </c>
      <c r="Z88" s="78">
        <f t="shared" ca="1" si="103"/>
        <v>0</v>
      </c>
      <c r="AA88" s="4">
        <f ca="1">-SUMIFS(INDIRECT("Tab_000.Trial["&amp;AA$4&amp;"]"),Tab_000.Trial[CONTA],$B88)</f>
        <v>-758.23</v>
      </c>
      <c r="AB88" s="78">
        <f t="shared" ca="1" si="104"/>
        <v>-8.0000000000000004E-4</v>
      </c>
      <c r="AC88" s="78">
        <f t="shared" ca="1" si="105"/>
        <v>-0.27450000000000002</v>
      </c>
      <c r="AD88" s="4">
        <f ca="1">-SUMIFS(INDIRECT("Tab_000.Trial["&amp;AD$4&amp;"]"),Tab_000.Trial[CONTA],$B88)</f>
        <v>-2316.54</v>
      </c>
      <c r="AE88" s="78">
        <f t="shared" ca="1" si="106"/>
        <v>-1.9E-3</v>
      </c>
      <c r="AF88" s="78">
        <f t="shared" ca="1" si="107"/>
        <v>-2.0552000000000001</v>
      </c>
      <c r="AG88" s="4">
        <f ca="1">-SUMIFS(INDIRECT("Tab_000.Trial["&amp;AG$4&amp;"]"),Tab_000.Trial[CONTA],$B88)</f>
        <v>-2316.7800000000002</v>
      </c>
      <c r="AH88" s="78">
        <f t="shared" ca="1" si="108"/>
        <v>-2.5999999999999999E-3</v>
      </c>
      <c r="AI88" s="78">
        <f t="shared" ca="1" si="109"/>
        <v>-1E-4</v>
      </c>
      <c r="AJ88" s="4">
        <f ca="1">-SUMIFS(INDIRECT("Tab_000.Trial["&amp;AJ$4&amp;"]"),Tab_000.Trial[CONTA],$B88)</f>
        <v>-965.67</v>
      </c>
      <c r="AK88" s="78">
        <f t="shared" ca="1" si="110"/>
        <v>-6.9999999999999999E-4</v>
      </c>
      <c r="AL88" s="78">
        <f t="shared" ca="1" si="111"/>
        <v>0.58320000000000005</v>
      </c>
    </row>
    <row r="89" spans="2:39" ht="15" hidden="1" customHeight="1" outlineLevel="1" x14ac:dyDescent="0.3">
      <c r="B89" s="14" t="s">
        <v>812</v>
      </c>
      <c r="C89" s="14" t="s">
        <v>805</v>
      </c>
      <c r="D89" s="4">
        <f ca="1">-SUMIFS(INDIRECT("Tab_000.Trial["&amp;D$4&amp;"]"),Tab_000.Trial[CONTA],$B89)</f>
        <v>-497.81</v>
      </c>
      <c r="E89" s="78">
        <f t="shared" ca="1" si="89"/>
        <v>-5.0000000000000001E-4</v>
      </c>
      <c r="F89" s="4">
        <f ca="1">-SUMIFS(INDIRECT("Tab_000.Trial["&amp;F$4&amp;"]"),Tab_000.Trial[CONTA],$B89)</f>
        <v>0</v>
      </c>
      <c r="G89" s="78">
        <f t="shared" ca="1" si="91"/>
        <v>0</v>
      </c>
      <c r="H89" s="78">
        <f t="shared" ca="1" si="90"/>
        <v>1</v>
      </c>
      <c r="I89" s="4">
        <f ca="1">-SUMIFS(INDIRECT("Tab_000.Trial["&amp;I$4&amp;"]"),Tab_000.Trial[CONTA],$B89)</f>
        <v>-259.08</v>
      </c>
      <c r="J89" s="78">
        <f t="shared" ca="1" si="92"/>
        <v>-2.0000000000000001E-4</v>
      </c>
      <c r="K89" s="78">
        <f t="shared" ca="1" si="93"/>
        <v>0</v>
      </c>
      <c r="L89" s="4">
        <f ca="1">-SUMIFS(INDIRECT("Tab_000.Trial["&amp;L$4&amp;"]"),Tab_000.Trial[CONTA],$B89)</f>
        <v>-259.06</v>
      </c>
      <c r="M89" s="78">
        <f t="shared" ca="1" si="94"/>
        <v>-2.9999999999999997E-4</v>
      </c>
      <c r="N89" s="78">
        <f t="shared" ca="1" si="95"/>
        <v>1E-4</v>
      </c>
      <c r="O89" s="4">
        <f ca="1">-SUMIFS(INDIRECT("Tab_000.Trial["&amp;O$4&amp;"]"),Tab_000.Trial[CONTA],$B89)</f>
        <v>-280.41000000000003</v>
      </c>
      <c r="P89" s="78">
        <f t="shared" ca="1" si="96"/>
        <v>-2.0000000000000001E-4</v>
      </c>
      <c r="Q89" s="78">
        <f t="shared" ca="1" si="97"/>
        <v>-8.2400000000000001E-2</v>
      </c>
      <c r="R89" s="4">
        <f ca="1">-SUMIFS(INDIRECT("Tab_000.Trial["&amp;R$4&amp;"]"),Tab_000.Trial[CONTA],$B89)</f>
        <v>-177.59</v>
      </c>
      <c r="S89" s="78">
        <f t="shared" ca="1" si="98"/>
        <v>-2.0000000000000001E-4</v>
      </c>
      <c r="T89" s="78">
        <f t="shared" ca="1" si="99"/>
        <v>0.36670000000000003</v>
      </c>
      <c r="U89" s="4">
        <f ca="1">-SUMIFS(INDIRECT("Tab_000.Trial["&amp;U$4&amp;"]"),Tab_000.Trial[CONTA],$B89)</f>
        <v>-177.59</v>
      </c>
      <c r="V89" s="78">
        <f t="shared" ca="1" si="100"/>
        <v>-2.0000000000000001E-4</v>
      </c>
      <c r="W89" s="78">
        <f t="shared" ca="1" si="101"/>
        <v>0</v>
      </c>
      <c r="X89" s="4">
        <f ca="1">-SUMIFS(INDIRECT("Tab_000.Trial["&amp;X$4&amp;"]"),Tab_000.Trial[CONTA],$B89)</f>
        <v>-177.59</v>
      </c>
      <c r="Y89" s="78">
        <f t="shared" ca="1" si="102"/>
        <v>-2.0000000000000001E-4</v>
      </c>
      <c r="Z89" s="78">
        <f t="shared" ca="1" si="103"/>
        <v>0</v>
      </c>
      <c r="AA89" s="4">
        <f ca="1">-SUMIFS(INDIRECT("Tab_000.Trial["&amp;AA$4&amp;"]"),Tab_000.Trial[CONTA],$B89)</f>
        <v>-226.33</v>
      </c>
      <c r="AB89" s="78">
        <f t="shared" ca="1" si="104"/>
        <v>-2.0000000000000001E-4</v>
      </c>
      <c r="AC89" s="78">
        <f t="shared" ca="1" si="105"/>
        <v>-0.27450000000000002</v>
      </c>
      <c r="AD89" s="4">
        <f ca="1">-SUMIFS(INDIRECT("Tab_000.Trial["&amp;AD$4&amp;"]"),Tab_000.Trial[CONTA],$B89)</f>
        <v>-692.14</v>
      </c>
      <c r="AE89" s="78">
        <f t="shared" ca="1" si="106"/>
        <v>-5.9999999999999995E-4</v>
      </c>
      <c r="AF89" s="78">
        <f t="shared" ca="1" si="107"/>
        <v>-2.0581</v>
      </c>
      <c r="AG89" s="4">
        <f ca="1">-SUMIFS(INDIRECT("Tab_000.Trial["&amp;AG$4&amp;"]"),Tab_000.Trial[CONTA],$B89)</f>
        <v>-692.11</v>
      </c>
      <c r="AH89" s="78">
        <f t="shared" ca="1" si="108"/>
        <v>-8.0000000000000004E-4</v>
      </c>
      <c r="AI89" s="78">
        <f t="shared" ca="1" si="109"/>
        <v>0</v>
      </c>
      <c r="AJ89" s="4">
        <f ca="1">-SUMIFS(INDIRECT("Tab_000.Trial["&amp;AJ$4&amp;"]"),Tab_000.Trial[CONTA],$B89)</f>
        <v>-288.26</v>
      </c>
      <c r="AK89" s="78">
        <f t="shared" ca="1" si="110"/>
        <v>-2.0000000000000001E-4</v>
      </c>
      <c r="AL89" s="78">
        <f t="shared" ca="1" si="111"/>
        <v>0.58350000000000002</v>
      </c>
    </row>
    <row r="90" spans="2:39" ht="15" hidden="1" customHeight="1" outlineLevel="1" x14ac:dyDescent="0.3">
      <c r="B90" s="14" t="s">
        <v>813</v>
      </c>
      <c r="C90" s="14" t="s">
        <v>807</v>
      </c>
      <c r="D90" s="4">
        <f ca="1">-SUMIFS(INDIRECT("Tab_000.Trial["&amp;D$4&amp;"]"),Tab_000.Trial[CONTA],$B90)</f>
        <v>-62.22</v>
      </c>
      <c r="E90" s="78">
        <f t="shared" ca="1" si="89"/>
        <v>-1E-4</v>
      </c>
      <c r="F90" s="4">
        <f ca="1">-SUMIFS(INDIRECT("Tab_000.Trial["&amp;F$4&amp;"]"),Tab_000.Trial[CONTA],$B90)</f>
        <v>0</v>
      </c>
      <c r="G90" s="78">
        <f t="shared" ca="1" si="91"/>
        <v>0</v>
      </c>
      <c r="H90" s="78">
        <f t="shared" ca="1" si="90"/>
        <v>1</v>
      </c>
      <c r="I90" s="4">
        <f ca="1">-SUMIFS(INDIRECT("Tab_000.Trial["&amp;I$4&amp;"]"),Tab_000.Trial[CONTA],$B90)</f>
        <v>-32.380000000000003</v>
      </c>
      <c r="J90" s="78">
        <f t="shared" ca="1" si="92"/>
        <v>0</v>
      </c>
      <c r="K90" s="78">
        <f t="shared" ca="1" si="93"/>
        <v>0</v>
      </c>
      <c r="L90" s="4">
        <f ca="1">-SUMIFS(INDIRECT("Tab_000.Trial["&amp;L$4&amp;"]"),Tab_000.Trial[CONTA],$B90)</f>
        <v>-32.380000000000003</v>
      </c>
      <c r="M90" s="78">
        <f t="shared" ca="1" si="94"/>
        <v>0</v>
      </c>
      <c r="N90" s="78">
        <f t="shared" ca="1" si="95"/>
        <v>0</v>
      </c>
      <c r="O90" s="4">
        <f ca="1">-SUMIFS(INDIRECT("Tab_000.Trial["&amp;O$4&amp;"]"),Tab_000.Trial[CONTA],$B90)</f>
        <v>-35.06</v>
      </c>
      <c r="P90" s="78">
        <f t="shared" ca="1" si="96"/>
        <v>0</v>
      </c>
      <c r="Q90" s="78">
        <f t="shared" ca="1" si="97"/>
        <v>-8.2799999999999999E-2</v>
      </c>
      <c r="R90" s="4">
        <f ca="1">-SUMIFS(INDIRECT("Tab_000.Trial["&amp;R$4&amp;"]"),Tab_000.Trial[CONTA],$B90)</f>
        <v>-35.04</v>
      </c>
      <c r="S90" s="78">
        <f t="shared" ca="1" si="98"/>
        <v>0</v>
      </c>
      <c r="T90" s="78">
        <f t="shared" ca="1" si="99"/>
        <v>5.9999999999999995E-4</v>
      </c>
      <c r="U90" s="4">
        <f ca="1">-SUMIFS(INDIRECT("Tab_000.Trial["&amp;U$4&amp;"]"),Tab_000.Trial[CONTA],$B90)</f>
        <v>-35.04</v>
      </c>
      <c r="V90" s="78">
        <f t="shared" ca="1" si="100"/>
        <v>0</v>
      </c>
      <c r="W90" s="78">
        <f t="shared" ca="1" si="101"/>
        <v>0</v>
      </c>
      <c r="X90" s="4">
        <f ca="1">-SUMIFS(INDIRECT("Tab_000.Trial["&amp;X$4&amp;"]"),Tab_000.Trial[CONTA],$B90)</f>
        <v>-35.04</v>
      </c>
      <c r="Y90" s="78">
        <f t="shared" ca="1" si="102"/>
        <v>0</v>
      </c>
      <c r="Z90" s="78">
        <f t="shared" ca="1" si="103"/>
        <v>0</v>
      </c>
      <c r="AA90" s="4">
        <f ca="1">-SUMIFS(INDIRECT("Tab_000.Trial["&amp;AA$4&amp;"]"),Tab_000.Trial[CONTA],$B90)</f>
        <v>-28.29</v>
      </c>
      <c r="AB90" s="78">
        <f t="shared" ca="1" si="104"/>
        <v>0</v>
      </c>
      <c r="AC90" s="78">
        <f t="shared" ca="1" si="105"/>
        <v>0.19259999999999999</v>
      </c>
      <c r="AD90" s="4">
        <f ca="1">-SUMIFS(INDIRECT("Tab_000.Trial["&amp;AD$4&amp;"]"),Tab_000.Trial[CONTA],$B90)</f>
        <v>-86.45</v>
      </c>
      <c r="AE90" s="78">
        <f t="shared" ca="1" si="106"/>
        <v>-1E-4</v>
      </c>
      <c r="AF90" s="78">
        <f t="shared" ca="1" si="107"/>
        <v>-2.0558999999999998</v>
      </c>
      <c r="AG90" s="4">
        <f ca="1">-SUMIFS(INDIRECT("Tab_000.Trial["&amp;AG$4&amp;"]"),Tab_000.Trial[CONTA],$B90)</f>
        <v>-86.45</v>
      </c>
      <c r="AH90" s="78">
        <f t="shared" ca="1" si="108"/>
        <v>-1E-4</v>
      </c>
      <c r="AI90" s="78">
        <f t="shared" ca="1" si="109"/>
        <v>0</v>
      </c>
      <c r="AJ90" s="4">
        <f ca="1">-SUMIFS(INDIRECT("Tab_000.Trial["&amp;AJ$4&amp;"]"),Tab_000.Trial[CONTA],$B90)</f>
        <v>-36.020000000000003</v>
      </c>
      <c r="AK90" s="78">
        <f t="shared" ca="1" si="110"/>
        <v>0</v>
      </c>
      <c r="AL90" s="78">
        <f t="shared" ca="1" si="111"/>
        <v>0.58330000000000004</v>
      </c>
    </row>
    <row r="91" spans="2:39" ht="15" hidden="1" customHeight="1" outlineLevel="1" x14ac:dyDescent="0.3">
      <c r="B91" s="14"/>
      <c r="C91" s="14"/>
      <c r="D91" s="4">
        <f ca="1">-SUMIFS(INDIRECT("Tab_000.Trial["&amp;D$4&amp;"]"),Tab_000.Trial[CONTA],$B91)</f>
        <v>0</v>
      </c>
      <c r="E91" s="78">
        <f t="shared" ca="1" si="89"/>
        <v>0</v>
      </c>
      <c r="F91" s="4">
        <f ca="1">-SUMIFS(INDIRECT("Tab_000.Trial["&amp;F$4&amp;"]"),Tab_000.Trial[CONTA],$B91)</f>
        <v>0</v>
      </c>
      <c r="G91" s="78">
        <f t="shared" ca="1" si="91"/>
        <v>0</v>
      </c>
      <c r="H91" s="78">
        <f t="shared" ca="1" si="90"/>
        <v>0</v>
      </c>
      <c r="I91" s="4">
        <f ca="1">-SUMIFS(INDIRECT("Tab_000.Trial["&amp;I$4&amp;"]"),Tab_000.Trial[CONTA],$B91)</f>
        <v>0</v>
      </c>
      <c r="J91" s="78">
        <f t="shared" ca="1" si="92"/>
        <v>0</v>
      </c>
      <c r="K91" s="78">
        <f t="shared" ca="1" si="93"/>
        <v>0</v>
      </c>
      <c r="L91" s="4">
        <f ca="1">-SUMIFS(INDIRECT("Tab_000.Trial["&amp;L$4&amp;"]"),Tab_000.Trial[CONTA],$B91)</f>
        <v>0</v>
      </c>
      <c r="M91" s="78">
        <f t="shared" ca="1" si="94"/>
        <v>0</v>
      </c>
      <c r="N91" s="78">
        <f t="shared" ca="1" si="95"/>
        <v>0</v>
      </c>
      <c r="O91" s="4">
        <f ca="1">-SUMIFS(INDIRECT("Tab_000.Trial["&amp;O$4&amp;"]"),Tab_000.Trial[CONTA],$B91)</f>
        <v>0</v>
      </c>
      <c r="P91" s="78">
        <f t="shared" ca="1" si="96"/>
        <v>0</v>
      </c>
      <c r="Q91" s="78">
        <f t="shared" ca="1" si="97"/>
        <v>0</v>
      </c>
      <c r="R91" s="4">
        <f ca="1">-SUMIFS(INDIRECT("Tab_000.Trial["&amp;R$4&amp;"]"),Tab_000.Trial[CONTA],$B91)</f>
        <v>0</v>
      </c>
      <c r="S91" s="78">
        <f t="shared" ca="1" si="98"/>
        <v>0</v>
      </c>
      <c r="T91" s="78">
        <f t="shared" ca="1" si="99"/>
        <v>0</v>
      </c>
      <c r="U91" s="4">
        <f ca="1">-SUMIFS(INDIRECT("Tab_000.Trial["&amp;U$4&amp;"]"),Tab_000.Trial[CONTA],$B91)</f>
        <v>0</v>
      </c>
      <c r="V91" s="78">
        <f t="shared" ca="1" si="100"/>
        <v>0</v>
      </c>
      <c r="W91" s="78">
        <f t="shared" ca="1" si="101"/>
        <v>0</v>
      </c>
      <c r="X91" s="4">
        <f ca="1">-SUMIFS(INDIRECT("Tab_000.Trial["&amp;X$4&amp;"]"),Tab_000.Trial[CONTA],$B91)</f>
        <v>0</v>
      </c>
      <c r="Y91" s="78">
        <f t="shared" ca="1" si="102"/>
        <v>0</v>
      </c>
      <c r="Z91" s="78">
        <f t="shared" ca="1" si="103"/>
        <v>0</v>
      </c>
      <c r="AA91" s="4">
        <f ca="1">-SUMIFS(INDIRECT("Tab_000.Trial["&amp;AA$4&amp;"]"),Tab_000.Trial[CONTA],$B91)</f>
        <v>0</v>
      </c>
      <c r="AB91" s="78">
        <f t="shared" ca="1" si="104"/>
        <v>0</v>
      </c>
      <c r="AC91" s="78">
        <f t="shared" ca="1" si="105"/>
        <v>0</v>
      </c>
      <c r="AD91" s="4">
        <f ca="1">-SUMIFS(INDIRECT("Tab_000.Trial["&amp;AD$4&amp;"]"),Tab_000.Trial[CONTA],$B91)</f>
        <v>0</v>
      </c>
      <c r="AE91" s="78">
        <f t="shared" ca="1" si="106"/>
        <v>0</v>
      </c>
      <c r="AF91" s="78">
        <f t="shared" ca="1" si="107"/>
        <v>0</v>
      </c>
      <c r="AG91" s="4">
        <f ca="1">-SUMIFS(INDIRECT("Tab_000.Trial["&amp;AG$4&amp;"]"),Tab_000.Trial[CONTA],$B91)</f>
        <v>0</v>
      </c>
      <c r="AH91" s="78">
        <f t="shared" ca="1" si="108"/>
        <v>0</v>
      </c>
      <c r="AI91" s="78">
        <f t="shared" ca="1" si="109"/>
        <v>0</v>
      </c>
      <c r="AJ91" s="4">
        <f ca="1">-SUMIFS(INDIRECT("Tab_000.Trial["&amp;AJ$4&amp;"]"),Tab_000.Trial[CONTA],$B91)</f>
        <v>0</v>
      </c>
      <c r="AK91" s="78">
        <f t="shared" ca="1" si="110"/>
        <v>0</v>
      </c>
      <c r="AL91" s="78">
        <f t="shared" ca="1" si="111"/>
        <v>0</v>
      </c>
    </row>
    <row r="92" spans="2:39" ht="15" hidden="1" customHeight="1" outlineLevel="1" x14ac:dyDescent="0.3">
      <c r="B92" s="14"/>
      <c r="C92" s="14"/>
      <c r="D92" s="4">
        <f ca="1">-SUMIFS(INDIRECT("Tab_000.Trial["&amp;D$4&amp;"]"),Tab_000.Trial[CONTA],$B92)</f>
        <v>0</v>
      </c>
      <c r="E92" s="78">
        <f t="shared" ca="1" si="89"/>
        <v>0</v>
      </c>
      <c r="F92" s="4">
        <f ca="1">-SUMIFS(INDIRECT("Tab_000.Trial["&amp;F$4&amp;"]"),Tab_000.Trial[CONTA],$B92)</f>
        <v>0</v>
      </c>
      <c r="G92" s="78">
        <f t="shared" ca="1" si="91"/>
        <v>0</v>
      </c>
      <c r="H92" s="78">
        <f t="shared" ca="1" si="90"/>
        <v>0</v>
      </c>
      <c r="I92" s="4">
        <f ca="1">-SUMIFS(INDIRECT("Tab_000.Trial["&amp;I$4&amp;"]"),Tab_000.Trial[CONTA],$B92)</f>
        <v>0</v>
      </c>
      <c r="J92" s="78">
        <f t="shared" ca="1" si="92"/>
        <v>0</v>
      </c>
      <c r="K92" s="78">
        <f t="shared" ca="1" si="93"/>
        <v>0</v>
      </c>
      <c r="L92" s="4">
        <f ca="1">-SUMIFS(INDIRECT("Tab_000.Trial["&amp;L$4&amp;"]"),Tab_000.Trial[CONTA],$B92)</f>
        <v>0</v>
      </c>
      <c r="M92" s="78">
        <f t="shared" ca="1" si="94"/>
        <v>0</v>
      </c>
      <c r="N92" s="78">
        <f t="shared" ca="1" si="95"/>
        <v>0</v>
      </c>
      <c r="O92" s="4">
        <f ca="1">-SUMIFS(INDIRECT("Tab_000.Trial["&amp;O$4&amp;"]"),Tab_000.Trial[CONTA],$B92)</f>
        <v>0</v>
      </c>
      <c r="P92" s="78">
        <f t="shared" ca="1" si="96"/>
        <v>0</v>
      </c>
      <c r="Q92" s="78">
        <f t="shared" ca="1" si="97"/>
        <v>0</v>
      </c>
      <c r="R92" s="4">
        <f ca="1">-SUMIFS(INDIRECT("Tab_000.Trial["&amp;R$4&amp;"]"),Tab_000.Trial[CONTA],$B92)</f>
        <v>0</v>
      </c>
      <c r="S92" s="78">
        <f t="shared" ca="1" si="98"/>
        <v>0</v>
      </c>
      <c r="T92" s="78">
        <f t="shared" ca="1" si="99"/>
        <v>0</v>
      </c>
      <c r="U92" s="4">
        <f ca="1">-SUMIFS(INDIRECT("Tab_000.Trial["&amp;U$4&amp;"]"),Tab_000.Trial[CONTA],$B92)</f>
        <v>0</v>
      </c>
      <c r="V92" s="78">
        <f t="shared" ca="1" si="100"/>
        <v>0</v>
      </c>
      <c r="W92" s="78">
        <f t="shared" ca="1" si="101"/>
        <v>0</v>
      </c>
      <c r="X92" s="4">
        <f ca="1">-SUMIFS(INDIRECT("Tab_000.Trial["&amp;X$4&amp;"]"),Tab_000.Trial[CONTA],$B92)</f>
        <v>0</v>
      </c>
      <c r="Y92" s="78">
        <f t="shared" ca="1" si="102"/>
        <v>0</v>
      </c>
      <c r="Z92" s="78">
        <f t="shared" ca="1" si="103"/>
        <v>0</v>
      </c>
      <c r="AA92" s="4">
        <f ca="1">-SUMIFS(INDIRECT("Tab_000.Trial["&amp;AA$4&amp;"]"),Tab_000.Trial[CONTA],$B92)</f>
        <v>0</v>
      </c>
      <c r="AB92" s="78">
        <f t="shared" ca="1" si="104"/>
        <v>0</v>
      </c>
      <c r="AC92" s="78">
        <f t="shared" ca="1" si="105"/>
        <v>0</v>
      </c>
      <c r="AD92" s="4">
        <f ca="1">-SUMIFS(INDIRECT("Tab_000.Trial["&amp;AD$4&amp;"]"),Tab_000.Trial[CONTA],$B92)</f>
        <v>0</v>
      </c>
      <c r="AE92" s="78">
        <f t="shared" ca="1" si="106"/>
        <v>0</v>
      </c>
      <c r="AF92" s="78">
        <f t="shared" ca="1" si="107"/>
        <v>0</v>
      </c>
      <c r="AG92" s="4">
        <f ca="1">-SUMIFS(INDIRECT("Tab_000.Trial["&amp;AG$4&amp;"]"),Tab_000.Trial[CONTA],$B92)</f>
        <v>0</v>
      </c>
      <c r="AH92" s="78">
        <f t="shared" ca="1" si="108"/>
        <v>0</v>
      </c>
      <c r="AI92" s="78">
        <f t="shared" ca="1" si="109"/>
        <v>0</v>
      </c>
      <c r="AJ92" s="4">
        <f ca="1">-SUMIFS(INDIRECT("Tab_000.Trial["&amp;AJ$4&amp;"]"),Tab_000.Trial[CONTA],$B92)</f>
        <v>0</v>
      </c>
      <c r="AK92" s="78">
        <f t="shared" ca="1" si="110"/>
        <v>0</v>
      </c>
      <c r="AL92" s="78">
        <f t="shared" ca="1" si="111"/>
        <v>0</v>
      </c>
    </row>
    <row r="93" spans="2:39" ht="5.0999999999999996" hidden="1" customHeight="1" outlineLevel="1" x14ac:dyDescent="0.3">
      <c r="B93" s="74"/>
      <c r="C93" s="75"/>
      <c r="D93" s="76"/>
      <c r="E93" s="77"/>
      <c r="F93" s="76"/>
      <c r="G93" s="77"/>
      <c r="H93" s="77"/>
      <c r="I93" s="76"/>
      <c r="J93" s="77"/>
      <c r="K93" s="77"/>
      <c r="L93" s="76"/>
      <c r="M93" s="77"/>
      <c r="N93" s="77"/>
      <c r="O93" s="76"/>
      <c r="P93" s="77"/>
      <c r="Q93" s="77"/>
      <c r="R93" s="76"/>
      <c r="S93" s="77"/>
      <c r="T93" s="77"/>
      <c r="U93" s="76"/>
      <c r="V93" s="77"/>
      <c r="W93" s="77"/>
      <c r="X93" s="76"/>
      <c r="Y93" s="77"/>
      <c r="Z93" s="77"/>
      <c r="AA93" s="76"/>
      <c r="AB93" s="77"/>
      <c r="AC93" s="77"/>
      <c r="AD93" s="76"/>
      <c r="AE93" s="77"/>
      <c r="AF93" s="77"/>
      <c r="AG93" s="76"/>
      <c r="AH93" s="77"/>
      <c r="AI93" s="77"/>
      <c r="AJ93" s="76"/>
      <c r="AK93" s="77"/>
      <c r="AL93" s="77"/>
    </row>
    <row r="94" spans="2:39" ht="15" customHeight="1" x14ac:dyDescent="0.3">
      <c r="B94" s="3" t="s">
        <v>105</v>
      </c>
      <c r="C94" s="3" t="s">
        <v>82</v>
      </c>
      <c r="D94" s="4">
        <f ca="1">SUBTOTAL(9,D$95:D$133)</f>
        <v>-108248.42</v>
      </c>
      <c r="E94" s="78">
        <f t="shared" ref="E94:E132" ca="1" si="112">IFERROR($D94/$D$6,0)</f>
        <v>-0.11600000000000001</v>
      </c>
      <c r="F94" s="4">
        <f ca="1">SUBTOTAL(9,F$95:F$133)</f>
        <v>-20040.18</v>
      </c>
      <c r="G94" s="78">
        <f ca="1">IFERROR($F94/$F$6,0)</f>
        <v>-3.8199999999999998E-2</v>
      </c>
      <c r="H94" s="78">
        <f t="shared" ref="H94:H132" ca="1" si="113">IFERROR(($F94-$D94)/ABS($D94),0)</f>
        <v>0.81489999999999996</v>
      </c>
      <c r="I94" s="4">
        <f ca="1">SUBTOTAL(9,I$95:I$133)</f>
        <v>-109169.7</v>
      </c>
      <c r="J94" s="78">
        <f ca="1">IFERROR($I94/$I$6,0)</f>
        <v>-0.1052</v>
      </c>
      <c r="K94" s="78">
        <f ca="1">IFERROR(($I94-$F94)/ABS($F94),0)</f>
        <v>-4.4474999999999998</v>
      </c>
      <c r="L94" s="4">
        <f ca="1">SUBTOTAL(9,L$95:L$133)</f>
        <v>-127784.68</v>
      </c>
      <c r="M94" s="78">
        <f ca="1">IFERROR($L94/$L$6,0)</f>
        <v>-0.12759999999999999</v>
      </c>
      <c r="N94" s="78">
        <f ca="1">IFERROR(($L94-$I94)/ABS($I94),0)</f>
        <v>-0.17050000000000001</v>
      </c>
      <c r="O94" s="4">
        <f ca="1">SUBTOTAL(9,O$95:O$133)</f>
        <v>-106123.84</v>
      </c>
      <c r="P94" s="78">
        <f ca="1">IFERROR($O94/$O$6,0)</f>
        <v>-8.8400000000000006E-2</v>
      </c>
      <c r="Q94" s="78">
        <f ca="1">IFERROR(($O94-$L94)/ABS($L94),0)</f>
        <v>0.16950000000000001</v>
      </c>
      <c r="R94" s="4">
        <f ca="1">SUBTOTAL(9,R$95:R$133)</f>
        <v>-105468.78</v>
      </c>
      <c r="S94" s="78">
        <f ca="1">IFERROR($R94/$R$6,0)</f>
        <v>-9.9599999999999994E-2</v>
      </c>
      <c r="T94" s="78">
        <f ca="1">IFERROR(($R94-$O94)/ABS($O94),0)</f>
        <v>6.1999999999999998E-3</v>
      </c>
      <c r="U94" s="4">
        <f ca="1">SUBTOTAL(9,U$95:U$133)</f>
        <v>-105468.78</v>
      </c>
      <c r="V94" s="78">
        <f ca="1">IFERROR($U94/$U$6,0)</f>
        <v>-9.9599999999999994E-2</v>
      </c>
      <c r="W94" s="78">
        <f ca="1">IFERROR(($U94-$R94)/ABS($R94),0)</f>
        <v>0</v>
      </c>
      <c r="X94" s="4">
        <f ca="1">SUBTOTAL(9,X$95:X$133)</f>
        <v>-105468.78</v>
      </c>
      <c r="Y94" s="78">
        <f ca="1">IFERROR($X94/$X$6,0)</f>
        <v>-9.9599999999999994E-2</v>
      </c>
      <c r="Z94" s="78">
        <f ca="1">IFERROR(($X94-$U94)/ABS($U94),0)</f>
        <v>0</v>
      </c>
      <c r="AA94" s="4">
        <f ca="1">SUBTOTAL(9,AA$95:AA$133)</f>
        <v>-116191.26</v>
      </c>
      <c r="AB94" s="78">
        <f ca="1">IFERROR($AA94/$AA$6,0)</f>
        <v>-0.12</v>
      </c>
      <c r="AC94" s="78">
        <f ca="1">IFERROR(($AA94-$X94)/ABS($X94),0)</f>
        <v>-0.1017</v>
      </c>
      <c r="AD94" s="4">
        <f ca="1">SUBTOTAL(9,AD$95:AD$133)</f>
        <v>-117054.75</v>
      </c>
      <c r="AE94" s="78">
        <f ca="1">IFERROR($AD94/$AD$6,0)</f>
        <v>-9.5600000000000004E-2</v>
      </c>
      <c r="AF94" s="78">
        <f ca="1">IFERROR(($AD94-$AA94)/ABS($AA94),0)</f>
        <v>-7.4000000000000003E-3</v>
      </c>
      <c r="AG94" s="4">
        <f ca="1">SUBTOTAL(9,AG$95:AG$133)</f>
        <v>-109731.75</v>
      </c>
      <c r="AH94" s="78">
        <f ca="1">IFERROR($AG94/$AG$6,0)</f>
        <v>-0.12139999999999999</v>
      </c>
      <c r="AI94" s="78">
        <f ca="1">IFERROR(($AG94-$AD94)/ABS($AD94),0)</f>
        <v>6.2600000000000003E-2</v>
      </c>
      <c r="AJ94" s="4">
        <f ca="1">SUBTOTAL(9,AJ$95:AJ$133)</f>
        <v>-130830.2</v>
      </c>
      <c r="AK94" s="78">
        <f ca="1">IFERROR($AJ94/$AJ$6,0)</f>
        <v>-8.8800000000000004E-2</v>
      </c>
      <c r="AL94" s="78">
        <f ca="1">IFERROR(($AJ94-$AG94)/ABS($AG94),0)</f>
        <v>-0.1923</v>
      </c>
    </row>
    <row r="95" spans="2:39" ht="15" customHeight="1" outlineLevel="1" x14ac:dyDescent="0.3">
      <c r="B95" s="14" t="s">
        <v>455</v>
      </c>
      <c r="C95" s="14" t="s">
        <v>456</v>
      </c>
      <c r="D95" s="4">
        <f ca="1">-SUMIFS(INDIRECT("Tab_000.Trial["&amp;D$4&amp;"]"),Tab_000.Trial[CONTA],$B95)</f>
        <v>-1014</v>
      </c>
      <c r="E95" s="78">
        <f t="shared" ca="1" si="112"/>
        <v>-1.1000000000000001E-3</v>
      </c>
      <c r="F95" s="4">
        <f ca="1">-SUMIFS(INDIRECT("Tab_000.Trial["&amp;F$4&amp;"]"),Tab_000.Trial[CONTA],$B95)</f>
        <v>0</v>
      </c>
      <c r="G95" s="78">
        <f t="shared" ca="1" si="91"/>
        <v>0</v>
      </c>
      <c r="H95" s="78">
        <f t="shared" ca="1" si="113"/>
        <v>1</v>
      </c>
      <c r="I95" s="4">
        <f ca="1">-SUMIFS(INDIRECT("Tab_000.Trial["&amp;I$4&amp;"]"),Tab_000.Trial[CONTA],$B95)</f>
        <v>0</v>
      </c>
      <c r="J95" s="78">
        <f t="shared" ca="1" si="92"/>
        <v>0</v>
      </c>
      <c r="K95" s="78">
        <f t="shared" ca="1" si="93"/>
        <v>0</v>
      </c>
      <c r="L95" s="4">
        <f ca="1">-SUMIFS(INDIRECT("Tab_000.Trial["&amp;L$4&amp;"]"),Tab_000.Trial[CONTA],$B95)</f>
        <v>0</v>
      </c>
      <c r="M95" s="78">
        <f t="shared" ca="1" si="94"/>
        <v>0</v>
      </c>
      <c r="N95" s="78">
        <f t="shared" ca="1" si="95"/>
        <v>0</v>
      </c>
      <c r="O95" s="4">
        <f ca="1">-SUMIFS(INDIRECT("Tab_000.Trial["&amp;O$4&amp;"]"),Tab_000.Trial[CONTA],$B95)</f>
        <v>0</v>
      </c>
      <c r="P95" s="78">
        <f t="shared" ref="P95:P132" ca="1" si="114">IFERROR($O95/$O$6,0)</f>
        <v>0</v>
      </c>
      <c r="Q95" s="78">
        <f t="shared" ref="Q95:Q132" ca="1" si="115">IFERROR(($O95-$L95)/ABS($L95),0)</f>
        <v>0</v>
      </c>
      <c r="R95" s="4">
        <f ca="1">-SUMIFS(INDIRECT("Tab_000.Trial["&amp;R$4&amp;"]"),Tab_000.Trial[CONTA],$B95)</f>
        <v>0</v>
      </c>
      <c r="S95" s="78">
        <f t="shared" ca="1" si="98"/>
        <v>0</v>
      </c>
      <c r="T95" s="78">
        <f t="shared" ca="1" si="99"/>
        <v>0</v>
      </c>
      <c r="U95" s="4">
        <f ca="1">-SUMIFS(INDIRECT("Tab_000.Trial["&amp;U$4&amp;"]"),Tab_000.Trial[CONTA],$B95)</f>
        <v>0</v>
      </c>
      <c r="V95" s="78">
        <f t="shared" ca="1" si="100"/>
        <v>0</v>
      </c>
      <c r="W95" s="78">
        <f t="shared" ca="1" si="101"/>
        <v>0</v>
      </c>
      <c r="X95" s="4">
        <f ca="1">-SUMIFS(INDIRECT("Tab_000.Trial["&amp;X$4&amp;"]"),Tab_000.Trial[CONTA],$B95)</f>
        <v>0</v>
      </c>
      <c r="Y95" s="78">
        <f t="shared" ref="Y95:Y132" ca="1" si="116">IFERROR($X95/$X$6,0)</f>
        <v>0</v>
      </c>
      <c r="Z95" s="78">
        <f t="shared" ref="Z95:Z132" ca="1" si="117">IFERROR(($X95-$U95)/ABS($U95),0)</f>
        <v>0</v>
      </c>
      <c r="AA95" s="4">
        <f ca="1">-SUMIFS(INDIRECT("Tab_000.Trial["&amp;AA$4&amp;"]"),Tab_000.Trial[CONTA],$B95)</f>
        <v>0</v>
      </c>
      <c r="AB95" s="78">
        <f t="shared" ca="1" si="104"/>
        <v>0</v>
      </c>
      <c r="AC95" s="78">
        <f t="shared" ca="1" si="105"/>
        <v>0</v>
      </c>
      <c r="AD95" s="4">
        <f ca="1">-SUMIFS(INDIRECT("Tab_000.Trial["&amp;AD$4&amp;"]"),Tab_000.Trial[CONTA],$B95)</f>
        <v>0</v>
      </c>
      <c r="AE95" s="78">
        <f t="shared" ca="1" si="106"/>
        <v>0</v>
      </c>
      <c r="AF95" s="78">
        <f t="shared" ca="1" si="107"/>
        <v>0</v>
      </c>
      <c r="AG95" s="4">
        <f ca="1">-SUMIFS(INDIRECT("Tab_000.Trial["&amp;AG$4&amp;"]"),Tab_000.Trial[CONTA],$B95)</f>
        <v>0</v>
      </c>
      <c r="AH95" s="78">
        <f t="shared" ca="1" si="108"/>
        <v>0</v>
      </c>
      <c r="AI95" s="78">
        <f t="shared" ca="1" si="109"/>
        <v>0</v>
      </c>
      <c r="AJ95" s="4">
        <f ca="1">-SUMIFS(INDIRECT("Tab_000.Trial["&amp;AJ$4&amp;"]"),Tab_000.Trial[CONTA],$B95)</f>
        <v>-119.61</v>
      </c>
      <c r="AK95" s="78">
        <f t="shared" ca="1" si="110"/>
        <v>-1E-4</v>
      </c>
      <c r="AL95" s="78">
        <f t="shared" ca="1" si="111"/>
        <v>0</v>
      </c>
      <c r="AM95" s="142" t="s">
        <v>766</v>
      </c>
    </row>
    <row r="96" spans="2:39" ht="15" customHeight="1" outlineLevel="1" x14ac:dyDescent="0.3">
      <c r="B96" s="14" t="s">
        <v>457</v>
      </c>
      <c r="C96" s="14" t="s">
        <v>458</v>
      </c>
      <c r="D96" s="4">
        <f ca="1">-SUMIFS(INDIRECT("Tab_000.Trial["&amp;D$4&amp;"]"),Tab_000.Trial[CONTA],$B96)</f>
        <v>-190</v>
      </c>
      <c r="E96" s="78">
        <f t="shared" ca="1" si="112"/>
        <v>-2.0000000000000001E-4</v>
      </c>
      <c r="F96" s="4">
        <f ca="1">-SUMIFS(INDIRECT("Tab_000.Trial["&amp;F$4&amp;"]"),Tab_000.Trial[CONTA],$B96)</f>
        <v>-235</v>
      </c>
      <c r="G96" s="78">
        <f t="shared" ca="1" si="91"/>
        <v>-4.0000000000000002E-4</v>
      </c>
      <c r="H96" s="78">
        <f t="shared" ca="1" si="113"/>
        <v>-0.23680000000000001</v>
      </c>
      <c r="I96" s="4">
        <f ca="1">-SUMIFS(INDIRECT("Tab_000.Trial["&amp;I$4&amp;"]"),Tab_000.Trial[CONTA],$B96)</f>
        <v>-235</v>
      </c>
      <c r="J96" s="78">
        <f t="shared" ca="1" si="92"/>
        <v>-2.0000000000000001E-4</v>
      </c>
      <c r="K96" s="78">
        <f t="shared" ca="1" si="93"/>
        <v>0</v>
      </c>
      <c r="L96" s="4">
        <f ca="1">-SUMIFS(INDIRECT("Tab_000.Trial["&amp;L$4&amp;"]"),Tab_000.Trial[CONTA],$B96)</f>
        <v>-230</v>
      </c>
      <c r="M96" s="78">
        <f t="shared" ca="1" si="94"/>
        <v>-2.0000000000000001E-4</v>
      </c>
      <c r="N96" s="78">
        <f t="shared" ca="1" si="95"/>
        <v>2.1299999999999999E-2</v>
      </c>
      <c r="O96" s="4">
        <f ca="1">-SUMIFS(INDIRECT("Tab_000.Trial["&amp;O$4&amp;"]"),Tab_000.Trial[CONTA],$B96)</f>
        <v>-190</v>
      </c>
      <c r="P96" s="78">
        <f t="shared" ca="1" si="114"/>
        <v>-2.0000000000000001E-4</v>
      </c>
      <c r="Q96" s="78">
        <f t="shared" ca="1" si="115"/>
        <v>0.1739</v>
      </c>
      <c r="R96" s="4">
        <f ca="1">-SUMIFS(INDIRECT("Tab_000.Trial["&amp;R$4&amp;"]"),Tab_000.Trial[CONTA],$B96)</f>
        <v>-190</v>
      </c>
      <c r="S96" s="78">
        <f t="shared" ca="1" si="98"/>
        <v>-2.0000000000000001E-4</v>
      </c>
      <c r="T96" s="78">
        <f t="shared" ca="1" si="99"/>
        <v>0</v>
      </c>
      <c r="U96" s="4">
        <f ca="1">-SUMIFS(INDIRECT("Tab_000.Trial["&amp;U$4&amp;"]"),Tab_000.Trial[CONTA],$B96)</f>
        <v>-190</v>
      </c>
      <c r="V96" s="78">
        <f t="shared" ca="1" si="100"/>
        <v>-2.0000000000000001E-4</v>
      </c>
      <c r="W96" s="78">
        <f t="shared" ca="1" si="101"/>
        <v>0</v>
      </c>
      <c r="X96" s="4">
        <f ca="1">-SUMIFS(INDIRECT("Tab_000.Trial["&amp;X$4&amp;"]"),Tab_000.Trial[CONTA],$B96)</f>
        <v>-190</v>
      </c>
      <c r="Y96" s="78">
        <f t="shared" ca="1" si="116"/>
        <v>-2.0000000000000001E-4</v>
      </c>
      <c r="Z96" s="78">
        <f t="shared" ca="1" si="117"/>
        <v>0</v>
      </c>
      <c r="AA96" s="4">
        <f ca="1">-SUMIFS(INDIRECT("Tab_000.Trial["&amp;AA$4&amp;"]"),Tab_000.Trial[CONTA],$B96)</f>
        <v>-1190</v>
      </c>
      <c r="AB96" s="78">
        <f t="shared" ca="1" si="104"/>
        <v>-1.1999999999999999E-3</v>
      </c>
      <c r="AC96" s="78">
        <f t="shared" ca="1" si="105"/>
        <v>-5.2632000000000003</v>
      </c>
      <c r="AD96" s="4">
        <f ca="1">-SUMIFS(INDIRECT("Tab_000.Trial["&amp;AD$4&amp;"]"),Tab_000.Trial[CONTA],$B96)</f>
        <v>-280</v>
      </c>
      <c r="AE96" s="78">
        <f t="shared" ca="1" si="106"/>
        <v>-2.0000000000000001E-4</v>
      </c>
      <c r="AF96" s="78">
        <f t="shared" ca="1" si="107"/>
        <v>0.76470000000000005</v>
      </c>
      <c r="AG96" s="4">
        <f ca="1">-SUMIFS(INDIRECT("Tab_000.Trial["&amp;AG$4&amp;"]"),Tab_000.Trial[CONTA],$B96)</f>
        <v>-190</v>
      </c>
      <c r="AH96" s="78">
        <f t="shared" ca="1" si="108"/>
        <v>-2.0000000000000001E-4</v>
      </c>
      <c r="AI96" s="78">
        <f t="shared" ca="1" si="109"/>
        <v>0.32140000000000002</v>
      </c>
      <c r="AJ96" s="4">
        <f ca="1">-SUMIFS(INDIRECT("Tab_000.Trial["&amp;AJ$4&amp;"]"),Tab_000.Trial[CONTA],$B96)</f>
        <v>-230</v>
      </c>
      <c r="AK96" s="78">
        <f t="shared" ca="1" si="110"/>
        <v>-2.0000000000000001E-4</v>
      </c>
      <c r="AL96" s="78">
        <f t="shared" ca="1" si="111"/>
        <v>-0.21049999999999999</v>
      </c>
      <c r="AM96" s="1" t="s">
        <v>780</v>
      </c>
    </row>
    <row r="97" spans="2:39" ht="15" customHeight="1" outlineLevel="1" x14ac:dyDescent="0.3">
      <c r="B97" s="14" t="s">
        <v>473</v>
      </c>
      <c r="C97" s="14" t="s">
        <v>474</v>
      </c>
      <c r="D97" s="4">
        <f ca="1">-SUMIFS(INDIRECT("Tab_000.Trial["&amp;D$4&amp;"]"),Tab_000.Trial[CONTA],$B97)</f>
        <v>-4500</v>
      </c>
      <c r="E97" s="78">
        <f t="shared" ca="1" si="112"/>
        <v>-4.7999999999999996E-3</v>
      </c>
      <c r="F97" s="4">
        <f ca="1">-SUMIFS(INDIRECT("Tab_000.Trial["&amp;F$4&amp;"]"),Tab_000.Trial[CONTA],$B97)</f>
        <v>-4500</v>
      </c>
      <c r="G97" s="78">
        <f t="shared" ca="1" si="91"/>
        <v>-8.6E-3</v>
      </c>
      <c r="H97" s="78">
        <f t="shared" ca="1" si="113"/>
        <v>0</v>
      </c>
      <c r="I97" s="4">
        <f ca="1">-SUMIFS(INDIRECT("Tab_000.Trial["&amp;I$4&amp;"]"),Tab_000.Trial[CONTA],$B97)</f>
        <v>-4500</v>
      </c>
      <c r="J97" s="78">
        <f t="shared" ca="1" si="92"/>
        <v>-4.3E-3</v>
      </c>
      <c r="K97" s="78">
        <f t="shared" ca="1" si="93"/>
        <v>0</v>
      </c>
      <c r="L97" s="4">
        <f ca="1">-SUMIFS(INDIRECT("Tab_000.Trial["&amp;L$4&amp;"]"),Tab_000.Trial[CONTA],$B97)</f>
        <v>-4500</v>
      </c>
      <c r="M97" s="78">
        <f t="shared" ca="1" si="94"/>
        <v>-4.4999999999999997E-3</v>
      </c>
      <c r="N97" s="78">
        <f t="shared" ca="1" si="95"/>
        <v>0</v>
      </c>
      <c r="O97" s="4">
        <f ca="1">-SUMIFS(INDIRECT("Tab_000.Trial["&amp;O$4&amp;"]"),Tab_000.Trial[CONTA],$B97)</f>
        <v>-4500</v>
      </c>
      <c r="P97" s="78">
        <f t="shared" ca="1" si="114"/>
        <v>-3.7000000000000002E-3</v>
      </c>
      <c r="Q97" s="78">
        <f t="shared" ca="1" si="115"/>
        <v>0</v>
      </c>
      <c r="R97" s="4">
        <f ca="1">-SUMIFS(INDIRECT("Tab_000.Trial["&amp;R$4&amp;"]"),Tab_000.Trial[CONTA],$B97)</f>
        <v>-4500</v>
      </c>
      <c r="S97" s="78">
        <f t="shared" ca="1" si="98"/>
        <v>-4.1999999999999997E-3</v>
      </c>
      <c r="T97" s="78">
        <f t="shared" ca="1" si="99"/>
        <v>0</v>
      </c>
      <c r="U97" s="4">
        <f ca="1">-SUMIFS(INDIRECT("Tab_000.Trial["&amp;U$4&amp;"]"),Tab_000.Trial[CONTA],$B97)</f>
        <v>-4500</v>
      </c>
      <c r="V97" s="78">
        <f t="shared" ca="1" si="100"/>
        <v>-4.1999999999999997E-3</v>
      </c>
      <c r="W97" s="78">
        <f t="shared" ca="1" si="101"/>
        <v>0</v>
      </c>
      <c r="X97" s="4">
        <f ca="1">-SUMIFS(INDIRECT("Tab_000.Trial["&amp;X$4&amp;"]"),Tab_000.Trial[CONTA],$B97)</f>
        <v>-4500</v>
      </c>
      <c r="Y97" s="78">
        <f t="shared" ca="1" si="116"/>
        <v>-4.1999999999999997E-3</v>
      </c>
      <c r="Z97" s="78">
        <f t="shared" ca="1" si="117"/>
        <v>0</v>
      </c>
      <c r="AA97" s="4">
        <f ca="1">-SUMIFS(INDIRECT("Tab_000.Trial["&amp;AA$4&amp;"]"),Tab_000.Trial[CONTA],$B97)</f>
        <v>-4500</v>
      </c>
      <c r="AB97" s="78">
        <f t="shared" ca="1" si="104"/>
        <v>-4.5999999999999999E-3</v>
      </c>
      <c r="AC97" s="78">
        <f t="shared" ca="1" si="105"/>
        <v>0</v>
      </c>
      <c r="AD97" s="4">
        <f ca="1">-SUMIFS(INDIRECT("Tab_000.Trial["&amp;AD$4&amp;"]"),Tab_000.Trial[CONTA],$B97)</f>
        <v>-4500</v>
      </c>
      <c r="AE97" s="78">
        <f t="shared" ca="1" si="106"/>
        <v>-3.7000000000000002E-3</v>
      </c>
      <c r="AF97" s="78">
        <f t="shared" ca="1" si="107"/>
        <v>0</v>
      </c>
      <c r="AG97" s="4">
        <f ca="1">-SUMIFS(INDIRECT("Tab_000.Trial["&amp;AG$4&amp;"]"),Tab_000.Trial[CONTA],$B97)</f>
        <v>-4500</v>
      </c>
      <c r="AH97" s="78">
        <f t="shared" ca="1" si="108"/>
        <v>-5.0000000000000001E-3</v>
      </c>
      <c r="AI97" s="78">
        <f t="shared" ca="1" si="109"/>
        <v>0</v>
      </c>
      <c r="AJ97" s="4">
        <f ca="1">-SUMIFS(INDIRECT("Tab_000.Trial["&amp;AJ$4&amp;"]"),Tab_000.Trial[CONTA],$B97)</f>
        <v>-4500</v>
      </c>
      <c r="AK97" s="78">
        <f t="shared" ca="1" si="110"/>
        <v>-3.0999999999999999E-3</v>
      </c>
      <c r="AL97" s="78">
        <f t="shared" ca="1" si="111"/>
        <v>0</v>
      </c>
      <c r="AM97" s="1" t="s">
        <v>783</v>
      </c>
    </row>
    <row r="98" spans="2:39" ht="15" customHeight="1" outlineLevel="1" x14ac:dyDescent="0.3">
      <c r="B98" s="14" t="s">
        <v>475</v>
      </c>
      <c r="C98" s="14" t="s">
        <v>476</v>
      </c>
      <c r="D98" s="4">
        <f ca="1">-SUMIFS(INDIRECT("Tab_000.Trial["&amp;D$4&amp;"]"),Tab_000.Trial[CONTA],$B98)</f>
        <v>0</v>
      </c>
      <c r="E98" s="78">
        <f t="shared" ca="1" si="112"/>
        <v>0</v>
      </c>
      <c r="F98" s="4">
        <f ca="1">-SUMIFS(INDIRECT("Tab_000.Trial["&amp;F$4&amp;"]"),Tab_000.Trial[CONTA],$B98)</f>
        <v>0</v>
      </c>
      <c r="G98" s="78">
        <f t="shared" ca="1" si="91"/>
        <v>0</v>
      </c>
      <c r="H98" s="78">
        <f t="shared" ca="1" si="113"/>
        <v>0</v>
      </c>
      <c r="I98" s="4">
        <f ca="1">-SUMIFS(INDIRECT("Tab_000.Trial["&amp;I$4&amp;"]"),Tab_000.Trial[CONTA],$B98)</f>
        <v>0</v>
      </c>
      <c r="J98" s="78">
        <f t="shared" ca="1" si="92"/>
        <v>0</v>
      </c>
      <c r="K98" s="78">
        <f t="shared" ca="1" si="93"/>
        <v>0</v>
      </c>
      <c r="L98" s="4">
        <f ca="1">-SUMIFS(INDIRECT("Tab_000.Trial["&amp;L$4&amp;"]"),Tab_000.Trial[CONTA],$B98)</f>
        <v>0</v>
      </c>
      <c r="M98" s="78">
        <f t="shared" ca="1" si="94"/>
        <v>0</v>
      </c>
      <c r="N98" s="78">
        <f t="shared" ca="1" si="95"/>
        <v>0</v>
      </c>
      <c r="O98" s="4">
        <f ca="1">-SUMIFS(INDIRECT("Tab_000.Trial["&amp;O$4&amp;"]"),Tab_000.Trial[CONTA],$B98)</f>
        <v>0</v>
      </c>
      <c r="P98" s="78">
        <f t="shared" ca="1" si="114"/>
        <v>0</v>
      </c>
      <c r="Q98" s="78">
        <f t="shared" ca="1" si="115"/>
        <v>0</v>
      </c>
      <c r="R98" s="4">
        <f ca="1">-SUMIFS(INDIRECT("Tab_000.Trial["&amp;R$4&amp;"]"),Tab_000.Trial[CONTA],$B98)</f>
        <v>0</v>
      </c>
      <c r="S98" s="78">
        <f t="shared" ca="1" si="98"/>
        <v>0</v>
      </c>
      <c r="T98" s="78">
        <f t="shared" ca="1" si="99"/>
        <v>0</v>
      </c>
      <c r="U98" s="4">
        <f ca="1">-SUMIFS(INDIRECT("Tab_000.Trial["&amp;U$4&amp;"]"),Tab_000.Trial[CONTA],$B98)</f>
        <v>0</v>
      </c>
      <c r="V98" s="78">
        <f t="shared" ca="1" si="100"/>
        <v>0</v>
      </c>
      <c r="W98" s="78">
        <f t="shared" ca="1" si="101"/>
        <v>0</v>
      </c>
      <c r="X98" s="4">
        <f ca="1">-SUMIFS(INDIRECT("Tab_000.Trial["&amp;X$4&amp;"]"),Tab_000.Trial[CONTA],$B98)</f>
        <v>0</v>
      </c>
      <c r="Y98" s="78">
        <f t="shared" ca="1" si="116"/>
        <v>0</v>
      </c>
      <c r="Z98" s="78">
        <f t="shared" ca="1" si="117"/>
        <v>0</v>
      </c>
      <c r="AA98" s="4">
        <f ca="1">-SUMIFS(INDIRECT("Tab_000.Trial["&amp;AA$4&amp;"]"),Tab_000.Trial[CONTA],$B98)</f>
        <v>0</v>
      </c>
      <c r="AB98" s="78">
        <f t="shared" ca="1" si="104"/>
        <v>0</v>
      </c>
      <c r="AC98" s="78">
        <f t="shared" ca="1" si="105"/>
        <v>0</v>
      </c>
      <c r="AD98" s="4">
        <f ca="1">-SUMIFS(INDIRECT("Tab_000.Trial["&amp;AD$4&amp;"]"),Tab_000.Trial[CONTA],$B98)</f>
        <v>0</v>
      </c>
      <c r="AE98" s="78">
        <f t="shared" ca="1" si="106"/>
        <v>0</v>
      </c>
      <c r="AF98" s="78">
        <f t="shared" ca="1" si="107"/>
        <v>0</v>
      </c>
      <c r="AG98" s="4">
        <f ca="1">-SUMIFS(INDIRECT("Tab_000.Trial["&amp;AG$4&amp;"]"),Tab_000.Trial[CONTA],$B98)</f>
        <v>0</v>
      </c>
      <c r="AH98" s="78">
        <f t="shared" ca="1" si="108"/>
        <v>0</v>
      </c>
      <c r="AI98" s="78">
        <f t="shared" ca="1" si="109"/>
        <v>0</v>
      </c>
      <c r="AJ98" s="4">
        <f ca="1">-SUMIFS(INDIRECT("Tab_000.Trial["&amp;AJ$4&amp;"]"),Tab_000.Trial[CONTA],$B98)</f>
        <v>0</v>
      </c>
      <c r="AK98" s="78">
        <f t="shared" ca="1" si="110"/>
        <v>0</v>
      </c>
      <c r="AL98" s="78">
        <f t="shared" ca="1" si="111"/>
        <v>0</v>
      </c>
    </row>
    <row r="99" spans="2:39" ht="15" customHeight="1" outlineLevel="1" x14ac:dyDescent="0.3">
      <c r="B99" s="14" t="s">
        <v>477</v>
      </c>
      <c r="C99" s="14" t="s">
        <v>478</v>
      </c>
      <c r="D99" s="4">
        <f ca="1">-SUMIFS(INDIRECT("Tab_000.Trial["&amp;D$4&amp;"]"),Tab_000.Trial[CONTA],$B99)</f>
        <v>0</v>
      </c>
      <c r="E99" s="78">
        <f t="shared" ca="1" si="112"/>
        <v>0</v>
      </c>
      <c r="F99" s="4">
        <f ca="1">-SUMIFS(INDIRECT("Tab_000.Trial["&amp;F$4&amp;"]"),Tab_000.Trial[CONTA],$B99)</f>
        <v>0</v>
      </c>
      <c r="G99" s="78">
        <f t="shared" ca="1" si="91"/>
        <v>0</v>
      </c>
      <c r="H99" s="78">
        <f t="shared" ca="1" si="113"/>
        <v>0</v>
      </c>
      <c r="I99" s="4">
        <f ca="1">-SUMIFS(INDIRECT("Tab_000.Trial["&amp;I$4&amp;"]"),Tab_000.Trial[CONTA],$B99)</f>
        <v>0</v>
      </c>
      <c r="J99" s="78">
        <f t="shared" ca="1" si="92"/>
        <v>0</v>
      </c>
      <c r="K99" s="78">
        <f t="shared" ca="1" si="93"/>
        <v>0</v>
      </c>
      <c r="L99" s="4">
        <f ca="1">-SUMIFS(INDIRECT("Tab_000.Trial["&amp;L$4&amp;"]"),Tab_000.Trial[CONTA],$B99)</f>
        <v>0</v>
      </c>
      <c r="M99" s="78">
        <f t="shared" ca="1" si="94"/>
        <v>0</v>
      </c>
      <c r="N99" s="78">
        <f t="shared" ca="1" si="95"/>
        <v>0</v>
      </c>
      <c r="O99" s="4">
        <f ca="1">-SUMIFS(INDIRECT("Tab_000.Trial["&amp;O$4&amp;"]"),Tab_000.Trial[CONTA],$B99)</f>
        <v>0</v>
      </c>
      <c r="P99" s="78">
        <f t="shared" ca="1" si="114"/>
        <v>0</v>
      </c>
      <c r="Q99" s="78">
        <f t="shared" ca="1" si="115"/>
        <v>0</v>
      </c>
      <c r="R99" s="4">
        <f ca="1">-SUMIFS(INDIRECT("Tab_000.Trial["&amp;R$4&amp;"]"),Tab_000.Trial[CONTA],$B99)</f>
        <v>0</v>
      </c>
      <c r="S99" s="78">
        <f t="shared" ca="1" si="98"/>
        <v>0</v>
      </c>
      <c r="T99" s="78">
        <f t="shared" ca="1" si="99"/>
        <v>0</v>
      </c>
      <c r="U99" s="4">
        <f ca="1">-SUMIFS(INDIRECT("Tab_000.Trial["&amp;U$4&amp;"]"),Tab_000.Trial[CONTA],$B99)</f>
        <v>0</v>
      </c>
      <c r="V99" s="78">
        <f t="shared" ca="1" si="100"/>
        <v>0</v>
      </c>
      <c r="W99" s="78">
        <f t="shared" ca="1" si="101"/>
        <v>0</v>
      </c>
      <c r="X99" s="4">
        <f ca="1">-SUMIFS(INDIRECT("Tab_000.Trial["&amp;X$4&amp;"]"),Tab_000.Trial[CONTA],$B99)</f>
        <v>0</v>
      </c>
      <c r="Y99" s="78">
        <f t="shared" ca="1" si="116"/>
        <v>0</v>
      </c>
      <c r="Z99" s="78">
        <f t="shared" ca="1" si="117"/>
        <v>0</v>
      </c>
      <c r="AA99" s="4">
        <f ca="1">-SUMIFS(INDIRECT("Tab_000.Trial["&amp;AA$4&amp;"]"),Tab_000.Trial[CONTA],$B99)</f>
        <v>0</v>
      </c>
      <c r="AB99" s="78">
        <f t="shared" ca="1" si="104"/>
        <v>0</v>
      </c>
      <c r="AC99" s="78">
        <f t="shared" ca="1" si="105"/>
        <v>0</v>
      </c>
      <c r="AD99" s="4">
        <f ca="1">-SUMIFS(INDIRECT("Tab_000.Trial["&amp;AD$4&amp;"]"),Tab_000.Trial[CONTA],$B99)</f>
        <v>0</v>
      </c>
      <c r="AE99" s="78">
        <f t="shared" ca="1" si="106"/>
        <v>0</v>
      </c>
      <c r="AF99" s="78">
        <f t="shared" ca="1" si="107"/>
        <v>0</v>
      </c>
      <c r="AG99" s="4">
        <f ca="1">-SUMIFS(INDIRECT("Tab_000.Trial["&amp;AG$4&amp;"]"),Tab_000.Trial[CONTA],$B99)</f>
        <v>0</v>
      </c>
      <c r="AH99" s="78">
        <f t="shared" ca="1" si="108"/>
        <v>0</v>
      </c>
      <c r="AI99" s="78">
        <f t="shared" ca="1" si="109"/>
        <v>0</v>
      </c>
      <c r="AJ99" s="4">
        <f ca="1">-SUMIFS(INDIRECT("Tab_000.Trial["&amp;AJ$4&amp;"]"),Tab_000.Trial[CONTA],$B99)</f>
        <v>0</v>
      </c>
      <c r="AK99" s="78">
        <f t="shared" ca="1" si="110"/>
        <v>0</v>
      </c>
      <c r="AL99" s="78">
        <f t="shared" ca="1" si="111"/>
        <v>0</v>
      </c>
    </row>
    <row r="100" spans="2:39" s="178" customFormat="1" ht="15" customHeight="1" outlineLevel="1" x14ac:dyDescent="0.3">
      <c r="B100" s="176" t="s">
        <v>480</v>
      </c>
      <c r="C100" s="176" t="s">
        <v>481</v>
      </c>
      <c r="D100" s="165">
        <f ca="1">-SUMIFS(INDIRECT("Tab_000.Trial["&amp;D$4&amp;"]"),Tab_000.Trial[CONTA],$B100)</f>
        <v>-57486</v>
      </c>
      <c r="E100" s="177">
        <f t="shared" ca="1" si="112"/>
        <v>-6.1600000000000002E-2</v>
      </c>
      <c r="F100" s="165">
        <f ca="1">-SUMIFS(INDIRECT("Tab_000.Trial["&amp;F$4&amp;"]"),Tab_000.Trial[CONTA],$B100)</f>
        <v>0</v>
      </c>
      <c r="G100" s="177">
        <f t="shared" ca="1" si="91"/>
        <v>0</v>
      </c>
      <c r="H100" s="177">
        <f t="shared" ca="1" si="113"/>
        <v>1</v>
      </c>
      <c r="I100" s="165">
        <f ca="1">-SUMIFS(INDIRECT("Tab_000.Trial["&amp;I$4&amp;"]"),Tab_000.Trial[CONTA],$B100)</f>
        <v>-57486</v>
      </c>
      <c r="J100" s="177">
        <f t="shared" ca="1" si="92"/>
        <v>-5.5399999999999998E-2</v>
      </c>
      <c r="K100" s="177">
        <f t="shared" ca="1" si="93"/>
        <v>0</v>
      </c>
      <c r="L100" s="165">
        <f ca="1">-SUMIFS(INDIRECT("Tab_000.Trial["&amp;L$4&amp;"]"),Tab_000.Trial[CONTA],$B100)</f>
        <v>-57486</v>
      </c>
      <c r="M100" s="177">
        <f t="shared" ca="1" si="94"/>
        <v>-5.74E-2</v>
      </c>
      <c r="N100" s="177">
        <f t="shared" ca="1" si="95"/>
        <v>0</v>
      </c>
      <c r="O100" s="165">
        <f ca="1">-SUMIFS(INDIRECT("Tab_000.Trial["&amp;O$4&amp;"]"),Tab_000.Trial[CONTA],$B100)</f>
        <v>-57486</v>
      </c>
      <c r="P100" s="177">
        <f t="shared" ca="1" si="114"/>
        <v>-4.7899999999999998E-2</v>
      </c>
      <c r="Q100" s="177">
        <f t="shared" ca="1" si="115"/>
        <v>0</v>
      </c>
      <c r="R100" s="165">
        <f ca="1">-SUMIFS(INDIRECT("Tab_000.Trial["&amp;R$4&amp;"]"),Tab_000.Trial[CONTA],$B100)</f>
        <v>-57486</v>
      </c>
      <c r="S100" s="177">
        <f t="shared" ca="1" si="98"/>
        <v>-5.4300000000000001E-2</v>
      </c>
      <c r="T100" s="177">
        <f t="shared" ca="1" si="99"/>
        <v>0</v>
      </c>
      <c r="U100" s="165">
        <f ca="1">-SUMIFS(INDIRECT("Tab_000.Trial["&amp;U$4&amp;"]"),Tab_000.Trial[CONTA],$B100)</f>
        <v>-57486</v>
      </c>
      <c r="V100" s="177">
        <f t="shared" ca="1" si="100"/>
        <v>-5.4300000000000001E-2</v>
      </c>
      <c r="W100" s="177">
        <f t="shared" ca="1" si="101"/>
        <v>0</v>
      </c>
      <c r="X100" s="165">
        <f ca="1">-SUMIFS(INDIRECT("Tab_000.Trial["&amp;X$4&amp;"]"),Tab_000.Trial[CONTA],$B100)</f>
        <v>-57486</v>
      </c>
      <c r="Y100" s="177">
        <f t="shared" ca="1" si="116"/>
        <v>-5.4300000000000001E-2</v>
      </c>
      <c r="Z100" s="177">
        <f t="shared" ca="1" si="117"/>
        <v>0</v>
      </c>
      <c r="AA100" s="165">
        <f ca="1">-SUMIFS(INDIRECT("Tab_000.Trial["&amp;AA$4&amp;"]"),Tab_000.Trial[CONTA],$B100)</f>
        <v>-57486</v>
      </c>
      <c r="AB100" s="177">
        <f t="shared" ca="1" si="104"/>
        <v>-5.9400000000000001E-2</v>
      </c>
      <c r="AC100" s="177">
        <f t="shared" ca="1" si="105"/>
        <v>0</v>
      </c>
      <c r="AD100" s="165">
        <f ca="1">-SUMIFS(INDIRECT("Tab_000.Trial["&amp;AD$4&amp;"]"),Tab_000.Trial[CONTA],$B100)</f>
        <v>-57486</v>
      </c>
      <c r="AE100" s="177">
        <f t="shared" ca="1" si="106"/>
        <v>-4.6899999999999997E-2</v>
      </c>
      <c r="AF100" s="177">
        <f t="shared" ca="1" si="107"/>
        <v>0</v>
      </c>
      <c r="AG100" s="165">
        <f ca="1">-SUMIFS(INDIRECT("Tab_000.Trial["&amp;AG$4&amp;"]"),Tab_000.Trial[CONTA],$B100)</f>
        <v>-57486</v>
      </c>
      <c r="AH100" s="177">
        <f t="shared" ca="1" si="108"/>
        <v>-6.3600000000000004E-2</v>
      </c>
      <c r="AI100" s="177">
        <f t="shared" ca="1" si="109"/>
        <v>0</v>
      </c>
      <c r="AJ100" s="165">
        <f ca="1">-SUMIFS(INDIRECT("Tab_000.Trial["&amp;AJ$4&amp;"]"),Tab_000.Trial[CONTA],$B100)</f>
        <v>-57486</v>
      </c>
      <c r="AK100" s="177">
        <f t="shared" ca="1" si="110"/>
        <v>-3.9E-2</v>
      </c>
      <c r="AL100" s="177">
        <f t="shared" ca="1" si="111"/>
        <v>0</v>
      </c>
      <c r="AM100" s="178" t="s">
        <v>779</v>
      </c>
    </row>
    <row r="101" spans="2:39" ht="15" customHeight="1" outlineLevel="1" x14ac:dyDescent="0.3">
      <c r="B101" s="14" t="s">
        <v>482</v>
      </c>
      <c r="C101" s="14" t="s">
        <v>483</v>
      </c>
      <c r="D101" s="4">
        <f ca="1">-SUMIFS(INDIRECT("Tab_000.Trial["&amp;D$4&amp;"]"),Tab_000.Trial[CONTA],$B101)</f>
        <v>-236.9</v>
      </c>
      <c r="E101" s="78">
        <f t="shared" ca="1" si="112"/>
        <v>-2.9999999999999997E-4</v>
      </c>
      <c r="F101" s="4">
        <f ca="1">-SUMIFS(INDIRECT("Tab_000.Trial["&amp;F$4&amp;"]"),Tab_000.Trial[CONTA],$B101)</f>
        <v>-811.67</v>
      </c>
      <c r="G101" s="78">
        <f t="shared" ca="1" si="91"/>
        <v>-1.5E-3</v>
      </c>
      <c r="H101" s="78">
        <f t="shared" ca="1" si="113"/>
        <v>-2.4262000000000001</v>
      </c>
      <c r="I101" s="4">
        <f ca="1">-SUMIFS(INDIRECT("Tab_000.Trial["&amp;I$4&amp;"]"),Tab_000.Trial[CONTA],$B101)</f>
        <v>-937.8</v>
      </c>
      <c r="J101" s="78">
        <f t="shared" ca="1" si="92"/>
        <v>-8.9999999999999998E-4</v>
      </c>
      <c r="K101" s="78">
        <f t="shared" ca="1" si="93"/>
        <v>-0.15540000000000001</v>
      </c>
      <c r="L101" s="4">
        <f ca="1">-SUMIFS(INDIRECT("Tab_000.Trial["&amp;L$4&amp;"]"),Tab_000.Trial[CONTA],$B101)</f>
        <v>-738.03</v>
      </c>
      <c r="M101" s="78">
        <f t="shared" ca="1" si="94"/>
        <v>-6.9999999999999999E-4</v>
      </c>
      <c r="N101" s="78">
        <f t="shared" ca="1" si="95"/>
        <v>0.21299999999999999</v>
      </c>
      <c r="O101" s="4">
        <f ca="1">-SUMIFS(INDIRECT("Tab_000.Trial["&amp;O$4&amp;"]"),Tab_000.Trial[CONTA],$B101)</f>
        <v>-463.94</v>
      </c>
      <c r="P101" s="78">
        <f t="shared" ca="1" si="114"/>
        <v>-4.0000000000000002E-4</v>
      </c>
      <c r="Q101" s="78">
        <f t="shared" ca="1" si="115"/>
        <v>0.37140000000000001</v>
      </c>
      <c r="R101" s="4">
        <f ca="1">-SUMIFS(INDIRECT("Tab_000.Trial["&amp;R$4&amp;"]"),Tab_000.Trial[CONTA],$B101)</f>
        <v>-866.32</v>
      </c>
      <c r="S101" s="78">
        <f t="shared" ca="1" si="98"/>
        <v>-8.0000000000000004E-4</v>
      </c>
      <c r="T101" s="78">
        <f t="shared" ca="1" si="99"/>
        <v>-0.86729999999999996</v>
      </c>
      <c r="U101" s="4">
        <f ca="1">-SUMIFS(INDIRECT("Tab_000.Trial["&amp;U$4&amp;"]"),Tab_000.Trial[CONTA],$B101)</f>
        <v>-866.32</v>
      </c>
      <c r="V101" s="78">
        <f t="shared" ca="1" si="100"/>
        <v>-8.0000000000000004E-4</v>
      </c>
      <c r="W101" s="78">
        <f t="shared" ca="1" si="101"/>
        <v>0</v>
      </c>
      <c r="X101" s="4">
        <f ca="1">-SUMIFS(INDIRECT("Tab_000.Trial["&amp;X$4&amp;"]"),Tab_000.Trial[CONTA],$B101)</f>
        <v>-866.32</v>
      </c>
      <c r="Y101" s="78">
        <f t="shared" ca="1" si="116"/>
        <v>-8.0000000000000004E-4</v>
      </c>
      <c r="Z101" s="78">
        <f t="shared" ca="1" si="117"/>
        <v>0</v>
      </c>
      <c r="AA101" s="4">
        <f ca="1">-SUMIFS(INDIRECT("Tab_000.Trial["&amp;AA$4&amp;"]"),Tab_000.Trial[CONTA],$B101)</f>
        <v>-316.10000000000002</v>
      </c>
      <c r="AB101" s="78">
        <f t="shared" ca="1" si="104"/>
        <v>-2.9999999999999997E-4</v>
      </c>
      <c r="AC101" s="78">
        <f t="shared" ca="1" si="105"/>
        <v>0.6351</v>
      </c>
      <c r="AD101" s="4">
        <f ca="1">-SUMIFS(INDIRECT("Tab_000.Trial["&amp;AD$4&amp;"]"),Tab_000.Trial[CONTA],$B101)</f>
        <v>-456</v>
      </c>
      <c r="AE101" s="78">
        <f t="shared" ca="1" si="106"/>
        <v>-4.0000000000000002E-4</v>
      </c>
      <c r="AF101" s="78">
        <f t="shared" ca="1" si="107"/>
        <v>-0.44259999999999999</v>
      </c>
      <c r="AG101" s="4">
        <f ca="1">-SUMIFS(INDIRECT("Tab_000.Trial["&amp;AG$4&amp;"]"),Tab_000.Trial[CONTA],$B101)</f>
        <v>-1743.62</v>
      </c>
      <c r="AH101" s="78">
        <f t="shared" ca="1" si="108"/>
        <v>-1.9E-3</v>
      </c>
      <c r="AI101" s="78">
        <f t="shared" ca="1" si="109"/>
        <v>-2.8237000000000001</v>
      </c>
      <c r="AJ101" s="4">
        <f ca="1">-SUMIFS(INDIRECT("Tab_000.Trial["&amp;AJ$4&amp;"]"),Tab_000.Trial[CONTA],$B101)</f>
        <v>-168</v>
      </c>
      <c r="AK101" s="78">
        <f t="shared" ca="1" si="110"/>
        <v>-1E-4</v>
      </c>
      <c r="AL101" s="78">
        <f t="shared" ca="1" si="111"/>
        <v>0.90359999999999996</v>
      </c>
    </row>
    <row r="102" spans="2:39" ht="15" customHeight="1" outlineLevel="1" x14ac:dyDescent="0.3">
      <c r="B102" s="14" t="s">
        <v>484</v>
      </c>
      <c r="C102" s="14" t="s">
        <v>485</v>
      </c>
      <c r="D102" s="4">
        <f ca="1">-SUMIFS(INDIRECT("Tab_000.Trial["&amp;D$4&amp;"]"),Tab_000.Trial[CONTA],$B102)</f>
        <v>-1202.05</v>
      </c>
      <c r="E102" s="78">
        <f t="shared" ca="1" si="112"/>
        <v>-1.2999999999999999E-3</v>
      </c>
      <c r="F102" s="4">
        <f ca="1">-SUMIFS(INDIRECT("Tab_000.Trial["&amp;F$4&amp;"]"),Tab_000.Trial[CONTA],$B102)</f>
        <v>0</v>
      </c>
      <c r="G102" s="78">
        <f t="shared" ca="1" si="91"/>
        <v>0</v>
      </c>
      <c r="H102" s="78">
        <f t="shared" ca="1" si="113"/>
        <v>1</v>
      </c>
      <c r="I102" s="4">
        <f ca="1">-SUMIFS(INDIRECT("Tab_000.Trial["&amp;I$4&amp;"]"),Tab_000.Trial[CONTA],$B102)</f>
        <v>-1453.43</v>
      </c>
      <c r="J102" s="78">
        <f t="shared" ca="1" si="92"/>
        <v>-1.4E-3</v>
      </c>
      <c r="K102" s="78">
        <f t="shared" ca="1" si="93"/>
        <v>0</v>
      </c>
      <c r="L102" s="4">
        <f ca="1">-SUMIFS(INDIRECT("Tab_000.Trial["&amp;L$4&amp;"]"),Tab_000.Trial[CONTA],$B102)</f>
        <v>-780</v>
      </c>
      <c r="M102" s="78">
        <f t="shared" ca="1" si="94"/>
        <v>-8.0000000000000004E-4</v>
      </c>
      <c r="N102" s="78">
        <f t="shared" ca="1" si="95"/>
        <v>0.46329999999999999</v>
      </c>
      <c r="O102" s="4">
        <f ca="1">-SUMIFS(INDIRECT("Tab_000.Trial["&amp;O$4&amp;"]"),Tab_000.Trial[CONTA],$B102)</f>
        <v>-53.56</v>
      </c>
      <c r="P102" s="78">
        <f t="shared" ca="1" si="114"/>
        <v>0</v>
      </c>
      <c r="Q102" s="78">
        <f t="shared" ca="1" si="115"/>
        <v>0.93130000000000002</v>
      </c>
      <c r="R102" s="4">
        <f ca="1">-SUMIFS(INDIRECT("Tab_000.Trial["&amp;R$4&amp;"]"),Tab_000.Trial[CONTA],$B102)</f>
        <v>-946.94</v>
      </c>
      <c r="S102" s="78">
        <f t="shared" ca="1" si="98"/>
        <v>-8.9999999999999998E-4</v>
      </c>
      <c r="T102" s="78">
        <f t="shared" ca="1" si="99"/>
        <v>-16.68</v>
      </c>
      <c r="U102" s="4">
        <f ca="1">-SUMIFS(INDIRECT("Tab_000.Trial["&amp;U$4&amp;"]"),Tab_000.Trial[CONTA],$B102)</f>
        <v>-946.94</v>
      </c>
      <c r="V102" s="78">
        <f t="shared" ca="1" si="100"/>
        <v>-8.9999999999999998E-4</v>
      </c>
      <c r="W102" s="78">
        <f t="shared" ca="1" si="101"/>
        <v>0</v>
      </c>
      <c r="X102" s="4">
        <f ca="1">-SUMIFS(INDIRECT("Tab_000.Trial["&amp;X$4&amp;"]"),Tab_000.Trial[CONTA],$B102)</f>
        <v>-946.94</v>
      </c>
      <c r="Y102" s="78">
        <f t="shared" ca="1" si="116"/>
        <v>-8.9999999999999998E-4</v>
      </c>
      <c r="Z102" s="78">
        <f t="shared" ca="1" si="117"/>
        <v>0</v>
      </c>
      <c r="AA102" s="4">
        <f ca="1">-SUMIFS(INDIRECT("Tab_000.Trial["&amp;AA$4&amp;"]"),Tab_000.Trial[CONTA],$B102)</f>
        <v>-543.71</v>
      </c>
      <c r="AB102" s="78">
        <f t="shared" ca="1" si="104"/>
        <v>-5.9999999999999995E-4</v>
      </c>
      <c r="AC102" s="78">
        <f t="shared" ca="1" si="105"/>
        <v>0.42580000000000001</v>
      </c>
      <c r="AD102" s="4">
        <f ca="1">-SUMIFS(INDIRECT("Tab_000.Trial["&amp;AD$4&amp;"]"),Tab_000.Trial[CONTA],$B102)</f>
        <v>-844.33</v>
      </c>
      <c r="AE102" s="78">
        <f t="shared" ca="1" si="106"/>
        <v>-6.9999999999999999E-4</v>
      </c>
      <c r="AF102" s="78">
        <f t="shared" ca="1" si="107"/>
        <v>-0.55289999999999995</v>
      </c>
      <c r="AG102" s="4">
        <f ca="1">-SUMIFS(INDIRECT("Tab_000.Trial["&amp;AG$4&amp;"]"),Tab_000.Trial[CONTA],$B102)</f>
        <v>-1182.74</v>
      </c>
      <c r="AI102" s="78">
        <f t="shared" ca="1" si="109"/>
        <v>-0.40079999999999999</v>
      </c>
      <c r="AJ102" s="4">
        <f ca="1">-SUMIFS(INDIRECT("Tab_000.Trial["&amp;AJ$4&amp;"]"),Tab_000.Trial[CONTA],$B102)</f>
        <v>0</v>
      </c>
      <c r="AK102" s="78">
        <f t="shared" ca="1" si="110"/>
        <v>0</v>
      </c>
      <c r="AL102" s="78">
        <f t="shared" ca="1" si="111"/>
        <v>1</v>
      </c>
    </row>
    <row r="103" spans="2:39" ht="15" customHeight="1" outlineLevel="1" x14ac:dyDescent="0.3">
      <c r="B103" s="14" t="s">
        <v>486</v>
      </c>
      <c r="C103" s="14" t="s">
        <v>487</v>
      </c>
      <c r="D103" s="4">
        <f ca="1">-SUMIFS(INDIRECT("Tab_000.Trial["&amp;D$4&amp;"]"),Tab_000.Trial[CONTA],$B103)</f>
        <v>0</v>
      </c>
      <c r="E103" s="78">
        <f t="shared" ca="1" si="112"/>
        <v>0</v>
      </c>
      <c r="F103" s="4">
        <f ca="1">-SUMIFS(INDIRECT("Tab_000.Trial["&amp;F$4&amp;"]"),Tab_000.Trial[CONTA],$B103)</f>
        <v>0</v>
      </c>
      <c r="G103" s="78">
        <f t="shared" ca="1" si="91"/>
        <v>0</v>
      </c>
      <c r="H103" s="78">
        <f t="shared" ca="1" si="113"/>
        <v>0</v>
      </c>
      <c r="I103" s="4">
        <f ca="1">-SUMIFS(INDIRECT("Tab_000.Trial["&amp;I$4&amp;"]"),Tab_000.Trial[CONTA],$B103)</f>
        <v>0</v>
      </c>
      <c r="J103" s="78">
        <f t="shared" ca="1" si="92"/>
        <v>0</v>
      </c>
      <c r="K103" s="78">
        <f t="shared" ca="1" si="93"/>
        <v>0</v>
      </c>
      <c r="L103" s="4">
        <f ca="1">-SUMIFS(INDIRECT("Tab_000.Trial["&amp;L$4&amp;"]"),Tab_000.Trial[CONTA],$B103)</f>
        <v>0</v>
      </c>
      <c r="M103" s="78">
        <f t="shared" ca="1" si="94"/>
        <v>0</v>
      </c>
      <c r="N103" s="78">
        <f t="shared" ca="1" si="95"/>
        <v>0</v>
      </c>
      <c r="O103" s="4">
        <f ca="1">-SUMIFS(INDIRECT("Tab_000.Trial["&amp;O$4&amp;"]"),Tab_000.Trial[CONTA],$B103)</f>
        <v>0</v>
      </c>
      <c r="P103" s="78">
        <f t="shared" ca="1" si="114"/>
        <v>0</v>
      </c>
      <c r="Q103" s="78">
        <f t="shared" ca="1" si="115"/>
        <v>0</v>
      </c>
      <c r="R103" s="4">
        <f ca="1">-SUMIFS(INDIRECT("Tab_000.Trial["&amp;R$4&amp;"]"),Tab_000.Trial[CONTA],$B103)</f>
        <v>0</v>
      </c>
      <c r="S103" s="78">
        <f t="shared" ca="1" si="98"/>
        <v>0</v>
      </c>
      <c r="T103" s="78">
        <f t="shared" ca="1" si="99"/>
        <v>0</v>
      </c>
      <c r="U103" s="4">
        <f ca="1">-SUMIFS(INDIRECT("Tab_000.Trial["&amp;U$4&amp;"]"),Tab_000.Trial[CONTA],$B103)</f>
        <v>0</v>
      </c>
      <c r="V103" s="78">
        <f t="shared" ca="1" si="100"/>
        <v>0</v>
      </c>
      <c r="W103" s="78">
        <f t="shared" ca="1" si="101"/>
        <v>0</v>
      </c>
      <c r="X103" s="4">
        <f ca="1">-SUMIFS(INDIRECT("Tab_000.Trial["&amp;X$4&amp;"]"),Tab_000.Trial[CONTA],$B103)</f>
        <v>0</v>
      </c>
      <c r="Y103" s="78">
        <f t="shared" ca="1" si="116"/>
        <v>0</v>
      </c>
      <c r="Z103" s="78">
        <f t="shared" ca="1" si="117"/>
        <v>0</v>
      </c>
      <c r="AA103" s="4">
        <f ca="1">-SUMIFS(INDIRECT("Tab_000.Trial["&amp;AA$4&amp;"]"),Tab_000.Trial[CONTA],$B103)</f>
        <v>0</v>
      </c>
      <c r="AB103" s="78">
        <f t="shared" ca="1" si="104"/>
        <v>0</v>
      </c>
      <c r="AC103" s="78">
        <f t="shared" ca="1" si="105"/>
        <v>0</v>
      </c>
      <c r="AD103" s="4">
        <f ca="1">-SUMIFS(INDIRECT("Tab_000.Trial["&amp;AD$4&amp;"]"),Tab_000.Trial[CONTA],$B103)</f>
        <v>0</v>
      </c>
      <c r="AE103" s="78">
        <f t="shared" ca="1" si="106"/>
        <v>0</v>
      </c>
      <c r="AF103" s="78">
        <f t="shared" ca="1" si="107"/>
        <v>0</v>
      </c>
      <c r="AG103" s="4">
        <f ca="1">-SUMIFS(INDIRECT("Tab_000.Trial["&amp;AG$4&amp;"]"),Tab_000.Trial[CONTA],$B103)</f>
        <v>0</v>
      </c>
      <c r="AH103" s="78">
        <f t="shared" ca="1" si="108"/>
        <v>0</v>
      </c>
      <c r="AI103" s="78">
        <f t="shared" ca="1" si="109"/>
        <v>0</v>
      </c>
      <c r="AJ103" s="4">
        <f ca="1">-SUMIFS(INDIRECT("Tab_000.Trial["&amp;AJ$4&amp;"]"),Tab_000.Trial[CONTA],$B103)</f>
        <v>0</v>
      </c>
      <c r="AK103" s="78">
        <f t="shared" ca="1" si="110"/>
        <v>0</v>
      </c>
      <c r="AL103" s="78">
        <f t="shared" ca="1" si="111"/>
        <v>0</v>
      </c>
    </row>
    <row r="104" spans="2:39" ht="15" customHeight="1" outlineLevel="1" x14ac:dyDescent="0.3">
      <c r="B104" s="14" t="s">
        <v>488</v>
      </c>
      <c r="C104" s="14" t="s">
        <v>414</v>
      </c>
      <c r="D104" s="4">
        <f ca="1">-SUMIFS(INDIRECT("Tab_000.Trial["&amp;D$4&amp;"]"),Tab_000.Trial[CONTA],$B104)</f>
        <v>0</v>
      </c>
      <c r="E104" s="78">
        <f t="shared" ca="1" si="112"/>
        <v>0</v>
      </c>
      <c r="F104" s="4">
        <f ca="1">-SUMIFS(INDIRECT("Tab_000.Trial["&amp;F$4&amp;"]"),Tab_000.Trial[CONTA],$B104)</f>
        <v>0</v>
      </c>
      <c r="G104" s="78">
        <f t="shared" ca="1" si="91"/>
        <v>0</v>
      </c>
      <c r="H104" s="78">
        <f t="shared" ca="1" si="113"/>
        <v>0</v>
      </c>
      <c r="I104" s="4">
        <f ca="1">-SUMIFS(INDIRECT("Tab_000.Trial["&amp;I$4&amp;"]"),Tab_000.Trial[CONTA],$B104)</f>
        <v>0</v>
      </c>
      <c r="J104" s="78">
        <f t="shared" ca="1" si="92"/>
        <v>0</v>
      </c>
      <c r="K104" s="78">
        <f t="shared" ca="1" si="93"/>
        <v>0</v>
      </c>
      <c r="L104" s="4">
        <f ca="1">-SUMIFS(INDIRECT("Tab_000.Trial["&amp;L$4&amp;"]"),Tab_000.Trial[CONTA],$B104)</f>
        <v>0</v>
      </c>
      <c r="M104" s="78">
        <f t="shared" ca="1" si="94"/>
        <v>0</v>
      </c>
      <c r="N104" s="78">
        <f t="shared" ca="1" si="95"/>
        <v>0</v>
      </c>
      <c r="O104" s="4">
        <f ca="1">-SUMIFS(INDIRECT("Tab_000.Trial["&amp;O$4&amp;"]"),Tab_000.Trial[CONTA],$B104)</f>
        <v>0</v>
      </c>
      <c r="P104" s="78">
        <f t="shared" ca="1" si="114"/>
        <v>0</v>
      </c>
      <c r="Q104" s="78">
        <f t="shared" ca="1" si="115"/>
        <v>0</v>
      </c>
      <c r="R104" s="4">
        <f ca="1">-SUMIFS(INDIRECT("Tab_000.Trial["&amp;R$4&amp;"]"),Tab_000.Trial[CONTA],$B104)</f>
        <v>0</v>
      </c>
      <c r="S104" s="78">
        <f t="shared" ca="1" si="98"/>
        <v>0</v>
      </c>
      <c r="T104" s="78">
        <f t="shared" ca="1" si="99"/>
        <v>0</v>
      </c>
      <c r="U104" s="4">
        <f ca="1">-SUMIFS(INDIRECT("Tab_000.Trial["&amp;U$4&amp;"]"),Tab_000.Trial[CONTA],$B104)</f>
        <v>0</v>
      </c>
      <c r="V104" s="78">
        <f t="shared" ca="1" si="100"/>
        <v>0</v>
      </c>
      <c r="W104" s="78">
        <f t="shared" ca="1" si="101"/>
        <v>0</v>
      </c>
      <c r="X104" s="4">
        <f ca="1">-SUMIFS(INDIRECT("Tab_000.Trial["&amp;X$4&amp;"]"),Tab_000.Trial[CONTA],$B104)</f>
        <v>0</v>
      </c>
      <c r="Y104" s="78">
        <f t="shared" ca="1" si="116"/>
        <v>0</v>
      </c>
      <c r="Z104" s="78">
        <f t="shared" ca="1" si="117"/>
        <v>0</v>
      </c>
      <c r="AA104" s="4">
        <f ca="1">-SUMIFS(INDIRECT("Tab_000.Trial["&amp;AA$4&amp;"]"),Tab_000.Trial[CONTA],$B104)</f>
        <v>0</v>
      </c>
      <c r="AB104" s="78">
        <f t="shared" ca="1" si="104"/>
        <v>0</v>
      </c>
      <c r="AC104" s="78">
        <f t="shared" ca="1" si="105"/>
        <v>0</v>
      </c>
      <c r="AD104" s="4">
        <f ca="1">-SUMIFS(INDIRECT("Tab_000.Trial["&amp;AD$4&amp;"]"),Tab_000.Trial[CONTA],$B104)</f>
        <v>0</v>
      </c>
      <c r="AE104" s="78">
        <f t="shared" ca="1" si="106"/>
        <v>0</v>
      </c>
      <c r="AF104" s="78">
        <f t="shared" ca="1" si="107"/>
        <v>0</v>
      </c>
      <c r="AG104" s="4">
        <f ca="1">-SUMIFS(INDIRECT("Tab_000.Trial["&amp;AG$4&amp;"]"),Tab_000.Trial[CONTA],$B104)</f>
        <v>0</v>
      </c>
      <c r="AH104" s="78">
        <f t="shared" ca="1" si="108"/>
        <v>0</v>
      </c>
      <c r="AI104" s="78">
        <f t="shared" ca="1" si="109"/>
        <v>0</v>
      </c>
      <c r="AJ104" s="4">
        <f ca="1">-SUMIFS(INDIRECT("Tab_000.Trial["&amp;AJ$4&amp;"]"),Tab_000.Trial[CONTA],$B104)</f>
        <v>0</v>
      </c>
      <c r="AK104" s="78">
        <f t="shared" ca="1" si="110"/>
        <v>0</v>
      </c>
      <c r="AL104" s="78">
        <f t="shared" ca="1" si="111"/>
        <v>0</v>
      </c>
    </row>
    <row r="105" spans="2:39" ht="15" customHeight="1" outlineLevel="1" x14ac:dyDescent="0.3">
      <c r="B105" s="14" t="s">
        <v>489</v>
      </c>
      <c r="C105" s="14" t="s">
        <v>490</v>
      </c>
      <c r="D105" s="4">
        <f ca="1">-SUMIFS(INDIRECT("Tab_000.Trial["&amp;D$4&amp;"]"),Tab_000.Trial[CONTA],$B105)</f>
        <v>0</v>
      </c>
      <c r="E105" s="78">
        <f t="shared" ca="1" si="112"/>
        <v>0</v>
      </c>
      <c r="F105" s="4">
        <f ca="1">-SUMIFS(INDIRECT("Tab_000.Trial["&amp;F$4&amp;"]"),Tab_000.Trial[CONTA],$B105)</f>
        <v>0</v>
      </c>
      <c r="G105" s="78">
        <f t="shared" ca="1" si="91"/>
        <v>0</v>
      </c>
      <c r="H105" s="78">
        <f t="shared" ca="1" si="113"/>
        <v>0</v>
      </c>
      <c r="I105" s="4">
        <f ca="1">-SUMIFS(INDIRECT("Tab_000.Trial["&amp;I$4&amp;"]"),Tab_000.Trial[CONTA],$B105)</f>
        <v>0</v>
      </c>
      <c r="J105" s="78">
        <f t="shared" ca="1" si="92"/>
        <v>0</v>
      </c>
      <c r="K105" s="78">
        <f t="shared" ca="1" si="93"/>
        <v>0</v>
      </c>
      <c r="L105" s="4">
        <f ca="1">-SUMIFS(INDIRECT("Tab_000.Trial["&amp;L$4&amp;"]"),Tab_000.Trial[CONTA],$B105)</f>
        <v>0</v>
      </c>
      <c r="M105" s="78">
        <f t="shared" ca="1" si="94"/>
        <v>0</v>
      </c>
      <c r="N105" s="78">
        <f t="shared" ca="1" si="95"/>
        <v>0</v>
      </c>
      <c r="O105" s="4">
        <f ca="1">-SUMIFS(INDIRECT("Tab_000.Trial["&amp;O$4&amp;"]"),Tab_000.Trial[CONTA],$B105)</f>
        <v>0</v>
      </c>
      <c r="P105" s="78">
        <f t="shared" ca="1" si="114"/>
        <v>0</v>
      </c>
      <c r="Q105" s="78">
        <f t="shared" ca="1" si="115"/>
        <v>0</v>
      </c>
      <c r="R105" s="4">
        <f ca="1">-SUMIFS(INDIRECT("Tab_000.Trial["&amp;R$4&amp;"]"),Tab_000.Trial[CONTA],$B105)</f>
        <v>0</v>
      </c>
      <c r="S105" s="78">
        <f t="shared" ca="1" si="98"/>
        <v>0</v>
      </c>
      <c r="T105" s="78">
        <f t="shared" ca="1" si="99"/>
        <v>0</v>
      </c>
      <c r="U105" s="4">
        <f ca="1">-SUMIFS(INDIRECT("Tab_000.Trial["&amp;U$4&amp;"]"),Tab_000.Trial[CONTA],$B105)</f>
        <v>0</v>
      </c>
      <c r="V105" s="78">
        <f t="shared" ca="1" si="100"/>
        <v>0</v>
      </c>
      <c r="W105" s="78">
        <f t="shared" ca="1" si="101"/>
        <v>0</v>
      </c>
      <c r="X105" s="4">
        <f ca="1">-SUMIFS(INDIRECT("Tab_000.Trial["&amp;X$4&amp;"]"),Tab_000.Trial[CONTA],$B105)</f>
        <v>0</v>
      </c>
      <c r="Y105" s="78">
        <f t="shared" ca="1" si="116"/>
        <v>0</v>
      </c>
      <c r="Z105" s="78">
        <f t="shared" ca="1" si="117"/>
        <v>0</v>
      </c>
      <c r="AA105" s="4">
        <f ca="1">-SUMIFS(INDIRECT("Tab_000.Trial["&amp;AA$4&amp;"]"),Tab_000.Trial[CONTA],$B105)</f>
        <v>-228</v>
      </c>
      <c r="AB105" s="78">
        <f t="shared" ca="1" si="104"/>
        <v>-2.0000000000000001E-4</v>
      </c>
      <c r="AC105" s="78">
        <f t="shared" ca="1" si="105"/>
        <v>0</v>
      </c>
      <c r="AD105" s="4">
        <f ca="1">-SUMIFS(INDIRECT("Tab_000.Trial["&amp;AD$4&amp;"]"),Tab_000.Trial[CONTA],$B105)</f>
        <v>0</v>
      </c>
      <c r="AE105" s="78">
        <f t="shared" ca="1" si="106"/>
        <v>0</v>
      </c>
      <c r="AF105" s="78">
        <f t="shared" ca="1" si="107"/>
        <v>1</v>
      </c>
      <c r="AG105" s="4">
        <f ca="1">-SUMIFS(INDIRECT("Tab_000.Trial["&amp;AG$4&amp;"]"),Tab_000.Trial[CONTA],$B105)</f>
        <v>0</v>
      </c>
      <c r="AH105" s="78">
        <f t="shared" ca="1" si="108"/>
        <v>0</v>
      </c>
      <c r="AI105" s="78">
        <f t="shared" ca="1" si="109"/>
        <v>0</v>
      </c>
      <c r="AJ105" s="4">
        <f ca="1">-SUMIFS(INDIRECT("Tab_000.Trial["&amp;AJ$4&amp;"]"),Tab_000.Trial[CONTA],$B105)</f>
        <v>0</v>
      </c>
      <c r="AK105" s="78">
        <f t="shared" ca="1" si="110"/>
        <v>0</v>
      </c>
      <c r="AL105" s="78">
        <f t="shared" ca="1" si="111"/>
        <v>0</v>
      </c>
    </row>
    <row r="106" spans="2:39" ht="15" customHeight="1" outlineLevel="1" x14ac:dyDescent="0.3">
      <c r="B106" s="14" t="s">
        <v>491</v>
      </c>
      <c r="C106" s="14" t="s">
        <v>492</v>
      </c>
      <c r="D106" s="4">
        <f ca="1">-SUMIFS(INDIRECT("Tab_000.Trial["&amp;D$4&amp;"]"),Tab_000.Trial[CONTA],$B106)</f>
        <v>-3476.84</v>
      </c>
      <c r="E106" s="78">
        <f t="shared" ca="1" si="112"/>
        <v>-3.7000000000000002E-3</v>
      </c>
      <c r="F106" s="4">
        <f ca="1">-SUMIFS(INDIRECT("Tab_000.Trial["&amp;F$4&amp;"]"),Tab_000.Trial[CONTA],$B106)</f>
        <v>-3315.03</v>
      </c>
      <c r="G106" s="78">
        <f t="shared" ca="1" si="91"/>
        <v>-6.3E-3</v>
      </c>
      <c r="H106" s="78">
        <f t="shared" ca="1" si="113"/>
        <v>4.65E-2</v>
      </c>
      <c r="I106" s="4">
        <f ca="1">-SUMIFS(INDIRECT("Tab_000.Trial["&amp;I$4&amp;"]"),Tab_000.Trial[CONTA],$B106)</f>
        <v>-3703.93</v>
      </c>
      <c r="J106" s="78">
        <f t="shared" ca="1" si="92"/>
        <v>-3.5999999999999999E-3</v>
      </c>
      <c r="K106" s="78">
        <f t="shared" ca="1" si="93"/>
        <v>-0.1173</v>
      </c>
      <c r="L106" s="4">
        <f ca="1">-SUMIFS(INDIRECT("Tab_000.Trial["&amp;L$4&amp;"]"),Tab_000.Trial[CONTA],$B106)</f>
        <v>-2664.43</v>
      </c>
      <c r="M106" s="78">
        <f t="shared" ca="1" si="94"/>
        <v>-2.7000000000000001E-3</v>
      </c>
      <c r="N106" s="78">
        <f t="shared" ca="1" si="95"/>
        <v>0.28060000000000002</v>
      </c>
      <c r="O106" s="4">
        <f ca="1">-SUMIFS(INDIRECT("Tab_000.Trial["&amp;O$4&amp;"]"),Tab_000.Trial[CONTA],$B106)</f>
        <v>-3313.41</v>
      </c>
      <c r="P106" s="78">
        <f t="shared" ca="1" si="114"/>
        <v>-2.8E-3</v>
      </c>
      <c r="Q106" s="78">
        <f t="shared" ca="1" si="115"/>
        <v>-0.24360000000000001</v>
      </c>
      <c r="R106" s="4">
        <f ca="1">-SUMIFS(INDIRECT("Tab_000.Trial["&amp;R$4&amp;"]"),Tab_000.Trial[CONTA],$B106)</f>
        <v>-1918.54</v>
      </c>
      <c r="S106" s="78">
        <f t="shared" ca="1" si="98"/>
        <v>-1.8E-3</v>
      </c>
      <c r="T106" s="78">
        <f t="shared" ca="1" si="99"/>
        <v>0.42099999999999999</v>
      </c>
      <c r="U106" s="4">
        <f ca="1">-SUMIFS(INDIRECT("Tab_000.Trial["&amp;U$4&amp;"]"),Tab_000.Trial[CONTA],$B106)</f>
        <v>-1918.54</v>
      </c>
      <c r="V106" s="78">
        <f t="shared" ca="1" si="100"/>
        <v>-1.8E-3</v>
      </c>
      <c r="W106" s="78">
        <f t="shared" ca="1" si="101"/>
        <v>0</v>
      </c>
      <c r="X106" s="4">
        <f ca="1">-SUMIFS(INDIRECT("Tab_000.Trial["&amp;X$4&amp;"]"),Tab_000.Trial[CONTA],$B106)</f>
        <v>-1918.54</v>
      </c>
      <c r="Y106" s="78">
        <f t="shared" ca="1" si="116"/>
        <v>-1.8E-3</v>
      </c>
      <c r="Z106" s="78">
        <f t="shared" ca="1" si="117"/>
        <v>0</v>
      </c>
      <c r="AA106" s="4">
        <f ca="1">-SUMIFS(INDIRECT("Tab_000.Trial["&amp;AA$4&amp;"]"),Tab_000.Trial[CONTA],$B106)</f>
        <v>0</v>
      </c>
      <c r="AB106" s="78">
        <f t="shared" ca="1" si="104"/>
        <v>0</v>
      </c>
      <c r="AC106" s="78">
        <f t="shared" ca="1" si="105"/>
        <v>1</v>
      </c>
      <c r="AD106" s="4">
        <f ca="1">-SUMIFS(INDIRECT("Tab_000.Trial["&amp;AD$4&amp;"]"),Tab_000.Trial[CONTA],$B106)</f>
        <v>-1970.55</v>
      </c>
      <c r="AE106" s="78">
        <f t="shared" ca="1" si="106"/>
        <v>-1.6000000000000001E-3</v>
      </c>
      <c r="AF106" s="78">
        <f t="shared" ca="1" si="107"/>
        <v>0</v>
      </c>
      <c r="AG106" s="4">
        <f ca="1">-SUMIFS(INDIRECT("Tab_000.Trial["&amp;AG$4&amp;"]"),Tab_000.Trial[CONTA],$B106)</f>
        <v>-5054.1499999999996</v>
      </c>
      <c r="AH106" s="78">
        <f t="shared" ca="1" si="108"/>
        <v>-5.5999999999999999E-3</v>
      </c>
      <c r="AI106" s="78">
        <f t="shared" ca="1" si="109"/>
        <v>-1.5648</v>
      </c>
      <c r="AJ106" s="4">
        <f ca="1">-SUMIFS(INDIRECT("Tab_000.Trial["&amp;AJ$4&amp;"]"),Tab_000.Trial[CONTA],$B106)</f>
        <v>0</v>
      </c>
      <c r="AK106" s="78">
        <f t="shared" ca="1" si="110"/>
        <v>0</v>
      </c>
      <c r="AL106" s="78">
        <f t="shared" ca="1" si="111"/>
        <v>1</v>
      </c>
    </row>
    <row r="107" spans="2:39" ht="15" customHeight="1" outlineLevel="1" x14ac:dyDescent="0.3">
      <c r="B107" s="14" t="s">
        <v>493</v>
      </c>
      <c r="C107" s="14" t="s">
        <v>494</v>
      </c>
      <c r="D107" s="4">
        <f ca="1">-SUMIFS(INDIRECT("Tab_000.Trial["&amp;D$4&amp;"]"),Tab_000.Trial[CONTA],$B107)</f>
        <v>-3157.37</v>
      </c>
      <c r="E107" s="78">
        <f t="shared" ca="1" si="112"/>
        <v>-3.3999999999999998E-3</v>
      </c>
      <c r="F107" s="4">
        <f ca="1">-SUMIFS(INDIRECT("Tab_000.Trial["&amp;F$4&amp;"]"),Tab_000.Trial[CONTA],$B107)</f>
        <v>-846.95</v>
      </c>
      <c r="G107" s="78">
        <f t="shared" ca="1" si="91"/>
        <v>-1.6000000000000001E-3</v>
      </c>
      <c r="H107" s="78">
        <f t="shared" ca="1" si="113"/>
        <v>0.73180000000000001</v>
      </c>
      <c r="I107" s="4">
        <f ca="1">-SUMIFS(INDIRECT("Tab_000.Trial["&amp;I$4&amp;"]"),Tab_000.Trial[CONTA],$B107)</f>
        <v>-1145.3800000000001</v>
      </c>
      <c r="J107" s="78">
        <f t="shared" ca="1" si="92"/>
        <v>-1.1000000000000001E-3</v>
      </c>
      <c r="K107" s="78">
        <f t="shared" ca="1" si="93"/>
        <v>-0.35239999999999999</v>
      </c>
      <c r="L107" s="4">
        <f ca="1">-SUMIFS(INDIRECT("Tab_000.Trial["&amp;L$4&amp;"]"),Tab_000.Trial[CONTA],$B107)</f>
        <v>-2390.13</v>
      </c>
      <c r="M107" s="78">
        <f t="shared" ca="1" si="94"/>
        <v>-2.3999999999999998E-3</v>
      </c>
      <c r="N107" s="78">
        <f t="shared" ca="1" si="95"/>
        <v>-1.0868</v>
      </c>
      <c r="O107" s="4">
        <f ca="1">-SUMIFS(INDIRECT("Tab_000.Trial["&amp;O$4&amp;"]"),Tab_000.Trial[CONTA],$B107)</f>
        <v>-1448.96</v>
      </c>
      <c r="P107" s="78">
        <f t="shared" ca="1" si="114"/>
        <v>-1.1999999999999999E-3</v>
      </c>
      <c r="Q107" s="78">
        <f t="shared" ca="1" si="115"/>
        <v>0.39379999999999998</v>
      </c>
      <c r="R107" s="4">
        <f ca="1">-SUMIFS(INDIRECT("Tab_000.Trial["&amp;R$4&amp;"]"),Tab_000.Trial[CONTA],$B107)</f>
        <v>-1523.82</v>
      </c>
      <c r="S107" s="78">
        <f t="shared" ca="1" si="98"/>
        <v>-1.4E-3</v>
      </c>
      <c r="T107" s="78">
        <f t="shared" ca="1" si="99"/>
        <v>-5.1700000000000003E-2</v>
      </c>
      <c r="U107" s="4">
        <f ca="1">-SUMIFS(INDIRECT("Tab_000.Trial["&amp;U$4&amp;"]"),Tab_000.Trial[CONTA],$B107)</f>
        <v>-1523.82</v>
      </c>
      <c r="V107" s="78">
        <f t="shared" ca="1" si="100"/>
        <v>-1.4E-3</v>
      </c>
      <c r="W107" s="78">
        <f t="shared" ca="1" si="101"/>
        <v>0</v>
      </c>
      <c r="X107" s="4">
        <f ca="1">-SUMIFS(INDIRECT("Tab_000.Trial["&amp;X$4&amp;"]"),Tab_000.Trial[CONTA],$B107)</f>
        <v>-1523.82</v>
      </c>
      <c r="Y107" s="78">
        <f t="shared" ca="1" si="116"/>
        <v>-1.4E-3</v>
      </c>
      <c r="Z107" s="78">
        <f t="shared" ca="1" si="117"/>
        <v>0</v>
      </c>
      <c r="AA107" s="4">
        <f ca="1">-SUMIFS(INDIRECT("Tab_000.Trial["&amp;AA$4&amp;"]"),Tab_000.Trial[CONTA],$B107)</f>
        <v>-1598.69</v>
      </c>
      <c r="AB107" s="78">
        <f t="shared" ca="1" si="104"/>
        <v>-1.6999999999999999E-3</v>
      </c>
      <c r="AC107" s="78">
        <f t="shared" ca="1" si="105"/>
        <v>-4.9099999999999998E-2</v>
      </c>
      <c r="AD107" s="4">
        <f ca="1">-SUMIFS(INDIRECT("Tab_000.Trial["&amp;AD$4&amp;"]"),Tab_000.Trial[CONTA],$B107)</f>
        <v>0</v>
      </c>
      <c r="AE107" s="78">
        <f t="shared" ca="1" si="106"/>
        <v>0</v>
      </c>
      <c r="AF107" s="78">
        <f t="shared" ca="1" si="107"/>
        <v>1</v>
      </c>
      <c r="AG107" s="4">
        <f ca="1">-SUMIFS(INDIRECT("Tab_000.Trial["&amp;AG$4&amp;"]"),Tab_000.Trial[CONTA],$B107)</f>
        <v>-1678.69</v>
      </c>
      <c r="AH107" s="78">
        <f t="shared" ca="1" si="108"/>
        <v>-1.9E-3</v>
      </c>
      <c r="AI107" s="78">
        <f t="shared" ca="1" si="109"/>
        <v>0</v>
      </c>
      <c r="AJ107" s="4">
        <f ca="1">-SUMIFS(INDIRECT("Tab_000.Trial["&amp;AJ$4&amp;"]"),Tab_000.Trial[CONTA],$B107)</f>
        <v>-1374.07</v>
      </c>
      <c r="AK107" s="78">
        <f t="shared" ca="1" si="110"/>
        <v>-8.9999999999999998E-4</v>
      </c>
      <c r="AL107" s="78">
        <f t="shared" ca="1" si="111"/>
        <v>0.18149999999999999</v>
      </c>
    </row>
    <row r="108" spans="2:39" ht="15" customHeight="1" outlineLevel="1" x14ac:dyDescent="0.3">
      <c r="B108" s="14" t="s">
        <v>495</v>
      </c>
      <c r="C108" s="14" t="s">
        <v>496</v>
      </c>
      <c r="D108" s="4">
        <f ca="1">-SUMIFS(INDIRECT("Tab_000.Trial["&amp;D$4&amp;"]"),Tab_000.Trial[CONTA],$B108)</f>
        <v>-1397.52</v>
      </c>
      <c r="E108" s="78">
        <f t="shared" ca="1" si="112"/>
        <v>-1.5E-3</v>
      </c>
      <c r="F108" s="4">
        <f ca="1">-SUMIFS(INDIRECT("Tab_000.Trial["&amp;F$4&amp;"]"),Tab_000.Trial[CONTA],$B108)</f>
        <v>-1408.65</v>
      </c>
      <c r="G108" s="78">
        <f t="shared" ca="1" si="91"/>
        <v>-2.7000000000000001E-3</v>
      </c>
      <c r="H108" s="78">
        <f t="shared" ca="1" si="113"/>
        <v>-8.0000000000000002E-3</v>
      </c>
      <c r="I108" s="4">
        <f ca="1">-SUMIFS(INDIRECT("Tab_000.Trial["&amp;I$4&amp;"]"),Tab_000.Trial[CONTA],$B108)</f>
        <v>-1410.52</v>
      </c>
      <c r="J108" s="78">
        <f t="shared" ca="1" si="92"/>
        <v>-1.4E-3</v>
      </c>
      <c r="K108" s="78">
        <f t="shared" ca="1" si="93"/>
        <v>-1.2999999999999999E-3</v>
      </c>
      <c r="L108" s="4">
        <f ca="1">-SUMIFS(INDIRECT("Tab_000.Trial["&amp;L$4&amp;"]"),Tab_000.Trial[CONTA],$B108)</f>
        <v>-1439.89</v>
      </c>
      <c r="M108" s="78">
        <f t="shared" ca="1" si="94"/>
        <v>-1.4E-3</v>
      </c>
      <c r="N108" s="78">
        <f t="shared" ca="1" si="95"/>
        <v>-2.0799999999999999E-2</v>
      </c>
      <c r="O108" s="4">
        <f ca="1">-SUMIFS(INDIRECT("Tab_000.Trial["&amp;O$4&amp;"]"),Tab_000.Trial[CONTA],$B108)</f>
        <v>-1439.89</v>
      </c>
      <c r="P108" s="78">
        <f t="shared" ca="1" si="114"/>
        <v>-1.1999999999999999E-3</v>
      </c>
      <c r="Q108" s="78">
        <f t="shared" ca="1" si="115"/>
        <v>0</v>
      </c>
      <c r="R108" s="4">
        <f ca="1">-SUMIFS(INDIRECT("Tab_000.Trial["&amp;R$4&amp;"]"),Tab_000.Trial[CONTA],$B108)</f>
        <v>-1576.55</v>
      </c>
      <c r="S108" s="78">
        <f t="shared" ca="1" si="98"/>
        <v>-1.5E-3</v>
      </c>
      <c r="T108" s="78">
        <f t="shared" ca="1" si="99"/>
        <v>-9.4899999999999998E-2</v>
      </c>
      <c r="U108" s="4">
        <f ca="1">-SUMIFS(INDIRECT("Tab_000.Trial["&amp;U$4&amp;"]"),Tab_000.Trial[CONTA],$B108)</f>
        <v>-1576.55</v>
      </c>
      <c r="V108" s="78">
        <f t="shared" ca="1" si="100"/>
        <v>-1.5E-3</v>
      </c>
      <c r="W108" s="78">
        <f t="shared" ca="1" si="101"/>
        <v>0</v>
      </c>
      <c r="X108" s="4">
        <f ca="1">-SUMIFS(INDIRECT("Tab_000.Trial["&amp;X$4&amp;"]"),Tab_000.Trial[CONTA],$B108)</f>
        <v>-1576.55</v>
      </c>
      <c r="Y108" s="78">
        <f t="shared" ca="1" si="116"/>
        <v>-1.5E-3</v>
      </c>
      <c r="Z108" s="78">
        <f t="shared" ca="1" si="117"/>
        <v>0</v>
      </c>
      <c r="AA108" s="4">
        <f ca="1">-SUMIFS(INDIRECT("Tab_000.Trial["&amp;AA$4&amp;"]"),Tab_000.Trial[CONTA],$B108)</f>
        <v>-1303.23</v>
      </c>
      <c r="AB108" s="78">
        <f t="shared" ca="1" si="104"/>
        <v>-1.2999999999999999E-3</v>
      </c>
      <c r="AC108" s="78">
        <f t="shared" ca="1" si="105"/>
        <v>0.1734</v>
      </c>
      <c r="AD108" s="4">
        <f ca="1">-SUMIFS(INDIRECT("Tab_000.Trial["&amp;AD$4&amp;"]"),Tab_000.Trial[CONTA],$B108)</f>
        <v>-1597.06</v>
      </c>
      <c r="AE108" s="78">
        <f t="shared" ca="1" si="106"/>
        <v>-1.2999999999999999E-3</v>
      </c>
      <c r="AF108" s="78">
        <f t="shared" ca="1" si="107"/>
        <v>-0.22550000000000001</v>
      </c>
      <c r="AG108" s="4">
        <f ca="1">-SUMIFS(INDIRECT("Tab_000.Trial["&amp;AG$4&amp;"]"),Tab_000.Trial[CONTA],$B108)</f>
        <v>-1459.86</v>
      </c>
      <c r="AH108" s="78">
        <f t="shared" ca="1" si="108"/>
        <v>-1.6000000000000001E-3</v>
      </c>
      <c r="AI108" s="78">
        <f t="shared" ca="1" si="109"/>
        <v>8.5900000000000004E-2</v>
      </c>
      <c r="AJ108" s="4">
        <f ca="1">-SUMIFS(INDIRECT("Tab_000.Trial["&amp;AJ$4&amp;"]"),Tab_000.Trial[CONTA],$B108)</f>
        <v>-1459.86</v>
      </c>
      <c r="AK108" s="78">
        <f t="shared" ca="1" si="110"/>
        <v>-1E-3</v>
      </c>
      <c r="AL108" s="78">
        <f t="shared" ca="1" si="111"/>
        <v>0</v>
      </c>
    </row>
    <row r="109" spans="2:39" ht="15" customHeight="1" outlineLevel="1" x14ac:dyDescent="0.3">
      <c r="B109" s="14" t="s">
        <v>497</v>
      </c>
      <c r="C109" s="14" t="s">
        <v>498</v>
      </c>
      <c r="D109" s="4">
        <f ca="1">-SUMIFS(INDIRECT("Tab_000.Trial["&amp;D$4&amp;"]"),Tab_000.Trial[CONTA],$B109)</f>
        <v>0</v>
      </c>
      <c r="E109" s="78">
        <f t="shared" ca="1" si="112"/>
        <v>0</v>
      </c>
      <c r="F109" s="4">
        <f ca="1">-SUMIFS(INDIRECT("Tab_000.Trial["&amp;F$4&amp;"]"),Tab_000.Trial[CONTA],$B109)</f>
        <v>0</v>
      </c>
      <c r="G109" s="78">
        <f t="shared" ca="1" si="91"/>
        <v>0</v>
      </c>
      <c r="H109" s="78">
        <f t="shared" ca="1" si="113"/>
        <v>0</v>
      </c>
      <c r="I109" s="4">
        <f ca="1">-SUMIFS(INDIRECT("Tab_000.Trial["&amp;I$4&amp;"]"),Tab_000.Trial[CONTA],$B109)</f>
        <v>0</v>
      </c>
      <c r="J109" s="78">
        <f t="shared" ca="1" si="92"/>
        <v>0</v>
      </c>
      <c r="K109" s="78">
        <f t="shared" ca="1" si="93"/>
        <v>0</v>
      </c>
      <c r="L109" s="4">
        <f ca="1">-SUMIFS(INDIRECT("Tab_000.Trial["&amp;L$4&amp;"]"),Tab_000.Trial[CONTA],$B109)</f>
        <v>-95</v>
      </c>
      <c r="M109" s="78">
        <f t="shared" ca="1" si="94"/>
        <v>-1E-4</v>
      </c>
      <c r="N109" s="78">
        <f t="shared" ca="1" si="95"/>
        <v>0</v>
      </c>
      <c r="O109" s="4">
        <f ca="1">-SUMIFS(INDIRECT("Tab_000.Trial["&amp;O$4&amp;"]"),Tab_000.Trial[CONTA],$B109)</f>
        <v>0</v>
      </c>
      <c r="P109" s="78">
        <f t="shared" ca="1" si="114"/>
        <v>0</v>
      </c>
      <c r="Q109" s="78">
        <f t="shared" ca="1" si="115"/>
        <v>1</v>
      </c>
      <c r="R109" s="4">
        <f ca="1">-SUMIFS(INDIRECT("Tab_000.Trial["&amp;R$4&amp;"]"),Tab_000.Trial[CONTA],$B109)</f>
        <v>0</v>
      </c>
      <c r="S109" s="78">
        <f t="shared" ca="1" si="98"/>
        <v>0</v>
      </c>
      <c r="T109" s="78">
        <f t="shared" ca="1" si="99"/>
        <v>0</v>
      </c>
      <c r="U109" s="4">
        <f ca="1">-SUMIFS(INDIRECT("Tab_000.Trial["&amp;U$4&amp;"]"),Tab_000.Trial[CONTA],$B109)</f>
        <v>0</v>
      </c>
      <c r="V109" s="78">
        <f t="shared" ca="1" si="100"/>
        <v>0</v>
      </c>
      <c r="W109" s="78">
        <f t="shared" ca="1" si="101"/>
        <v>0</v>
      </c>
      <c r="X109" s="4">
        <f ca="1">-SUMIFS(INDIRECT("Tab_000.Trial["&amp;X$4&amp;"]"),Tab_000.Trial[CONTA],$B109)</f>
        <v>0</v>
      </c>
      <c r="Y109" s="78">
        <f t="shared" ca="1" si="116"/>
        <v>0</v>
      </c>
      <c r="Z109" s="78">
        <f t="shared" ca="1" si="117"/>
        <v>0</v>
      </c>
      <c r="AA109" s="4">
        <f ca="1">-SUMIFS(INDIRECT("Tab_000.Trial["&amp;AA$4&amp;"]"),Tab_000.Trial[CONTA],$B109)</f>
        <v>0</v>
      </c>
      <c r="AB109" s="78">
        <f t="shared" ca="1" si="104"/>
        <v>0</v>
      </c>
      <c r="AC109" s="78">
        <f t="shared" ca="1" si="105"/>
        <v>0</v>
      </c>
      <c r="AD109" s="4">
        <f ca="1">-SUMIFS(INDIRECT("Tab_000.Trial["&amp;AD$4&amp;"]"),Tab_000.Trial[CONTA],$B109)</f>
        <v>0</v>
      </c>
      <c r="AE109" s="78">
        <f t="shared" ca="1" si="106"/>
        <v>0</v>
      </c>
      <c r="AF109" s="78">
        <f t="shared" ca="1" si="107"/>
        <v>0</v>
      </c>
      <c r="AG109" s="4">
        <f ca="1">-SUMIFS(INDIRECT("Tab_000.Trial["&amp;AG$4&amp;"]"),Tab_000.Trial[CONTA],$B109)</f>
        <v>0</v>
      </c>
      <c r="AH109" s="78">
        <f t="shared" ca="1" si="108"/>
        <v>0</v>
      </c>
      <c r="AI109" s="78">
        <f t="shared" ca="1" si="109"/>
        <v>0</v>
      </c>
      <c r="AJ109" s="4">
        <f ca="1">-SUMIFS(INDIRECT("Tab_000.Trial["&amp;AJ$4&amp;"]"),Tab_000.Trial[CONTA],$B109)</f>
        <v>0</v>
      </c>
      <c r="AK109" s="78">
        <f t="shared" ca="1" si="110"/>
        <v>0</v>
      </c>
      <c r="AL109" s="78">
        <f t="shared" ca="1" si="111"/>
        <v>0</v>
      </c>
    </row>
    <row r="110" spans="2:39" ht="15" customHeight="1" outlineLevel="1" x14ac:dyDescent="0.3">
      <c r="B110" s="14" t="s">
        <v>499</v>
      </c>
      <c r="C110" s="14" t="s">
        <v>500</v>
      </c>
      <c r="D110" s="4">
        <f ca="1">-SUMIFS(INDIRECT("Tab_000.Trial["&amp;D$4&amp;"]"),Tab_000.Trial[CONTA],$B110)</f>
        <v>-146.94</v>
      </c>
      <c r="E110" s="78">
        <f t="shared" ca="1" si="112"/>
        <v>-2.0000000000000001E-4</v>
      </c>
      <c r="F110" s="4">
        <f ca="1">-SUMIFS(INDIRECT("Tab_000.Trial["&amp;F$4&amp;"]"),Tab_000.Trial[CONTA],$B110)</f>
        <v>0</v>
      </c>
      <c r="G110" s="78">
        <f t="shared" ca="1" si="91"/>
        <v>0</v>
      </c>
      <c r="H110" s="78">
        <f t="shared" ca="1" si="113"/>
        <v>1</v>
      </c>
      <c r="I110" s="4">
        <f ca="1">-SUMIFS(INDIRECT("Tab_000.Trial["&amp;I$4&amp;"]"),Tab_000.Trial[CONTA],$B110)</f>
        <v>-1215</v>
      </c>
      <c r="J110" s="78">
        <f t="shared" ca="1" si="92"/>
        <v>-1.1999999999999999E-3</v>
      </c>
      <c r="K110" s="78">
        <f t="shared" ca="1" si="93"/>
        <v>0</v>
      </c>
      <c r="L110" s="4">
        <f ca="1">-SUMIFS(INDIRECT("Tab_000.Trial["&amp;L$4&amp;"]"),Tab_000.Trial[CONTA],$B110)</f>
        <v>-2247.4</v>
      </c>
      <c r="M110" s="78">
        <f t="shared" ca="1" si="94"/>
        <v>-2.2000000000000001E-3</v>
      </c>
      <c r="N110" s="78">
        <f t="shared" ca="1" si="95"/>
        <v>-0.84970000000000001</v>
      </c>
      <c r="O110" s="4">
        <f ca="1">-SUMIFS(INDIRECT("Tab_000.Trial["&amp;O$4&amp;"]"),Tab_000.Trial[CONTA],$B110)</f>
        <v>-2080</v>
      </c>
      <c r="P110" s="78">
        <f t="shared" ca="1" si="114"/>
        <v>-1.6999999999999999E-3</v>
      </c>
      <c r="Q110" s="78">
        <f t="shared" ca="1" si="115"/>
        <v>7.4499999999999997E-2</v>
      </c>
      <c r="R110" s="4">
        <f ca="1">-SUMIFS(INDIRECT("Tab_000.Trial["&amp;R$4&amp;"]"),Tab_000.Trial[CONTA],$B110)</f>
        <v>-167.4</v>
      </c>
      <c r="S110" s="78">
        <f t="shared" ca="1" si="98"/>
        <v>-2.0000000000000001E-4</v>
      </c>
      <c r="T110" s="78">
        <f t="shared" ca="1" si="99"/>
        <v>0.91949999999999998</v>
      </c>
      <c r="U110" s="4">
        <f ca="1">-SUMIFS(INDIRECT("Tab_000.Trial["&amp;U$4&amp;"]"),Tab_000.Trial[CONTA],$B110)</f>
        <v>-167.4</v>
      </c>
      <c r="V110" s="78">
        <f t="shared" ca="1" si="100"/>
        <v>-2.0000000000000001E-4</v>
      </c>
      <c r="W110" s="78">
        <f t="shared" ca="1" si="101"/>
        <v>0</v>
      </c>
      <c r="X110" s="4">
        <f ca="1">-SUMIFS(INDIRECT("Tab_000.Trial["&amp;X$4&amp;"]"),Tab_000.Trial[CONTA],$B110)</f>
        <v>-167.4</v>
      </c>
      <c r="Y110" s="78">
        <f t="shared" ca="1" si="116"/>
        <v>-2.0000000000000001E-4</v>
      </c>
      <c r="Z110" s="78">
        <f t="shared" ca="1" si="117"/>
        <v>0</v>
      </c>
      <c r="AA110" s="4">
        <f ca="1">-SUMIFS(INDIRECT("Tab_000.Trial["&amp;AA$4&amp;"]"),Tab_000.Trial[CONTA],$B110)</f>
        <v>-10487.9</v>
      </c>
      <c r="AB110" s="78">
        <f t="shared" ca="1" si="104"/>
        <v>-1.0800000000000001E-2</v>
      </c>
      <c r="AC110" s="78">
        <f t="shared" ca="1" si="105"/>
        <v>-61.651699999999998</v>
      </c>
      <c r="AD110" s="4">
        <f ca="1">-SUMIFS(INDIRECT("Tab_000.Trial["&amp;AD$4&amp;"]"),Tab_000.Trial[CONTA],$B110)</f>
        <v>-334.8</v>
      </c>
      <c r="AE110" s="78">
        <f t="shared" ca="1" si="106"/>
        <v>-2.9999999999999997E-4</v>
      </c>
      <c r="AF110" s="78">
        <f t="shared" ca="1" si="107"/>
        <v>0.96809999999999996</v>
      </c>
      <c r="AG110" s="4">
        <f ca="1">-SUMIFS(INDIRECT("Tab_000.Trial["&amp;AG$4&amp;"]"),Tab_000.Trial[CONTA],$B110)</f>
        <v>-1028</v>
      </c>
      <c r="AH110" s="78">
        <f t="shared" ca="1" si="108"/>
        <v>-1.1000000000000001E-3</v>
      </c>
      <c r="AI110" s="78">
        <f t="shared" ca="1" si="109"/>
        <v>-2.0705</v>
      </c>
      <c r="AJ110" s="4">
        <f ca="1">-SUMIFS(INDIRECT("Tab_000.Trial["&amp;AJ$4&amp;"]"),Tab_000.Trial[CONTA],$B110)</f>
        <v>-50</v>
      </c>
      <c r="AK110" s="78">
        <f t="shared" ca="1" si="110"/>
        <v>0</v>
      </c>
      <c r="AL110" s="78">
        <f t="shared" ca="1" si="111"/>
        <v>0.95140000000000002</v>
      </c>
    </row>
    <row r="111" spans="2:39" ht="15" customHeight="1" outlineLevel="1" x14ac:dyDescent="0.3">
      <c r="B111" s="14" t="s">
        <v>501</v>
      </c>
      <c r="C111" s="14" t="s">
        <v>502</v>
      </c>
      <c r="D111" s="4">
        <f ca="1">-SUMIFS(INDIRECT("Tab_000.Trial["&amp;D$4&amp;"]"),Tab_000.Trial[CONTA],$B111)</f>
        <v>-2241.66</v>
      </c>
      <c r="E111" s="78">
        <f t="shared" ca="1" si="112"/>
        <v>-2.3999999999999998E-3</v>
      </c>
      <c r="F111" s="4">
        <f ca="1">-SUMIFS(INDIRECT("Tab_000.Trial["&amp;F$4&amp;"]"),Tab_000.Trial[CONTA],$B111)</f>
        <v>-75.72</v>
      </c>
      <c r="G111" s="78">
        <f t="shared" ca="1" si="91"/>
        <v>-1E-4</v>
      </c>
      <c r="H111" s="78">
        <f t="shared" ca="1" si="113"/>
        <v>0.96619999999999995</v>
      </c>
      <c r="I111" s="4">
        <f ca="1">-SUMIFS(INDIRECT("Tab_000.Trial["&amp;I$4&amp;"]"),Tab_000.Trial[CONTA],$B111)</f>
        <v>-96.29</v>
      </c>
      <c r="J111" s="78">
        <f t="shared" ca="1" si="92"/>
        <v>-1E-4</v>
      </c>
      <c r="K111" s="78">
        <f t="shared" ca="1" si="93"/>
        <v>-0.2717</v>
      </c>
      <c r="L111" s="4">
        <f ca="1">-SUMIFS(INDIRECT("Tab_000.Trial["&amp;L$4&amp;"]"),Tab_000.Trial[CONTA],$B111)</f>
        <v>-4810.78</v>
      </c>
      <c r="M111" s="78">
        <f t="shared" ca="1" si="94"/>
        <v>-4.7999999999999996E-3</v>
      </c>
      <c r="N111" s="78">
        <f t="shared" ca="1" si="95"/>
        <v>-48.961399999999998</v>
      </c>
      <c r="O111" s="4">
        <f ca="1">-SUMIFS(INDIRECT("Tab_000.Trial["&amp;O$4&amp;"]"),Tab_000.Trial[CONTA],$B111)</f>
        <v>-115.5</v>
      </c>
      <c r="P111" s="78">
        <f t="shared" ca="1" si="114"/>
        <v>-1E-4</v>
      </c>
      <c r="Q111" s="78">
        <f t="shared" ca="1" si="115"/>
        <v>0.97599999999999998</v>
      </c>
      <c r="R111" s="4">
        <f ca="1">-SUMIFS(INDIRECT("Tab_000.Trial["&amp;R$4&amp;"]"),Tab_000.Trial[CONTA],$B111)</f>
        <v>-2024.25</v>
      </c>
      <c r="S111" s="78">
        <f t="shared" ca="1" si="98"/>
        <v>-1.9E-3</v>
      </c>
      <c r="T111" s="78">
        <f t="shared" ca="1" si="99"/>
        <v>-16.526</v>
      </c>
      <c r="U111" s="4">
        <f ca="1">-SUMIFS(INDIRECT("Tab_000.Trial["&amp;U$4&amp;"]"),Tab_000.Trial[CONTA],$B111)</f>
        <v>-2024.25</v>
      </c>
      <c r="V111" s="78">
        <f t="shared" ca="1" si="100"/>
        <v>-1.9E-3</v>
      </c>
      <c r="W111" s="78">
        <f t="shared" ca="1" si="101"/>
        <v>0</v>
      </c>
      <c r="X111" s="4">
        <f ca="1">-SUMIFS(INDIRECT("Tab_000.Trial["&amp;X$4&amp;"]"),Tab_000.Trial[CONTA],$B111)</f>
        <v>-2024.25</v>
      </c>
      <c r="Y111" s="78">
        <f t="shared" ca="1" si="116"/>
        <v>-1.9E-3</v>
      </c>
      <c r="Z111" s="78">
        <f t="shared" ca="1" si="117"/>
        <v>0</v>
      </c>
      <c r="AA111" s="4">
        <f ca="1">-SUMIFS(INDIRECT("Tab_000.Trial["&amp;AA$4&amp;"]"),Tab_000.Trial[CONTA],$B111)</f>
        <v>-3976</v>
      </c>
      <c r="AB111" s="78">
        <f t="shared" ca="1" si="104"/>
        <v>-4.1000000000000003E-3</v>
      </c>
      <c r="AC111" s="78">
        <f t="shared" ca="1" si="105"/>
        <v>-0.96419999999999995</v>
      </c>
      <c r="AD111" s="4">
        <f ca="1">-SUMIFS(INDIRECT("Tab_000.Trial["&amp;AD$4&amp;"]"),Tab_000.Trial[CONTA],$B111)</f>
        <v>-166</v>
      </c>
      <c r="AE111" s="78">
        <f t="shared" ca="1" si="106"/>
        <v>-1E-4</v>
      </c>
      <c r="AF111" s="78">
        <f t="shared" ca="1" si="107"/>
        <v>0.95820000000000005</v>
      </c>
      <c r="AG111" s="4">
        <f ca="1">-SUMIFS(INDIRECT("Tab_000.Trial["&amp;AG$4&amp;"]"),Tab_000.Trial[CONTA],$B111)</f>
        <v>-449.18</v>
      </c>
      <c r="AH111" s="78">
        <f t="shared" ca="1" si="108"/>
        <v>-5.0000000000000001E-4</v>
      </c>
      <c r="AI111" s="78">
        <f t="shared" ca="1" si="109"/>
        <v>-1.7059</v>
      </c>
      <c r="AJ111" s="4">
        <f ca="1">-SUMIFS(INDIRECT("Tab_000.Trial["&amp;AJ$4&amp;"]"),Tab_000.Trial[CONTA],$B111)</f>
        <v>-24298</v>
      </c>
      <c r="AK111" s="78">
        <f t="shared" ca="1" si="110"/>
        <v>-1.6500000000000001E-2</v>
      </c>
      <c r="AL111" s="78">
        <f t="shared" ca="1" si="111"/>
        <v>-53.094099999999997</v>
      </c>
    </row>
    <row r="112" spans="2:39" ht="15" customHeight="1" outlineLevel="1" x14ac:dyDescent="0.3">
      <c r="B112" s="14" t="s">
        <v>507</v>
      </c>
      <c r="C112" s="14" t="s">
        <v>508</v>
      </c>
      <c r="D112" s="4">
        <f ca="1">-SUMIFS(INDIRECT("Tab_000.Trial["&amp;D$4&amp;"]"),Tab_000.Trial[CONTA],$B112)</f>
        <v>0</v>
      </c>
      <c r="E112" s="78">
        <f t="shared" ca="1" si="112"/>
        <v>0</v>
      </c>
      <c r="F112" s="4">
        <f ca="1">-SUMIFS(INDIRECT("Tab_000.Trial["&amp;F$4&amp;"]"),Tab_000.Trial[CONTA],$B112)</f>
        <v>0</v>
      </c>
      <c r="G112" s="78">
        <f t="shared" ca="1" si="91"/>
        <v>0</v>
      </c>
      <c r="H112" s="78">
        <f t="shared" ca="1" si="113"/>
        <v>0</v>
      </c>
      <c r="I112" s="4">
        <f ca="1">-SUMIFS(INDIRECT("Tab_000.Trial["&amp;I$4&amp;"]"),Tab_000.Trial[CONTA],$B112)</f>
        <v>0</v>
      </c>
      <c r="J112" s="78">
        <f t="shared" ca="1" si="92"/>
        <v>0</v>
      </c>
      <c r="K112" s="78">
        <f t="shared" ca="1" si="93"/>
        <v>0</v>
      </c>
      <c r="L112" s="4">
        <f ca="1">-SUMIFS(INDIRECT("Tab_000.Trial["&amp;L$4&amp;"]"),Tab_000.Trial[CONTA],$B112)</f>
        <v>0</v>
      </c>
      <c r="M112" s="78">
        <f t="shared" ca="1" si="94"/>
        <v>0</v>
      </c>
      <c r="N112" s="78">
        <f t="shared" ca="1" si="95"/>
        <v>0</v>
      </c>
      <c r="O112" s="4">
        <f ca="1">-SUMIFS(INDIRECT("Tab_000.Trial["&amp;O$4&amp;"]"),Tab_000.Trial[CONTA],$B112)</f>
        <v>0</v>
      </c>
      <c r="P112" s="78">
        <f t="shared" ca="1" si="114"/>
        <v>0</v>
      </c>
      <c r="Q112" s="78">
        <f t="shared" ca="1" si="115"/>
        <v>0</v>
      </c>
      <c r="R112" s="4">
        <f ca="1">-SUMIFS(INDIRECT("Tab_000.Trial["&amp;R$4&amp;"]"),Tab_000.Trial[CONTA],$B112)</f>
        <v>0</v>
      </c>
      <c r="S112" s="78">
        <f t="shared" ca="1" si="98"/>
        <v>0</v>
      </c>
      <c r="T112" s="78">
        <f t="shared" ca="1" si="99"/>
        <v>0</v>
      </c>
      <c r="U112" s="4">
        <f ca="1">-SUMIFS(INDIRECT("Tab_000.Trial["&amp;U$4&amp;"]"),Tab_000.Trial[CONTA],$B112)</f>
        <v>0</v>
      </c>
      <c r="V112" s="78">
        <f t="shared" ca="1" si="100"/>
        <v>0</v>
      </c>
      <c r="W112" s="78">
        <f t="shared" ca="1" si="101"/>
        <v>0</v>
      </c>
      <c r="X112" s="4">
        <f ca="1">-SUMIFS(INDIRECT("Tab_000.Trial["&amp;X$4&amp;"]"),Tab_000.Trial[CONTA],$B112)</f>
        <v>0</v>
      </c>
      <c r="Y112" s="78">
        <f t="shared" ca="1" si="116"/>
        <v>0</v>
      </c>
      <c r="Z112" s="78">
        <f t="shared" ca="1" si="117"/>
        <v>0</v>
      </c>
      <c r="AA112" s="4">
        <f ca="1">-SUMIFS(INDIRECT("Tab_000.Trial["&amp;AA$4&amp;"]"),Tab_000.Trial[CONTA],$B112)</f>
        <v>0</v>
      </c>
      <c r="AB112" s="78">
        <f t="shared" ca="1" si="104"/>
        <v>0</v>
      </c>
      <c r="AC112" s="78">
        <f t="shared" ca="1" si="105"/>
        <v>0</v>
      </c>
      <c r="AD112" s="4">
        <f ca="1">-SUMIFS(INDIRECT("Tab_000.Trial["&amp;AD$4&amp;"]"),Tab_000.Trial[CONTA],$B112)</f>
        <v>0</v>
      </c>
      <c r="AE112" s="78">
        <f t="shared" ca="1" si="106"/>
        <v>0</v>
      </c>
      <c r="AF112" s="78">
        <f t="shared" ca="1" si="107"/>
        <v>0</v>
      </c>
      <c r="AG112" s="4">
        <f ca="1">-SUMIFS(INDIRECT("Tab_000.Trial["&amp;AG$4&amp;"]"),Tab_000.Trial[CONTA],$B112)</f>
        <v>0</v>
      </c>
      <c r="AH112" s="78">
        <f t="shared" ca="1" si="108"/>
        <v>0</v>
      </c>
      <c r="AI112" s="78">
        <f t="shared" ca="1" si="109"/>
        <v>0</v>
      </c>
      <c r="AJ112" s="4">
        <f ca="1">-SUMIFS(INDIRECT("Tab_000.Trial["&amp;AJ$4&amp;"]"),Tab_000.Trial[CONTA],$B112)</f>
        <v>0</v>
      </c>
      <c r="AK112" s="78">
        <f t="shared" ca="1" si="110"/>
        <v>0</v>
      </c>
      <c r="AL112" s="78">
        <f t="shared" ca="1" si="111"/>
        <v>0</v>
      </c>
    </row>
    <row r="113" spans="2:39" ht="15" customHeight="1" outlineLevel="1" x14ac:dyDescent="0.3">
      <c r="B113" s="14" t="s">
        <v>509</v>
      </c>
      <c r="C113" s="14" t="s">
        <v>510</v>
      </c>
      <c r="D113" s="4">
        <f ca="1">-SUMIFS(INDIRECT("Tab_000.Trial["&amp;D$4&amp;"]"),Tab_000.Trial[CONTA],$B113)</f>
        <v>0</v>
      </c>
      <c r="E113" s="78">
        <f t="shared" ca="1" si="112"/>
        <v>0</v>
      </c>
      <c r="F113" s="4">
        <f ca="1">-SUMIFS(INDIRECT("Tab_000.Trial["&amp;F$4&amp;"]"),Tab_000.Trial[CONTA],$B113)</f>
        <v>0</v>
      </c>
      <c r="G113" s="78">
        <f t="shared" ca="1" si="91"/>
        <v>0</v>
      </c>
      <c r="H113" s="78">
        <f t="shared" ca="1" si="113"/>
        <v>0</v>
      </c>
      <c r="I113" s="4">
        <f ca="1">-SUMIFS(INDIRECT("Tab_000.Trial["&amp;I$4&amp;"]"),Tab_000.Trial[CONTA],$B113)</f>
        <v>0</v>
      </c>
      <c r="J113" s="78">
        <f t="shared" ca="1" si="92"/>
        <v>0</v>
      </c>
      <c r="K113" s="78">
        <f t="shared" ca="1" si="93"/>
        <v>0</v>
      </c>
      <c r="L113" s="4">
        <f ca="1">-SUMIFS(INDIRECT("Tab_000.Trial["&amp;L$4&amp;"]"),Tab_000.Trial[CONTA],$B113)</f>
        <v>0</v>
      </c>
      <c r="M113" s="78">
        <f t="shared" ca="1" si="94"/>
        <v>0</v>
      </c>
      <c r="N113" s="78">
        <f t="shared" ca="1" si="95"/>
        <v>0</v>
      </c>
      <c r="O113" s="4">
        <f ca="1">-SUMIFS(INDIRECT("Tab_000.Trial["&amp;O$4&amp;"]"),Tab_000.Trial[CONTA],$B113)</f>
        <v>0</v>
      </c>
      <c r="P113" s="78">
        <f t="shared" ca="1" si="114"/>
        <v>0</v>
      </c>
      <c r="Q113" s="78">
        <f t="shared" ca="1" si="115"/>
        <v>0</v>
      </c>
      <c r="R113" s="4">
        <f ca="1">-SUMIFS(INDIRECT("Tab_000.Trial["&amp;R$4&amp;"]"),Tab_000.Trial[CONTA],$B113)</f>
        <v>0</v>
      </c>
      <c r="S113" s="78">
        <f t="shared" ca="1" si="98"/>
        <v>0</v>
      </c>
      <c r="T113" s="78">
        <f t="shared" ca="1" si="99"/>
        <v>0</v>
      </c>
      <c r="U113" s="4">
        <f ca="1">-SUMIFS(INDIRECT("Tab_000.Trial["&amp;U$4&amp;"]"),Tab_000.Trial[CONTA],$B113)</f>
        <v>0</v>
      </c>
      <c r="V113" s="78">
        <f t="shared" ca="1" si="100"/>
        <v>0</v>
      </c>
      <c r="W113" s="78">
        <f t="shared" ca="1" si="101"/>
        <v>0</v>
      </c>
      <c r="X113" s="4">
        <f ca="1">-SUMIFS(INDIRECT("Tab_000.Trial["&amp;X$4&amp;"]"),Tab_000.Trial[CONTA],$B113)</f>
        <v>0</v>
      </c>
      <c r="Y113" s="78">
        <f t="shared" ca="1" si="116"/>
        <v>0</v>
      </c>
      <c r="Z113" s="78">
        <f t="shared" ca="1" si="117"/>
        <v>0</v>
      </c>
      <c r="AA113" s="4">
        <f ca="1">-SUMIFS(INDIRECT("Tab_000.Trial["&amp;AA$4&amp;"]"),Tab_000.Trial[CONTA],$B113)</f>
        <v>0</v>
      </c>
      <c r="AB113" s="78">
        <f t="shared" ca="1" si="104"/>
        <v>0</v>
      </c>
      <c r="AC113" s="78">
        <f t="shared" ca="1" si="105"/>
        <v>0</v>
      </c>
      <c r="AD113" s="4">
        <f ca="1">-SUMIFS(INDIRECT("Tab_000.Trial["&amp;AD$4&amp;"]"),Tab_000.Trial[CONTA],$B113)</f>
        <v>0</v>
      </c>
      <c r="AE113" s="78">
        <f t="shared" ca="1" si="106"/>
        <v>0</v>
      </c>
      <c r="AF113" s="78">
        <f t="shared" ca="1" si="107"/>
        <v>0</v>
      </c>
      <c r="AG113" s="4">
        <f ca="1">-SUMIFS(INDIRECT("Tab_000.Trial["&amp;AG$4&amp;"]"),Tab_000.Trial[CONTA],$B113)</f>
        <v>0</v>
      </c>
      <c r="AH113" s="78">
        <f t="shared" ca="1" si="108"/>
        <v>0</v>
      </c>
      <c r="AI113" s="78">
        <f t="shared" ca="1" si="109"/>
        <v>0</v>
      </c>
      <c r="AJ113" s="4">
        <f ca="1">-SUMIFS(INDIRECT("Tab_000.Trial["&amp;AJ$4&amp;"]"),Tab_000.Trial[CONTA],$B113)</f>
        <v>0</v>
      </c>
      <c r="AK113" s="78">
        <f t="shared" ca="1" si="110"/>
        <v>0</v>
      </c>
      <c r="AL113" s="78">
        <f t="shared" ca="1" si="111"/>
        <v>0</v>
      </c>
    </row>
    <row r="114" spans="2:39" ht="15" customHeight="1" outlineLevel="1" x14ac:dyDescent="0.3">
      <c r="B114" s="183" t="s">
        <v>739</v>
      </c>
      <c r="C114" s="183" t="s">
        <v>740</v>
      </c>
      <c r="D114" s="4">
        <f ca="1">-SUMIFS(INDIRECT("Tab_000.Trial["&amp;D$4&amp;"]"),Tab_000.Trial[CONTA],$B114)</f>
        <v>-287.74</v>
      </c>
      <c r="E114" s="78">
        <f t="shared" ca="1" si="112"/>
        <v>-2.9999999999999997E-4</v>
      </c>
      <c r="F114" s="4">
        <f ca="1">-SUMIFS(INDIRECT("Tab_000.Trial["&amp;F$4&amp;"]"),Tab_000.Trial[CONTA],$B114)</f>
        <v>0</v>
      </c>
      <c r="G114" s="78">
        <f t="shared" ca="1" si="91"/>
        <v>0</v>
      </c>
      <c r="H114" s="78">
        <f t="shared" ca="1" si="113"/>
        <v>1</v>
      </c>
      <c r="I114" s="4">
        <f ca="1">-SUMIFS(INDIRECT("Tab_000.Trial["&amp;I$4&amp;"]"),Tab_000.Trial[CONTA],$B114)</f>
        <v>-287.74</v>
      </c>
      <c r="J114" s="78">
        <f t="shared" ca="1" si="92"/>
        <v>-2.9999999999999997E-4</v>
      </c>
      <c r="K114" s="78">
        <f t="shared" ca="1" si="93"/>
        <v>0</v>
      </c>
      <c r="L114" s="4">
        <f ca="1">-SUMIFS(INDIRECT("Tab_000.Trial["&amp;L$4&amp;"]"),Tab_000.Trial[CONTA],$B114)</f>
        <v>-287.74</v>
      </c>
      <c r="M114" s="78">
        <f t="shared" ca="1" si="94"/>
        <v>-2.9999999999999997E-4</v>
      </c>
      <c r="N114" s="78">
        <f t="shared" ca="1" si="95"/>
        <v>0</v>
      </c>
      <c r="O114" s="4">
        <f ca="1">-SUMIFS(INDIRECT("Tab_000.Trial["&amp;O$4&amp;"]"),Tab_000.Trial[CONTA],$B114)</f>
        <v>-287.74</v>
      </c>
      <c r="P114" s="78">
        <f t="shared" ca="1" si="114"/>
        <v>-2.0000000000000001E-4</v>
      </c>
      <c r="Q114" s="78">
        <f t="shared" ca="1" si="115"/>
        <v>0</v>
      </c>
      <c r="R114" s="4">
        <f ca="1">-SUMIFS(INDIRECT("Tab_000.Trial["&amp;R$4&amp;"]"),Tab_000.Trial[CONTA],$B114)</f>
        <v>-287.74</v>
      </c>
      <c r="S114" s="78">
        <f t="shared" ca="1" si="98"/>
        <v>-2.9999999999999997E-4</v>
      </c>
      <c r="T114" s="78">
        <f t="shared" ca="1" si="99"/>
        <v>0</v>
      </c>
      <c r="U114" s="4">
        <f ca="1">-SUMIFS(INDIRECT("Tab_000.Trial["&amp;U$4&amp;"]"),Tab_000.Trial[CONTA],$B114)</f>
        <v>-287.74</v>
      </c>
      <c r="V114" s="78">
        <f t="shared" ca="1" si="100"/>
        <v>-2.9999999999999997E-4</v>
      </c>
      <c r="W114" s="78">
        <f t="shared" ca="1" si="101"/>
        <v>0</v>
      </c>
      <c r="X114" s="4">
        <f ca="1">-SUMIFS(INDIRECT("Tab_000.Trial["&amp;X$4&amp;"]"),Tab_000.Trial[CONTA],$B114)</f>
        <v>-287.74</v>
      </c>
      <c r="Y114" s="78">
        <f t="shared" ca="1" si="116"/>
        <v>-2.9999999999999997E-4</v>
      </c>
      <c r="Z114" s="78">
        <f t="shared" ca="1" si="117"/>
        <v>0</v>
      </c>
      <c r="AA114" s="4">
        <f ca="1">-SUMIFS(INDIRECT("Tab_000.Trial["&amp;AA$4&amp;"]"),Tab_000.Trial[CONTA],$B114)</f>
        <v>-275.14999999999998</v>
      </c>
      <c r="AB114" s="78">
        <f t="shared" ca="1" si="104"/>
        <v>-2.9999999999999997E-4</v>
      </c>
      <c r="AC114" s="78">
        <f t="shared" ca="1" si="105"/>
        <v>4.3799999999999999E-2</v>
      </c>
      <c r="AD114" s="4">
        <f ca="1">-SUMIFS(INDIRECT("Tab_000.Trial["&amp;AD$4&amp;"]"),Tab_000.Trial[CONTA],$B114)</f>
        <v>-291.76</v>
      </c>
      <c r="AE114" s="78">
        <f t="shared" ca="1" si="106"/>
        <v>-2.0000000000000001E-4</v>
      </c>
      <c r="AF114" s="78">
        <f t="shared" ca="1" si="107"/>
        <v>-6.0400000000000002E-2</v>
      </c>
      <c r="AG114" s="4">
        <f ca="1">-SUMIFS(INDIRECT("Tab_000.Trial["&amp;AG$4&amp;"]"),Tab_000.Trial[CONTA],$B114)</f>
        <v>-291.76</v>
      </c>
      <c r="AH114" s="78">
        <f t="shared" ca="1" si="108"/>
        <v>-2.9999999999999997E-4</v>
      </c>
      <c r="AI114" s="78">
        <f t="shared" ca="1" si="109"/>
        <v>0</v>
      </c>
      <c r="AJ114" s="4">
        <f ca="1">-SUMIFS(INDIRECT("Tab_000.Trial["&amp;AJ$4&amp;"]"),Tab_000.Trial[CONTA],$B114)</f>
        <v>-291.76</v>
      </c>
      <c r="AK114" s="78">
        <f t="shared" ca="1" si="110"/>
        <v>-2.0000000000000001E-4</v>
      </c>
      <c r="AL114" s="78">
        <f t="shared" ca="1" si="111"/>
        <v>0</v>
      </c>
    </row>
    <row r="115" spans="2:39" ht="15" customHeight="1" outlineLevel="1" x14ac:dyDescent="0.3">
      <c r="B115" s="14" t="s">
        <v>511</v>
      </c>
      <c r="C115" s="14" t="s">
        <v>512</v>
      </c>
      <c r="D115" s="4">
        <f ca="1">-SUMIFS(INDIRECT("Tab_000.Trial["&amp;D$4&amp;"]"),Tab_000.Trial[CONTA],$B115)</f>
        <v>-2260.8200000000002</v>
      </c>
      <c r="E115" s="78">
        <f t="shared" ca="1" si="112"/>
        <v>-2.3999999999999998E-3</v>
      </c>
      <c r="F115" s="4">
        <f ca="1">-SUMIFS(INDIRECT("Tab_000.Trial["&amp;F$4&amp;"]"),Tab_000.Trial[CONTA],$B115)</f>
        <v>-2755.8</v>
      </c>
      <c r="G115" s="78">
        <f t="shared" ca="1" si="91"/>
        <v>-5.3E-3</v>
      </c>
      <c r="H115" s="78">
        <f t="shared" ca="1" si="113"/>
        <v>-0.21890000000000001</v>
      </c>
      <c r="I115" s="4">
        <f ca="1">-SUMIFS(INDIRECT("Tab_000.Trial["&amp;I$4&amp;"]"),Tab_000.Trial[CONTA],$B115)</f>
        <v>-2497.5</v>
      </c>
      <c r="J115" s="78">
        <f t="shared" ca="1" si="92"/>
        <v>-2.3999999999999998E-3</v>
      </c>
      <c r="K115" s="78">
        <f t="shared" ca="1" si="93"/>
        <v>9.3700000000000006E-2</v>
      </c>
      <c r="L115" s="4">
        <f ca="1">-SUMIFS(INDIRECT("Tab_000.Trial["&amp;L$4&amp;"]"),Tab_000.Trial[CONTA],$B115)</f>
        <v>-2716.14</v>
      </c>
      <c r="M115" s="78">
        <f t="shared" ca="1" si="94"/>
        <v>-2.7000000000000001E-3</v>
      </c>
      <c r="N115" s="78">
        <f t="shared" ca="1" si="95"/>
        <v>-8.7499999999999994E-2</v>
      </c>
      <c r="O115" s="4">
        <f ca="1">-SUMIFS(INDIRECT("Tab_000.Trial["&amp;O$4&amp;"]"),Tab_000.Trial[CONTA],$B115)</f>
        <v>-2582.0300000000002</v>
      </c>
      <c r="P115" s="78">
        <f t="shared" ca="1" si="114"/>
        <v>-2.0999999999999999E-3</v>
      </c>
      <c r="Q115" s="78">
        <f t="shared" ca="1" si="115"/>
        <v>4.9399999999999999E-2</v>
      </c>
      <c r="R115" s="4">
        <f ca="1">-SUMIFS(INDIRECT("Tab_000.Trial["&amp;R$4&amp;"]"),Tab_000.Trial[CONTA],$B115)</f>
        <v>-2592.38</v>
      </c>
      <c r="S115" s="78">
        <f t="shared" ca="1" si="98"/>
        <v>-2.3999999999999998E-3</v>
      </c>
      <c r="T115" s="78">
        <f t="shared" ca="1" si="99"/>
        <v>-4.0000000000000001E-3</v>
      </c>
      <c r="U115" s="4">
        <f ca="1">-SUMIFS(INDIRECT("Tab_000.Trial["&amp;U$4&amp;"]"),Tab_000.Trial[CONTA],$B115)</f>
        <v>-2592.38</v>
      </c>
      <c r="V115" s="78">
        <f t="shared" ca="1" si="100"/>
        <v>-2.3999999999999998E-3</v>
      </c>
      <c r="W115" s="78">
        <f t="shared" ca="1" si="101"/>
        <v>0</v>
      </c>
      <c r="X115" s="4">
        <f ca="1">-SUMIFS(INDIRECT("Tab_000.Trial["&amp;X$4&amp;"]"),Tab_000.Trial[CONTA],$B115)</f>
        <v>-2592.38</v>
      </c>
      <c r="Y115" s="78">
        <f t="shared" ca="1" si="116"/>
        <v>-2.3999999999999998E-3</v>
      </c>
      <c r="Z115" s="78">
        <f t="shared" ca="1" si="117"/>
        <v>0</v>
      </c>
      <c r="AA115" s="4">
        <f ca="1">-SUMIFS(INDIRECT("Tab_000.Trial["&amp;AA$4&amp;"]"),Tab_000.Trial[CONTA],$B115)</f>
        <v>-2752.18</v>
      </c>
      <c r="AB115" s="78">
        <f t="shared" ca="1" si="104"/>
        <v>-2.8E-3</v>
      </c>
      <c r="AC115" s="78">
        <f t="shared" ca="1" si="105"/>
        <v>-6.1600000000000002E-2</v>
      </c>
      <c r="AD115" s="4">
        <f ca="1">-SUMIFS(INDIRECT("Tab_000.Trial["&amp;AD$4&amp;"]"),Tab_000.Trial[CONTA],$B115)</f>
        <v>-3235.8</v>
      </c>
      <c r="AE115" s="78">
        <f t="shared" ca="1" si="106"/>
        <v>-2.5999999999999999E-3</v>
      </c>
      <c r="AF115" s="78">
        <f t="shared" ca="1" si="107"/>
        <v>-0.1757</v>
      </c>
      <c r="AG115" s="4">
        <f ca="1">-SUMIFS(INDIRECT("Tab_000.Trial["&amp;AG$4&amp;"]"),Tab_000.Trial[CONTA],$B115)</f>
        <v>-2261.4699999999998</v>
      </c>
      <c r="AH115" s="78">
        <f t="shared" ca="1" si="108"/>
        <v>-2.5000000000000001E-3</v>
      </c>
      <c r="AI115" s="78">
        <f t="shared" ca="1" si="109"/>
        <v>0.30109999999999998</v>
      </c>
      <c r="AJ115" s="4">
        <f ca="1">-SUMIFS(INDIRECT("Tab_000.Trial["&amp;AJ$4&amp;"]"),Tab_000.Trial[CONTA],$B115)</f>
        <v>-2708.67</v>
      </c>
      <c r="AK115" s="78">
        <f t="shared" ca="1" si="110"/>
        <v>-1.8E-3</v>
      </c>
      <c r="AL115" s="78">
        <f t="shared" ca="1" si="111"/>
        <v>-0.19769999999999999</v>
      </c>
    </row>
    <row r="116" spans="2:39" ht="15" customHeight="1" outlineLevel="1" x14ac:dyDescent="0.3">
      <c r="B116" s="14" t="s">
        <v>513</v>
      </c>
      <c r="C116" s="14" t="s">
        <v>514</v>
      </c>
      <c r="D116" s="4">
        <f ca="1">-SUMIFS(INDIRECT("Tab_000.Trial["&amp;D$4&amp;"]"),Tab_000.Trial[CONTA],$B116)</f>
        <v>0</v>
      </c>
      <c r="E116" s="78">
        <f t="shared" ca="1" si="112"/>
        <v>0</v>
      </c>
      <c r="F116" s="4">
        <f ca="1">-SUMIFS(INDIRECT("Tab_000.Trial["&amp;F$4&amp;"]"),Tab_000.Trial[CONTA],$B116)</f>
        <v>0</v>
      </c>
      <c r="G116" s="78">
        <f t="shared" ca="1" si="91"/>
        <v>0</v>
      </c>
      <c r="H116" s="78">
        <f t="shared" ca="1" si="113"/>
        <v>0</v>
      </c>
      <c r="I116" s="4">
        <f ca="1">-SUMIFS(INDIRECT("Tab_000.Trial["&amp;I$4&amp;"]"),Tab_000.Trial[CONTA],$B116)</f>
        <v>0</v>
      </c>
      <c r="J116" s="78">
        <f t="shared" ca="1" si="92"/>
        <v>0</v>
      </c>
      <c r="K116" s="78">
        <f t="shared" ca="1" si="93"/>
        <v>0</v>
      </c>
      <c r="L116" s="4">
        <f ca="1">-SUMIFS(INDIRECT("Tab_000.Trial["&amp;L$4&amp;"]"),Tab_000.Trial[CONTA],$B116)</f>
        <v>0</v>
      </c>
      <c r="M116" s="78">
        <f t="shared" ca="1" si="94"/>
        <v>0</v>
      </c>
      <c r="N116" s="78">
        <f t="shared" ca="1" si="95"/>
        <v>0</v>
      </c>
      <c r="O116" s="4">
        <f ca="1">-SUMIFS(INDIRECT("Tab_000.Trial["&amp;O$4&amp;"]"),Tab_000.Trial[CONTA],$B116)</f>
        <v>0</v>
      </c>
      <c r="P116" s="78">
        <f t="shared" ca="1" si="114"/>
        <v>0</v>
      </c>
      <c r="Q116" s="78">
        <f t="shared" ca="1" si="115"/>
        <v>0</v>
      </c>
      <c r="R116" s="4">
        <f ca="1">-SUMIFS(INDIRECT("Tab_000.Trial["&amp;R$4&amp;"]"),Tab_000.Trial[CONTA],$B116)</f>
        <v>0</v>
      </c>
      <c r="S116" s="78">
        <f t="shared" ca="1" si="98"/>
        <v>0</v>
      </c>
      <c r="T116" s="78">
        <f t="shared" ca="1" si="99"/>
        <v>0</v>
      </c>
      <c r="U116" s="4">
        <f ca="1">-SUMIFS(INDIRECT("Tab_000.Trial["&amp;U$4&amp;"]"),Tab_000.Trial[CONTA],$B116)</f>
        <v>0</v>
      </c>
      <c r="V116" s="78">
        <f t="shared" ca="1" si="100"/>
        <v>0</v>
      </c>
      <c r="W116" s="78">
        <f t="shared" ca="1" si="101"/>
        <v>0</v>
      </c>
      <c r="X116" s="4">
        <f ca="1">-SUMIFS(INDIRECT("Tab_000.Trial["&amp;X$4&amp;"]"),Tab_000.Trial[CONTA],$B116)</f>
        <v>0</v>
      </c>
      <c r="Y116" s="78">
        <f t="shared" ca="1" si="116"/>
        <v>0</v>
      </c>
      <c r="Z116" s="78">
        <f t="shared" ca="1" si="117"/>
        <v>0</v>
      </c>
      <c r="AA116" s="4">
        <f ca="1">-SUMIFS(INDIRECT("Tab_000.Trial["&amp;AA$4&amp;"]"),Tab_000.Trial[CONTA],$B116)</f>
        <v>0</v>
      </c>
      <c r="AB116" s="78">
        <f t="shared" ca="1" si="104"/>
        <v>0</v>
      </c>
      <c r="AC116" s="78">
        <f t="shared" ca="1" si="105"/>
        <v>0</v>
      </c>
      <c r="AD116" s="4">
        <f ca="1">-SUMIFS(INDIRECT("Tab_000.Trial["&amp;AD$4&amp;"]"),Tab_000.Trial[CONTA],$B116)</f>
        <v>0</v>
      </c>
      <c r="AE116" s="78">
        <f t="shared" ca="1" si="106"/>
        <v>0</v>
      </c>
      <c r="AF116" s="78">
        <f t="shared" ca="1" si="107"/>
        <v>0</v>
      </c>
      <c r="AG116" s="4">
        <f ca="1">-SUMIFS(INDIRECT("Tab_000.Trial["&amp;AG$4&amp;"]"),Tab_000.Trial[CONTA],$B116)</f>
        <v>0</v>
      </c>
      <c r="AH116" s="78">
        <f t="shared" ca="1" si="108"/>
        <v>0</v>
      </c>
      <c r="AI116" s="78">
        <f t="shared" ca="1" si="109"/>
        <v>0</v>
      </c>
      <c r="AJ116" s="4">
        <f ca="1">-SUMIFS(INDIRECT("Tab_000.Trial["&amp;AJ$4&amp;"]"),Tab_000.Trial[CONTA],$B116)</f>
        <v>0</v>
      </c>
      <c r="AK116" s="78">
        <f t="shared" ca="1" si="110"/>
        <v>0</v>
      </c>
      <c r="AL116" s="78">
        <f t="shared" ca="1" si="111"/>
        <v>0</v>
      </c>
    </row>
    <row r="117" spans="2:39" ht="15" customHeight="1" outlineLevel="1" x14ac:dyDescent="0.3">
      <c r="B117" s="14" t="s">
        <v>515</v>
      </c>
      <c r="C117" s="14" t="s">
        <v>420</v>
      </c>
      <c r="D117" s="4">
        <f ca="1">-SUMIFS(INDIRECT("Tab_000.Trial["&amp;D$4&amp;"]"),Tab_000.Trial[CONTA],$B117)</f>
        <v>-1716.83</v>
      </c>
      <c r="E117" s="78">
        <f t="shared" ca="1" si="112"/>
        <v>-1.8E-3</v>
      </c>
      <c r="F117" s="4">
        <f ca="1">-SUMIFS(INDIRECT("Tab_000.Trial["&amp;F$4&amp;"]"),Tab_000.Trial[CONTA],$B117)</f>
        <v>-1642.61</v>
      </c>
      <c r="G117" s="78">
        <f t="shared" ca="1" si="91"/>
        <v>-3.0999999999999999E-3</v>
      </c>
      <c r="H117" s="78">
        <f t="shared" ca="1" si="113"/>
        <v>4.3200000000000002E-2</v>
      </c>
      <c r="I117" s="4">
        <f ca="1">-SUMIFS(INDIRECT("Tab_000.Trial["&amp;I$4&amp;"]"),Tab_000.Trial[CONTA],$B117)</f>
        <v>-1624.03</v>
      </c>
      <c r="J117" s="78">
        <f t="shared" ca="1" si="92"/>
        <v>-1.6000000000000001E-3</v>
      </c>
      <c r="K117" s="78">
        <f t="shared" ca="1" si="93"/>
        <v>1.1299999999999999E-2</v>
      </c>
      <c r="L117" s="4">
        <f ca="1">-SUMIFS(INDIRECT("Tab_000.Trial["&amp;L$4&amp;"]"),Tab_000.Trial[CONTA],$B117)</f>
        <v>-12885.31</v>
      </c>
      <c r="M117" s="78">
        <f t="shared" ca="1" si="94"/>
        <v>-1.29E-2</v>
      </c>
      <c r="N117" s="78">
        <f t="shared" ca="1" si="95"/>
        <v>-6.9341999999999997</v>
      </c>
      <c r="O117" s="4">
        <f ca="1">-SUMIFS(INDIRECT("Tab_000.Trial["&amp;O$4&amp;"]"),Tab_000.Trial[CONTA],$B117)</f>
        <v>-1634.35</v>
      </c>
      <c r="P117" s="78">
        <f t="shared" ca="1" si="114"/>
        <v>-1.4E-3</v>
      </c>
      <c r="Q117" s="78">
        <f t="shared" ca="1" si="115"/>
        <v>0.87319999999999998</v>
      </c>
      <c r="R117" s="4">
        <f ca="1">-SUMIFS(INDIRECT("Tab_000.Trial["&amp;R$4&amp;"]"),Tab_000.Trial[CONTA],$B117)</f>
        <v>-1482.86</v>
      </c>
      <c r="S117" s="78">
        <f t="shared" ca="1" si="98"/>
        <v>-1.4E-3</v>
      </c>
      <c r="T117" s="78">
        <f t="shared" ca="1" si="99"/>
        <v>9.2700000000000005E-2</v>
      </c>
      <c r="U117" s="4">
        <f ca="1">-SUMIFS(INDIRECT("Tab_000.Trial["&amp;U$4&amp;"]"),Tab_000.Trial[CONTA],$B117)</f>
        <v>-1482.86</v>
      </c>
      <c r="V117" s="78">
        <f t="shared" ca="1" si="100"/>
        <v>-1.4E-3</v>
      </c>
      <c r="W117" s="78">
        <f t="shared" ca="1" si="101"/>
        <v>0</v>
      </c>
      <c r="X117" s="4">
        <f ca="1">-SUMIFS(INDIRECT("Tab_000.Trial["&amp;X$4&amp;"]"),Tab_000.Trial[CONTA],$B117)</f>
        <v>-1482.86</v>
      </c>
      <c r="Y117" s="78">
        <f t="shared" ca="1" si="116"/>
        <v>-1.4E-3</v>
      </c>
      <c r="Z117" s="78">
        <f t="shared" ca="1" si="117"/>
        <v>0</v>
      </c>
      <c r="AA117" s="4">
        <f ca="1">-SUMIFS(INDIRECT("Tab_000.Trial["&amp;AA$4&amp;"]"),Tab_000.Trial[CONTA],$B117)</f>
        <v>-1673.81</v>
      </c>
      <c r="AB117" s="78">
        <f t="shared" ca="1" si="104"/>
        <v>-1.6999999999999999E-3</v>
      </c>
      <c r="AC117" s="78">
        <f t="shared" ca="1" si="105"/>
        <v>-0.1288</v>
      </c>
      <c r="AD117" s="4">
        <f ca="1">-SUMIFS(INDIRECT("Tab_000.Trial["&amp;AD$4&amp;"]"),Tab_000.Trial[CONTA],$B117)</f>
        <v>-3113.73</v>
      </c>
      <c r="AE117" s="78">
        <f t="shared" ca="1" si="106"/>
        <v>-2.5000000000000001E-3</v>
      </c>
      <c r="AF117" s="78">
        <f t="shared" ca="1" si="107"/>
        <v>-0.86029999999999995</v>
      </c>
      <c r="AG117" s="4">
        <f ca="1">-SUMIFS(INDIRECT("Tab_000.Trial["&amp;AG$4&amp;"]"),Tab_000.Trial[CONTA],$B117)</f>
        <v>-1898.53</v>
      </c>
      <c r="AH117" s="78">
        <f t="shared" ca="1" si="108"/>
        <v>-2.0999999999999999E-3</v>
      </c>
      <c r="AI117" s="78">
        <f t="shared" ca="1" si="109"/>
        <v>0.39029999999999998</v>
      </c>
      <c r="AJ117" s="4">
        <f ca="1">-SUMIFS(INDIRECT("Tab_000.Trial["&amp;AJ$4&amp;"]"),Tab_000.Trial[CONTA],$B117)</f>
        <v>-2374.71</v>
      </c>
      <c r="AK117" s="78">
        <f t="shared" ca="1" si="110"/>
        <v>-1.6000000000000001E-3</v>
      </c>
      <c r="AL117" s="78">
        <f t="shared" ca="1" si="111"/>
        <v>-0.25080000000000002</v>
      </c>
      <c r="AM117" s="142"/>
    </row>
    <row r="118" spans="2:39" ht="15" customHeight="1" outlineLevel="1" x14ac:dyDescent="0.3">
      <c r="B118" s="14" t="s">
        <v>516</v>
      </c>
      <c r="C118" s="14" t="s">
        <v>517</v>
      </c>
      <c r="D118" s="4">
        <f ca="1">-SUMIFS(INDIRECT("Tab_000.Trial["&amp;D$4&amp;"]"),Tab_000.Trial[CONTA],$B118)</f>
        <v>0</v>
      </c>
      <c r="E118" s="78">
        <f t="shared" ca="1" si="112"/>
        <v>0</v>
      </c>
      <c r="F118" s="4">
        <f ca="1">-SUMIFS(INDIRECT("Tab_000.Trial["&amp;F$4&amp;"]"),Tab_000.Trial[CONTA],$B118)</f>
        <v>0</v>
      </c>
      <c r="G118" s="78">
        <f t="shared" ca="1" si="91"/>
        <v>0</v>
      </c>
      <c r="H118" s="78">
        <f t="shared" ca="1" si="113"/>
        <v>0</v>
      </c>
      <c r="I118" s="4">
        <f ca="1">-SUMIFS(INDIRECT("Tab_000.Trial["&amp;I$4&amp;"]"),Tab_000.Trial[CONTA],$B118)</f>
        <v>0</v>
      </c>
      <c r="J118" s="78">
        <f t="shared" ca="1" si="92"/>
        <v>0</v>
      </c>
      <c r="K118" s="78">
        <f t="shared" ca="1" si="93"/>
        <v>0</v>
      </c>
      <c r="L118" s="4">
        <f ca="1">-SUMIFS(INDIRECT("Tab_000.Trial["&amp;L$4&amp;"]"),Tab_000.Trial[CONTA],$B118)</f>
        <v>0</v>
      </c>
      <c r="M118" s="78">
        <f t="shared" ca="1" si="94"/>
        <v>0</v>
      </c>
      <c r="N118" s="78">
        <f t="shared" ca="1" si="95"/>
        <v>0</v>
      </c>
      <c r="O118" s="4">
        <f ca="1">-SUMIFS(INDIRECT("Tab_000.Trial["&amp;O$4&amp;"]"),Tab_000.Trial[CONTA],$B118)</f>
        <v>0</v>
      </c>
      <c r="P118" s="78">
        <f t="shared" ca="1" si="114"/>
        <v>0</v>
      </c>
      <c r="Q118" s="78">
        <f t="shared" ca="1" si="115"/>
        <v>0</v>
      </c>
      <c r="R118" s="4">
        <f ca="1">-SUMIFS(INDIRECT("Tab_000.Trial["&amp;R$4&amp;"]"),Tab_000.Trial[CONTA],$B118)</f>
        <v>0</v>
      </c>
      <c r="S118" s="78">
        <f t="shared" ca="1" si="98"/>
        <v>0</v>
      </c>
      <c r="T118" s="78">
        <f t="shared" ca="1" si="99"/>
        <v>0</v>
      </c>
      <c r="U118" s="4">
        <f ca="1">-SUMIFS(INDIRECT("Tab_000.Trial["&amp;U$4&amp;"]"),Tab_000.Trial[CONTA],$B118)</f>
        <v>0</v>
      </c>
      <c r="V118" s="78">
        <f t="shared" ca="1" si="100"/>
        <v>0</v>
      </c>
      <c r="W118" s="78">
        <f t="shared" ca="1" si="101"/>
        <v>0</v>
      </c>
      <c r="X118" s="4">
        <f ca="1">-SUMIFS(INDIRECT("Tab_000.Trial["&amp;X$4&amp;"]"),Tab_000.Trial[CONTA],$B118)</f>
        <v>0</v>
      </c>
      <c r="Y118" s="78">
        <f t="shared" ca="1" si="116"/>
        <v>0</v>
      </c>
      <c r="Z118" s="78">
        <f t="shared" ca="1" si="117"/>
        <v>0</v>
      </c>
      <c r="AA118" s="4">
        <f ca="1">-SUMIFS(INDIRECT("Tab_000.Trial["&amp;AA$4&amp;"]"),Tab_000.Trial[CONTA],$B118)</f>
        <v>0</v>
      </c>
      <c r="AB118" s="78">
        <f t="shared" ca="1" si="104"/>
        <v>0</v>
      </c>
      <c r="AC118" s="78">
        <f t="shared" ca="1" si="105"/>
        <v>0</v>
      </c>
      <c r="AD118" s="4">
        <f ca="1">-SUMIFS(INDIRECT("Tab_000.Trial["&amp;AD$4&amp;"]"),Tab_000.Trial[CONTA],$B118)</f>
        <v>0</v>
      </c>
      <c r="AE118" s="78">
        <f t="shared" ca="1" si="106"/>
        <v>0</v>
      </c>
      <c r="AF118" s="78">
        <f t="shared" ca="1" si="107"/>
        <v>0</v>
      </c>
      <c r="AG118" s="4">
        <f ca="1">-SUMIFS(INDIRECT("Tab_000.Trial["&amp;AG$4&amp;"]"),Tab_000.Trial[CONTA],$B118)</f>
        <v>0</v>
      </c>
      <c r="AH118" s="78">
        <f t="shared" ca="1" si="108"/>
        <v>0</v>
      </c>
      <c r="AI118" s="78">
        <f t="shared" ca="1" si="109"/>
        <v>0</v>
      </c>
      <c r="AJ118" s="4">
        <f ca="1">-SUMIFS(INDIRECT("Tab_000.Trial["&amp;AJ$4&amp;"]"),Tab_000.Trial[CONTA],$B118)</f>
        <v>0</v>
      </c>
      <c r="AK118" s="78">
        <f t="shared" ca="1" si="110"/>
        <v>0</v>
      </c>
      <c r="AL118" s="78">
        <f t="shared" ca="1" si="111"/>
        <v>0</v>
      </c>
    </row>
    <row r="119" spans="2:39" ht="15" customHeight="1" outlineLevel="1" x14ac:dyDescent="0.3">
      <c r="B119" s="14" t="s">
        <v>518</v>
      </c>
      <c r="C119" s="14" t="s">
        <v>519</v>
      </c>
      <c r="D119" s="4">
        <f ca="1">-SUMIFS(INDIRECT("Tab_000.Trial["&amp;D$4&amp;"]"),Tab_000.Trial[CONTA],$B119)</f>
        <v>-1467.2</v>
      </c>
      <c r="E119" s="78">
        <f t="shared" ca="1" si="112"/>
        <v>-1.6000000000000001E-3</v>
      </c>
      <c r="F119" s="4">
        <f ca="1">-SUMIFS(INDIRECT("Tab_000.Trial["&amp;F$4&amp;"]"),Tab_000.Trial[CONTA],$B119)</f>
        <v>-1901.38</v>
      </c>
      <c r="G119" s="78">
        <f t="shared" ca="1" si="91"/>
        <v>-3.5999999999999999E-3</v>
      </c>
      <c r="H119" s="78">
        <f t="shared" ca="1" si="113"/>
        <v>-0.2959</v>
      </c>
      <c r="I119" s="4">
        <f ca="1">-SUMIFS(INDIRECT("Tab_000.Trial["&amp;I$4&amp;"]"),Tab_000.Trial[CONTA],$B119)</f>
        <v>-1291.93</v>
      </c>
      <c r="J119" s="78">
        <f t="shared" ca="1" si="92"/>
        <v>-1.1999999999999999E-3</v>
      </c>
      <c r="K119" s="78">
        <f t="shared" ca="1" si="93"/>
        <v>0.32050000000000001</v>
      </c>
      <c r="L119" s="4">
        <f ca="1">-SUMIFS(INDIRECT("Tab_000.Trial["&amp;L$4&amp;"]"),Tab_000.Trial[CONTA],$B119)</f>
        <v>-2476.92</v>
      </c>
      <c r="M119" s="78">
        <f t="shared" ca="1" si="94"/>
        <v>-2.5000000000000001E-3</v>
      </c>
      <c r="N119" s="78">
        <f t="shared" ca="1" si="95"/>
        <v>-0.91720000000000002</v>
      </c>
      <c r="O119" s="4">
        <f ca="1">-SUMIFS(INDIRECT("Tab_000.Trial["&amp;O$4&amp;"]"),Tab_000.Trial[CONTA],$B119)</f>
        <v>-1451.38</v>
      </c>
      <c r="P119" s="78">
        <f t="shared" ca="1" si="114"/>
        <v>-1.1999999999999999E-3</v>
      </c>
      <c r="Q119" s="78">
        <f t="shared" ca="1" si="115"/>
        <v>0.41399999999999998</v>
      </c>
      <c r="R119" s="4">
        <f ca="1">-SUMIFS(INDIRECT("Tab_000.Trial["&amp;R$4&amp;"]"),Tab_000.Trial[CONTA],$B119)</f>
        <v>-1860.58</v>
      </c>
      <c r="S119" s="78">
        <f t="shared" ca="1" si="98"/>
        <v>-1.8E-3</v>
      </c>
      <c r="T119" s="78">
        <f t="shared" ca="1" si="99"/>
        <v>-0.28189999999999998</v>
      </c>
      <c r="U119" s="4">
        <f ca="1">-SUMIFS(INDIRECT("Tab_000.Trial["&amp;U$4&amp;"]"),Tab_000.Trial[CONTA],$B119)</f>
        <v>-1860.58</v>
      </c>
      <c r="V119" s="78">
        <f t="shared" ca="1" si="100"/>
        <v>-1.8E-3</v>
      </c>
      <c r="W119" s="78">
        <f t="shared" ca="1" si="101"/>
        <v>0</v>
      </c>
      <c r="X119" s="4">
        <f ca="1">-SUMIFS(INDIRECT("Tab_000.Trial["&amp;X$4&amp;"]"),Tab_000.Trial[CONTA],$B119)</f>
        <v>-1860.58</v>
      </c>
      <c r="Y119" s="78">
        <f t="shared" ca="1" si="116"/>
        <v>-1.8E-3</v>
      </c>
      <c r="Z119" s="78">
        <f t="shared" ca="1" si="117"/>
        <v>0</v>
      </c>
      <c r="AA119" s="4">
        <f ca="1">-SUMIFS(INDIRECT("Tab_000.Trial["&amp;AA$4&amp;"]"),Tab_000.Trial[CONTA],$B119)</f>
        <v>-1263.6300000000001</v>
      </c>
      <c r="AB119" s="78">
        <f t="shared" ca="1" si="104"/>
        <v>-1.2999999999999999E-3</v>
      </c>
      <c r="AC119" s="78">
        <f t="shared" ca="1" si="105"/>
        <v>0.32079999999999997</v>
      </c>
      <c r="AD119" s="4">
        <f ca="1">-SUMIFS(INDIRECT("Tab_000.Trial["&amp;AD$4&amp;"]"),Tab_000.Trial[CONTA],$B119)</f>
        <v>-12142.14</v>
      </c>
      <c r="AE119" s="78">
        <f t="shared" ca="1" si="106"/>
        <v>-9.9000000000000008E-3</v>
      </c>
      <c r="AF119" s="78">
        <f t="shared" ca="1" si="107"/>
        <v>-8.6089000000000002</v>
      </c>
      <c r="AG119" s="4">
        <f ca="1">-SUMIFS(INDIRECT("Tab_000.Trial["&amp;AG$4&amp;"]"),Tab_000.Trial[CONTA],$B119)</f>
        <v>-1164.04</v>
      </c>
      <c r="AH119" s="78">
        <f t="shared" ca="1" si="108"/>
        <v>-1.2999999999999999E-3</v>
      </c>
      <c r="AI119" s="78">
        <f t="shared" ca="1" si="109"/>
        <v>0.90410000000000001</v>
      </c>
      <c r="AJ119" s="4">
        <f ca="1">-SUMIFS(INDIRECT("Tab_000.Trial["&amp;AJ$4&amp;"]"),Tab_000.Trial[CONTA],$B119)</f>
        <v>-879.34</v>
      </c>
      <c r="AK119" s="78">
        <f t="shared" ca="1" si="110"/>
        <v>-5.9999999999999995E-4</v>
      </c>
      <c r="AL119" s="78">
        <f t="shared" ca="1" si="111"/>
        <v>0.24460000000000001</v>
      </c>
    </row>
    <row r="120" spans="2:39" ht="15" customHeight="1" outlineLevel="1" x14ac:dyDescent="0.3">
      <c r="B120" s="14" t="s">
        <v>528</v>
      </c>
      <c r="C120" s="14" t="s">
        <v>416</v>
      </c>
      <c r="D120" s="4">
        <f ca="1">-SUMIFS(INDIRECT("Tab_000.Trial["&amp;D$4&amp;"]"),Tab_000.Trial[CONTA],$B120)</f>
        <v>-100.59</v>
      </c>
      <c r="E120" s="78">
        <f t="shared" ca="1" si="112"/>
        <v>-1E-4</v>
      </c>
      <c r="F120" s="4">
        <f ca="1">-SUMIFS(INDIRECT("Tab_000.Trial["&amp;F$4&amp;"]"),Tab_000.Trial[CONTA],$B120)</f>
        <v>0</v>
      </c>
      <c r="G120" s="78">
        <f t="shared" ca="1" si="91"/>
        <v>0</v>
      </c>
      <c r="H120" s="78">
        <f t="shared" ca="1" si="113"/>
        <v>1</v>
      </c>
      <c r="I120" s="4">
        <f ca="1">-SUMIFS(INDIRECT("Tab_000.Trial["&amp;I$4&amp;"]"),Tab_000.Trial[CONTA],$B120)</f>
        <v>-199.18</v>
      </c>
      <c r="J120" s="78">
        <f t="shared" ca="1" si="92"/>
        <v>-2.0000000000000001E-4</v>
      </c>
      <c r="K120" s="78">
        <f t="shared" ca="1" si="93"/>
        <v>0</v>
      </c>
      <c r="L120" s="4">
        <f ca="1">-SUMIFS(INDIRECT("Tab_000.Trial["&amp;L$4&amp;"]"),Tab_000.Trial[CONTA],$B120)</f>
        <v>-50</v>
      </c>
      <c r="M120" s="78">
        <f t="shared" ca="1" si="94"/>
        <v>0</v>
      </c>
      <c r="N120" s="78">
        <f t="shared" ca="1" si="95"/>
        <v>0.749</v>
      </c>
      <c r="O120" s="4">
        <f ca="1">-SUMIFS(INDIRECT("Tab_000.Trial["&amp;O$4&amp;"]"),Tab_000.Trial[CONTA],$B120)</f>
        <v>-94.81</v>
      </c>
      <c r="P120" s="78">
        <f t="shared" ca="1" si="114"/>
        <v>-1E-4</v>
      </c>
      <c r="Q120" s="78">
        <f t="shared" ca="1" si="115"/>
        <v>-0.8962</v>
      </c>
      <c r="R120" s="4">
        <f ca="1">-SUMIFS(INDIRECT("Tab_000.Trial["&amp;R$4&amp;"]"),Tab_000.Trial[CONTA],$B120)</f>
        <v>-121.89</v>
      </c>
      <c r="S120" s="78">
        <f t="shared" ca="1" si="98"/>
        <v>-1E-4</v>
      </c>
      <c r="T120" s="78">
        <f t="shared" ca="1" si="99"/>
        <v>-0.28560000000000002</v>
      </c>
      <c r="U120" s="4">
        <f ca="1">-SUMIFS(INDIRECT("Tab_000.Trial["&amp;U$4&amp;"]"),Tab_000.Trial[CONTA],$B120)</f>
        <v>-121.89</v>
      </c>
      <c r="V120" s="78">
        <f t="shared" ca="1" si="100"/>
        <v>-1E-4</v>
      </c>
      <c r="W120" s="78">
        <f t="shared" ca="1" si="101"/>
        <v>0</v>
      </c>
      <c r="X120" s="4">
        <f ca="1">-SUMIFS(INDIRECT("Tab_000.Trial["&amp;X$4&amp;"]"),Tab_000.Trial[CONTA],$B120)</f>
        <v>-121.89</v>
      </c>
      <c r="Y120" s="78">
        <f t="shared" ca="1" si="116"/>
        <v>-1E-4</v>
      </c>
      <c r="Z120" s="78">
        <f t="shared" ca="1" si="117"/>
        <v>0</v>
      </c>
      <c r="AA120" s="4">
        <f ca="1">-SUMIFS(INDIRECT("Tab_000.Trial["&amp;AA$4&amp;"]"),Tab_000.Trial[CONTA],$B120)</f>
        <v>-282</v>
      </c>
      <c r="AB120" s="78">
        <f t="shared" ca="1" si="104"/>
        <v>-2.9999999999999997E-4</v>
      </c>
      <c r="AC120" s="78">
        <f t="shared" ca="1" si="105"/>
        <v>-1.3136000000000001</v>
      </c>
      <c r="AD120" s="4">
        <f ca="1">-SUMIFS(INDIRECT("Tab_000.Trial["&amp;AD$4&amp;"]"),Tab_000.Trial[CONTA],$B120)</f>
        <v>-787.32</v>
      </c>
      <c r="AE120" s="78">
        <f t="shared" ca="1" si="106"/>
        <v>-5.9999999999999995E-4</v>
      </c>
      <c r="AF120" s="78">
        <f t="shared" ca="1" si="107"/>
        <v>-1.7919</v>
      </c>
      <c r="AG120" s="4">
        <f ca="1">-SUMIFS(INDIRECT("Tab_000.Trial["&amp;AG$4&amp;"]"),Tab_000.Trial[CONTA],$B120)</f>
        <v>0</v>
      </c>
      <c r="AH120" s="78">
        <f t="shared" ca="1" si="108"/>
        <v>0</v>
      </c>
      <c r="AI120" s="78">
        <f t="shared" ca="1" si="109"/>
        <v>1</v>
      </c>
      <c r="AJ120" s="4">
        <f ca="1">-SUMIFS(INDIRECT("Tab_000.Trial["&amp;AJ$4&amp;"]"),Tab_000.Trial[CONTA],$B120)</f>
        <v>0</v>
      </c>
      <c r="AK120" s="78">
        <f t="shared" ca="1" si="110"/>
        <v>0</v>
      </c>
      <c r="AL120" s="78">
        <f t="shared" ca="1" si="111"/>
        <v>0</v>
      </c>
    </row>
    <row r="121" spans="2:39" ht="15" customHeight="1" outlineLevel="1" x14ac:dyDescent="0.3">
      <c r="B121" s="14" t="s">
        <v>529</v>
      </c>
      <c r="C121" s="14" t="s">
        <v>530</v>
      </c>
      <c r="D121" s="4">
        <f ca="1">-SUMIFS(INDIRECT("Tab_000.Trial["&amp;D$4&amp;"]"),Tab_000.Trial[CONTA],$B121)</f>
        <v>0</v>
      </c>
      <c r="E121" s="78">
        <f t="shared" ca="1" si="112"/>
        <v>0</v>
      </c>
      <c r="F121" s="4">
        <f ca="1">-SUMIFS(INDIRECT("Tab_000.Trial["&amp;F$4&amp;"]"),Tab_000.Trial[CONTA],$B121)</f>
        <v>0</v>
      </c>
      <c r="G121" s="78">
        <f t="shared" ca="1" si="91"/>
        <v>0</v>
      </c>
      <c r="H121" s="78">
        <f t="shared" ca="1" si="113"/>
        <v>0</v>
      </c>
      <c r="I121" s="4">
        <f ca="1">-SUMIFS(INDIRECT("Tab_000.Trial["&amp;I$4&amp;"]"),Tab_000.Trial[CONTA],$B121)</f>
        <v>0</v>
      </c>
      <c r="J121" s="78">
        <f t="shared" ca="1" si="92"/>
        <v>0</v>
      </c>
      <c r="K121" s="78">
        <f t="shared" ca="1" si="93"/>
        <v>0</v>
      </c>
      <c r="L121" s="4">
        <f ca="1">-SUMIFS(INDIRECT("Tab_000.Trial["&amp;L$4&amp;"]"),Tab_000.Trial[CONTA],$B121)</f>
        <v>0</v>
      </c>
      <c r="M121" s="78">
        <f t="shared" ca="1" si="94"/>
        <v>0</v>
      </c>
      <c r="N121" s="78">
        <f t="shared" ca="1" si="95"/>
        <v>0</v>
      </c>
      <c r="O121" s="4">
        <f ca="1">-SUMIFS(INDIRECT("Tab_000.Trial["&amp;O$4&amp;"]"),Tab_000.Trial[CONTA],$B121)</f>
        <v>0</v>
      </c>
      <c r="P121" s="78">
        <f t="shared" ca="1" si="114"/>
        <v>0</v>
      </c>
      <c r="Q121" s="78">
        <f t="shared" ca="1" si="115"/>
        <v>0</v>
      </c>
      <c r="R121" s="4">
        <f ca="1">-SUMIFS(INDIRECT("Tab_000.Trial["&amp;R$4&amp;"]"),Tab_000.Trial[CONTA],$B121)</f>
        <v>0</v>
      </c>
      <c r="S121" s="78">
        <f t="shared" ca="1" si="98"/>
        <v>0</v>
      </c>
      <c r="T121" s="78">
        <f t="shared" ca="1" si="99"/>
        <v>0</v>
      </c>
      <c r="U121" s="4">
        <f ca="1">-SUMIFS(INDIRECT("Tab_000.Trial["&amp;U$4&amp;"]"),Tab_000.Trial[CONTA],$B121)</f>
        <v>0</v>
      </c>
      <c r="V121" s="78">
        <f t="shared" ca="1" si="100"/>
        <v>0</v>
      </c>
      <c r="W121" s="78">
        <f t="shared" ca="1" si="101"/>
        <v>0</v>
      </c>
      <c r="X121" s="4">
        <f ca="1">-SUMIFS(INDIRECT("Tab_000.Trial["&amp;X$4&amp;"]"),Tab_000.Trial[CONTA],$B121)</f>
        <v>0</v>
      </c>
      <c r="Y121" s="78">
        <f t="shared" ca="1" si="116"/>
        <v>0</v>
      </c>
      <c r="Z121" s="78">
        <f t="shared" ca="1" si="117"/>
        <v>0</v>
      </c>
      <c r="AA121" s="4">
        <f ca="1">-SUMIFS(INDIRECT("Tab_000.Trial["&amp;AA$4&amp;"]"),Tab_000.Trial[CONTA],$B121)</f>
        <v>-91.32</v>
      </c>
      <c r="AB121" s="78">
        <f t="shared" ca="1" si="104"/>
        <v>-1E-4</v>
      </c>
      <c r="AC121" s="78">
        <f t="shared" ca="1" si="105"/>
        <v>0</v>
      </c>
      <c r="AD121" s="4">
        <f ca="1">-SUMIFS(INDIRECT("Tab_000.Trial["&amp;AD$4&amp;"]"),Tab_000.Trial[CONTA],$B121)</f>
        <v>-500</v>
      </c>
      <c r="AE121" s="78">
        <f t="shared" ca="1" si="106"/>
        <v>-4.0000000000000002E-4</v>
      </c>
      <c r="AF121" s="78">
        <f t="shared" ca="1" si="107"/>
        <v>-4.4752999999999998</v>
      </c>
      <c r="AG121" s="4">
        <f ca="1">-SUMIFS(INDIRECT("Tab_000.Trial["&amp;AG$4&amp;"]"),Tab_000.Trial[CONTA],$B121)</f>
        <v>0</v>
      </c>
      <c r="AH121" s="78">
        <f t="shared" ca="1" si="108"/>
        <v>0</v>
      </c>
      <c r="AI121" s="78">
        <f t="shared" ca="1" si="109"/>
        <v>1</v>
      </c>
      <c r="AJ121" s="4">
        <f ca="1">-SUMIFS(INDIRECT("Tab_000.Trial["&amp;AJ$4&amp;"]"),Tab_000.Trial[CONTA],$B121)</f>
        <v>0</v>
      </c>
      <c r="AK121" s="78">
        <f t="shared" ca="1" si="110"/>
        <v>0</v>
      </c>
      <c r="AL121" s="78">
        <f t="shared" ca="1" si="111"/>
        <v>0</v>
      </c>
    </row>
    <row r="122" spans="2:39" ht="15" customHeight="1" outlineLevel="1" x14ac:dyDescent="0.3">
      <c r="B122" s="14" t="s">
        <v>531</v>
      </c>
      <c r="C122" s="14" t="s">
        <v>532</v>
      </c>
      <c r="D122" s="4">
        <f ca="1">-SUMIFS(INDIRECT("Tab_000.Trial["&amp;D$4&amp;"]"),Tab_000.Trial[CONTA],$B122)</f>
        <v>-114</v>
      </c>
      <c r="E122" s="78">
        <f t="shared" ca="1" si="112"/>
        <v>-1E-4</v>
      </c>
      <c r="F122" s="4">
        <f ca="1">-SUMIFS(INDIRECT("Tab_000.Trial["&amp;F$4&amp;"]"),Tab_000.Trial[CONTA],$B122)</f>
        <v>-62.97</v>
      </c>
      <c r="G122" s="78">
        <f t="shared" ca="1" si="91"/>
        <v>-1E-4</v>
      </c>
      <c r="H122" s="78">
        <f t="shared" ca="1" si="113"/>
        <v>0.4476</v>
      </c>
      <c r="I122" s="4">
        <f ca="1">-SUMIFS(INDIRECT("Tab_000.Trial["&amp;I$4&amp;"]"),Tab_000.Trial[CONTA],$B122)</f>
        <v>0</v>
      </c>
      <c r="J122" s="78">
        <f t="shared" ca="1" si="92"/>
        <v>0</v>
      </c>
      <c r="K122" s="78">
        <f t="shared" ca="1" si="93"/>
        <v>1</v>
      </c>
      <c r="L122" s="4">
        <f ca="1">-SUMIFS(INDIRECT("Tab_000.Trial["&amp;L$4&amp;"]"),Tab_000.Trial[CONTA],$B122)</f>
        <v>-93.26</v>
      </c>
      <c r="M122" s="78">
        <f t="shared" ca="1" si="94"/>
        <v>-1E-4</v>
      </c>
      <c r="N122" s="78">
        <f t="shared" ca="1" si="95"/>
        <v>0</v>
      </c>
      <c r="O122" s="4">
        <f ca="1">-SUMIFS(INDIRECT("Tab_000.Trial["&amp;O$4&amp;"]"),Tab_000.Trial[CONTA],$B122)</f>
        <v>-153.81</v>
      </c>
      <c r="P122" s="78">
        <f t="shared" ca="1" si="114"/>
        <v>-1E-4</v>
      </c>
      <c r="Q122" s="78">
        <f t="shared" ca="1" si="115"/>
        <v>-0.64929999999999999</v>
      </c>
      <c r="R122" s="4">
        <f ca="1">-SUMIFS(INDIRECT("Tab_000.Trial["&amp;R$4&amp;"]"),Tab_000.Trial[CONTA],$B122)</f>
        <v>-616.04999999999995</v>
      </c>
      <c r="S122" s="78">
        <f t="shared" ca="1" si="98"/>
        <v>-5.9999999999999995E-4</v>
      </c>
      <c r="T122" s="78">
        <f t="shared" ca="1" si="99"/>
        <v>-3.0053000000000001</v>
      </c>
      <c r="U122" s="4">
        <f ca="1">-SUMIFS(INDIRECT("Tab_000.Trial["&amp;U$4&amp;"]"),Tab_000.Trial[CONTA],$B122)</f>
        <v>-616.04999999999995</v>
      </c>
      <c r="V122" s="78">
        <f t="shared" ca="1" si="100"/>
        <v>-5.9999999999999995E-4</v>
      </c>
      <c r="W122" s="78">
        <f t="shared" ca="1" si="101"/>
        <v>0</v>
      </c>
      <c r="X122" s="4">
        <f ca="1">-SUMIFS(INDIRECT("Tab_000.Trial["&amp;X$4&amp;"]"),Tab_000.Trial[CONTA],$B122)</f>
        <v>-616.04999999999995</v>
      </c>
      <c r="Y122" s="78">
        <f t="shared" ca="1" si="116"/>
        <v>-5.9999999999999995E-4</v>
      </c>
      <c r="Z122" s="78">
        <f t="shared" ca="1" si="117"/>
        <v>0</v>
      </c>
      <c r="AA122" s="4">
        <f ca="1">-SUMIFS(INDIRECT("Tab_000.Trial["&amp;AA$4&amp;"]"),Tab_000.Trial[CONTA],$B122)</f>
        <v>-176.92</v>
      </c>
      <c r="AB122" s="78">
        <f t="shared" ca="1" si="104"/>
        <v>-2.0000000000000001E-4</v>
      </c>
      <c r="AC122" s="78">
        <f t="shared" ca="1" si="105"/>
        <v>0.71279999999999999</v>
      </c>
      <c r="AD122" s="4">
        <f ca="1">-SUMIFS(INDIRECT("Tab_000.Trial["&amp;AD$4&amp;"]"),Tab_000.Trial[CONTA],$B122)</f>
        <v>-169.5</v>
      </c>
      <c r="AE122" s="78">
        <f t="shared" ca="1" si="106"/>
        <v>-1E-4</v>
      </c>
      <c r="AF122" s="78">
        <f t="shared" ca="1" si="107"/>
        <v>4.19E-2</v>
      </c>
      <c r="AG122" s="4">
        <f ca="1">-SUMIFS(INDIRECT("Tab_000.Trial["&amp;AG$4&amp;"]"),Tab_000.Trial[CONTA],$B122)</f>
        <v>-56.68</v>
      </c>
      <c r="AH122" s="78">
        <f t="shared" ca="1" si="108"/>
        <v>-1E-4</v>
      </c>
      <c r="AI122" s="78">
        <f t="shared" ca="1" si="109"/>
        <v>0.66559999999999997</v>
      </c>
      <c r="AJ122" s="4">
        <f ca="1">-SUMIFS(INDIRECT("Tab_000.Trial["&amp;AJ$4&amp;"]"),Tab_000.Trial[CONTA],$B122)</f>
        <v>-44.28</v>
      </c>
      <c r="AK122" s="78">
        <f t="shared" ca="1" si="110"/>
        <v>0</v>
      </c>
      <c r="AL122" s="78">
        <f t="shared" ca="1" si="111"/>
        <v>0.21879999999999999</v>
      </c>
    </row>
    <row r="123" spans="2:39" ht="15" customHeight="1" outlineLevel="1" x14ac:dyDescent="0.3">
      <c r="B123" s="14" t="s">
        <v>533</v>
      </c>
      <c r="C123" s="14" t="s">
        <v>534</v>
      </c>
      <c r="D123" s="4">
        <f ca="1">-SUMIFS(INDIRECT("Tab_000.Trial["&amp;D$4&amp;"]"),Tab_000.Trial[CONTA],$B123)</f>
        <v>-350</v>
      </c>
      <c r="E123" s="78">
        <f t="shared" ca="1" si="112"/>
        <v>-4.0000000000000002E-4</v>
      </c>
      <c r="F123" s="4">
        <f ca="1">-SUMIFS(INDIRECT("Tab_000.Trial["&amp;F$4&amp;"]"),Tab_000.Trial[CONTA],$B123)</f>
        <v>0</v>
      </c>
      <c r="G123" s="78">
        <f t="shared" ca="1" si="91"/>
        <v>0</v>
      </c>
      <c r="H123" s="78">
        <f t="shared" ca="1" si="113"/>
        <v>1</v>
      </c>
      <c r="I123" s="4">
        <f ca="1">-SUMIFS(INDIRECT("Tab_000.Trial["&amp;I$4&amp;"]"),Tab_000.Trial[CONTA],$B123)</f>
        <v>0</v>
      </c>
      <c r="J123" s="78">
        <f t="shared" ca="1" si="92"/>
        <v>0</v>
      </c>
      <c r="K123" s="78">
        <f t="shared" ca="1" si="93"/>
        <v>0</v>
      </c>
      <c r="L123" s="4">
        <f ca="1">-SUMIFS(INDIRECT("Tab_000.Trial["&amp;L$4&amp;"]"),Tab_000.Trial[CONTA],$B123)</f>
        <v>0</v>
      </c>
      <c r="M123" s="78">
        <f t="shared" ca="1" si="94"/>
        <v>0</v>
      </c>
      <c r="N123" s="78">
        <f t="shared" ca="1" si="95"/>
        <v>0</v>
      </c>
      <c r="O123" s="4">
        <f ca="1">-SUMIFS(INDIRECT("Tab_000.Trial["&amp;O$4&amp;"]"),Tab_000.Trial[CONTA],$B123)</f>
        <v>-1400</v>
      </c>
      <c r="P123" s="78">
        <f t="shared" ca="1" si="114"/>
        <v>-1.1999999999999999E-3</v>
      </c>
      <c r="Q123" s="78">
        <f t="shared" ca="1" si="115"/>
        <v>0</v>
      </c>
      <c r="R123" s="4">
        <f ca="1">-SUMIFS(INDIRECT("Tab_000.Trial["&amp;R$4&amp;"]"),Tab_000.Trial[CONTA],$B123)</f>
        <v>-350</v>
      </c>
      <c r="S123" s="78">
        <f t="shared" ca="1" si="98"/>
        <v>-2.9999999999999997E-4</v>
      </c>
      <c r="T123" s="78">
        <f t="shared" ca="1" si="99"/>
        <v>0.75</v>
      </c>
      <c r="U123" s="4">
        <f ca="1">-SUMIFS(INDIRECT("Tab_000.Trial["&amp;U$4&amp;"]"),Tab_000.Trial[CONTA],$B123)</f>
        <v>-350</v>
      </c>
      <c r="V123" s="78">
        <f t="shared" ca="1" si="100"/>
        <v>-2.9999999999999997E-4</v>
      </c>
      <c r="W123" s="78">
        <f t="shared" ca="1" si="101"/>
        <v>0</v>
      </c>
      <c r="X123" s="4">
        <f ca="1">-SUMIFS(INDIRECT("Tab_000.Trial["&amp;X$4&amp;"]"),Tab_000.Trial[CONTA],$B123)</f>
        <v>-350</v>
      </c>
      <c r="Y123" s="78">
        <f t="shared" ca="1" si="116"/>
        <v>-2.9999999999999997E-4</v>
      </c>
      <c r="Z123" s="78">
        <f t="shared" ca="1" si="117"/>
        <v>0</v>
      </c>
      <c r="AA123" s="4">
        <f ca="1">-SUMIFS(INDIRECT("Tab_000.Trial["&amp;AA$4&amp;"]"),Tab_000.Trial[CONTA],$B123)</f>
        <v>-1098.9100000000001</v>
      </c>
      <c r="AB123" s="78">
        <f t="shared" ca="1" si="104"/>
        <v>-1.1000000000000001E-3</v>
      </c>
      <c r="AC123" s="78">
        <f t="shared" ca="1" si="105"/>
        <v>-2.1396999999999999</v>
      </c>
      <c r="AD123" s="4">
        <f ca="1">-SUMIFS(INDIRECT("Tab_000.Trial["&amp;AD$4&amp;"]"),Tab_000.Trial[CONTA],$B123)</f>
        <v>-1190</v>
      </c>
      <c r="AE123" s="78">
        <f t="shared" ca="1" si="106"/>
        <v>-1E-3</v>
      </c>
      <c r="AF123" s="78">
        <f t="shared" ca="1" si="107"/>
        <v>-8.2900000000000001E-2</v>
      </c>
      <c r="AG123" s="4">
        <f ca="1">-SUMIFS(INDIRECT("Tab_000.Trial["&amp;AG$4&amp;"]"),Tab_000.Trial[CONTA],$B123)</f>
        <v>-2071.2800000000002</v>
      </c>
      <c r="AH123" s="78">
        <f t="shared" ca="1" si="108"/>
        <v>-2.3E-3</v>
      </c>
      <c r="AI123" s="78">
        <f t="shared" ca="1" si="109"/>
        <v>-0.74060000000000004</v>
      </c>
      <c r="AJ123" s="4">
        <f ca="1">-SUMIFS(INDIRECT("Tab_000.Trial["&amp;AJ$4&amp;"]"),Tab_000.Trial[CONTA],$B123)</f>
        <v>-7010</v>
      </c>
      <c r="AK123" s="78">
        <f t="shared" ca="1" si="110"/>
        <v>-4.7999999999999996E-3</v>
      </c>
      <c r="AL123" s="78">
        <f t="shared" ca="1" si="111"/>
        <v>-2.3843999999999999</v>
      </c>
    </row>
    <row r="124" spans="2:39" ht="15" customHeight="1" outlineLevel="1" x14ac:dyDescent="0.3">
      <c r="B124" s="14" t="s">
        <v>535</v>
      </c>
      <c r="C124" s="14" t="s">
        <v>536</v>
      </c>
      <c r="D124" s="4">
        <f ca="1">-SUMIFS(INDIRECT("Tab_000.Trial["&amp;D$4&amp;"]"),Tab_000.Trial[CONTA],$B124)</f>
        <v>0</v>
      </c>
      <c r="E124" s="78">
        <f t="shared" ca="1" si="112"/>
        <v>0</v>
      </c>
      <c r="F124" s="4">
        <f ca="1">-SUMIFS(INDIRECT("Tab_000.Trial["&amp;F$4&amp;"]"),Tab_000.Trial[CONTA],$B124)</f>
        <v>0</v>
      </c>
      <c r="G124" s="78">
        <f t="shared" ca="1" si="91"/>
        <v>0</v>
      </c>
      <c r="H124" s="78">
        <f t="shared" ca="1" si="113"/>
        <v>0</v>
      </c>
      <c r="I124" s="4">
        <f ca="1">-SUMIFS(INDIRECT("Tab_000.Trial["&amp;I$4&amp;"]"),Tab_000.Trial[CONTA],$B124)</f>
        <v>0</v>
      </c>
      <c r="J124" s="78">
        <f t="shared" ca="1" si="92"/>
        <v>0</v>
      </c>
      <c r="K124" s="78">
        <f t="shared" ca="1" si="93"/>
        <v>0</v>
      </c>
      <c r="L124" s="4">
        <f ca="1">-SUMIFS(INDIRECT("Tab_000.Trial["&amp;L$4&amp;"]"),Tab_000.Trial[CONTA],$B124)</f>
        <v>0</v>
      </c>
      <c r="M124" s="78">
        <f t="shared" ca="1" si="94"/>
        <v>0</v>
      </c>
      <c r="N124" s="78">
        <f t="shared" ca="1" si="95"/>
        <v>0</v>
      </c>
      <c r="O124" s="4">
        <f ca="1">-SUMIFS(INDIRECT("Tab_000.Trial["&amp;O$4&amp;"]"),Tab_000.Trial[CONTA],$B124)</f>
        <v>0</v>
      </c>
      <c r="P124" s="78">
        <f t="shared" ca="1" si="114"/>
        <v>0</v>
      </c>
      <c r="Q124" s="78">
        <f t="shared" ca="1" si="115"/>
        <v>0</v>
      </c>
      <c r="R124" s="4">
        <f ca="1">-SUMIFS(INDIRECT("Tab_000.Trial["&amp;R$4&amp;"]"),Tab_000.Trial[CONTA],$B124)</f>
        <v>0</v>
      </c>
      <c r="S124" s="78">
        <f t="shared" ca="1" si="98"/>
        <v>0</v>
      </c>
      <c r="T124" s="78">
        <f t="shared" ca="1" si="99"/>
        <v>0</v>
      </c>
      <c r="U124" s="4">
        <f ca="1">-SUMIFS(INDIRECT("Tab_000.Trial["&amp;U$4&amp;"]"),Tab_000.Trial[CONTA],$B124)</f>
        <v>0</v>
      </c>
      <c r="V124" s="78">
        <f t="shared" ca="1" si="100"/>
        <v>0</v>
      </c>
      <c r="W124" s="78">
        <f t="shared" ca="1" si="101"/>
        <v>0</v>
      </c>
      <c r="X124" s="4">
        <f ca="1">-SUMIFS(INDIRECT("Tab_000.Trial["&amp;X$4&amp;"]"),Tab_000.Trial[CONTA],$B124)</f>
        <v>0</v>
      </c>
      <c r="Y124" s="78">
        <f t="shared" ca="1" si="116"/>
        <v>0</v>
      </c>
      <c r="Z124" s="78">
        <f t="shared" ca="1" si="117"/>
        <v>0</v>
      </c>
      <c r="AA124" s="4">
        <f ca="1">-SUMIFS(INDIRECT("Tab_000.Trial["&amp;AA$4&amp;"]"),Tab_000.Trial[CONTA],$B124)</f>
        <v>0</v>
      </c>
      <c r="AB124" s="78">
        <f t="shared" ca="1" si="104"/>
        <v>0</v>
      </c>
      <c r="AC124" s="78">
        <f t="shared" ca="1" si="105"/>
        <v>0</v>
      </c>
      <c r="AD124" s="4">
        <f ca="1">-SUMIFS(INDIRECT("Tab_000.Trial["&amp;AD$4&amp;"]"),Tab_000.Trial[CONTA],$B124)</f>
        <v>0</v>
      </c>
      <c r="AE124" s="78">
        <f t="shared" ca="1" si="106"/>
        <v>0</v>
      </c>
      <c r="AF124" s="78">
        <f t="shared" ca="1" si="107"/>
        <v>0</v>
      </c>
      <c r="AG124" s="4">
        <f ca="1">-SUMIFS(INDIRECT("Tab_000.Trial["&amp;AG$4&amp;"]"),Tab_000.Trial[CONTA],$B124)</f>
        <v>0</v>
      </c>
      <c r="AH124" s="78">
        <f t="shared" ca="1" si="108"/>
        <v>0</v>
      </c>
      <c r="AI124" s="78">
        <f t="shared" ca="1" si="109"/>
        <v>0</v>
      </c>
      <c r="AJ124" s="4">
        <f ca="1">-SUMIFS(INDIRECT("Tab_000.Trial["&amp;AJ$4&amp;"]"),Tab_000.Trial[CONTA],$B124)</f>
        <v>0</v>
      </c>
      <c r="AK124" s="78">
        <f t="shared" ca="1" si="110"/>
        <v>0</v>
      </c>
      <c r="AL124" s="78">
        <f t="shared" ca="1" si="111"/>
        <v>0</v>
      </c>
    </row>
    <row r="125" spans="2:39" ht="15" customHeight="1" outlineLevel="1" x14ac:dyDescent="0.3">
      <c r="B125" s="14" t="s">
        <v>537</v>
      </c>
      <c r="C125" s="14" t="s">
        <v>538</v>
      </c>
      <c r="D125" s="4">
        <f ca="1">-SUMIFS(INDIRECT("Tab_000.Trial["&amp;D$4&amp;"]"),Tab_000.Trial[CONTA],$B125)</f>
        <v>-1059.06</v>
      </c>
      <c r="E125" s="78">
        <f t="shared" ca="1" si="112"/>
        <v>-1.1000000000000001E-3</v>
      </c>
      <c r="F125" s="4">
        <f ca="1">-SUMIFS(INDIRECT("Tab_000.Trial["&amp;F$4&amp;"]"),Tab_000.Trial[CONTA],$B125)</f>
        <v>0</v>
      </c>
      <c r="G125" s="78">
        <f t="shared" ca="1" si="91"/>
        <v>0</v>
      </c>
      <c r="H125" s="78">
        <f t="shared" ca="1" si="113"/>
        <v>1</v>
      </c>
      <c r="I125" s="4">
        <f ca="1">-SUMIFS(INDIRECT("Tab_000.Trial["&amp;I$4&amp;"]"),Tab_000.Trial[CONTA],$B125)</f>
        <v>-3685.72</v>
      </c>
      <c r="J125" s="78">
        <f t="shared" ca="1" si="92"/>
        <v>-3.5999999999999999E-3</v>
      </c>
      <c r="K125" s="78">
        <f t="shared" ca="1" si="93"/>
        <v>0</v>
      </c>
      <c r="L125" s="4">
        <f ca="1">-SUMIFS(INDIRECT("Tab_000.Trial["&amp;L$4&amp;"]"),Tab_000.Trial[CONTA],$B125)</f>
        <v>0</v>
      </c>
      <c r="M125" s="78">
        <f t="shared" ca="1" si="94"/>
        <v>0</v>
      </c>
      <c r="N125" s="78">
        <f t="shared" ca="1" si="95"/>
        <v>1</v>
      </c>
      <c r="O125" s="4">
        <f ca="1">-SUMIFS(INDIRECT("Tab_000.Trial["&amp;O$4&amp;"]"),Tab_000.Trial[CONTA],$B125)</f>
        <v>0</v>
      </c>
      <c r="P125" s="78">
        <f t="shared" ca="1" si="114"/>
        <v>0</v>
      </c>
      <c r="Q125" s="78">
        <f t="shared" ca="1" si="115"/>
        <v>0</v>
      </c>
      <c r="R125" s="4">
        <f ca="1">-SUMIFS(INDIRECT("Tab_000.Trial["&amp;R$4&amp;"]"),Tab_000.Trial[CONTA],$B125)</f>
        <v>-5.0999999999999996</v>
      </c>
      <c r="S125" s="78">
        <f t="shared" ca="1" si="98"/>
        <v>0</v>
      </c>
      <c r="T125" s="78">
        <f t="shared" ca="1" si="99"/>
        <v>0</v>
      </c>
      <c r="U125" s="4">
        <f ca="1">-SUMIFS(INDIRECT("Tab_000.Trial["&amp;U$4&amp;"]"),Tab_000.Trial[CONTA],$B125)</f>
        <v>-5.0999999999999996</v>
      </c>
      <c r="V125" s="78">
        <f t="shared" ca="1" si="100"/>
        <v>0</v>
      </c>
      <c r="W125" s="78">
        <f t="shared" ca="1" si="101"/>
        <v>0</v>
      </c>
      <c r="X125" s="4">
        <f ca="1">-SUMIFS(INDIRECT("Tab_000.Trial["&amp;X$4&amp;"]"),Tab_000.Trial[CONTA],$B125)</f>
        <v>-5.0999999999999996</v>
      </c>
      <c r="Y125" s="78">
        <f t="shared" ca="1" si="116"/>
        <v>0</v>
      </c>
      <c r="Z125" s="78">
        <f t="shared" ca="1" si="117"/>
        <v>0</v>
      </c>
      <c r="AA125" s="4">
        <f ca="1">-SUMIFS(INDIRECT("Tab_000.Trial["&amp;AA$4&amp;"]"),Tab_000.Trial[CONTA],$B125)</f>
        <v>0</v>
      </c>
      <c r="AB125" s="78">
        <f t="shared" ca="1" si="104"/>
        <v>0</v>
      </c>
      <c r="AC125" s="78">
        <f t="shared" ca="1" si="105"/>
        <v>1</v>
      </c>
      <c r="AD125" s="4">
        <f ca="1">-SUMIFS(INDIRECT("Tab_000.Trial["&amp;AD$4&amp;"]"),Tab_000.Trial[CONTA],$B125)</f>
        <v>0</v>
      </c>
      <c r="AE125" s="78">
        <f t="shared" ca="1" si="106"/>
        <v>0</v>
      </c>
      <c r="AF125" s="78">
        <f t="shared" ca="1" si="107"/>
        <v>0</v>
      </c>
      <c r="AG125" s="4">
        <f ca="1">-SUMIFS(INDIRECT("Tab_000.Trial["&amp;AG$4&amp;"]"),Tab_000.Trial[CONTA],$B125)</f>
        <v>0</v>
      </c>
      <c r="AH125" s="78">
        <f t="shared" ca="1" si="108"/>
        <v>0</v>
      </c>
      <c r="AI125" s="78">
        <f t="shared" ca="1" si="109"/>
        <v>0</v>
      </c>
      <c r="AJ125" s="4">
        <f ca="1">-SUMIFS(INDIRECT("Tab_000.Trial["&amp;AJ$4&amp;"]"),Tab_000.Trial[CONTA],$B125)</f>
        <v>-6.2</v>
      </c>
      <c r="AK125" s="78">
        <f t="shared" ca="1" si="110"/>
        <v>0</v>
      </c>
      <c r="AL125" s="78">
        <f t="shared" ca="1" si="111"/>
        <v>0</v>
      </c>
    </row>
    <row r="126" spans="2:39" ht="15" customHeight="1" outlineLevel="1" x14ac:dyDescent="0.3">
      <c r="B126" s="14" t="s">
        <v>539</v>
      </c>
      <c r="C126" s="14" t="s">
        <v>540</v>
      </c>
      <c r="D126" s="4">
        <f ca="1">-SUMIFS(INDIRECT("Tab_000.Trial["&amp;D$4&amp;"]"),Tab_000.Trial[CONTA],$B126)</f>
        <v>0</v>
      </c>
      <c r="E126" s="78">
        <f t="shared" ca="1" si="112"/>
        <v>0</v>
      </c>
      <c r="F126" s="4">
        <f ca="1">-SUMIFS(INDIRECT("Tab_000.Trial["&amp;F$4&amp;"]"),Tab_000.Trial[CONTA],$B126)</f>
        <v>-2484.4</v>
      </c>
      <c r="G126" s="78">
        <f t="shared" ca="1" si="91"/>
        <v>-4.7000000000000002E-3</v>
      </c>
      <c r="H126" s="78">
        <f t="shared" ca="1" si="113"/>
        <v>0</v>
      </c>
      <c r="I126" s="4">
        <f ca="1">-SUMIFS(INDIRECT("Tab_000.Trial["&amp;I$4&amp;"]"),Tab_000.Trial[CONTA],$B126)</f>
        <v>-1742.12</v>
      </c>
      <c r="J126" s="78">
        <f t="shared" ca="1" si="92"/>
        <v>-1.6999999999999999E-3</v>
      </c>
      <c r="K126" s="78">
        <f t="shared" ca="1" si="93"/>
        <v>0.29880000000000001</v>
      </c>
      <c r="L126" s="4">
        <f ca="1">-SUMIFS(INDIRECT("Tab_000.Trial["&amp;L$4&amp;"]"),Tab_000.Trial[CONTA],$B126)</f>
        <v>-1253.57</v>
      </c>
      <c r="M126" s="78">
        <f t="shared" ca="1" si="94"/>
        <v>-1.2999999999999999E-3</v>
      </c>
      <c r="N126" s="78">
        <f t="shared" ca="1" si="95"/>
        <v>0.28039999999999998</v>
      </c>
      <c r="O126" s="4">
        <f ca="1">-SUMIFS(INDIRECT("Tab_000.Trial["&amp;O$4&amp;"]"),Tab_000.Trial[CONTA],$B126)</f>
        <v>-1648.48</v>
      </c>
      <c r="P126" s="78">
        <f t="shared" ca="1" si="114"/>
        <v>-1.4E-3</v>
      </c>
      <c r="Q126" s="78">
        <f t="shared" ca="1" si="115"/>
        <v>-0.315</v>
      </c>
      <c r="R126" s="4">
        <f ca="1">-SUMIFS(INDIRECT("Tab_000.Trial["&amp;R$4&amp;"]"),Tab_000.Trial[CONTA],$B126)</f>
        <v>-1214.8800000000001</v>
      </c>
      <c r="S126" s="78">
        <f t="shared" ca="1" si="98"/>
        <v>-1.1000000000000001E-3</v>
      </c>
      <c r="T126" s="78">
        <f t="shared" ca="1" si="99"/>
        <v>0.26300000000000001</v>
      </c>
      <c r="U126" s="4">
        <f ca="1">-SUMIFS(INDIRECT("Tab_000.Trial["&amp;U$4&amp;"]"),Tab_000.Trial[CONTA],$B126)</f>
        <v>-1214.8800000000001</v>
      </c>
      <c r="V126" s="78">
        <f t="shared" ca="1" si="100"/>
        <v>-1.1000000000000001E-3</v>
      </c>
      <c r="W126" s="78">
        <f t="shared" ca="1" si="101"/>
        <v>0</v>
      </c>
      <c r="X126" s="4">
        <f ca="1">-SUMIFS(INDIRECT("Tab_000.Trial["&amp;X$4&amp;"]"),Tab_000.Trial[CONTA],$B126)</f>
        <v>-1214.8800000000001</v>
      </c>
      <c r="Y126" s="78">
        <f t="shared" ca="1" si="116"/>
        <v>-1.1000000000000001E-3</v>
      </c>
      <c r="Z126" s="78">
        <f t="shared" ca="1" si="117"/>
        <v>0</v>
      </c>
      <c r="AA126" s="4">
        <f ca="1">-SUMIFS(INDIRECT("Tab_000.Trial["&amp;AA$4&amp;"]"),Tab_000.Trial[CONTA],$B126)</f>
        <v>-1456.02</v>
      </c>
      <c r="AB126" s="78">
        <f t="shared" ca="1" si="104"/>
        <v>-1.5E-3</v>
      </c>
      <c r="AC126" s="78">
        <f t="shared" ca="1" si="105"/>
        <v>-0.19850000000000001</v>
      </c>
      <c r="AD126" s="4">
        <f ca="1">-SUMIFS(INDIRECT("Tab_000.Trial["&amp;AD$4&amp;"]"),Tab_000.Trial[CONTA],$B126)</f>
        <v>-1304.8</v>
      </c>
      <c r="AE126" s="78">
        <f t="shared" ca="1" si="106"/>
        <v>-1.1000000000000001E-3</v>
      </c>
      <c r="AF126" s="78">
        <f t="shared" ca="1" si="107"/>
        <v>0.10390000000000001</v>
      </c>
      <c r="AG126" s="4">
        <f ca="1">-SUMIFS(INDIRECT("Tab_000.Trial["&amp;AG$4&amp;"]"),Tab_000.Trial[CONTA],$B126)</f>
        <v>-1401.17</v>
      </c>
      <c r="AH126" s="78">
        <f t="shared" ca="1" si="108"/>
        <v>-1.6000000000000001E-3</v>
      </c>
      <c r="AI126" s="78">
        <f t="shared" ca="1" si="109"/>
        <v>-7.3899999999999993E-2</v>
      </c>
      <c r="AJ126" s="4">
        <f ca="1">-SUMIFS(INDIRECT("Tab_000.Trial["&amp;AJ$4&amp;"]"),Tab_000.Trial[CONTA],$B126)</f>
        <v>-1348.07</v>
      </c>
      <c r="AK126" s="78">
        <f t="shared" ca="1" si="110"/>
        <v>-8.9999999999999998E-4</v>
      </c>
      <c r="AL126" s="78">
        <f t="shared" ca="1" si="111"/>
        <v>3.7900000000000003E-2</v>
      </c>
    </row>
    <row r="127" spans="2:39" ht="15" customHeight="1" outlineLevel="1" x14ac:dyDescent="0.3">
      <c r="B127" s="14" t="s">
        <v>541</v>
      </c>
      <c r="C127" s="14" t="s">
        <v>542</v>
      </c>
      <c r="D127" s="4">
        <f ca="1">-SUMIFS(INDIRECT("Tab_000.Trial["&amp;D$4&amp;"]"),Tab_000.Trial[CONTA],$B127)</f>
        <v>-362.82</v>
      </c>
      <c r="E127" s="78">
        <f t="shared" ca="1" si="112"/>
        <v>-4.0000000000000002E-4</v>
      </c>
      <c r="F127" s="4">
        <f ca="1">-SUMIFS(INDIRECT("Tab_000.Trial["&amp;F$4&amp;"]"),Tab_000.Trial[CONTA],$B127)</f>
        <v>0</v>
      </c>
      <c r="G127" s="78">
        <f t="shared" ca="1" si="91"/>
        <v>0</v>
      </c>
      <c r="H127" s="78">
        <f t="shared" ca="1" si="113"/>
        <v>1</v>
      </c>
      <c r="I127" s="4">
        <f ca="1">-SUMIFS(INDIRECT("Tab_000.Trial["&amp;I$4&amp;"]"),Tab_000.Trial[CONTA],$B127)</f>
        <v>-178.05</v>
      </c>
      <c r="J127" s="78">
        <f t="shared" ca="1" si="92"/>
        <v>-2.0000000000000001E-4</v>
      </c>
      <c r="K127" s="78">
        <f t="shared" ca="1" si="93"/>
        <v>0</v>
      </c>
      <c r="L127" s="4">
        <f ca="1">-SUMIFS(INDIRECT("Tab_000.Trial["&amp;L$4&amp;"]"),Tab_000.Trial[CONTA],$B127)</f>
        <v>-160</v>
      </c>
      <c r="M127" s="78">
        <f t="shared" ca="1" si="94"/>
        <v>-2.0000000000000001E-4</v>
      </c>
      <c r="N127" s="78">
        <f t="shared" ca="1" si="95"/>
        <v>0.1014</v>
      </c>
      <c r="O127" s="4">
        <f ca="1">-SUMIFS(INDIRECT("Tab_000.Trial["&amp;O$4&amp;"]"),Tab_000.Trial[CONTA],$B127)</f>
        <v>-299.89999999999998</v>
      </c>
      <c r="P127" s="78">
        <f t="shared" ca="1" si="114"/>
        <v>-2.0000000000000001E-4</v>
      </c>
      <c r="Q127" s="78">
        <f t="shared" ca="1" si="115"/>
        <v>-0.87439999999999996</v>
      </c>
      <c r="R127" s="4">
        <f ca="1">-SUMIFS(INDIRECT("Tab_000.Trial["&amp;R$4&amp;"]"),Tab_000.Trial[CONTA],$B127)</f>
        <v>-257.39999999999998</v>
      </c>
      <c r="S127" s="78">
        <f t="shared" ca="1" si="98"/>
        <v>-2.0000000000000001E-4</v>
      </c>
      <c r="T127" s="78">
        <f t="shared" ca="1" si="99"/>
        <v>0.14169999999999999</v>
      </c>
      <c r="U127" s="4">
        <f ca="1">-SUMIFS(INDIRECT("Tab_000.Trial["&amp;U$4&amp;"]"),Tab_000.Trial[CONTA],$B127)</f>
        <v>-257.39999999999998</v>
      </c>
      <c r="V127" s="78">
        <f t="shared" ca="1" si="100"/>
        <v>-2.0000000000000001E-4</v>
      </c>
      <c r="W127" s="78">
        <f t="shared" ca="1" si="101"/>
        <v>0</v>
      </c>
      <c r="X127" s="4">
        <f ca="1">-SUMIFS(INDIRECT("Tab_000.Trial["&amp;X$4&amp;"]"),Tab_000.Trial[CONTA],$B127)</f>
        <v>-257.39999999999998</v>
      </c>
      <c r="Y127" s="78">
        <f t="shared" ca="1" si="116"/>
        <v>-2.0000000000000001E-4</v>
      </c>
      <c r="Z127" s="78">
        <f t="shared" ca="1" si="117"/>
        <v>0</v>
      </c>
      <c r="AA127" s="4">
        <f ca="1">-SUMIFS(INDIRECT("Tab_000.Trial["&amp;AA$4&amp;"]"),Tab_000.Trial[CONTA],$B127)</f>
        <v>-397.76</v>
      </c>
      <c r="AB127" s="78">
        <f t="shared" ca="1" si="104"/>
        <v>-4.0000000000000002E-4</v>
      </c>
      <c r="AC127" s="78">
        <f t="shared" ca="1" si="105"/>
        <v>-0.54530000000000001</v>
      </c>
      <c r="AD127" s="4">
        <f ca="1">-SUMIFS(INDIRECT("Tab_000.Trial["&amp;AD$4&amp;"]"),Tab_000.Trial[CONTA],$B127)</f>
        <v>-1204.8800000000001</v>
      </c>
      <c r="AE127" s="78">
        <f t="shared" ca="1" si="106"/>
        <v>-1E-3</v>
      </c>
      <c r="AF127" s="78">
        <f t="shared" ca="1" si="107"/>
        <v>-2.0291999999999999</v>
      </c>
      <c r="AG127" s="4">
        <f ca="1">-SUMIFS(INDIRECT("Tab_000.Trial["&amp;AG$4&amp;"]"),Tab_000.Trial[CONTA],$B127)</f>
        <v>-334.5</v>
      </c>
      <c r="AH127" s="78">
        <f t="shared" ca="1" si="108"/>
        <v>-4.0000000000000002E-4</v>
      </c>
      <c r="AI127" s="78">
        <f t="shared" ca="1" si="109"/>
        <v>0.72240000000000004</v>
      </c>
      <c r="AJ127" s="4">
        <f ca="1">-SUMIFS(INDIRECT("Tab_000.Trial["&amp;AJ$4&amp;"]"),Tab_000.Trial[CONTA],$B127)</f>
        <v>-1001.55</v>
      </c>
      <c r="AK127" s="78">
        <f t="shared" ca="1" si="110"/>
        <v>-6.9999999999999999E-4</v>
      </c>
      <c r="AL127" s="78">
        <f t="shared" ca="1" si="111"/>
        <v>-1.9942</v>
      </c>
      <c r="AM127" s="1" t="s">
        <v>772</v>
      </c>
    </row>
    <row r="128" spans="2:39" ht="15" customHeight="1" outlineLevel="1" x14ac:dyDescent="0.3">
      <c r="B128" s="14" t="s">
        <v>741</v>
      </c>
      <c r="C128" s="14" t="s">
        <v>742</v>
      </c>
      <c r="D128" s="4">
        <f ca="1">-SUMIFS(INDIRECT("Tab_000.Trial["&amp;D$4&amp;"]"),Tab_000.Trial[CONTA],$B128)</f>
        <v>-17980.080000000002</v>
      </c>
      <c r="E128" s="78">
        <f t="shared" ca="1" si="112"/>
        <v>-1.9300000000000001E-2</v>
      </c>
      <c r="F128" s="4">
        <f ca="1">-SUMIFS(INDIRECT("Tab_000.Trial["&amp;F$4&amp;"]"),Tab_000.Trial[CONTA],$B128)</f>
        <v>0</v>
      </c>
      <c r="G128" s="78">
        <f t="shared" ca="1" si="91"/>
        <v>0</v>
      </c>
      <c r="H128" s="78">
        <f t="shared" ca="1" si="113"/>
        <v>1</v>
      </c>
      <c r="I128" s="4">
        <f ca="1">-SUMIFS(INDIRECT("Tab_000.Trial["&amp;I$4&amp;"]"),Tab_000.Trial[CONTA],$B128)</f>
        <v>-17980.080000000002</v>
      </c>
      <c r="J128" s="78">
        <f t="shared" ca="1" si="92"/>
        <v>-1.7299999999999999E-2</v>
      </c>
      <c r="K128" s="78">
        <f t="shared" ca="1" si="93"/>
        <v>0</v>
      </c>
      <c r="L128" s="4">
        <f ca="1">-SUMIFS(INDIRECT("Tab_000.Trial["&amp;L$4&amp;"]"),Tab_000.Trial[CONTA],$B128)</f>
        <v>-17980.080000000002</v>
      </c>
      <c r="M128" s="78">
        <f t="shared" ca="1" si="94"/>
        <v>-1.7999999999999999E-2</v>
      </c>
      <c r="N128" s="78">
        <f t="shared" ca="1" si="95"/>
        <v>0</v>
      </c>
      <c r="O128" s="4">
        <f ca="1">-SUMIFS(INDIRECT("Tab_000.Trial["&amp;O$4&amp;"]"),Tab_000.Trial[CONTA],$B128)</f>
        <v>-17980.080000000002</v>
      </c>
      <c r="P128" s="78">
        <f t="shared" ca="1" si="114"/>
        <v>-1.4999999999999999E-2</v>
      </c>
      <c r="Q128" s="78">
        <f t="shared" ca="1" si="115"/>
        <v>0</v>
      </c>
      <c r="R128" s="4">
        <f ca="1">-SUMIFS(INDIRECT("Tab_000.Trial["&amp;R$4&amp;"]"),Tab_000.Trial[CONTA],$B128)</f>
        <v>-17980.080000000002</v>
      </c>
      <c r="S128" s="78">
        <f t="shared" ca="1" si="98"/>
        <v>-1.7000000000000001E-2</v>
      </c>
      <c r="T128" s="78">
        <f t="shared" ca="1" si="99"/>
        <v>0</v>
      </c>
      <c r="U128" s="4">
        <f ca="1">-SUMIFS(INDIRECT("Tab_000.Trial["&amp;U$4&amp;"]"),Tab_000.Trial[CONTA],$B128)</f>
        <v>-17980.080000000002</v>
      </c>
      <c r="V128" s="78">
        <f t="shared" ca="1" si="100"/>
        <v>-1.7000000000000001E-2</v>
      </c>
      <c r="W128" s="78">
        <f t="shared" ca="1" si="101"/>
        <v>0</v>
      </c>
      <c r="X128" s="4">
        <f ca="1">-SUMIFS(INDIRECT("Tab_000.Trial["&amp;X$4&amp;"]"),Tab_000.Trial[CONTA],$B128)</f>
        <v>-17980.080000000002</v>
      </c>
      <c r="Y128" s="78">
        <f t="shared" ca="1" si="116"/>
        <v>-1.7000000000000001E-2</v>
      </c>
      <c r="Z128" s="78">
        <f t="shared" ca="1" si="117"/>
        <v>0</v>
      </c>
      <c r="AA128" s="4">
        <f ca="1">-SUMIFS(INDIRECT("Tab_000.Trial["&amp;AA$4&amp;"]"),Tab_000.Trial[CONTA],$B128)</f>
        <v>-17980.09</v>
      </c>
      <c r="AB128" s="78">
        <f t="shared" ca="1" si="104"/>
        <v>-1.8599999999999998E-2</v>
      </c>
      <c r="AC128" s="78">
        <f t="shared" ca="1" si="105"/>
        <v>0</v>
      </c>
      <c r="AD128" s="4">
        <f ca="1">-SUMIFS(INDIRECT("Tab_000.Trial["&amp;AD$4&amp;"]"),Tab_000.Trial[CONTA],$B128)</f>
        <v>-17980.080000000002</v>
      </c>
      <c r="AE128" s="78">
        <f t="shared" ca="1" si="106"/>
        <v>-1.47E-2</v>
      </c>
      <c r="AF128" s="78">
        <f t="shared" ca="1" si="107"/>
        <v>0</v>
      </c>
      <c r="AG128" s="4">
        <f ca="1">-SUMIFS(INDIRECT("Tab_000.Trial["&amp;AG$4&amp;"]"),Tab_000.Trial[CONTA],$B128)</f>
        <v>-17980.080000000002</v>
      </c>
      <c r="AH128" s="78">
        <f t="shared" ca="1" si="108"/>
        <v>-1.9900000000000001E-2</v>
      </c>
      <c r="AI128" s="78">
        <f t="shared" ca="1" si="109"/>
        <v>0</v>
      </c>
      <c r="AJ128" s="4">
        <f ca="1">-SUMIFS(INDIRECT("Tab_000.Trial["&amp;AJ$4&amp;"]"),Tab_000.Trial[CONTA],$B128)</f>
        <v>-17980.080000000002</v>
      </c>
      <c r="AK128" s="78">
        <f t="shared" ca="1" si="110"/>
        <v>-1.2200000000000001E-2</v>
      </c>
      <c r="AL128" s="78">
        <f t="shared" ca="1" si="111"/>
        <v>0</v>
      </c>
    </row>
    <row r="129" spans="2:39" ht="15" customHeight="1" outlineLevel="1" x14ac:dyDescent="0.3">
      <c r="B129" s="14" t="s">
        <v>752</v>
      </c>
      <c r="C129" s="14" t="s">
        <v>753</v>
      </c>
      <c r="D129" s="4">
        <f ca="1">-SUMIFS(INDIRECT("Tab_000.Trial["&amp;D$4&amp;"]"),Tab_000.Trial[CONTA],$B129)</f>
        <v>0</v>
      </c>
      <c r="E129" s="78">
        <f t="shared" ca="1" si="112"/>
        <v>0</v>
      </c>
      <c r="F129" s="4">
        <f ca="1">-SUMIFS(INDIRECT("Tab_000.Trial["&amp;F$4&amp;"]"),Tab_000.Trial[CONTA],$B129)</f>
        <v>0</v>
      </c>
      <c r="G129" s="78">
        <f t="shared" ca="1" si="91"/>
        <v>0</v>
      </c>
      <c r="H129" s="78">
        <f t="shared" ca="1" si="113"/>
        <v>0</v>
      </c>
      <c r="I129" s="4">
        <f ca="1">-SUMIFS(INDIRECT("Tab_000.Trial["&amp;I$4&amp;"]"),Tab_000.Trial[CONTA],$B129)</f>
        <v>0</v>
      </c>
      <c r="J129" s="78">
        <f t="shared" ca="1" si="92"/>
        <v>0</v>
      </c>
      <c r="K129" s="78">
        <f t="shared" ca="1" si="93"/>
        <v>0</v>
      </c>
      <c r="L129" s="4">
        <f ca="1">-SUMIFS(INDIRECT("Tab_000.Trial["&amp;L$4&amp;"]"),Tab_000.Trial[CONTA],$B129)</f>
        <v>-5000</v>
      </c>
      <c r="M129" s="78">
        <f t="shared" ca="1" si="94"/>
        <v>-5.0000000000000001E-3</v>
      </c>
      <c r="N129" s="78">
        <f t="shared" ca="1" si="95"/>
        <v>0</v>
      </c>
      <c r="O129" s="4">
        <f ca="1">-SUMIFS(INDIRECT("Tab_000.Trial["&amp;O$4&amp;"]"),Tab_000.Trial[CONTA],$B129)</f>
        <v>0</v>
      </c>
      <c r="P129" s="78">
        <f t="shared" ca="1" si="114"/>
        <v>0</v>
      </c>
      <c r="Q129" s="78">
        <f t="shared" ca="1" si="115"/>
        <v>1</v>
      </c>
      <c r="R129" s="4">
        <f ca="1">-SUMIFS(INDIRECT("Tab_000.Trial["&amp;R$4&amp;"]"),Tab_000.Trial[CONTA],$B129)</f>
        <v>0</v>
      </c>
      <c r="S129" s="78">
        <f t="shared" ca="1" si="98"/>
        <v>0</v>
      </c>
      <c r="T129" s="78">
        <f t="shared" ca="1" si="99"/>
        <v>0</v>
      </c>
      <c r="U129" s="4">
        <f ca="1">-SUMIFS(INDIRECT("Tab_000.Trial["&amp;U$4&amp;"]"),Tab_000.Trial[CONTA],$B129)</f>
        <v>0</v>
      </c>
      <c r="V129" s="78">
        <f t="shared" ca="1" si="100"/>
        <v>0</v>
      </c>
      <c r="W129" s="78">
        <f t="shared" ca="1" si="101"/>
        <v>0</v>
      </c>
      <c r="X129" s="4">
        <f ca="1">-SUMIFS(INDIRECT("Tab_000.Trial["&amp;X$4&amp;"]"),Tab_000.Trial[CONTA],$B129)</f>
        <v>0</v>
      </c>
      <c r="Y129" s="78">
        <f t="shared" ca="1" si="116"/>
        <v>0</v>
      </c>
      <c r="Z129" s="78">
        <f t="shared" ca="1" si="117"/>
        <v>0</v>
      </c>
      <c r="AA129" s="4">
        <f ca="1">-SUMIFS(INDIRECT("Tab_000.Trial["&amp;AA$4&amp;"]"),Tab_000.Trial[CONTA],$B129)</f>
        <v>0</v>
      </c>
      <c r="AB129" s="78">
        <f t="shared" ca="1" si="104"/>
        <v>0</v>
      </c>
      <c r="AC129" s="78">
        <f t="shared" ca="1" si="105"/>
        <v>0</v>
      </c>
      <c r="AD129" s="4">
        <f ca="1">-SUMIFS(INDIRECT("Tab_000.Trial["&amp;AD$4&amp;"]"),Tab_000.Trial[CONTA],$B129)</f>
        <v>0</v>
      </c>
      <c r="AE129" s="78">
        <f t="shared" ca="1" si="106"/>
        <v>0</v>
      </c>
      <c r="AF129" s="78">
        <f t="shared" ca="1" si="107"/>
        <v>0</v>
      </c>
      <c r="AG129" s="4">
        <f ca="1">-SUMIFS(INDIRECT("Tab_000.Trial["&amp;AG$4&amp;"]"),Tab_000.Trial[CONTA],$B129)</f>
        <v>0</v>
      </c>
      <c r="AH129" s="78">
        <f t="shared" ca="1" si="108"/>
        <v>0</v>
      </c>
      <c r="AI129" s="78">
        <f t="shared" ca="1" si="109"/>
        <v>0</v>
      </c>
      <c r="AJ129" s="4">
        <f ca="1">-SUMIFS(INDIRECT("Tab_000.Trial["&amp;AJ$4&amp;"]"),Tab_000.Trial[CONTA],$B129)</f>
        <v>0</v>
      </c>
      <c r="AK129" s="78">
        <f t="shared" ca="1" si="110"/>
        <v>0</v>
      </c>
      <c r="AL129" s="78">
        <f t="shared" ca="1" si="111"/>
        <v>0</v>
      </c>
    </row>
    <row r="130" spans="2:39" ht="15" customHeight="1" outlineLevel="1" x14ac:dyDescent="0.3">
      <c r="B130" s="14" t="s">
        <v>774</v>
      </c>
      <c r="C130" s="14" t="s">
        <v>435</v>
      </c>
      <c r="D130" s="4">
        <f ca="1">-SUMIFS(INDIRECT("Tab_000.Trial["&amp;D$4&amp;"]"),Tab_000.Trial[CONTA],$B130)</f>
        <v>0</v>
      </c>
      <c r="E130" s="78">
        <f t="shared" ca="1" si="112"/>
        <v>0</v>
      </c>
      <c r="F130" s="4">
        <f ca="1">-SUMIFS(INDIRECT("Tab_000.Trial["&amp;F$4&amp;"]"),Tab_000.Trial[CONTA],$B130)</f>
        <v>0</v>
      </c>
      <c r="G130" s="78">
        <f t="shared" ca="1" si="91"/>
        <v>0</v>
      </c>
      <c r="H130" s="78">
        <f t="shared" ca="1" si="113"/>
        <v>0</v>
      </c>
      <c r="I130" s="4">
        <f ca="1">-SUMIFS(INDIRECT("Tab_000.Trial["&amp;I$4&amp;"]"),Tab_000.Trial[CONTA],$B130)</f>
        <v>0</v>
      </c>
      <c r="J130" s="78">
        <f t="shared" ca="1" si="92"/>
        <v>0</v>
      </c>
      <c r="K130" s="78">
        <f t="shared" ca="1" si="93"/>
        <v>0</v>
      </c>
      <c r="L130" s="4">
        <f ca="1">-SUMIFS(INDIRECT("Tab_000.Trial["&amp;L$4&amp;"]"),Tab_000.Trial[CONTA],$B130)</f>
        <v>0</v>
      </c>
      <c r="M130" s="78">
        <f t="shared" ca="1" si="94"/>
        <v>0</v>
      </c>
      <c r="N130" s="78">
        <f t="shared" ca="1" si="95"/>
        <v>0</v>
      </c>
      <c r="O130" s="4">
        <f ca="1">-SUMIFS(INDIRECT("Tab_000.Trial["&amp;O$4&amp;"]"),Tab_000.Trial[CONTA],$B130)</f>
        <v>0</v>
      </c>
      <c r="P130" s="78">
        <f t="shared" ca="1" si="114"/>
        <v>0</v>
      </c>
      <c r="Q130" s="78">
        <f t="shared" ca="1" si="115"/>
        <v>0</v>
      </c>
      <c r="R130" s="4">
        <f ca="1">-SUMIFS(INDIRECT("Tab_000.Trial["&amp;R$4&amp;"]"),Tab_000.Trial[CONTA],$B130)</f>
        <v>0</v>
      </c>
      <c r="S130" s="78">
        <f t="shared" ca="1" si="98"/>
        <v>0</v>
      </c>
      <c r="T130" s="78">
        <f t="shared" ca="1" si="99"/>
        <v>0</v>
      </c>
      <c r="U130" s="4">
        <f ca="1">-SUMIFS(INDIRECT("Tab_000.Trial["&amp;U$4&amp;"]"),Tab_000.Trial[CONTA],$B130)</f>
        <v>0</v>
      </c>
      <c r="V130" s="78">
        <f t="shared" ca="1" si="100"/>
        <v>0</v>
      </c>
      <c r="W130" s="78">
        <f t="shared" ca="1" si="101"/>
        <v>0</v>
      </c>
      <c r="X130" s="4">
        <f ca="1">-SUMIFS(INDIRECT("Tab_000.Trial["&amp;X$4&amp;"]"),Tab_000.Trial[CONTA],$B130)</f>
        <v>0</v>
      </c>
      <c r="Y130" s="78">
        <f t="shared" ca="1" si="116"/>
        <v>0</v>
      </c>
      <c r="Z130" s="78">
        <f t="shared" ca="1" si="117"/>
        <v>0</v>
      </c>
      <c r="AA130" s="4">
        <f ca="1">-SUMIFS(INDIRECT("Tab_000.Trial["&amp;AA$4&amp;"]"),Tab_000.Trial[CONTA],$B130)</f>
        <v>0</v>
      </c>
      <c r="AB130" s="78">
        <f t="shared" ca="1" si="104"/>
        <v>0</v>
      </c>
      <c r="AC130" s="78">
        <f t="shared" ca="1" si="105"/>
        <v>0</v>
      </c>
      <c r="AD130" s="4">
        <f ca="1">-SUMIFS(INDIRECT("Tab_000.Trial["&amp;AD$4&amp;"]"),Tab_000.Trial[CONTA],$B130)</f>
        <v>0</v>
      </c>
      <c r="AE130" s="78">
        <f t="shared" ca="1" si="106"/>
        <v>0</v>
      </c>
      <c r="AF130" s="78">
        <f t="shared" ca="1" si="107"/>
        <v>0</v>
      </c>
      <c r="AG130" s="4">
        <f ca="1">-SUMIFS(INDIRECT("Tab_000.Trial["&amp;AG$4&amp;"]"),Tab_000.Trial[CONTA],$B130)</f>
        <v>0</v>
      </c>
      <c r="AH130" s="78">
        <f t="shared" ca="1" si="108"/>
        <v>0</v>
      </c>
      <c r="AI130" s="78">
        <f t="shared" ca="1" si="109"/>
        <v>0</v>
      </c>
      <c r="AJ130" s="4">
        <f ca="1">-SUMIFS(INDIRECT("Tab_000.Trial["&amp;AJ$4&amp;"]"),Tab_000.Trial[CONTA],$B130)</f>
        <v>0</v>
      </c>
      <c r="AK130" s="78">
        <f t="shared" ca="1" si="110"/>
        <v>0</v>
      </c>
      <c r="AL130" s="78">
        <f t="shared" ca="1" si="111"/>
        <v>0</v>
      </c>
    </row>
    <row r="131" spans="2:39" ht="15" customHeight="1" outlineLevel="1" x14ac:dyDescent="0.3">
      <c r="B131" s="14" t="s">
        <v>775</v>
      </c>
      <c r="C131" s="14" t="s">
        <v>751</v>
      </c>
      <c r="D131" s="4">
        <f ca="1">-SUMIFS(INDIRECT("Tab_000.Trial["&amp;D$4&amp;"]"),Tab_000.Trial[CONTA],$B131)</f>
        <v>0</v>
      </c>
      <c r="E131" s="78">
        <f t="shared" ca="1" si="112"/>
        <v>0</v>
      </c>
      <c r="F131" s="4">
        <f ca="1">-SUMIFS(INDIRECT("Tab_000.Trial["&amp;F$4&amp;"]"),Tab_000.Trial[CONTA],$B131)</f>
        <v>0</v>
      </c>
      <c r="G131" s="78">
        <f t="shared" ca="1" si="91"/>
        <v>0</v>
      </c>
      <c r="H131" s="78">
        <f t="shared" ca="1" si="113"/>
        <v>0</v>
      </c>
      <c r="I131" s="4">
        <f ca="1">-SUMIFS(INDIRECT("Tab_000.Trial["&amp;I$4&amp;"]"),Tab_000.Trial[CONTA],$B131)</f>
        <v>0</v>
      </c>
      <c r="J131" s="78">
        <f t="shared" ca="1" si="92"/>
        <v>0</v>
      </c>
      <c r="K131" s="78">
        <f t="shared" ca="1" si="93"/>
        <v>0</v>
      </c>
      <c r="L131" s="4">
        <f ca="1">-SUMIFS(INDIRECT("Tab_000.Trial["&amp;L$4&amp;"]"),Tab_000.Trial[CONTA],$B131)</f>
        <v>0</v>
      </c>
      <c r="M131" s="78">
        <f t="shared" ca="1" si="94"/>
        <v>0</v>
      </c>
      <c r="N131" s="78">
        <f t="shared" ca="1" si="95"/>
        <v>0</v>
      </c>
      <c r="O131" s="4">
        <f ca="1">-SUMIFS(INDIRECT("Tab_000.Trial["&amp;O$4&amp;"]"),Tab_000.Trial[CONTA],$B131)</f>
        <v>0</v>
      </c>
      <c r="P131" s="78">
        <f t="shared" ca="1" si="114"/>
        <v>0</v>
      </c>
      <c r="Q131" s="78">
        <f t="shared" ca="1" si="115"/>
        <v>0</v>
      </c>
      <c r="R131" s="4">
        <f ca="1">-SUMIFS(INDIRECT("Tab_000.Trial["&amp;R$4&amp;"]"),Tab_000.Trial[CONTA],$B131)</f>
        <v>0</v>
      </c>
      <c r="S131" s="78">
        <f t="shared" ca="1" si="98"/>
        <v>0</v>
      </c>
      <c r="T131" s="78">
        <f t="shared" ca="1" si="99"/>
        <v>0</v>
      </c>
      <c r="U131" s="4">
        <f ca="1">-SUMIFS(INDIRECT("Tab_000.Trial["&amp;U$4&amp;"]"),Tab_000.Trial[CONTA],$B131)</f>
        <v>0</v>
      </c>
      <c r="V131" s="78">
        <f t="shared" ca="1" si="100"/>
        <v>0</v>
      </c>
      <c r="W131" s="78">
        <f t="shared" ca="1" si="101"/>
        <v>0</v>
      </c>
      <c r="X131" s="4">
        <f ca="1">-SUMIFS(INDIRECT("Tab_000.Trial["&amp;X$4&amp;"]"),Tab_000.Trial[CONTA],$B131)</f>
        <v>0</v>
      </c>
      <c r="Y131" s="78">
        <f t="shared" ca="1" si="116"/>
        <v>0</v>
      </c>
      <c r="Z131" s="78">
        <f t="shared" ca="1" si="117"/>
        <v>0</v>
      </c>
      <c r="AA131" s="4">
        <f ca="1">-SUMIFS(INDIRECT("Tab_000.Trial["&amp;AA$4&amp;"]"),Tab_000.Trial[CONTA],$B131)</f>
        <v>386.16</v>
      </c>
      <c r="AB131" s="78">
        <f t="shared" ca="1" si="104"/>
        <v>4.0000000000000002E-4</v>
      </c>
      <c r="AC131" s="78">
        <f t="shared" ca="1" si="105"/>
        <v>0</v>
      </c>
      <c r="AD131" s="4">
        <f ca="1">-SUMIFS(INDIRECT("Tab_000.Trial["&amp;AD$4&amp;"]"),Tab_000.Trial[CONTA],$B131)</f>
        <v>0</v>
      </c>
      <c r="AE131" s="78">
        <f t="shared" ca="1" si="106"/>
        <v>0</v>
      </c>
      <c r="AF131" s="78">
        <f t="shared" ca="1" si="107"/>
        <v>-1</v>
      </c>
      <c r="AG131" s="4">
        <f ca="1">-SUMIFS(INDIRECT("Tab_000.Trial["&amp;AG$4&amp;"]"),Tab_000.Trial[CONTA],$B131)</f>
        <v>0</v>
      </c>
      <c r="AH131" s="78">
        <f t="shared" ca="1" si="108"/>
        <v>0</v>
      </c>
      <c r="AI131" s="78">
        <f t="shared" ca="1" si="109"/>
        <v>0</v>
      </c>
      <c r="AJ131" s="4">
        <f ca="1">-SUMIFS(INDIRECT("Tab_000.Trial["&amp;AJ$4&amp;"]"),Tab_000.Trial[CONTA],$B131)</f>
        <v>0</v>
      </c>
      <c r="AK131" s="78">
        <f t="shared" ca="1" si="110"/>
        <v>0</v>
      </c>
      <c r="AL131" s="78">
        <f t="shared" ca="1" si="111"/>
        <v>0</v>
      </c>
    </row>
    <row r="132" spans="2:39" ht="15" customHeight="1" outlineLevel="1" x14ac:dyDescent="0.3">
      <c r="B132" s="14" t="s">
        <v>839</v>
      </c>
      <c r="C132" s="14" t="s">
        <v>840</v>
      </c>
      <c r="D132" s="4">
        <f ca="1">-SUMIFS(INDIRECT("Tab_000.Trial["&amp;D$4&amp;"]"),Tab_000.Trial[CONTA],$B132)</f>
        <v>-7500</v>
      </c>
      <c r="E132" s="78">
        <f t="shared" ca="1" si="112"/>
        <v>-8.0000000000000002E-3</v>
      </c>
      <c r="F132" s="4">
        <f ca="1">-SUMIFS(INDIRECT("Tab_000.Trial["&amp;F$4&amp;"]"),Tab_000.Trial[CONTA],$B132)</f>
        <v>0</v>
      </c>
      <c r="G132" s="78">
        <f t="shared" ca="1" si="91"/>
        <v>0</v>
      </c>
      <c r="H132" s="78">
        <f t="shared" ca="1" si="113"/>
        <v>1</v>
      </c>
      <c r="I132" s="4">
        <f ca="1">-SUMIFS(INDIRECT("Tab_000.Trial["&amp;I$4&amp;"]"),Tab_000.Trial[CONTA],$B132)</f>
        <v>-7500</v>
      </c>
      <c r="J132" s="78">
        <f t="shared" ca="1" si="92"/>
        <v>-7.1999999999999998E-3</v>
      </c>
      <c r="K132" s="78">
        <f t="shared" ca="1" si="93"/>
        <v>0</v>
      </c>
      <c r="L132" s="4">
        <f ca="1">-SUMIFS(INDIRECT("Tab_000.Trial["&amp;L$4&amp;"]"),Tab_000.Trial[CONTA],$B132)</f>
        <v>-7500</v>
      </c>
      <c r="M132" s="78">
        <f t="shared" ca="1" si="94"/>
        <v>-7.4999999999999997E-3</v>
      </c>
      <c r="N132" s="78">
        <f t="shared" ca="1" si="95"/>
        <v>0</v>
      </c>
      <c r="O132" s="4">
        <f ca="1">-SUMIFS(INDIRECT("Tab_000.Trial["&amp;O$4&amp;"]"),Tab_000.Trial[CONTA],$B132)</f>
        <v>-7500</v>
      </c>
      <c r="P132" s="78">
        <f t="shared" ca="1" si="114"/>
        <v>-6.1999999999999998E-3</v>
      </c>
      <c r="Q132" s="78">
        <f t="shared" ca="1" si="115"/>
        <v>0</v>
      </c>
      <c r="R132" s="4">
        <f ca="1">-SUMIFS(INDIRECT("Tab_000.Trial["&amp;R$4&amp;"]"),Tab_000.Trial[CONTA],$B132)</f>
        <v>-7500</v>
      </c>
      <c r="S132" s="78">
        <f t="shared" ca="1" si="98"/>
        <v>-7.1000000000000004E-3</v>
      </c>
      <c r="T132" s="78">
        <f t="shared" ca="1" si="99"/>
        <v>0</v>
      </c>
      <c r="U132" s="4">
        <f ca="1">-SUMIFS(INDIRECT("Tab_000.Trial["&amp;U$4&amp;"]"),Tab_000.Trial[CONTA],$B132)</f>
        <v>-7500</v>
      </c>
      <c r="V132" s="78">
        <f t="shared" ca="1" si="100"/>
        <v>-7.1000000000000004E-3</v>
      </c>
      <c r="W132" s="78">
        <f t="shared" ca="1" si="101"/>
        <v>0</v>
      </c>
      <c r="X132" s="4">
        <f ca="1">-SUMIFS(INDIRECT("Tab_000.Trial["&amp;X$4&amp;"]"),Tab_000.Trial[CONTA],$B132)</f>
        <v>-7500</v>
      </c>
      <c r="Y132" s="78">
        <f t="shared" ca="1" si="116"/>
        <v>-7.1000000000000004E-3</v>
      </c>
      <c r="Z132" s="78">
        <f t="shared" ca="1" si="117"/>
        <v>0</v>
      </c>
      <c r="AA132" s="4">
        <f ca="1">-SUMIFS(INDIRECT("Tab_000.Trial["&amp;AA$4&amp;"]"),Tab_000.Trial[CONTA],$B132)</f>
        <v>-7500</v>
      </c>
      <c r="AB132" s="78">
        <f t="shared" ca="1" si="104"/>
        <v>-7.7000000000000002E-3</v>
      </c>
      <c r="AC132" s="78">
        <f t="shared" ca="1" si="105"/>
        <v>0</v>
      </c>
      <c r="AD132" s="4">
        <f ca="1">-SUMIFS(INDIRECT("Tab_000.Trial["&amp;AD$4&amp;"]"),Tab_000.Trial[CONTA],$B132)</f>
        <v>-7500</v>
      </c>
      <c r="AE132" s="78">
        <f t="shared" ca="1" si="106"/>
        <v>-6.1000000000000004E-3</v>
      </c>
      <c r="AF132" s="78">
        <f t="shared" ca="1" si="107"/>
        <v>0</v>
      </c>
      <c r="AG132" s="4">
        <f ca="1">-SUMIFS(INDIRECT("Tab_000.Trial["&amp;AG$4&amp;"]"),Tab_000.Trial[CONTA],$B132)</f>
        <v>-7500</v>
      </c>
      <c r="AH132" s="78">
        <f t="shared" ca="1" si="108"/>
        <v>-8.3000000000000001E-3</v>
      </c>
      <c r="AI132" s="78">
        <f t="shared" ca="1" si="109"/>
        <v>0</v>
      </c>
      <c r="AJ132" s="4">
        <f ca="1">-SUMIFS(INDIRECT("Tab_000.Trial["&amp;AJ$4&amp;"]"),Tab_000.Trial[CONTA],$B132)</f>
        <v>-7500</v>
      </c>
      <c r="AK132" s="78">
        <f t="shared" ca="1" si="110"/>
        <v>-5.1000000000000004E-3</v>
      </c>
      <c r="AL132" s="78">
        <f t="shared" ca="1" si="111"/>
        <v>0</v>
      </c>
    </row>
    <row r="133" spans="2:39" ht="5.0999999999999996" customHeight="1" outlineLevel="1" x14ac:dyDescent="0.3">
      <c r="B133" s="74"/>
      <c r="C133" s="75"/>
      <c r="D133" s="76"/>
      <c r="E133" s="77"/>
      <c r="F133" s="76"/>
      <c r="G133" s="77"/>
      <c r="H133" s="77"/>
      <c r="I133" s="76"/>
      <c r="J133" s="77"/>
      <c r="K133" s="77"/>
      <c r="L133" s="76"/>
      <c r="M133" s="77"/>
      <c r="N133" s="77"/>
      <c r="O133" s="76"/>
      <c r="P133" s="77"/>
      <c r="Q133" s="77"/>
      <c r="R133" s="76"/>
      <c r="S133" s="77"/>
      <c r="T133" s="77"/>
      <c r="U133" s="76"/>
      <c r="V133" s="77"/>
      <c r="W133" s="77"/>
      <c r="X133" s="76"/>
      <c r="Y133" s="77"/>
      <c r="Z133" s="77"/>
      <c r="AA133" s="76"/>
      <c r="AB133" s="77"/>
      <c r="AC133" s="77"/>
      <c r="AD133" s="76"/>
      <c r="AE133" s="77"/>
      <c r="AF133" s="77"/>
      <c r="AG133" s="76"/>
      <c r="AH133" s="77"/>
      <c r="AI133" s="77"/>
      <c r="AJ133" s="76"/>
      <c r="AK133" s="77"/>
      <c r="AL133" s="77"/>
    </row>
    <row r="134" spans="2:39" ht="15" customHeight="1" collapsed="1" x14ac:dyDescent="0.3">
      <c r="B134" s="3" t="s">
        <v>106</v>
      </c>
      <c r="C134" s="3" t="s">
        <v>147</v>
      </c>
      <c r="D134" s="4">
        <f ca="1">SUBTOTAL(9,D$135:D$144)</f>
        <v>-40945.24</v>
      </c>
      <c r="E134" s="78">
        <f t="shared" ref="E134:E143" ca="1" si="118">IFERROR($D134/$D$6,0)</f>
        <v>-4.3900000000000002E-2</v>
      </c>
      <c r="F134" s="4">
        <f ca="1">SUBTOTAL(9,F$135:F$144)</f>
        <v>-37363.51</v>
      </c>
      <c r="G134" s="78">
        <f ca="1">IFERROR($F134/$F$6,0)</f>
        <v>-7.1199999999999999E-2</v>
      </c>
      <c r="H134" s="78">
        <f t="shared" ref="H134:H143" ca="1" si="119">IFERROR(($F134-$D134)/ABS($D134),0)</f>
        <v>8.7499999999999994E-2</v>
      </c>
      <c r="I134" s="4">
        <f ca="1">SUBTOTAL(9,I$135:I$144)</f>
        <v>-37363.51</v>
      </c>
      <c r="J134" s="78">
        <f ca="1">IFERROR($I134/$I$6,0)</f>
        <v>-3.5999999999999997E-2</v>
      </c>
      <c r="K134" s="78">
        <f ca="1">IFERROR(($I134-$F134)/ABS($F134),0)</f>
        <v>0</v>
      </c>
      <c r="L134" s="4">
        <f ca="1">SUBTOTAL(9,L$135:L$144)</f>
        <v>-45874.28</v>
      </c>
      <c r="M134" s="78">
        <f ca="1">IFERROR($L134/$L$6,0)</f>
        <v>-4.58E-2</v>
      </c>
      <c r="N134" s="78">
        <f ca="1">IFERROR(($L134-$I134)/ABS($I134),0)</f>
        <v>-0.2278</v>
      </c>
      <c r="O134" s="4">
        <f ca="1">SUBTOTAL(9,O$135:O$144)</f>
        <v>-52258.35</v>
      </c>
      <c r="P134" s="78">
        <f ca="1">IFERROR($O134/$O$6,0)</f>
        <v>-4.3499999999999997E-2</v>
      </c>
      <c r="Q134" s="78">
        <f ca="1">IFERROR(($O134-$L134)/ABS($L134),0)</f>
        <v>-0.13919999999999999</v>
      </c>
      <c r="R134" s="4">
        <f ca="1">SUBTOTAL(9,R$135:R$144)</f>
        <v>-80404.41</v>
      </c>
      <c r="S134" s="78">
        <f ca="1">IFERROR($R134/$R$6,0)</f>
        <v>-7.5899999999999995E-2</v>
      </c>
      <c r="T134" s="78">
        <f ca="1">IFERROR(($R134-$O134)/ABS($O134),0)</f>
        <v>-0.53859999999999997</v>
      </c>
      <c r="U134" s="4">
        <f ca="1">SUBTOTAL(9,U$135:U$144)</f>
        <v>-80404.41</v>
      </c>
      <c r="V134" s="78">
        <f ca="1">IFERROR($U134/$U$6,0)</f>
        <v>-7.5899999999999995E-2</v>
      </c>
      <c r="W134" s="78">
        <f ca="1">IFERROR(($U134-$R134)/ABS($R134),0)</f>
        <v>0</v>
      </c>
      <c r="X134" s="4">
        <f ca="1">SUBTOTAL(9,X$135:X$144)</f>
        <v>-80404.41</v>
      </c>
      <c r="Y134" s="78">
        <f ca="1">IFERROR($X134/$X$6,0)</f>
        <v>-7.5899999999999995E-2</v>
      </c>
      <c r="Z134" s="78">
        <f ca="1">IFERROR(($X134-$U134)/ABS($U134),0)</f>
        <v>0</v>
      </c>
      <c r="AA134" s="4">
        <f ca="1">SUBTOTAL(9,AA$135:AA$144)</f>
        <v>-75518.3</v>
      </c>
      <c r="AB134" s="78">
        <f ca="1">IFERROR($AA134/$AA$6,0)</f>
        <v>-7.8E-2</v>
      </c>
      <c r="AC134" s="78">
        <f ca="1">IFERROR(($AA134-$X134)/ABS($X134),0)</f>
        <v>6.08E-2</v>
      </c>
      <c r="AD134" s="4">
        <f ca="1">SUBTOTAL(9,AD$135:AD$144)</f>
        <v>-74065.13</v>
      </c>
      <c r="AE134" s="78">
        <f ca="1">IFERROR($AD134/$AD$6,0)</f>
        <v>-6.0499999999999998E-2</v>
      </c>
      <c r="AF134" s="78">
        <f ca="1">IFERROR(($AD134-$AA134)/ABS($AA134),0)</f>
        <v>1.9199999999999998E-2</v>
      </c>
      <c r="AG134" s="4">
        <f ca="1">SUBTOTAL(9,AG$135:AG$144)</f>
        <v>-83487.63</v>
      </c>
      <c r="AH134" s="78">
        <f ca="1">IFERROR($AG134/$AG$6,0)</f>
        <v>-9.2399999999999996E-2</v>
      </c>
      <c r="AI134" s="78">
        <f ca="1">IFERROR(($AG134-$AD134)/ABS($AD134),0)</f>
        <v>-0.12720000000000001</v>
      </c>
      <c r="AJ134" s="4">
        <f ca="1">SUBTOTAL(9,AJ$135:AJ$144)</f>
        <v>-73706.45</v>
      </c>
      <c r="AK134" s="78">
        <f ca="1">IFERROR($AJ134/$AJ$6,0)</f>
        <v>-0.05</v>
      </c>
      <c r="AL134" s="78">
        <f ca="1">IFERROR(($AJ134-$AG134)/ABS($AG134),0)</f>
        <v>0.1172</v>
      </c>
      <c r="AM134" s="1" t="s">
        <v>765</v>
      </c>
    </row>
    <row r="135" spans="2:39" ht="15" hidden="1" customHeight="1" outlineLevel="1" x14ac:dyDescent="0.3">
      <c r="B135" s="14" t="s">
        <v>459</v>
      </c>
      <c r="C135" s="14" t="s">
        <v>460</v>
      </c>
      <c r="D135" s="4">
        <f ca="1">-SUMIFS(INDIRECT("Tab_000.Trial["&amp;D$4&amp;"]"),Tab_000.Trial[CONTA],$B135)</f>
        <v>-7634.62</v>
      </c>
      <c r="E135" s="78">
        <f t="shared" ca="1" si="118"/>
        <v>-8.2000000000000007E-3</v>
      </c>
      <c r="F135" s="4">
        <f ca="1">-SUMIFS(INDIRECT("Tab_000.Trial["&amp;F$4&amp;"]"),Tab_000.Trial[CONTA],$B135)</f>
        <v>-7634.62</v>
      </c>
      <c r="G135" s="78">
        <f t="shared" ca="1" si="91"/>
        <v>-1.46E-2</v>
      </c>
      <c r="H135" s="78">
        <f t="shared" ca="1" si="119"/>
        <v>0</v>
      </c>
      <c r="I135" s="4">
        <f ca="1">-SUMIFS(INDIRECT("Tab_000.Trial["&amp;I$4&amp;"]"),Tab_000.Trial[CONTA],$B135)</f>
        <v>-7634.62</v>
      </c>
      <c r="J135" s="78">
        <f t="shared" ca="1" si="92"/>
        <v>-7.4000000000000003E-3</v>
      </c>
      <c r="K135" s="78">
        <f t="shared" ca="1" si="93"/>
        <v>0</v>
      </c>
      <c r="L135" s="4">
        <f ca="1">-SUMIFS(INDIRECT("Tab_000.Trial["&amp;L$4&amp;"]"),Tab_000.Trial[CONTA],$B135)</f>
        <v>-7678.72</v>
      </c>
      <c r="M135" s="78">
        <f t="shared" ca="1" si="94"/>
        <v>-7.7000000000000002E-3</v>
      </c>
      <c r="N135" s="78">
        <f t="shared" ca="1" si="95"/>
        <v>-5.7999999999999996E-3</v>
      </c>
      <c r="O135" s="4">
        <f ca="1">-SUMIFS(INDIRECT("Tab_000.Trial["&amp;O$4&amp;"]"),Tab_000.Trial[CONTA],$B135)</f>
        <v>-7634.62</v>
      </c>
      <c r="P135" s="78">
        <f t="shared" ref="P135:P143" ca="1" si="120">IFERROR($O135/$O$6,0)</f>
        <v>-6.4000000000000003E-3</v>
      </c>
      <c r="Q135" s="78">
        <f t="shared" ref="Q135:Q143" ca="1" si="121">IFERROR(($O135-$L135)/ABS($L135),0)</f>
        <v>5.7000000000000002E-3</v>
      </c>
      <c r="R135" s="4">
        <f ca="1">-SUMIFS(INDIRECT("Tab_000.Trial["&amp;R$4&amp;"]"),Tab_000.Trial[CONTA],$B135)</f>
        <v>-7634.62</v>
      </c>
      <c r="S135" s="78">
        <f t="shared" ca="1" si="98"/>
        <v>-7.1999999999999998E-3</v>
      </c>
      <c r="T135" s="78">
        <f t="shared" ca="1" si="99"/>
        <v>0</v>
      </c>
      <c r="U135" s="4">
        <f ca="1">-SUMIFS(INDIRECT("Tab_000.Trial["&amp;U$4&amp;"]"),Tab_000.Trial[CONTA],$B135)</f>
        <v>-7634.62</v>
      </c>
      <c r="V135" s="78">
        <f t="shared" ca="1" si="100"/>
        <v>-7.1999999999999998E-3</v>
      </c>
      <c r="W135" s="78">
        <f t="shared" ca="1" si="101"/>
        <v>0</v>
      </c>
      <c r="X135" s="4">
        <f ca="1">-SUMIFS(INDIRECT("Tab_000.Trial["&amp;X$4&amp;"]"),Tab_000.Trial[CONTA],$B135)</f>
        <v>-7634.62</v>
      </c>
      <c r="Y135" s="78">
        <f t="shared" ref="Y135:Y143" ca="1" si="122">IFERROR($X135/$X$6,0)</f>
        <v>-7.1999999999999998E-3</v>
      </c>
      <c r="Z135" s="78">
        <f t="shared" ref="Z135:Z143" ca="1" si="123">IFERROR(($X135-$U135)/ABS($U135),0)</f>
        <v>0</v>
      </c>
      <c r="AA135" s="4">
        <f ca="1">-SUMIFS(INDIRECT("Tab_000.Trial["&amp;AA$4&amp;"]"),Tab_000.Trial[CONTA],$B135)</f>
        <v>-9157.56</v>
      </c>
      <c r="AB135" s="78">
        <f t="shared" ca="1" si="104"/>
        <v>-9.4999999999999998E-3</v>
      </c>
      <c r="AC135" s="78">
        <f t="shared" ca="1" si="105"/>
        <v>-0.19950000000000001</v>
      </c>
      <c r="AD135" s="4">
        <f ca="1">-SUMIFS(INDIRECT("Tab_000.Trial["&amp;AD$4&amp;"]"),Tab_000.Trial[CONTA],$B135)</f>
        <v>-9157.56</v>
      </c>
      <c r="AE135" s="78">
        <f t="shared" ca="1" si="106"/>
        <v>-7.4999999999999997E-3</v>
      </c>
      <c r="AF135" s="78">
        <f t="shared" ca="1" si="107"/>
        <v>0</v>
      </c>
      <c r="AG135" s="4">
        <f ca="1">-SUMIFS(INDIRECT("Tab_000.Trial["&amp;AG$4&amp;"]"),Tab_000.Trial[CONTA],$B135)</f>
        <v>-17115.12</v>
      </c>
      <c r="AH135" s="78">
        <f t="shared" ca="1" si="108"/>
        <v>-1.89E-2</v>
      </c>
      <c r="AI135" s="78">
        <f t="shared" ca="1" si="109"/>
        <v>-0.86899999999999999</v>
      </c>
      <c r="AJ135" s="4">
        <f ca="1">-SUMIFS(INDIRECT("Tab_000.Trial["&amp;AJ$4&amp;"]"),Tab_000.Trial[CONTA],$B135)</f>
        <v>-9157.56</v>
      </c>
      <c r="AK135" s="78">
        <f t="shared" ca="1" si="110"/>
        <v>-6.1999999999999998E-3</v>
      </c>
      <c r="AL135" s="78">
        <f t="shared" ca="1" si="111"/>
        <v>0.46489999999999998</v>
      </c>
      <c r="AM135" s="1" t="s">
        <v>776</v>
      </c>
    </row>
    <row r="136" spans="2:39" ht="15" hidden="1" customHeight="1" outlineLevel="1" x14ac:dyDescent="0.3">
      <c r="B136" s="14" t="s">
        <v>461</v>
      </c>
      <c r="C136" s="14" t="s">
        <v>462</v>
      </c>
      <c r="D136" s="4">
        <f ca="1">-SUMIFS(INDIRECT("Tab_000.Trial["&amp;D$4&amp;"]"),Tab_000.Trial[CONTA],$B136)</f>
        <v>-17299.38</v>
      </c>
      <c r="E136" s="78">
        <f t="shared" ca="1" si="118"/>
        <v>-1.8499999999999999E-2</v>
      </c>
      <c r="F136" s="4">
        <f ca="1">-SUMIFS(INDIRECT("Tab_000.Trial["&amp;F$4&amp;"]"),Tab_000.Trial[CONTA],$B136)</f>
        <v>-13807.65</v>
      </c>
      <c r="G136" s="78">
        <f t="shared" ca="1" si="91"/>
        <v>-2.63E-2</v>
      </c>
      <c r="H136" s="78">
        <f t="shared" ca="1" si="119"/>
        <v>0.20180000000000001</v>
      </c>
      <c r="I136" s="4">
        <f ca="1">-SUMIFS(INDIRECT("Tab_000.Trial["&amp;I$4&amp;"]"),Tab_000.Trial[CONTA],$B136)</f>
        <v>-13807.65</v>
      </c>
      <c r="J136" s="78">
        <f t="shared" ca="1" si="92"/>
        <v>-1.3299999999999999E-2</v>
      </c>
      <c r="K136" s="78">
        <f t="shared" ca="1" si="93"/>
        <v>0</v>
      </c>
      <c r="L136" s="4">
        <f ca="1">-SUMIFS(INDIRECT("Tab_000.Trial["&amp;L$4&amp;"]"),Tab_000.Trial[CONTA],$B136)</f>
        <v>-13657.65</v>
      </c>
      <c r="M136" s="78">
        <f t="shared" ca="1" si="94"/>
        <v>-1.3599999999999999E-2</v>
      </c>
      <c r="N136" s="78">
        <f t="shared" ca="1" si="95"/>
        <v>1.09E-2</v>
      </c>
      <c r="O136" s="4">
        <f ca="1">-SUMIFS(INDIRECT("Tab_000.Trial["&amp;O$4&amp;"]"),Tab_000.Trial[CONTA],$B136)</f>
        <v>-20954.43</v>
      </c>
      <c r="P136" s="78">
        <f t="shared" ca="1" si="120"/>
        <v>-1.7399999999999999E-2</v>
      </c>
      <c r="Q136" s="78">
        <f t="shared" ca="1" si="121"/>
        <v>-0.5343</v>
      </c>
      <c r="R136" s="4">
        <f ca="1">-SUMIFS(INDIRECT("Tab_000.Trial["&amp;R$4&amp;"]"),Tab_000.Trial[CONTA],$B136)</f>
        <v>-11469.72</v>
      </c>
      <c r="S136" s="78">
        <f t="shared" ca="1" si="98"/>
        <v>-1.0800000000000001E-2</v>
      </c>
      <c r="T136" s="78">
        <f t="shared" ca="1" si="99"/>
        <v>0.4526</v>
      </c>
      <c r="U136" s="4">
        <f ca="1">-SUMIFS(INDIRECT("Tab_000.Trial["&amp;U$4&amp;"]"),Tab_000.Trial[CONTA],$B136)</f>
        <v>-11469.72</v>
      </c>
      <c r="V136" s="78">
        <f t="shared" ca="1" si="100"/>
        <v>-1.0800000000000001E-2</v>
      </c>
      <c r="W136" s="78">
        <f t="shared" ca="1" si="101"/>
        <v>0</v>
      </c>
      <c r="X136" s="4">
        <f ca="1">-SUMIFS(INDIRECT("Tab_000.Trial["&amp;X$4&amp;"]"),Tab_000.Trial[CONTA],$B136)</f>
        <v>-11469.72</v>
      </c>
      <c r="Y136" s="78">
        <f t="shared" ca="1" si="122"/>
        <v>-1.0800000000000001E-2</v>
      </c>
      <c r="Z136" s="78">
        <f t="shared" ca="1" si="123"/>
        <v>0</v>
      </c>
      <c r="AA136" s="4">
        <f ca="1">-SUMIFS(INDIRECT("Tab_000.Trial["&amp;AA$4&amp;"]"),Tab_000.Trial[CONTA],$B136)</f>
        <v>-12350</v>
      </c>
      <c r="AB136" s="78">
        <f t="shared" ca="1" si="104"/>
        <v>-1.2800000000000001E-2</v>
      </c>
      <c r="AC136" s="78">
        <f t="shared" ca="1" si="105"/>
        <v>-7.6700000000000004E-2</v>
      </c>
      <c r="AD136" s="4">
        <f ca="1">-SUMIFS(INDIRECT("Tab_000.Trial["&amp;AD$4&amp;"]"),Tab_000.Trial[CONTA],$B136)</f>
        <v>-12350</v>
      </c>
      <c r="AE136" s="78">
        <f t="shared" ca="1" si="106"/>
        <v>-1.01E-2</v>
      </c>
      <c r="AF136" s="78">
        <f t="shared" ca="1" si="107"/>
        <v>0</v>
      </c>
      <c r="AG136" s="4">
        <f ca="1">-SUMIFS(INDIRECT("Tab_000.Trial["&amp;AG$4&amp;"]"),Tab_000.Trial[CONTA],$B136)</f>
        <v>-12200</v>
      </c>
      <c r="AH136" s="78">
        <f t="shared" ca="1" si="108"/>
        <v>-1.35E-2</v>
      </c>
      <c r="AI136" s="78">
        <f t="shared" ca="1" si="109"/>
        <v>1.21E-2</v>
      </c>
      <c r="AJ136" s="4">
        <f ca="1">-SUMIFS(INDIRECT("Tab_000.Trial["&amp;AJ$4&amp;"]"),Tab_000.Trial[CONTA],$B136)</f>
        <v>-12350</v>
      </c>
      <c r="AK136" s="78">
        <f t="shared" ca="1" si="110"/>
        <v>-8.3999999999999995E-3</v>
      </c>
      <c r="AL136" s="78">
        <f t="shared" ca="1" si="111"/>
        <v>-1.23E-2</v>
      </c>
    </row>
    <row r="137" spans="2:39" ht="15" hidden="1" customHeight="1" outlineLevel="1" x14ac:dyDescent="0.3">
      <c r="B137" s="14" t="s">
        <v>463</v>
      </c>
      <c r="C137" s="14" t="s">
        <v>464</v>
      </c>
      <c r="D137" s="4">
        <f ca="1">-SUMIFS(INDIRECT("Tab_000.Trial["&amp;D$4&amp;"]"),Tab_000.Trial[CONTA],$B137)</f>
        <v>0</v>
      </c>
      <c r="E137" s="78">
        <f t="shared" ca="1" si="118"/>
        <v>0</v>
      </c>
      <c r="F137" s="4">
        <f ca="1">-SUMIFS(INDIRECT("Tab_000.Trial["&amp;F$4&amp;"]"),Tab_000.Trial[CONTA],$B137)</f>
        <v>0</v>
      </c>
      <c r="G137" s="78">
        <f t="shared" ca="1" si="91"/>
        <v>0</v>
      </c>
      <c r="H137" s="78">
        <f t="shared" ca="1" si="119"/>
        <v>0</v>
      </c>
      <c r="I137" s="4">
        <f ca="1">-SUMIFS(INDIRECT("Tab_000.Trial["&amp;I$4&amp;"]"),Tab_000.Trial[CONTA],$B137)</f>
        <v>0</v>
      </c>
      <c r="J137" s="78">
        <f t="shared" ca="1" si="92"/>
        <v>0</v>
      </c>
      <c r="K137" s="78">
        <f t="shared" ca="1" si="93"/>
        <v>0</v>
      </c>
      <c r="L137" s="4">
        <f ca="1">-SUMIFS(INDIRECT("Tab_000.Trial["&amp;L$4&amp;"]"),Tab_000.Trial[CONTA],$B137)</f>
        <v>-7166.67</v>
      </c>
      <c r="M137" s="78">
        <f t="shared" ca="1" si="94"/>
        <v>-7.1999999999999998E-3</v>
      </c>
      <c r="N137" s="78">
        <f t="shared" ca="1" si="95"/>
        <v>0</v>
      </c>
      <c r="O137" s="4">
        <f ca="1">-SUMIFS(INDIRECT("Tab_000.Trial["&amp;O$4&amp;"]"),Tab_000.Trial[CONTA],$B137)</f>
        <v>-7166.67</v>
      </c>
      <c r="P137" s="78">
        <f t="shared" ca="1" si="120"/>
        <v>-6.0000000000000001E-3</v>
      </c>
      <c r="Q137" s="78">
        <f t="shared" ca="1" si="121"/>
        <v>0</v>
      </c>
      <c r="R137" s="4">
        <f ca="1">-SUMIFS(INDIRECT("Tab_000.Trial["&amp;R$4&amp;"]"),Tab_000.Trial[CONTA],$B137)</f>
        <v>0</v>
      </c>
      <c r="S137" s="78">
        <f t="shared" ca="1" si="98"/>
        <v>0</v>
      </c>
      <c r="T137" s="78">
        <f t="shared" ca="1" si="99"/>
        <v>1</v>
      </c>
      <c r="U137" s="4">
        <f ca="1">-SUMIFS(INDIRECT("Tab_000.Trial["&amp;U$4&amp;"]"),Tab_000.Trial[CONTA],$B137)</f>
        <v>0</v>
      </c>
      <c r="V137" s="78">
        <f t="shared" ca="1" si="100"/>
        <v>0</v>
      </c>
      <c r="W137" s="78">
        <f t="shared" ca="1" si="101"/>
        <v>0</v>
      </c>
      <c r="X137" s="4">
        <f ca="1">-SUMIFS(INDIRECT("Tab_000.Trial["&amp;X$4&amp;"]"),Tab_000.Trial[CONTA],$B137)</f>
        <v>0</v>
      </c>
      <c r="Y137" s="78">
        <f t="shared" ca="1" si="122"/>
        <v>0</v>
      </c>
      <c r="Z137" s="78">
        <f t="shared" ca="1" si="123"/>
        <v>0</v>
      </c>
      <c r="AA137" s="4">
        <f ca="1">-SUMIFS(INDIRECT("Tab_000.Trial["&amp;AA$4&amp;"]"),Tab_000.Trial[CONTA],$B137)</f>
        <v>0</v>
      </c>
      <c r="AB137" s="78">
        <f t="shared" ca="1" si="104"/>
        <v>0</v>
      </c>
      <c r="AC137" s="78">
        <f t="shared" ca="1" si="105"/>
        <v>0</v>
      </c>
      <c r="AD137" s="4">
        <f ca="1">-SUMIFS(INDIRECT("Tab_000.Trial["&amp;AD$4&amp;"]"),Tab_000.Trial[CONTA],$B137)</f>
        <v>0</v>
      </c>
      <c r="AE137" s="78">
        <f t="shared" ca="1" si="106"/>
        <v>0</v>
      </c>
      <c r="AF137" s="78">
        <f t="shared" ca="1" si="107"/>
        <v>0</v>
      </c>
      <c r="AG137" s="4">
        <f ca="1">-SUMIFS(INDIRECT("Tab_000.Trial["&amp;AG$4&amp;"]"),Tab_000.Trial[CONTA],$B137)</f>
        <v>0</v>
      </c>
      <c r="AH137" s="78">
        <f t="shared" ca="1" si="108"/>
        <v>0</v>
      </c>
      <c r="AI137" s="78">
        <f t="shared" ca="1" si="109"/>
        <v>0</v>
      </c>
      <c r="AJ137" s="4">
        <f ca="1">-SUMIFS(INDIRECT("Tab_000.Trial["&amp;AJ$4&amp;"]"),Tab_000.Trial[CONTA],$B137)</f>
        <v>0</v>
      </c>
      <c r="AK137" s="78">
        <f t="shared" ca="1" si="110"/>
        <v>0</v>
      </c>
      <c r="AL137" s="78">
        <f t="shared" ca="1" si="111"/>
        <v>0</v>
      </c>
    </row>
    <row r="138" spans="2:39" s="178" customFormat="1" ht="15" hidden="1" customHeight="1" outlineLevel="1" x14ac:dyDescent="0.3">
      <c r="B138" s="176" t="s">
        <v>465</v>
      </c>
      <c r="C138" s="176" t="s">
        <v>466</v>
      </c>
      <c r="D138" s="165">
        <f ca="1">-SUMIFS(INDIRECT("Tab_000.Trial["&amp;D$4&amp;"]"),Tab_000.Trial[CONTA],$B138)</f>
        <v>-4524.45</v>
      </c>
      <c r="E138" s="177">
        <f t="shared" ca="1" si="118"/>
        <v>-4.7999999999999996E-3</v>
      </c>
      <c r="F138" s="165">
        <f ca="1">-SUMIFS(INDIRECT("Tab_000.Trial["&amp;F$4&amp;"]"),Tab_000.Trial[CONTA],$B138)</f>
        <v>-4434.45</v>
      </c>
      <c r="G138" s="177">
        <f t="shared" ca="1" si="91"/>
        <v>-8.5000000000000006E-3</v>
      </c>
      <c r="H138" s="177">
        <f t="shared" ca="1" si="119"/>
        <v>1.9900000000000001E-2</v>
      </c>
      <c r="I138" s="165">
        <f ca="1">-SUMIFS(INDIRECT("Tab_000.Trial["&amp;I$4&amp;"]"),Tab_000.Trial[CONTA],$B138)</f>
        <v>-4434.45</v>
      </c>
      <c r="J138" s="177">
        <f t="shared" ca="1" si="92"/>
        <v>-4.3E-3</v>
      </c>
      <c r="K138" s="177">
        <f t="shared" ca="1" si="93"/>
        <v>0</v>
      </c>
      <c r="L138" s="165">
        <f ca="1">-SUMIFS(INDIRECT("Tab_000.Trial["&amp;L$4&amp;"]"),Tab_000.Trial[CONTA],$B138)</f>
        <v>-5884.45</v>
      </c>
      <c r="M138" s="177">
        <f t="shared" ca="1" si="94"/>
        <v>-5.8999999999999999E-3</v>
      </c>
      <c r="N138" s="177">
        <f t="shared" ca="1" si="95"/>
        <v>-0.32700000000000001</v>
      </c>
      <c r="O138" s="165">
        <f ca="1">-SUMIFS(INDIRECT("Tab_000.Trial["&amp;O$4&amp;"]"),Tab_000.Trial[CONTA],$B138)</f>
        <v>-5015.84</v>
      </c>
      <c r="P138" s="177">
        <f t="shared" ca="1" si="120"/>
        <v>-4.1999999999999997E-3</v>
      </c>
      <c r="Q138" s="177">
        <f t="shared" ca="1" si="121"/>
        <v>0.14760000000000001</v>
      </c>
      <c r="R138" s="165">
        <f ca="1">-SUMIFS(INDIRECT("Tab_000.Trial["&amp;R$4&amp;"]"),Tab_000.Trial[CONTA],$B138)</f>
        <v>-49166.95</v>
      </c>
      <c r="S138" s="177">
        <f t="shared" ca="1" si="98"/>
        <v>-4.6399999999999997E-2</v>
      </c>
      <c r="T138" s="177">
        <f t="shared" ca="1" si="99"/>
        <v>-8.8023000000000007</v>
      </c>
      <c r="U138" s="165">
        <f ca="1">-SUMIFS(INDIRECT("Tab_000.Trial["&amp;U$4&amp;"]"),Tab_000.Trial[CONTA],$B138)</f>
        <v>-49166.95</v>
      </c>
      <c r="V138" s="177">
        <f t="shared" ca="1" si="100"/>
        <v>-4.6399999999999997E-2</v>
      </c>
      <c r="W138" s="177">
        <f t="shared" ca="1" si="101"/>
        <v>0</v>
      </c>
      <c r="X138" s="165">
        <f ca="1">-SUMIFS(INDIRECT("Tab_000.Trial["&amp;X$4&amp;"]"),Tab_000.Trial[CONTA],$B138)</f>
        <v>-49166.95</v>
      </c>
      <c r="Y138" s="177">
        <f t="shared" ca="1" si="122"/>
        <v>-4.6399999999999997E-2</v>
      </c>
      <c r="Z138" s="177">
        <f t="shared" ca="1" si="123"/>
        <v>0</v>
      </c>
      <c r="AA138" s="165">
        <f ca="1">-SUMIFS(INDIRECT("Tab_000.Trial["&amp;AA$4&amp;"]"),Tab_000.Trial[CONTA],$B138)</f>
        <v>-43896.77</v>
      </c>
      <c r="AB138" s="177">
        <f t="shared" ca="1" si="104"/>
        <v>-4.5400000000000003E-2</v>
      </c>
      <c r="AC138" s="177">
        <f t="shared" ca="1" si="105"/>
        <v>0.1072</v>
      </c>
      <c r="AD138" s="165">
        <f ca="1">-SUMIFS(INDIRECT("Tab_000.Trial["&amp;AD$4&amp;"]"),Tab_000.Trial[CONTA],$B138)</f>
        <v>-42074.27</v>
      </c>
      <c r="AE138" s="177">
        <f t="shared" ca="1" si="106"/>
        <v>-3.44E-2</v>
      </c>
      <c r="AF138" s="177">
        <f t="shared" ca="1" si="107"/>
        <v>4.1500000000000002E-2</v>
      </c>
      <c r="AG138" s="165">
        <f ca="1">-SUMIFS(INDIRECT("Tab_000.Trial["&amp;AG$4&amp;"]"),Tab_000.Trial[CONTA],$B138)</f>
        <v>-44058.54</v>
      </c>
      <c r="AH138" s="177">
        <f t="shared" ca="1" si="108"/>
        <v>-4.8800000000000003E-2</v>
      </c>
      <c r="AI138" s="177">
        <f t="shared" ca="1" si="109"/>
        <v>-4.7199999999999999E-2</v>
      </c>
      <c r="AJ138" s="165">
        <f ca="1">-SUMIFS(INDIRECT("Tab_000.Trial["&amp;AJ$4&amp;"]"),Tab_000.Trial[CONTA],$B138)</f>
        <v>-42074.27</v>
      </c>
      <c r="AK138" s="177">
        <f t="shared" ca="1" si="110"/>
        <v>-2.8500000000000001E-2</v>
      </c>
      <c r="AL138" s="177">
        <f t="shared" ca="1" si="111"/>
        <v>4.4999999999999998E-2</v>
      </c>
      <c r="AM138" s="178" t="s">
        <v>781</v>
      </c>
    </row>
    <row r="139" spans="2:39" ht="15" hidden="1" customHeight="1" outlineLevel="1" x14ac:dyDescent="0.3">
      <c r="B139" s="14" t="s">
        <v>467</v>
      </c>
      <c r="C139" s="14" t="s">
        <v>468</v>
      </c>
      <c r="D139" s="4">
        <f ca="1">-SUMIFS(INDIRECT("Tab_000.Trial["&amp;D$4&amp;"]"),Tab_000.Trial[CONTA],$B139)</f>
        <v>-223.56</v>
      </c>
      <c r="E139" s="78">
        <f t="shared" ca="1" si="118"/>
        <v>-2.0000000000000001E-4</v>
      </c>
      <c r="F139" s="4">
        <f ca="1">-SUMIFS(INDIRECT("Tab_000.Trial["&amp;F$4&amp;"]"),Tab_000.Trial[CONTA],$B139)</f>
        <v>-223.56</v>
      </c>
      <c r="G139" s="78">
        <f t="shared" ca="1" si="91"/>
        <v>-4.0000000000000002E-4</v>
      </c>
      <c r="H139" s="78">
        <f t="shared" ca="1" si="119"/>
        <v>0</v>
      </c>
      <c r="I139" s="4">
        <f ca="1">-SUMIFS(INDIRECT("Tab_000.Trial["&amp;I$4&amp;"]"),Tab_000.Trial[CONTA],$B139)</f>
        <v>-223.56</v>
      </c>
      <c r="J139" s="78">
        <f t="shared" ca="1" si="92"/>
        <v>-2.0000000000000001E-4</v>
      </c>
      <c r="K139" s="78">
        <f t="shared" ca="1" si="93"/>
        <v>0</v>
      </c>
      <c r="L139" s="4">
        <f ca="1">-SUMIFS(INDIRECT("Tab_000.Trial["&amp;L$4&amp;"]"),Tab_000.Trial[CONTA],$B139)</f>
        <v>-223.56</v>
      </c>
      <c r="M139" s="78">
        <f t="shared" ca="1" si="94"/>
        <v>-2.0000000000000001E-4</v>
      </c>
      <c r="N139" s="78">
        <f t="shared" ca="1" si="95"/>
        <v>0</v>
      </c>
      <c r="O139" s="4">
        <f ca="1">-SUMIFS(INDIRECT("Tab_000.Trial["&amp;O$4&amp;"]"),Tab_000.Trial[CONTA],$B139)</f>
        <v>-223.56</v>
      </c>
      <c r="P139" s="78">
        <f t="shared" ca="1" si="120"/>
        <v>-2.0000000000000001E-4</v>
      </c>
      <c r="Q139" s="78">
        <f t="shared" ca="1" si="121"/>
        <v>0</v>
      </c>
      <c r="R139" s="4">
        <f ca="1">-SUMIFS(INDIRECT("Tab_000.Trial["&amp;R$4&amp;"]"),Tab_000.Trial[CONTA],$B139)</f>
        <v>-223.56</v>
      </c>
      <c r="S139" s="78">
        <f t="shared" ca="1" si="98"/>
        <v>-2.0000000000000001E-4</v>
      </c>
      <c r="T139" s="78">
        <f t="shared" ca="1" si="99"/>
        <v>0</v>
      </c>
      <c r="U139" s="4">
        <f ca="1">-SUMIFS(INDIRECT("Tab_000.Trial["&amp;U$4&amp;"]"),Tab_000.Trial[CONTA],$B139)</f>
        <v>-223.56</v>
      </c>
      <c r="V139" s="78">
        <f t="shared" ca="1" si="100"/>
        <v>-2.0000000000000001E-4</v>
      </c>
      <c r="W139" s="78">
        <f t="shared" ca="1" si="101"/>
        <v>0</v>
      </c>
      <c r="X139" s="4">
        <f ca="1">-SUMIFS(INDIRECT("Tab_000.Trial["&amp;X$4&amp;"]"),Tab_000.Trial[CONTA],$B139)</f>
        <v>-223.56</v>
      </c>
      <c r="Y139" s="78">
        <f t="shared" ca="1" si="122"/>
        <v>-2.0000000000000001E-4</v>
      </c>
      <c r="Z139" s="78">
        <f t="shared" ca="1" si="123"/>
        <v>0</v>
      </c>
      <c r="AA139" s="4">
        <f ca="1">-SUMIFS(INDIRECT("Tab_000.Trial["&amp;AA$4&amp;"]"),Tab_000.Trial[CONTA],$B139)</f>
        <v>-223.56</v>
      </c>
      <c r="AB139" s="78">
        <f t="shared" ca="1" si="104"/>
        <v>-2.0000000000000001E-4</v>
      </c>
      <c r="AC139" s="78">
        <f t="shared" ca="1" si="105"/>
        <v>0</v>
      </c>
      <c r="AD139" s="4">
        <f ca="1">-SUMIFS(INDIRECT("Tab_000.Trial["&amp;AD$4&amp;"]"),Tab_000.Trial[CONTA],$B139)</f>
        <v>-223.56</v>
      </c>
      <c r="AE139" s="78">
        <f t="shared" ca="1" si="106"/>
        <v>-2.0000000000000001E-4</v>
      </c>
      <c r="AF139" s="78">
        <f t="shared" ca="1" si="107"/>
        <v>0</v>
      </c>
      <c r="AG139" s="4">
        <f ca="1">-SUMIFS(INDIRECT("Tab_000.Trial["&amp;AG$4&amp;"]"),Tab_000.Trial[CONTA],$B139)</f>
        <v>-223.56</v>
      </c>
      <c r="AH139" s="78">
        <f t="shared" ca="1" si="108"/>
        <v>-2.0000000000000001E-4</v>
      </c>
      <c r="AI139" s="78">
        <f t="shared" ca="1" si="109"/>
        <v>0</v>
      </c>
      <c r="AJ139" s="4">
        <f ca="1">-SUMIFS(INDIRECT("Tab_000.Trial["&amp;AJ$4&amp;"]"),Tab_000.Trial[CONTA],$B139)</f>
        <v>-234.21</v>
      </c>
      <c r="AK139" s="78">
        <f t="shared" ca="1" si="110"/>
        <v>-2.0000000000000001E-4</v>
      </c>
      <c r="AL139" s="78">
        <f t="shared" ca="1" si="111"/>
        <v>-4.7600000000000003E-2</v>
      </c>
    </row>
    <row r="140" spans="2:39" ht="15" hidden="1" customHeight="1" outlineLevel="1" x14ac:dyDescent="0.3">
      <c r="B140" s="14" t="s">
        <v>469</v>
      </c>
      <c r="C140" s="14" t="s">
        <v>470</v>
      </c>
      <c r="D140" s="4">
        <f ca="1">-SUMIFS(INDIRECT("Tab_000.Trial["&amp;D$4&amp;"]"),Tab_000.Trial[CONTA],$B140)</f>
        <v>-6599.82</v>
      </c>
      <c r="E140" s="78">
        <f t="shared" ca="1" si="118"/>
        <v>-7.1000000000000004E-3</v>
      </c>
      <c r="F140" s="4">
        <f ca="1">-SUMIFS(INDIRECT("Tab_000.Trial["&amp;F$4&amp;"]"),Tab_000.Trial[CONTA],$B140)</f>
        <v>-6599.82</v>
      </c>
      <c r="G140" s="78">
        <f t="shared" ca="1" si="91"/>
        <v>-1.26E-2</v>
      </c>
      <c r="H140" s="78">
        <f t="shared" ca="1" si="119"/>
        <v>0</v>
      </c>
      <c r="I140" s="4">
        <f ca="1">-SUMIFS(INDIRECT("Tab_000.Trial["&amp;I$4&amp;"]"),Tab_000.Trial[CONTA],$B140)</f>
        <v>-6599.82</v>
      </c>
      <c r="J140" s="78">
        <f t="shared" ca="1" si="92"/>
        <v>-6.4000000000000003E-3</v>
      </c>
      <c r="K140" s="78">
        <f t="shared" ca="1" si="93"/>
        <v>0</v>
      </c>
      <c r="L140" s="4">
        <f ca="1">-SUMIFS(INDIRECT("Tab_000.Trial["&amp;L$4&amp;"]"),Tab_000.Trial[CONTA],$B140)</f>
        <v>-6599.82</v>
      </c>
      <c r="M140" s="78">
        <f t="shared" ca="1" si="94"/>
        <v>-6.6E-3</v>
      </c>
      <c r="N140" s="78">
        <f t="shared" ca="1" si="95"/>
        <v>0</v>
      </c>
      <c r="O140" s="4">
        <f ca="1">-SUMIFS(INDIRECT("Tab_000.Trial["&amp;O$4&amp;"]"),Tab_000.Trial[CONTA],$B140)</f>
        <v>-6599.82</v>
      </c>
      <c r="P140" s="78">
        <f t="shared" ca="1" si="120"/>
        <v>-5.4999999999999997E-3</v>
      </c>
      <c r="Q140" s="78">
        <f t="shared" ca="1" si="121"/>
        <v>0</v>
      </c>
      <c r="R140" s="4">
        <f ca="1">-SUMIFS(INDIRECT("Tab_000.Trial["&amp;R$4&amp;"]"),Tab_000.Trial[CONTA],$B140)</f>
        <v>-6599.82</v>
      </c>
      <c r="S140" s="78">
        <f t="shared" ca="1" si="98"/>
        <v>-6.1999999999999998E-3</v>
      </c>
      <c r="T140" s="78">
        <f t="shared" ca="1" si="99"/>
        <v>0</v>
      </c>
      <c r="U140" s="4">
        <f ca="1">-SUMIFS(INDIRECT("Tab_000.Trial["&amp;U$4&amp;"]"),Tab_000.Trial[CONTA],$B140)</f>
        <v>-6599.82</v>
      </c>
      <c r="V140" s="78">
        <f t="shared" ca="1" si="100"/>
        <v>-6.1999999999999998E-3</v>
      </c>
      <c r="W140" s="78">
        <f t="shared" ca="1" si="101"/>
        <v>0</v>
      </c>
      <c r="X140" s="4">
        <f ca="1">-SUMIFS(INDIRECT("Tab_000.Trial["&amp;X$4&amp;"]"),Tab_000.Trial[CONTA],$B140)</f>
        <v>-6599.82</v>
      </c>
      <c r="Y140" s="78">
        <f t="shared" ca="1" si="122"/>
        <v>-6.1999999999999998E-3</v>
      </c>
      <c r="Z140" s="78">
        <f t="shared" ca="1" si="123"/>
        <v>0</v>
      </c>
      <c r="AA140" s="4">
        <f ca="1">-SUMIFS(INDIRECT("Tab_000.Trial["&amp;AA$4&amp;"]"),Tab_000.Trial[CONTA],$B140)</f>
        <v>-4950</v>
      </c>
      <c r="AB140" s="78">
        <f t="shared" ca="1" si="104"/>
        <v>-5.1000000000000004E-3</v>
      </c>
      <c r="AC140" s="78">
        <f t="shared" ca="1" si="105"/>
        <v>0.25</v>
      </c>
      <c r="AD140" s="4">
        <f ca="1">-SUMIFS(INDIRECT("Tab_000.Trial["&amp;AD$4&amp;"]"),Tab_000.Trial[CONTA],$B140)</f>
        <v>-4950</v>
      </c>
      <c r="AE140" s="78">
        <f t="shared" ca="1" si="106"/>
        <v>-4.0000000000000001E-3</v>
      </c>
      <c r="AF140" s="78">
        <f t="shared" ca="1" si="107"/>
        <v>0</v>
      </c>
      <c r="AG140" s="4">
        <f ca="1">-SUMIFS(INDIRECT("Tab_000.Trial["&amp;AG$4&amp;"]"),Tab_000.Trial[CONTA],$B140)</f>
        <v>-4950</v>
      </c>
      <c r="AH140" s="78">
        <f t="shared" ca="1" si="108"/>
        <v>-5.4999999999999997E-3</v>
      </c>
      <c r="AI140" s="78">
        <f t="shared" ca="1" si="109"/>
        <v>0</v>
      </c>
      <c r="AJ140" s="4">
        <f ca="1">-SUMIFS(INDIRECT("Tab_000.Trial["&amp;AJ$4&amp;"]"),Tab_000.Trial[CONTA],$B140)</f>
        <v>-4950</v>
      </c>
      <c r="AK140" s="78">
        <f t="shared" ca="1" si="110"/>
        <v>-3.3999999999999998E-3</v>
      </c>
      <c r="AL140" s="78">
        <f t="shared" ca="1" si="111"/>
        <v>0</v>
      </c>
    </row>
    <row r="141" spans="2:39" ht="15" hidden="1" customHeight="1" outlineLevel="1" x14ac:dyDescent="0.3">
      <c r="B141" s="14" t="s">
        <v>471</v>
      </c>
      <c r="C141" s="14" t="s">
        <v>472</v>
      </c>
      <c r="D141" s="4">
        <f ca="1">-SUMIFS(INDIRECT("Tab_000.Trial["&amp;D$4&amp;"]"),Tab_000.Trial[CONTA],$B141)</f>
        <v>-4663.41</v>
      </c>
      <c r="E141" s="78">
        <f t="shared" ca="1" si="118"/>
        <v>-5.0000000000000001E-3</v>
      </c>
      <c r="F141" s="4">
        <f ca="1">-SUMIFS(INDIRECT("Tab_000.Trial["&amp;F$4&amp;"]"),Tab_000.Trial[CONTA],$B141)</f>
        <v>-4663.41</v>
      </c>
      <c r="G141" s="78">
        <f t="shared" ca="1" si="91"/>
        <v>-8.8999999999999999E-3</v>
      </c>
      <c r="H141" s="78">
        <f t="shared" ca="1" si="119"/>
        <v>0</v>
      </c>
      <c r="I141" s="4">
        <f ca="1">-SUMIFS(INDIRECT("Tab_000.Trial["&amp;I$4&amp;"]"),Tab_000.Trial[CONTA],$B141)</f>
        <v>-4663.41</v>
      </c>
      <c r="J141" s="78">
        <f t="shared" ca="1" si="92"/>
        <v>-4.4999999999999997E-3</v>
      </c>
      <c r="K141" s="78">
        <f t="shared" ca="1" si="93"/>
        <v>0</v>
      </c>
      <c r="L141" s="4">
        <f ca="1">-SUMIFS(INDIRECT("Tab_000.Trial["&amp;L$4&amp;"]"),Tab_000.Trial[CONTA],$B141)</f>
        <v>-4663.41</v>
      </c>
      <c r="M141" s="78">
        <f t="shared" ca="1" si="94"/>
        <v>-4.7000000000000002E-3</v>
      </c>
      <c r="N141" s="78">
        <f t="shared" ca="1" si="95"/>
        <v>0</v>
      </c>
      <c r="O141" s="4">
        <f ca="1">-SUMIFS(INDIRECT("Tab_000.Trial["&amp;O$4&amp;"]"),Tab_000.Trial[CONTA],$B141)</f>
        <v>-4663.41</v>
      </c>
      <c r="P141" s="78">
        <f t="shared" ca="1" si="120"/>
        <v>-3.8999999999999998E-3</v>
      </c>
      <c r="Q141" s="78">
        <f t="shared" ca="1" si="121"/>
        <v>0</v>
      </c>
      <c r="R141" s="4">
        <f ca="1">-SUMIFS(INDIRECT("Tab_000.Trial["&amp;R$4&amp;"]"),Tab_000.Trial[CONTA],$B141)</f>
        <v>-5309.74</v>
      </c>
      <c r="S141" s="78">
        <f t="shared" ca="1" si="98"/>
        <v>-5.0000000000000001E-3</v>
      </c>
      <c r="T141" s="78">
        <f t="shared" ca="1" si="99"/>
        <v>-0.1386</v>
      </c>
      <c r="U141" s="4">
        <f ca="1">-SUMIFS(INDIRECT("Tab_000.Trial["&amp;U$4&amp;"]"),Tab_000.Trial[CONTA],$B141)</f>
        <v>-5309.74</v>
      </c>
      <c r="V141" s="78">
        <f t="shared" ca="1" si="100"/>
        <v>-5.0000000000000001E-3</v>
      </c>
      <c r="W141" s="78">
        <f t="shared" ca="1" si="101"/>
        <v>0</v>
      </c>
      <c r="X141" s="4">
        <f ca="1">-SUMIFS(INDIRECT("Tab_000.Trial["&amp;X$4&amp;"]"),Tab_000.Trial[CONTA],$B141)</f>
        <v>-5309.74</v>
      </c>
      <c r="Y141" s="78">
        <f t="shared" ca="1" si="122"/>
        <v>-5.0000000000000001E-3</v>
      </c>
      <c r="Z141" s="78">
        <f t="shared" ca="1" si="123"/>
        <v>0</v>
      </c>
      <c r="AA141" s="4">
        <f ca="1">-SUMIFS(INDIRECT("Tab_000.Trial["&amp;AA$4&amp;"]"),Tab_000.Trial[CONTA],$B141)</f>
        <v>-4940.41</v>
      </c>
      <c r="AB141" s="78">
        <f t="shared" ca="1" si="104"/>
        <v>-5.1000000000000004E-3</v>
      </c>
      <c r="AC141" s="78">
        <f t="shared" ca="1" si="105"/>
        <v>6.9599999999999995E-2</v>
      </c>
      <c r="AD141" s="4">
        <f ca="1">-SUMIFS(INDIRECT("Tab_000.Trial["&amp;AD$4&amp;"]"),Tab_000.Trial[CONTA],$B141)</f>
        <v>-5309.74</v>
      </c>
      <c r="AE141" s="78">
        <f t="shared" ca="1" si="106"/>
        <v>-4.3E-3</v>
      </c>
      <c r="AF141" s="78">
        <f t="shared" ca="1" si="107"/>
        <v>-7.4800000000000005E-2</v>
      </c>
      <c r="AG141" s="4">
        <f ca="1">-SUMIFS(INDIRECT("Tab_000.Trial["&amp;AG$4&amp;"]"),Tab_000.Trial[CONTA],$B141)</f>
        <v>-4940.41</v>
      </c>
      <c r="AH141" s="78">
        <f t="shared" ca="1" si="108"/>
        <v>-5.4999999999999997E-3</v>
      </c>
      <c r="AI141" s="78">
        <f t="shared" ca="1" si="109"/>
        <v>6.9599999999999995E-2</v>
      </c>
      <c r="AJ141" s="4">
        <f ca="1">-SUMIFS(INDIRECT("Tab_000.Trial["&amp;AJ$4&amp;"]"),Tab_000.Trial[CONTA],$B141)</f>
        <v>-4940.41</v>
      </c>
      <c r="AK141" s="78">
        <f t="shared" ca="1" si="110"/>
        <v>-3.3999999999999998E-3</v>
      </c>
      <c r="AL141" s="78">
        <f t="shared" ca="1" si="111"/>
        <v>0</v>
      </c>
    </row>
    <row r="142" spans="2:39" ht="15" hidden="1" customHeight="1" outlineLevel="1" x14ac:dyDescent="0.3">
      <c r="B142" s="14" t="s">
        <v>479</v>
      </c>
      <c r="C142" s="14" t="s">
        <v>408</v>
      </c>
      <c r="D142" s="4">
        <f ca="1">-SUMIFS(INDIRECT("Tab_000.Trial["&amp;D$4&amp;"]"),Tab_000.Trial[CONTA],$B142)</f>
        <v>0</v>
      </c>
      <c r="E142" s="78">
        <f t="shared" ca="1" si="118"/>
        <v>0</v>
      </c>
      <c r="F142" s="4">
        <f ca="1">-SUMIFS(INDIRECT("Tab_000.Trial["&amp;F$4&amp;"]"),Tab_000.Trial[CONTA],$B142)</f>
        <v>0</v>
      </c>
      <c r="G142" s="78">
        <f t="shared" ca="1" si="91"/>
        <v>0</v>
      </c>
      <c r="H142" s="78">
        <f t="shared" ca="1" si="119"/>
        <v>0</v>
      </c>
      <c r="I142" s="4">
        <f ca="1">-SUMIFS(INDIRECT("Tab_000.Trial["&amp;I$4&amp;"]"),Tab_000.Trial[CONTA],$B142)</f>
        <v>0</v>
      </c>
      <c r="J142" s="78">
        <f t="shared" ca="1" si="92"/>
        <v>0</v>
      </c>
      <c r="K142" s="78">
        <f t="shared" ca="1" si="93"/>
        <v>0</v>
      </c>
      <c r="L142" s="4">
        <f ca="1">-SUMIFS(INDIRECT("Tab_000.Trial["&amp;L$4&amp;"]"),Tab_000.Trial[CONTA],$B142)</f>
        <v>0</v>
      </c>
      <c r="M142" s="78">
        <f t="shared" ca="1" si="94"/>
        <v>0</v>
      </c>
      <c r="N142" s="78">
        <f t="shared" ca="1" si="95"/>
        <v>0</v>
      </c>
      <c r="O142" s="4">
        <f ca="1">-SUMIFS(INDIRECT("Tab_000.Trial["&amp;O$4&amp;"]"),Tab_000.Trial[CONTA],$B142)</f>
        <v>0</v>
      </c>
      <c r="P142" s="78">
        <f t="shared" ca="1" si="120"/>
        <v>0</v>
      </c>
      <c r="Q142" s="78">
        <f t="shared" ca="1" si="121"/>
        <v>0</v>
      </c>
      <c r="R142" s="4">
        <f ca="1">-SUMIFS(INDIRECT("Tab_000.Trial["&amp;R$4&amp;"]"),Tab_000.Trial[CONTA],$B142)</f>
        <v>0</v>
      </c>
      <c r="S142" s="78">
        <f t="shared" ca="1" si="98"/>
        <v>0</v>
      </c>
      <c r="T142" s="78">
        <f t="shared" ca="1" si="99"/>
        <v>0</v>
      </c>
      <c r="U142" s="4">
        <f ca="1">-SUMIFS(INDIRECT("Tab_000.Trial["&amp;U$4&amp;"]"),Tab_000.Trial[CONTA],$B142)</f>
        <v>0</v>
      </c>
      <c r="V142" s="78">
        <f t="shared" ca="1" si="100"/>
        <v>0</v>
      </c>
      <c r="W142" s="78">
        <f t="shared" ca="1" si="101"/>
        <v>0</v>
      </c>
      <c r="X142" s="4">
        <f ca="1">-SUMIFS(INDIRECT("Tab_000.Trial["&amp;X$4&amp;"]"),Tab_000.Trial[CONTA],$B142)</f>
        <v>0</v>
      </c>
      <c r="Y142" s="78">
        <f t="shared" ca="1" si="122"/>
        <v>0</v>
      </c>
      <c r="Z142" s="78">
        <f t="shared" ca="1" si="123"/>
        <v>0</v>
      </c>
      <c r="AA142" s="4">
        <f ca="1">-SUMIFS(INDIRECT("Tab_000.Trial["&amp;AA$4&amp;"]"),Tab_000.Trial[CONTA],$B142)</f>
        <v>0</v>
      </c>
      <c r="AB142" s="78">
        <f t="shared" ca="1" si="104"/>
        <v>0</v>
      </c>
      <c r="AC142" s="78">
        <f t="shared" ca="1" si="105"/>
        <v>0</v>
      </c>
      <c r="AD142" s="4">
        <f ca="1">-SUMIFS(INDIRECT("Tab_000.Trial["&amp;AD$4&amp;"]"),Tab_000.Trial[CONTA],$B142)</f>
        <v>0</v>
      </c>
      <c r="AE142" s="78">
        <f t="shared" ca="1" si="106"/>
        <v>0</v>
      </c>
      <c r="AF142" s="78">
        <f t="shared" ca="1" si="107"/>
        <v>0</v>
      </c>
      <c r="AG142" s="4">
        <f ca="1">-SUMIFS(INDIRECT("Tab_000.Trial["&amp;AG$4&amp;"]"),Tab_000.Trial[CONTA],$B142)</f>
        <v>0</v>
      </c>
      <c r="AH142" s="78">
        <f t="shared" ca="1" si="108"/>
        <v>0</v>
      </c>
      <c r="AI142" s="78">
        <f t="shared" ca="1" si="109"/>
        <v>0</v>
      </c>
      <c r="AJ142" s="4">
        <f ca="1">-SUMIFS(INDIRECT("Tab_000.Trial["&amp;AJ$4&amp;"]"),Tab_000.Trial[CONTA],$B142)</f>
        <v>0</v>
      </c>
      <c r="AK142" s="78">
        <f t="shared" ca="1" si="110"/>
        <v>0</v>
      </c>
      <c r="AL142" s="78">
        <f t="shared" ca="1" si="111"/>
        <v>0</v>
      </c>
    </row>
    <row r="143" spans="2:39" ht="15" hidden="1" customHeight="1" outlineLevel="1" x14ac:dyDescent="0.3">
      <c r="B143" s="14"/>
      <c r="C143" s="14"/>
      <c r="D143" s="4">
        <f ca="1">-SUMIFS(INDIRECT("Tab_000.Trial["&amp;D$4&amp;"]"),Tab_000.Trial[CONTA],$B143)</f>
        <v>0</v>
      </c>
      <c r="E143" s="78">
        <f t="shared" ca="1" si="118"/>
        <v>0</v>
      </c>
      <c r="F143" s="4">
        <f ca="1">-SUMIFS(INDIRECT("Tab_000.Trial["&amp;F$4&amp;"]"),Tab_000.Trial[CONTA],$B143)</f>
        <v>0</v>
      </c>
      <c r="G143" s="78">
        <f t="shared" ca="1" si="91"/>
        <v>0</v>
      </c>
      <c r="H143" s="78">
        <f t="shared" ca="1" si="119"/>
        <v>0</v>
      </c>
      <c r="I143" s="4">
        <f ca="1">-SUMIFS(INDIRECT("Tab_000.Trial["&amp;I$4&amp;"]"),Tab_000.Trial[CONTA],$B143)</f>
        <v>0</v>
      </c>
      <c r="J143" s="78">
        <f t="shared" ca="1" si="92"/>
        <v>0</v>
      </c>
      <c r="K143" s="78">
        <f t="shared" ca="1" si="93"/>
        <v>0</v>
      </c>
      <c r="L143" s="4">
        <f ca="1">-SUMIFS(INDIRECT("Tab_000.Trial["&amp;L$4&amp;"]"),Tab_000.Trial[CONTA],$B143)</f>
        <v>0</v>
      </c>
      <c r="M143" s="78">
        <f t="shared" ca="1" si="94"/>
        <v>0</v>
      </c>
      <c r="N143" s="78">
        <f t="shared" ca="1" si="95"/>
        <v>0</v>
      </c>
      <c r="O143" s="4">
        <f ca="1">-SUMIFS(INDIRECT("Tab_000.Trial["&amp;O$4&amp;"]"),Tab_000.Trial[CONTA],$B143)</f>
        <v>0</v>
      </c>
      <c r="P143" s="78">
        <f t="shared" ca="1" si="120"/>
        <v>0</v>
      </c>
      <c r="Q143" s="78">
        <f t="shared" ca="1" si="121"/>
        <v>0</v>
      </c>
      <c r="R143" s="4">
        <f ca="1">-SUMIFS(INDIRECT("Tab_000.Trial["&amp;R$4&amp;"]"),Tab_000.Trial[CONTA],$B143)</f>
        <v>0</v>
      </c>
      <c r="S143" s="78">
        <f t="shared" ca="1" si="98"/>
        <v>0</v>
      </c>
      <c r="T143" s="78">
        <f t="shared" ca="1" si="99"/>
        <v>0</v>
      </c>
      <c r="U143" s="4">
        <f ca="1">-SUMIFS(INDIRECT("Tab_000.Trial["&amp;U$4&amp;"]"),Tab_000.Trial[CONTA],$B143)</f>
        <v>0</v>
      </c>
      <c r="V143" s="78">
        <f t="shared" ca="1" si="100"/>
        <v>0</v>
      </c>
      <c r="W143" s="78">
        <f t="shared" ca="1" si="101"/>
        <v>0</v>
      </c>
      <c r="X143" s="4">
        <f ca="1">-SUMIFS(INDIRECT("Tab_000.Trial["&amp;X$4&amp;"]"),Tab_000.Trial[CONTA],$B143)</f>
        <v>0</v>
      </c>
      <c r="Y143" s="78">
        <f t="shared" ca="1" si="122"/>
        <v>0</v>
      </c>
      <c r="Z143" s="78">
        <f t="shared" ca="1" si="123"/>
        <v>0</v>
      </c>
      <c r="AA143" s="4">
        <f ca="1">-SUMIFS(INDIRECT("Tab_000.Trial["&amp;AA$4&amp;"]"),Tab_000.Trial[CONTA],$B143)</f>
        <v>0</v>
      </c>
      <c r="AB143" s="78">
        <f t="shared" ca="1" si="104"/>
        <v>0</v>
      </c>
      <c r="AC143" s="78">
        <f t="shared" ca="1" si="105"/>
        <v>0</v>
      </c>
      <c r="AD143" s="4">
        <f ca="1">-SUMIFS(INDIRECT("Tab_000.Trial["&amp;AD$4&amp;"]"),Tab_000.Trial[CONTA],$B143)</f>
        <v>0</v>
      </c>
      <c r="AE143" s="78">
        <f t="shared" ca="1" si="106"/>
        <v>0</v>
      </c>
      <c r="AF143" s="78">
        <f t="shared" ca="1" si="107"/>
        <v>0</v>
      </c>
      <c r="AG143" s="4">
        <f ca="1">-SUMIFS(INDIRECT("Tab_000.Trial["&amp;AG$4&amp;"]"),Tab_000.Trial[CONTA],$B143)</f>
        <v>0</v>
      </c>
      <c r="AH143" s="78">
        <f t="shared" ca="1" si="108"/>
        <v>0</v>
      </c>
      <c r="AI143" s="78">
        <f t="shared" ca="1" si="109"/>
        <v>0</v>
      </c>
      <c r="AJ143" s="4">
        <f ca="1">-SUMIFS(INDIRECT("Tab_000.Trial["&amp;AJ$4&amp;"]"),Tab_000.Trial[CONTA],$B143)</f>
        <v>0</v>
      </c>
      <c r="AK143" s="78">
        <f t="shared" ca="1" si="110"/>
        <v>0</v>
      </c>
      <c r="AL143" s="78">
        <f t="shared" ca="1" si="111"/>
        <v>0</v>
      </c>
    </row>
    <row r="144" spans="2:39" ht="5.0999999999999996" hidden="1" customHeight="1" outlineLevel="1" x14ac:dyDescent="0.3">
      <c r="B144" s="74"/>
      <c r="C144" s="75"/>
      <c r="D144" s="76"/>
      <c r="E144" s="77"/>
      <c r="F144" s="76"/>
      <c r="G144" s="77"/>
      <c r="H144" s="77"/>
      <c r="I144" s="76"/>
      <c r="J144" s="77"/>
      <c r="K144" s="77"/>
      <c r="L144" s="76"/>
      <c r="M144" s="77"/>
      <c r="N144" s="77"/>
      <c r="O144" s="76"/>
      <c r="P144" s="77"/>
      <c r="Q144" s="77"/>
      <c r="R144" s="76"/>
      <c r="S144" s="77"/>
      <c r="T144" s="77"/>
      <c r="U144" s="76"/>
      <c r="V144" s="77"/>
      <c r="W144" s="77"/>
      <c r="X144" s="76"/>
      <c r="Y144" s="77"/>
      <c r="Z144" s="77"/>
      <c r="AA144" s="76"/>
      <c r="AB144" s="77"/>
      <c r="AC144" s="77"/>
      <c r="AD144" s="76"/>
      <c r="AE144" s="77"/>
      <c r="AF144" s="77"/>
      <c r="AG144" s="76"/>
      <c r="AH144" s="77"/>
      <c r="AI144" s="77"/>
      <c r="AJ144" s="76"/>
      <c r="AK144" s="77"/>
      <c r="AL144" s="77"/>
    </row>
    <row r="145" spans="2:38" ht="15" customHeight="1" collapsed="1" x14ac:dyDescent="0.3">
      <c r="B145" s="3" t="s">
        <v>107</v>
      </c>
      <c r="C145" s="3" t="s">
        <v>148</v>
      </c>
      <c r="D145" s="4">
        <f ca="1">SUBTOTAL(9,D$146:D$149)</f>
        <v>0</v>
      </c>
      <c r="E145" s="78">
        <f t="shared" ref="E145:E148" ca="1" si="124">IFERROR($D145/$D$6,0)</f>
        <v>0</v>
      </c>
      <c r="F145" s="4">
        <f ca="1">SUBTOTAL(9,F$146:F$149)</f>
        <v>0</v>
      </c>
      <c r="G145" s="78">
        <f ca="1">IFERROR($F145/$F$6,0)</f>
        <v>0</v>
      </c>
      <c r="H145" s="78">
        <f t="shared" ref="H145:H148" ca="1" si="125">IFERROR(($F145-$D145)/ABS($D145),0)</f>
        <v>0</v>
      </c>
      <c r="I145" s="4">
        <f ca="1">SUBTOTAL(9,I$146:I$149)</f>
        <v>0</v>
      </c>
      <c r="J145" s="78">
        <f ca="1">IFERROR($I145/$I$6,0)</f>
        <v>0</v>
      </c>
      <c r="K145" s="78">
        <f ca="1">IFERROR(($I145-$F145)/ABS($F145),0)</f>
        <v>0</v>
      </c>
      <c r="L145" s="4">
        <f ca="1">SUBTOTAL(9,L$146:L$149)</f>
        <v>0</v>
      </c>
      <c r="M145" s="78">
        <f ca="1">IFERROR($L145/$L$6,0)</f>
        <v>0</v>
      </c>
      <c r="N145" s="78">
        <f ca="1">IFERROR(($L145-$I145)/ABS($I145),0)</f>
        <v>0</v>
      </c>
      <c r="O145" s="4">
        <f ca="1">SUBTOTAL(9,O$146:O$149)</f>
        <v>0</v>
      </c>
      <c r="P145" s="78">
        <f ca="1">IFERROR($O145/$O$6,0)</f>
        <v>0</v>
      </c>
      <c r="Q145" s="78">
        <f ca="1">IFERROR(($O145-$L145)/ABS($L145),0)</f>
        <v>0</v>
      </c>
      <c r="R145" s="4">
        <f ca="1">SUBTOTAL(9,R$146:R$149)</f>
        <v>0</v>
      </c>
      <c r="S145" s="78">
        <f ca="1">IFERROR($R145/$R$6,0)</f>
        <v>0</v>
      </c>
      <c r="T145" s="78">
        <f ca="1">IFERROR(($R145-$O145)/ABS($O145),0)</f>
        <v>0</v>
      </c>
      <c r="U145" s="4">
        <f ca="1">SUBTOTAL(9,U$146:U$149)</f>
        <v>0</v>
      </c>
      <c r="V145" s="78">
        <f ca="1">IFERROR($U145/$U$6,0)</f>
        <v>0</v>
      </c>
      <c r="W145" s="78">
        <f ca="1">IFERROR(($U145-$R145)/ABS($R145),0)</f>
        <v>0</v>
      </c>
      <c r="X145" s="4">
        <f ca="1">SUBTOTAL(9,X$146:X$149)</f>
        <v>0</v>
      </c>
      <c r="Y145" s="78">
        <f ca="1">IFERROR($X145/$X$6,0)</f>
        <v>0</v>
      </c>
      <c r="Z145" s="78">
        <f ca="1">IFERROR(($X145-$U145)/ABS($U145),0)</f>
        <v>0</v>
      </c>
      <c r="AA145" s="4">
        <f ca="1">SUBTOTAL(9,AA$146:AA$149)</f>
        <v>0</v>
      </c>
      <c r="AB145" s="78">
        <f ca="1">IFERROR($AA145/$AA$6,0)</f>
        <v>0</v>
      </c>
      <c r="AC145" s="78">
        <f ca="1">IFERROR(($AA145-$X145)/ABS($X145),0)</f>
        <v>0</v>
      </c>
      <c r="AD145" s="4">
        <f ca="1">SUBTOTAL(9,AD$146:AD$149)</f>
        <v>0</v>
      </c>
      <c r="AE145" s="78">
        <f ca="1">IFERROR($AD145/$AD$6,0)</f>
        <v>0</v>
      </c>
      <c r="AF145" s="78">
        <f ca="1">IFERROR(($AD145-$AA145)/ABS($AA145),0)</f>
        <v>0</v>
      </c>
      <c r="AG145" s="4">
        <f ca="1">SUBTOTAL(9,AG$146:AG$149)</f>
        <v>0</v>
      </c>
      <c r="AH145" s="78">
        <f ca="1">IFERROR($AG145/$AG$6,0)</f>
        <v>0</v>
      </c>
      <c r="AI145" s="78">
        <f ca="1">IFERROR(($AG145-$AD145)/ABS($AD145),0)</f>
        <v>0</v>
      </c>
      <c r="AJ145" s="4">
        <f ca="1">SUBTOTAL(9,AJ$146:AJ$149)</f>
        <v>0</v>
      </c>
      <c r="AK145" s="78">
        <f ca="1">IFERROR($AJ145/$AJ$6,0)</f>
        <v>0</v>
      </c>
      <c r="AL145" s="78">
        <f ca="1">IFERROR(($AJ145-$AG145)/ABS($AG145),0)</f>
        <v>0</v>
      </c>
    </row>
    <row r="146" spans="2:38" ht="15" hidden="1" customHeight="1" outlineLevel="1" x14ac:dyDescent="0.3">
      <c r="B146" s="14"/>
      <c r="C146" s="14"/>
      <c r="D146" s="4">
        <f ca="1">-SUMIFS(INDIRECT("Tab_000.Trial["&amp;D$4&amp;"]"),Tab_000.Trial[CONTA],$B146)</f>
        <v>0</v>
      </c>
      <c r="E146" s="78">
        <f t="shared" ca="1" si="124"/>
        <v>0</v>
      </c>
      <c r="F146" s="4">
        <f ca="1">-SUMIFS(INDIRECT("Tab_000.Trial["&amp;F$4&amp;"]"),Tab_000.Trial[CONTA],$B146)</f>
        <v>0</v>
      </c>
      <c r="G146" s="78">
        <f t="shared" ca="1" si="91"/>
        <v>0</v>
      </c>
      <c r="H146" s="78">
        <f t="shared" ca="1" si="125"/>
        <v>0</v>
      </c>
      <c r="I146" s="4">
        <f ca="1">-SUMIFS(INDIRECT("Tab_000.Trial["&amp;I$4&amp;"]"),Tab_000.Trial[CONTA],$B146)</f>
        <v>0</v>
      </c>
      <c r="J146" s="78">
        <f t="shared" ca="1" si="92"/>
        <v>0</v>
      </c>
      <c r="K146" s="78">
        <f t="shared" ca="1" si="93"/>
        <v>0</v>
      </c>
      <c r="L146" s="4">
        <f ca="1">-SUMIFS(INDIRECT("Tab_000.Trial["&amp;L$4&amp;"]"),Tab_000.Trial[CONTA],$B146)</f>
        <v>0</v>
      </c>
      <c r="M146" s="78">
        <f t="shared" ca="1" si="94"/>
        <v>0</v>
      </c>
      <c r="N146" s="78">
        <f t="shared" ca="1" si="95"/>
        <v>0</v>
      </c>
      <c r="O146" s="4">
        <f ca="1">-SUMIFS(INDIRECT("Tab_000.Trial["&amp;O$4&amp;"]"),Tab_000.Trial[CONTA],$B146)</f>
        <v>0</v>
      </c>
      <c r="P146" s="78">
        <f t="shared" ref="P146:P148" ca="1" si="126">IFERROR($O146/$O$6,0)</f>
        <v>0</v>
      </c>
      <c r="Q146" s="78">
        <f t="shared" ref="Q146:Q148" ca="1" si="127">IFERROR(($O146-$L146)/ABS($L146),0)</f>
        <v>0</v>
      </c>
      <c r="R146" s="4">
        <f ca="1">-SUMIFS(INDIRECT("Tab_000.Trial["&amp;R$4&amp;"]"),Tab_000.Trial[CONTA],$B146)</f>
        <v>0</v>
      </c>
      <c r="S146" s="78">
        <f t="shared" ca="1" si="98"/>
        <v>0</v>
      </c>
      <c r="T146" s="78">
        <f t="shared" ca="1" si="99"/>
        <v>0</v>
      </c>
      <c r="U146" s="4">
        <f ca="1">-SUMIFS(INDIRECT("Tab_000.Trial["&amp;U$4&amp;"]"),Tab_000.Trial[CONTA],$B146)</f>
        <v>0</v>
      </c>
      <c r="V146" s="78">
        <f t="shared" ca="1" si="100"/>
        <v>0</v>
      </c>
      <c r="W146" s="78">
        <f t="shared" ca="1" si="101"/>
        <v>0</v>
      </c>
      <c r="X146" s="4">
        <f ca="1">-SUMIFS(INDIRECT("Tab_000.Trial["&amp;X$4&amp;"]"),Tab_000.Trial[CONTA],$B146)</f>
        <v>0</v>
      </c>
      <c r="Y146" s="78">
        <f t="shared" ref="Y146:Y148" ca="1" si="128">IFERROR($X146/$X$6,0)</f>
        <v>0</v>
      </c>
      <c r="Z146" s="78">
        <f t="shared" ref="Z146:Z148" ca="1" si="129">IFERROR(($X146-$U146)/ABS($U146),0)</f>
        <v>0</v>
      </c>
      <c r="AA146" s="4">
        <f ca="1">-SUMIFS(INDIRECT("Tab_000.Trial["&amp;AA$4&amp;"]"),Tab_000.Trial[CONTA],$B146)</f>
        <v>0</v>
      </c>
      <c r="AB146" s="78">
        <f t="shared" ca="1" si="104"/>
        <v>0</v>
      </c>
      <c r="AC146" s="78">
        <f t="shared" ca="1" si="105"/>
        <v>0</v>
      </c>
      <c r="AD146" s="4">
        <f ca="1">-SUMIFS(INDIRECT("Tab_000.Trial["&amp;AD$4&amp;"]"),Tab_000.Trial[CONTA],$B146)</f>
        <v>0</v>
      </c>
      <c r="AE146" s="78">
        <f t="shared" ca="1" si="106"/>
        <v>0</v>
      </c>
      <c r="AF146" s="78">
        <f t="shared" ca="1" si="107"/>
        <v>0</v>
      </c>
      <c r="AG146" s="4">
        <f ca="1">-SUMIFS(INDIRECT("Tab_000.Trial["&amp;AG$4&amp;"]"),Tab_000.Trial[CONTA],$B146)</f>
        <v>0</v>
      </c>
      <c r="AH146" s="78">
        <f t="shared" ca="1" si="108"/>
        <v>0</v>
      </c>
      <c r="AI146" s="78">
        <f t="shared" ca="1" si="109"/>
        <v>0</v>
      </c>
      <c r="AJ146" s="4">
        <f ca="1">-SUMIFS(INDIRECT("Tab_000.Trial["&amp;AJ$4&amp;"]"),Tab_000.Trial[CONTA],$B146)</f>
        <v>0</v>
      </c>
      <c r="AK146" s="78">
        <f t="shared" ca="1" si="110"/>
        <v>0</v>
      </c>
      <c r="AL146" s="78">
        <f t="shared" ca="1" si="111"/>
        <v>0</v>
      </c>
    </row>
    <row r="147" spans="2:38" ht="15" hidden="1" customHeight="1" outlineLevel="1" x14ac:dyDescent="0.3">
      <c r="B147" s="14"/>
      <c r="C147" s="14"/>
      <c r="D147" s="4">
        <f ca="1">-SUMIFS(INDIRECT("Tab_000.Trial["&amp;D$4&amp;"]"),Tab_000.Trial[CONTA],$B147)</f>
        <v>0</v>
      </c>
      <c r="E147" s="78">
        <f t="shared" ca="1" si="124"/>
        <v>0</v>
      </c>
      <c r="F147" s="4">
        <f ca="1">-SUMIFS(INDIRECT("Tab_000.Trial["&amp;F$4&amp;"]"),Tab_000.Trial[CONTA],$B147)</f>
        <v>0</v>
      </c>
      <c r="G147" s="78">
        <f t="shared" ca="1" si="91"/>
        <v>0</v>
      </c>
      <c r="H147" s="78">
        <f t="shared" ca="1" si="125"/>
        <v>0</v>
      </c>
      <c r="I147" s="4">
        <f ca="1">-SUMIFS(INDIRECT("Tab_000.Trial["&amp;I$4&amp;"]"),Tab_000.Trial[CONTA],$B147)</f>
        <v>0</v>
      </c>
      <c r="J147" s="78">
        <f t="shared" ca="1" si="92"/>
        <v>0</v>
      </c>
      <c r="K147" s="78">
        <f t="shared" ca="1" si="93"/>
        <v>0</v>
      </c>
      <c r="L147" s="4">
        <f ca="1">-SUMIFS(INDIRECT("Tab_000.Trial["&amp;L$4&amp;"]"),Tab_000.Trial[CONTA],$B147)</f>
        <v>0</v>
      </c>
      <c r="M147" s="78">
        <f t="shared" ca="1" si="94"/>
        <v>0</v>
      </c>
      <c r="N147" s="78">
        <f t="shared" ca="1" si="95"/>
        <v>0</v>
      </c>
      <c r="O147" s="4">
        <f ca="1">-SUMIFS(INDIRECT("Tab_000.Trial["&amp;O$4&amp;"]"),Tab_000.Trial[CONTA],$B147)</f>
        <v>0</v>
      </c>
      <c r="P147" s="78">
        <f t="shared" ca="1" si="126"/>
        <v>0</v>
      </c>
      <c r="Q147" s="78">
        <f t="shared" ca="1" si="127"/>
        <v>0</v>
      </c>
      <c r="R147" s="4">
        <f ca="1">-SUMIFS(INDIRECT("Tab_000.Trial["&amp;R$4&amp;"]"),Tab_000.Trial[CONTA],$B147)</f>
        <v>0</v>
      </c>
      <c r="S147" s="78">
        <f t="shared" ca="1" si="98"/>
        <v>0</v>
      </c>
      <c r="T147" s="78">
        <f t="shared" ca="1" si="99"/>
        <v>0</v>
      </c>
      <c r="U147" s="4">
        <f ca="1">-SUMIFS(INDIRECT("Tab_000.Trial["&amp;U$4&amp;"]"),Tab_000.Trial[CONTA],$B147)</f>
        <v>0</v>
      </c>
      <c r="V147" s="78">
        <f t="shared" ca="1" si="100"/>
        <v>0</v>
      </c>
      <c r="W147" s="78">
        <f t="shared" ca="1" si="101"/>
        <v>0</v>
      </c>
      <c r="X147" s="4">
        <f ca="1">-SUMIFS(INDIRECT("Tab_000.Trial["&amp;X$4&amp;"]"),Tab_000.Trial[CONTA],$B147)</f>
        <v>0</v>
      </c>
      <c r="Y147" s="78">
        <f t="shared" ca="1" si="128"/>
        <v>0</v>
      </c>
      <c r="Z147" s="78">
        <f t="shared" ca="1" si="129"/>
        <v>0</v>
      </c>
      <c r="AA147" s="4">
        <f ca="1">-SUMIFS(INDIRECT("Tab_000.Trial["&amp;AA$4&amp;"]"),Tab_000.Trial[CONTA],$B147)</f>
        <v>0</v>
      </c>
      <c r="AB147" s="78">
        <f t="shared" ca="1" si="104"/>
        <v>0</v>
      </c>
      <c r="AC147" s="78">
        <f t="shared" ca="1" si="105"/>
        <v>0</v>
      </c>
      <c r="AD147" s="4">
        <f ca="1">-SUMIFS(INDIRECT("Tab_000.Trial["&amp;AD$4&amp;"]"),Tab_000.Trial[CONTA],$B147)</f>
        <v>0</v>
      </c>
      <c r="AE147" s="78">
        <f t="shared" ca="1" si="106"/>
        <v>0</v>
      </c>
      <c r="AF147" s="78">
        <f t="shared" ca="1" si="107"/>
        <v>0</v>
      </c>
      <c r="AG147" s="4">
        <f ca="1">-SUMIFS(INDIRECT("Tab_000.Trial["&amp;AG$4&amp;"]"),Tab_000.Trial[CONTA],$B147)</f>
        <v>0</v>
      </c>
      <c r="AH147" s="78">
        <f t="shared" ca="1" si="108"/>
        <v>0</v>
      </c>
      <c r="AI147" s="78">
        <f t="shared" ca="1" si="109"/>
        <v>0</v>
      </c>
      <c r="AJ147" s="4">
        <f ca="1">-SUMIFS(INDIRECT("Tab_000.Trial["&amp;AJ$4&amp;"]"),Tab_000.Trial[CONTA],$B147)</f>
        <v>0</v>
      </c>
      <c r="AK147" s="78">
        <f t="shared" ca="1" si="110"/>
        <v>0</v>
      </c>
      <c r="AL147" s="78">
        <f t="shared" ca="1" si="111"/>
        <v>0</v>
      </c>
    </row>
    <row r="148" spans="2:38" ht="15" hidden="1" customHeight="1" outlineLevel="1" x14ac:dyDescent="0.3">
      <c r="B148" s="14"/>
      <c r="C148" s="14"/>
      <c r="D148" s="4">
        <f ca="1">-SUMIFS(INDIRECT("Tab_000.Trial["&amp;D$4&amp;"]"),Tab_000.Trial[CONTA],$B148)</f>
        <v>0</v>
      </c>
      <c r="E148" s="78">
        <f t="shared" ca="1" si="124"/>
        <v>0</v>
      </c>
      <c r="F148" s="4">
        <f ca="1">-SUMIFS(INDIRECT("Tab_000.Trial["&amp;F$4&amp;"]"),Tab_000.Trial[CONTA],$B148)</f>
        <v>0</v>
      </c>
      <c r="G148" s="78">
        <f t="shared" ca="1" si="91"/>
        <v>0</v>
      </c>
      <c r="H148" s="78">
        <f t="shared" ca="1" si="125"/>
        <v>0</v>
      </c>
      <c r="I148" s="4">
        <f ca="1">-SUMIFS(INDIRECT("Tab_000.Trial["&amp;I$4&amp;"]"),Tab_000.Trial[CONTA],$B148)</f>
        <v>0</v>
      </c>
      <c r="J148" s="78">
        <f t="shared" ca="1" si="92"/>
        <v>0</v>
      </c>
      <c r="K148" s="78">
        <f t="shared" ca="1" si="93"/>
        <v>0</v>
      </c>
      <c r="L148" s="4">
        <f ca="1">-SUMIFS(INDIRECT("Tab_000.Trial["&amp;L$4&amp;"]"),Tab_000.Trial[CONTA],$B148)</f>
        <v>0</v>
      </c>
      <c r="M148" s="78">
        <f t="shared" ca="1" si="94"/>
        <v>0</v>
      </c>
      <c r="N148" s="78">
        <f t="shared" ca="1" si="95"/>
        <v>0</v>
      </c>
      <c r="O148" s="4">
        <f ca="1">-SUMIFS(INDIRECT("Tab_000.Trial["&amp;O$4&amp;"]"),Tab_000.Trial[CONTA],$B148)</f>
        <v>0</v>
      </c>
      <c r="P148" s="78">
        <f t="shared" ca="1" si="126"/>
        <v>0</v>
      </c>
      <c r="Q148" s="78">
        <f t="shared" ca="1" si="127"/>
        <v>0</v>
      </c>
      <c r="R148" s="4">
        <f ca="1">-SUMIFS(INDIRECT("Tab_000.Trial["&amp;R$4&amp;"]"),Tab_000.Trial[CONTA],$B148)</f>
        <v>0</v>
      </c>
      <c r="S148" s="78">
        <f t="shared" ca="1" si="98"/>
        <v>0</v>
      </c>
      <c r="T148" s="78">
        <f t="shared" ca="1" si="99"/>
        <v>0</v>
      </c>
      <c r="U148" s="4">
        <f ca="1">-SUMIFS(INDIRECT("Tab_000.Trial["&amp;U$4&amp;"]"),Tab_000.Trial[CONTA],$B148)</f>
        <v>0</v>
      </c>
      <c r="V148" s="78">
        <f t="shared" ca="1" si="100"/>
        <v>0</v>
      </c>
      <c r="W148" s="78">
        <f t="shared" ca="1" si="101"/>
        <v>0</v>
      </c>
      <c r="X148" s="4">
        <f ca="1">-SUMIFS(INDIRECT("Tab_000.Trial["&amp;X$4&amp;"]"),Tab_000.Trial[CONTA],$B148)</f>
        <v>0</v>
      </c>
      <c r="Y148" s="78">
        <f t="shared" ca="1" si="128"/>
        <v>0</v>
      </c>
      <c r="Z148" s="78">
        <f t="shared" ca="1" si="129"/>
        <v>0</v>
      </c>
      <c r="AA148" s="4">
        <f ca="1">-SUMIFS(INDIRECT("Tab_000.Trial["&amp;AA$4&amp;"]"),Tab_000.Trial[CONTA],$B148)</f>
        <v>0</v>
      </c>
      <c r="AB148" s="78">
        <f t="shared" ca="1" si="104"/>
        <v>0</v>
      </c>
      <c r="AC148" s="78">
        <f t="shared" ca="1" si="105"/>
        <v>0</v>
      </c>
      <c r="AD148" s="4">
        <f ca="1">-SUMIFS(INDIRECT("Tab_000.Trial["&amp;AD$4&amp;"]"),Tab_000.Trial[CONTA],$B148)</f>
        <v>0</v>
      </c>
      <c r="AE148" s="78">
        <f t="shared" ca="1" si="106"/>
        <v>0</v>
      </c>
      <c r="AF148" s="78">
        <f t="shared" ca="1" si="107"/>
        <v>0</v>
      </c>
      <c r="AG148" s="4">
        <f ca="1">-SUMIFS(INDIRECT("Tab_000.Trial["&amp;AG$4&amp;"]"),Tab_000.Trial[CONTA],$B148)</f>
        <v>0</v>
      </c>
      <c r="AH148" s="78">
        <f t="shared" ca="1" si="108"/>
        <v>0</v>
      </c>
      <c r="AI148" s="78">
        <f t="shared" ca="1" si="109"/>
        <v>0</v>
      </c>
      <c r="AJ148" s="4">
        <f ca="1">-SUMIFS(INDIRECT("Tab_000.Trial["&amp;AJ$4&amp;"]"),Tab_000.Trial[CONTA],$B148)</f>
        <v>0</v>
      </c>
      <c r="AK148" s="78">
        <f t="shared" ca="1" si="110"/>
        <v>0</v>
      </c>
      <c r="AL148" s="78">
        <f t="shared" ca="1" si="111"/>
        <v>0</v>
      </c>
    </row>
    <row r="149" spans="2:38" ht="5.0999999999999996" hidden="1" customHeight="1" outlineLevel="1" x14ac:dyDescent="0.3">
      <c r="B149" s="74"/>
      <c r="C149" s="75"/>
      <c r="D149" s="76"/>
      <c r="E149" s="77"/>
      <c r="F149" s="76"/>
      <c r="G149" s="77"/>
      <c r="H149" s="77"/>
      <c r="I149" s="76"/>
      <c r="J149" s="77"/>
      <c r="K149" s="77"/>
      <c r="L149" s="76"/>
      <c r="M149" s="77"/>
      <c r="N149" s="77"/>
      <c r="O149" s="76"/>
      <c r="P149" s="77"/>
      <c r="Q149" s="77"/>
      <c r="R149" s="76"/>
      <c r="S149" s="77"/>
      <c r="T149" s="77"/>
      <c r="U149" s="76"/>
      <c r="V149" s="77"/>
      <c r="W149" s="77"/>
      <c r="X149" s="76"/>
      <c r="Y149" s="77"/>
      <c r="Z149" s="77"/>
      <c r="AA149" s="76"/>
      <c r="AB149" s="77"/>
      <c r="AC149" s="77"/>
      <c r="AD149" s="76"/>
      <c r="AE149" s="77"/>
      <c r="AF149" s="77"/>
      <c r="AG149" s="76"/>
      <c r="AH149" s="77"/>
      <c r="AI149" s="77"/>
      <c r="AJ149" s="76"/>
      <c r="AK149" s="77"/>
      <c r="AL149" s="77"/>
    </row>
    <row r="150" spans="2:38" ht="15" customHeight="1" collapsed="1" x14ac:dyDescent="0.3">
      <c r="B150" s="3" t="s">
        <v>108</v>
      </c>
      <c r="C150" s="3" t="s">
        <v>149</v>
      </c>
      <c r="D150" s="4">
        <f ca="1">SUBTOTAL(9,D$151:D$156)</f>
        <v>-1075.6099999999999</v>
      </c>
      <c r="E150" s="78">
        <f t="shared" ref="E150:E155" ca="1" si="130">IFERROR($D150/$D$6,0)</f>
        <v>-1.1999999999999999E-3</v>
      </c>
      <c r="F150" s="4">
        <f ca="1">SUBTOTAL(9,F$151:F$156)</f>
        <v>-1328.97</v>
      </c>
      <c r="G150" s="78">
        <f ca="1">IFERROR($F150/$F$6,0)</f>
        <v>-2.5000000000000001E-3</v>
      </c>
      <c r="H150" s="78">
        <f t="shared" ref="H150:H155" ca="1" si="131">IFERROR(($F150-$D150)/ABS($D150),0)</f>
        <v>-0.2356</v>
      </c>
      <c r="I150" s="4">
        <f ca="1">SUBTOTAL(9,I$151:I$156)</f>
        <v>-13007.66</v>
      </c>
      <c r="J150" s="78">
        <f ca="1">IFERROR($I150/$I$6,0)</f>
        <v>-1.2500000000000001E-2</v>
      </c>
      <c r="K150" s="78">
        <f ca="1">IFERROR(($I150-$F150)/ABS($F150),0)</f>
        <v>-8.7878000000000007</v>
      </c>
      <c r="L150" s="4">
        <f ca="1">SUBTOTAL(9,L$151:L$156)</f>
        <v>0</v>
      </c>
      <c r="M150" s="78">
        <f ca="1">IFERROR($L150/$L$6,0)</f>
        <v>0</v>
      </c>
      <c r="N150" s="78">
        <f ca="1">IFERROR(($L150-$I150)/ABS($I150),0)</f>
        <v>1</v>
      </c>
      <c r="O150" s="4">
        <f ca="1">SUBTOTAL(9,O$151:O$156)</f>
        <v>-115.5</v>
      </c>
      <c r="P150" s="78">
        <f ca="1">IFERROR($O150/$O$6,0)</f>
        <v>-1E-4</v>
      </c>
      <c r="Q150" s="78">
        <f ca="1">IFERROR(($O150-$L150)/ABS($L150),0)</f>
        <v>0</v>
      </c>
      <c r="R150" s="4">
        <f ca="1">SUBTOTAL(9,R$151:R$156)</f>
        <v>0</v>
      </c>
      <c r="S150" s="78">
        <f ca="1">IFERROR($R150/$R$6,0)</f>
        <v>0</v>
      </c>
      <c r="T150" s="78">
        <f ca="1">IFERROR(($R150-$O150)/ABS($O150),0)</f>
        <v>1</v>
      </c>
      <c r="U150" s="4">
        <f ca="1">SUBTOTAL(9,U$151:U$156)</f>
        <v>0</v>
      </c>
      <c r="V150" s="78">
        <f ca="1">IFERROR($U150/$U$6,0)</f>
        <v>0</v>
      </c>
      <c r="W150" s="78">
        <f ca="1">IFERROR(($U150-$R150)/ABS($R150),0)</f>
        <v>0</v>
      </c>
      <c r="X150" s="4">
        <f ca="1">SUBTOTAL(9,X$151:X$156)</f>
        <v>0</v>
      </c>
      <c r="Y150" s="78">
        <f ca="1">IFERROR($X150/$X$6,0)</f>
        <v>0</v>
      </c>
      <c r="Z150" s="78">
        <f ca="1">IFERROR(($X150-$U150)/ABS($U150),0)</f>
        <v>0</v>
      </c>
      <c r="AA150" s="4">
        <f ca="1">SUBTOTAL(9,AA$151:AA$156)</f>
        <v>0</v>
      </c>
      <c r="AB150" s="78">
        <f ca="1">IFERROR($AA150/$AA$6,0)</f>
        <v>0</v>
      </c>
      <c r="AC150" s="78">
        <f ca="1">IFERROR(($AA150-$X150)/ABS($X150),0)</f>
        <v>0</v>
      </c>
      <c r="AD150" s="4">
        <f ca="1">SUBTOTAL(9,AD$151:AD$156)</f>
        <v>0</v>
      </c>
      <c r="AE150" s="78">
        <f ca="1">IFERROR($AD150/$AD$6,0)</f>
        <v>0</v>
      </c>
      <c r="AF150" s="78">
        <f ca="1">IFERROR(($AD150-$AA150)/ABS($AA150),0)</f>
        <v>0</v>
      </c>
      <c r="AG150" s="4">
        <f ca="1">SUBTOTAL(9,AG$151:AG$156)</f>
        <v>-1326.6</v>
      </c>
      <c r="AH150" s="78">
        <f ca="1">IFERROR($AG150/$AG$6,0)</f>
        <v>-1.5E-3</v>
      </c>
      <c r="AI150" s="78">
        <f ca="1">IFERROR(($AG150-$AD150)/ABS($AD150),0)</f>
        <v>0</v>
      </c>
      <c r="AJ150" s="4">
        <f ca="1">SUBTOTAL(9,AJ$151:AJ$156)</f>
        <v>0</v>
      </c>
      <c r="AK150" s="78">
        <f ca="1">IFERROR($AJ150/$AJ$6,0)</f>
        <v>0</v>
      </c>
      <c r="AL150" s="78">
        <f ca="1">IFERROR(($AJ150-$AG150)/ABS($AG150),0)</f>
        <v>1</v>
      </c>
    </row>
    <row r="151" spans="2:38" ht="15" hidden="1" customHeight="1" outlineLevel="1" x14ac:dyDescent="0.3">
      <c r="B151" s="14" t="s">
        <v>522</v>
      </c>
      <c r="C151" s="14" t="s">
        <v>523</v>
      </c>
      <c r="D151" s="4">
        <f ca="1">-SUMIFS(INDIRECT("Tab_000.Trial["&amp;D$4&amp;"]"),Tab_000.Trial[CONTA],$B151)</f>
        <v>-1075.6099999999999</v>
      </c>
      <c r="E151" s="78">
        <f t="shared" ca="1" si="130"/>
        <v>-1.1999999999999999E-3</v>
      </c>
      <c r="F151" s="4">
        <f ca="1">-SUMIFS(INDIRECT("Tab_000.Trial["&amp;F$4&amp;"]"),Tab_000.Trial[CONTA],$B151)</f>
        <v>-1328.97</v>
      </c>
      <c r="G151" s="78">
        <f t="shared" ca="1" si="91"/>
        <v>-2.5000000000000001E-3</v>
      </c>
      <c r="H151" s="78">
        <f t="shared" ca="1" si="131"/>
        <v>-0.2356</v>
      </c>
      <c r="I151" s="4">
        <f ca="1">-SUMIFS(INDIRECT("Tab_000.Trial["&amp;I$4&amp;"]"),Tab_000.Trial[CONTA],$B151)</f>
        <v>-13007.66</v>
      </c>
      <c r="J151" s="78">
        <f t="shared" ca="1" si="92"/>
        <v>-1.2500000000000001E-2</v>
      </c>
      <c r="K151" s="78">
        <f t="shared" ca="1" si="93"/>
        <v>-8.7878000000000007</v>
      </c>
      <c r="L151" s="4">
        <f ca="1">-SUMIFS(INDIRECT("Tab_000.Trial["&amp;L$4&amp;"]"),Tab_000.Trial[CONTA],$B151)</f>
        <v>0</v>
      </c>
      <c r="M151" s="78">
        <f t="shared" ca="1" si="94"/>
        <v>0</v>
      </c>
      <c r="N151" s="78">
        <f t="shared" ca="1" si="95"/>
        <v>1</v>
      </c>
      <c r="O151" s="4">
        <f ca="1">-SUMIFS(INDIRECT("Tab_000.Trial["&amp;O$4&amp;"]"),Tab_000.Trial[CONTA],$B151)</f>
        <v>-115.5</v>
      </c>
      <c r="P151" s="78">
        <f t="shared" ref="P151:P155" ca="1" si="132">IFERROR($O151/$O$6,0)</f>
        <v>-1E-4</v>
      </c>
      <c r="Q151" s="78">
        <f t="shared" ref="Q151:Q155" ca="1" si="133">IFERROR(($O151-$L151)/ABS($L151),0)</f>
        <v>0</v>
      </c>
      <c r="R151" s="4">
        <f ca="1">-SUMIFS(INDIRECT("Tab_000.Trial["&amp;R$4&amp;"]"),Tab_000.Trial[CONTA],$B151)</f>
        <v>0</v>
      </c>
      <c r="S151" s="78">
        <f t="shared" ca="1" si="98"/>
        <v>0</v>
      </c>
      <c r="T151" s="78">
        <f t="shared" ca="1" si="99"/>
        <v>1</v>
      </c>
      <c r="U151" s="4">
        <f ca="1">-SUMIFS(INDIRECT("Tab_000.Trial["&amp;U$4&amp;"]"),Tab_000.Trial[CONTA],$B151)</f>
        <v>0</v>
      </c>
      <c r="V151" s="78">
        <f t="shared" ca="1" si="100"/>
        <v>0</v>
      </c>
      <c r="W151" s="78">
        <f t="shared" ca="1" si="101"/>
        <v>0</v>
      </c>
      <c r="X151" s="4">
        <f ca="1">-SUMIFS(INDIRECT("Tab_000.Trial["&amp;X$4&amp;"]"),Tab_000.Trial[CONTA],$B151)</f>
        <v>0</v>
      </c>
      <c r="Y151" s="78">
        <f t="shared" ref="Y151:Y155" ca="1" si="134">IFERROR($X151/$X$6,0)</f>
        <v>0</v>
      </c>
      <c r="Z151" s="78">
        <f t="shared" ref="Z151:Z155" ca="1" si="135">IFERROR(($X151-$U151)/ABS($U151),0)</f>
        <v>0</v>
      </c>
      <c r="AA151" s="4">
        <f ca="1">-SUMIFS(INDIRECT("Tab_000.Trial["&amp;AA$4&amp;"]"),Tab_000.Trial[CONTA],$B151)</f>
        <v>0</v>
      </c>
      <c r="AB151" s="78">
        <f t="shared" ca="1" si="104"/>
        <v>0</v>
      </c>
      <c r="AC151" s="78">
        <f t="shared" ca="1" si="105"/>
        <v>0</v>
      </c>
      <c r="AD151" s="4">
        <f ca="1">-SUMIFS(INDIRECT("Tab_000.Trial["&amp;AD$4&amp;"]"),Tab_000.Trial[CONTA],$B151)</f>
        <v>0</v>
      </c>
      <c r="AE151" s="78">
        <f t="shared" ca="1" si="106"/>
        <v>0</v>
      </c>
      <c r="AF151" s="78">
        <f t="shared" ca="1" si="107"/>
        <v>0</v>
      </c>
      <c r="AG151" s="4">
        <f ca="1">-SUMIFS(INDIRECT("Tab_000.Trial["&amp;AG$4&amp;"]"),Tab_000.Trial[CONTA],$B151)</f>
        <v>-1326.6</v>
      </c>
      <c r="AH151" s="78">
        <f t="shared" ca="1" si="108"/>
        <v>-1.5E-3</v>
      </c>
      <c r="AI151" s="78">
        <f t="shared" ca="1" si="109"/>
        <v>0</v>
      </c>
      <c r="AJ151" s="4">
        <f ca="1">-SUMIFS(INDIRECT("Tab_000.Trial["&amp;AJ$4&amp;"]"),Tab_000.Trial[CONTA],$B151)</f>
        <v>0</v>
      </c>
      <c r="AK151" s="78">
        <f t="shared" ca="1" si="110"/>
        <v>0</v>
      </c>
      <c r="AL151" s="78">
        <f t="shared" ca="1" si="111"/>
        <v>1</v>
      </c>
    </row>
    <row r="152" spans="2:38" ht="15" hidden="1" customHeight="1" outlineLevel="1" x14ac:dyDescent="0.3">
      <c r="B152" s="14" t="s">
        <v>526</v>
      </c>
      <c r="C152" s="14" t="s">
        <v>527</v>
      </c>
      <c r="D152" s="4">
        <f ca="1">-SUMIFS(INDIRECT("Tab_000.Trial["&amp;D$4&amp;"]"),Tab_000.Trial[CONTA],$B152)</f>
        <v>0</v>
      </c>
      <c r="E152" s="78">
        <f t="shared" ca="1" si="130"/>
        <v>0</v>
      </c>
      <c r="F152" s="4">
        <f ca="1">-SUMIFS(INDIRECT("Tab_000.Trial["&amp;F$4&amp;"]"),Tab_000.Trial[CONTA],$B152)</f>
        <v>0</v>
      </c>
      <c r="G152" s="78">
        <f t="shared" ca="1" si="91"/>
        <v>0</v>
      </c>
      <c r="H152" s="78">
        <f t="shared" ca="1" si="131"/>
        <v>0</v>
      </c>
      <c r="I152" s="4">
        <f ca="1">-SUMIFS(INDIRECT("Tab_000.Trial["&amp;I$4&amp;"]"),Tab_000.Trial[CONTA],$B152)</f>
        <v>0</v>
      </c>
      <c r="J152" s="78">
        <f t="shared" ca="1" si="92"/>
        <v>0</v>
      </c>
      <c r="K152" s="78">
        <f t="shared" ca="1" si="93"/>
        <v>0</v>
      </c>
      <c r="L152" s="4">
        <f ca="1">-SUMIFS(INDIRECT("Tab_000.Trial["&amp;L$4&amp;"]"),Tab_000.Trial[CONTA],$B152)</f>
        <v>0</v>
      </c>
      <c r="M152" s="78">
        <f t="shared" ca="1" si="94"/>
        <v>0</v>
      </c>
      <c r="N152" s="78">
        <f t="shared" ca="1" si="95"/>
        <v>0</v>
      </c>
      <c r="O152" s="4">
        <f ca="1">-SUMIFS(INDIRECT("Tab_000.Trial["&amp;O$4&amp;"]"),Tab_000.Trial[CONTA],$B152)</f>
        <v>0</v>
      </c>
      <c r="P152" s="78">
        <f t="shared" ca="1" si="132"/>
        <v>0</v>
      </c>
      <c r="Q152" s="78">
        <f t="shared" ca="1" si="133"/>
        <v>0</v>
      </c>
      <c r="R152" s="4">
        <f ca="1">-SUMIFS(INDIRECT("Tab_000.Trial["&amp;R$4&amp;"]"),Tab_000.Trial[CONTA],$B152)</f>
        <v>0</v>
      </c>
      <c r="S152" s="78">
        <f t="shared" ca="1" si="98"/>
        <v>0</v>
      </c>
      <c r="T152" s="78">
        <f t="shared" ca="1" si="99"/>
        <v>0</v>
      </c>
      <c r="U152" s="4">
        <f ca="1">-SUMIFS(INDIRECT("Tab_000.Trial["&amp;U$4&amp;"]"),Tab_000.Trial[CONTA],$B152)</f>
        <v>0</v>
      </c>
      <c r="V152" s="78">
        <f t="shared" ca="1" si="100"/>
        <v>0</v>
      </c>
      <c r="W152" s="78">
        <f t="shared" ca="1" si="101"/>
        <v>0</v>
      </c>
      <c r="X152" s="4">
        <f ca="1">-SUMIFS(INDIRECT("Tab_000.Trial["&amp;X$4&amp;"]"),Tab_000.Trial[CONTA],$B152)</f>
        <v>0</v>
      </c>
      <c r="Y152" s="78">
        <f t="shared" ca="1" si="134"/>
        <v>0</v>
      </c>
      <c r="Z152" s="78">
        <f t="shared" ca="1" si="135"/>
        <v>0</v>
      </c>
      <c r="AA152" s="4">
        <f ca="1">-SUMIFS(INDIRECT("Tab_000.Trial["&amp;AA$4&amp;"]"),Tab_000.Trial[CONTA],$B152)</f>
        <v>0</v>
      </c>
      <c r="AB152" s="78">
        <f t="shared" ca="1" si="104"/>
        <v>0</v>
      </c>
      <c r="AC152" s="78">
        <f t="shared" ca="1" si="105"/>
        <v>0</v>
      </c>
      <c r="AD152" s="4">
        <f ca="1">-SUMIFS(INDIRECT("Tab_000.Trial["&amp;AD$4&amp;"]"),Tab_000.Trial[CONTA],$B152)</f>
        <v>0</v>
      </c>
      <c r="AE152" s="78">
        <f t="shared" ca="1" si="106"/>
        <v>0</v>
      </c>
      <c r="AF152" s="78">
        <f t="shared" ca="1" si="107"/>
        <v>0</v>
      </c>
      <c r="AG152" s="4">
        <f ca="1">-SUMIFS(INDIRECT("Tab_000.Trial["&amp;AG$4&amp;"]"),Tab_000.Trial[CONTA],$B152)</f>
        <v>0</v>
      </c>
      <c r="AH152" s="78">
        <f t="shared" ca="1" si="108"/>
        <v>0</v>
      </c>
      <c r="AI152" s="78">
        <f t="shared" ca="1" si="109"/>
        <v>0</v>
      </c>
      <c r="AJ152" s="4">
        <f ca="1">-SUMIFS(INDIRECT("Tab_000.Trial["&amp;AJ$4&amp;"]"),Tab_000.Trial[CONTA],$B152)</f>
        <v>0</v>
      </c>
      <c r="AK152" s="78">
        <f t="shared" ca="1" si="110"/>
        <v>0</v>
      </c>
      <c r="AL152" s="78">
        <f t="shared" ca="1" si="111"/>
        <v>0</v>
      </c>
    </row>
    <row r="153" spans="2:38" ht="15" hidden="1" customHeight="1" outlineLevel="1" x14ac:dyDescent="0.3">
      <c r="B153" s="14"/>
      <c r="C153" s="14"/>
      <c r="D153" s="4">
        <f ca="1">-SUMIFS(INDIRECT("Tab_000.Trial["&amp;D$4&amp;"]"),Tab_000.Trial[CONTA],$B153)</f>
        <v>0</v>
      </c>
      <c r="E153" s="78">
        <f t="shared" ca="1" si="130"/>
        <v>0</v>
      </c>
      <c r="F153" s="4">
        <f ca="1">-SUMIFS(INDIRECT("Tab_000.Trial["&amp;F$4&amp;"]"),Tab_000.Trial[CONTA],$B153)</f>
        <v>0</v>
      </c>
      <c r="G153" s="78">
        <f t="shared" ca="1" si="91"/>
        <v>0</v>
      </c>
      <c r="H153" s="78">
        <f t="shared" ca="1" si="131"/>
        <v>0</v>
      </c>
      <c r="I153" s="4">
        <f ca="1">-SUMIFS(INDIRECT("Tab_000.Trial["&amp;I$4&amp;"]"),Tab_000.Trial[CONTA],$B153)</f>
        <v>0</v>
      </c>
      <c r="J153" s="78">
        <f t="shared" ca="1" si="92"/>
        <v>0</v>
      </c>
      <c r="K153" s="78">
        <f t="shared" ca="1" si="93"/>
        <v>0</v>
      </c>
      <c r="L153" s="4">
        <f ca="1">-SUMIFS(INDIRECT("Tab_000.Trial["&amp;L$4&amp;"]"),Tab_000.Trial[CONTA],$B153)</f>
        <v>0</v>
      </c>
      <c r="M153" s="78">
        <f t="shared" ca="1" si="94"/>
        <v>0</v>
      </c>
      <c r="N153" s="78">
        <f t="shared" ca="1" si="95"/>
        <v>0</v>
      </c>
      <c r="O153" s="4">
        <f ca="1">-SUMIFS(INDIRECT("Tab_000.Trial["&amp;O$4&amp;"]"),Tab_000.Trial[CONTA],$B153)</f>
        <v>0</v>
      </c>
      <c r="P153" s="78">
        <f t="shared" ca="1" si="132"/>
        <v>0</v>
      </c>
      <c r="Q153" s="78">
        <f t="shared" ca="1" si="133"/>
        <v>0</v>
      </c>
      <c r="R153" s="4">
        <f ca="1">-SUMIFS(INDIRECT("Tab_000.Trial["&amp;R$4&amp;"]"),Tab_000.Trial[CONTA],$B153)</f>
        <v>0</v>
      </c>
      <c r="S153" s="78">
        <f t="shared" ca="1" si="98"/>
        <v>0</v>
      </c>
      <c r="T153" s="78">
        <f t="shared" ca="1" si="99"/>
        <v>0</v>
      </c>
      <c r="U153" s="4">
        <f ca="1">-SUMIFS(INDIRECT("Tab_000.Trial["&amp;U$4&amp;"]"),Tab_000.Trial[CONTA],$B153)</f>
        <v>0</v>
      </c>
      <c r="V153" s="78">
        <f t="shared" ca="1" si="100"/>
        <v>0</v>
      </c>
      <c r="W153" s="78">
        <f t="shared" ca="1" si="101"/>
        <v>0</v>
      </c>
      <c r="X153" s="4">
        <f ca="1">-SUMIFS(INDIRECT("Tab_000.Trial["&amp;X$4&amp;"]"),Tab_000.Trial[CONTA],$B153)</f>
        <v>0</v>
      </c>
      <c r="Y153" s="78">
        <f t="shared" ca="1" si="134"/>
        <v>0</v>
      </c>
      <c r="Z153" s="78">
        <f t="shared" ca="1" si="135"/>
        <v>0</v>
      </c>
      <c r="AA153" s="4">
        <f ca="1">-SUMIFS(INDIRECT("Tab_000.Trial["&amp;AA$4&amp;"]"),Tab_000.Trial[CONTA],$B153)</f>
        <v>0</v>
      </c>
      <c r="AB153" s="78">
        <f t="shared" ca="1" si="104"/>
        <v>0</v>
      </c>
      <c r="AC153" s="78">
        <f t="shared" ca="1" si="105"/>
        <v>0</v>
      </c>
      <c r="AD153" s="4">
        <f ca="1">-SUMIFS(INDIRECT("Tab_000.Trial["&amp;AD$4&amp;"]"),Tab_000.Trial[CONTA],$B153)</f>
        <v>0</v>
      </c>
      <c r="AE153" s="78">
        <f t="shared" ca="1" si="106"/>
        <v>0</v>
      </c>
      <c r="AF153" s="78">
        <f t="shared" ca="1" si="107"/>
        <v>0</v>
      </c>
      <c r="AG153" s="4">
        <f ca="1">-SUMIFS(INDIRECT("Tab_000.Trial["&amp;AG$4&amp;"]"),Tab_000.Trial[CONTA],$B153)</f>
        <v>0</v>
      </c>
      <c r="AH153" s="78">
        <f t="shared" ca="1" si="108"/>
        <v>0</v>
      </c>
      <c r="AI153" s="78">
        <f t="shared" ca="1" si="109"/>
        <v>0</v>
      </c>
      <c r="AJ153" s="4">
        <f ca="1">-SUMIFS(INDIRECT("Tab_000.Trial["&amp;AJ$4&amp;"]"),Tab_000.Trial[CONTA],$B153)</f>
        <v>0</v>
      </c>
      <c r="AK153" s="78">
        <f t="shared" ca="1" si="110"/>
        <v>0</v>
      </c>
      <c r="AL153" s="78">
        <f t="shared" ca="1" si="111"/>
        <v>0</v>
      </c>
    </row>
    <row r="154" spans="2:38" ht="15" hidden="1" customHeight="1" outlineLevel="1" x14ac:dyDescent="0.3">
      <c r="B154" s="14"/>
      <c r="C154" s="14"/>
      <c r="D154" s="4">
        <f ca="1">-SUMIFS(INDIRECT("Tab_000.Trial["&amp;D$4&amp;"]"),Tab_000.Trial[CONTA],$B154)</f>
        <v>0</v>
      </c>
      <c r="E154" s="78">
        <f t="shared" ca="1" si="130"/>
        <v>0</v>
      </c>
      <c r="F154" s="4">
        <f ca="1">-SUMIFS(INDIRECT("Tab_000.Trial["&amp;F$4&amp;"]"),Tab_000.Trial[CONTA],$B154)</f>
        <v>0</v>
      </c>
      <c r="G154" s="78">
        <f t="shared" ca="1" si="91"/>
        <v>0</v>
      </c>
      <c r="H154" s="78">
        <f t="shared" ca="1" si="131"/>
        <v>0</v>
      </c>
      <c r="I154" s="4">
        <f ca="1">-SUMIFS(INDIRECT("Tab_000.Trial["&amp;I$4&amp;"]"),Tab_000.Trial[CONTA],$B154)</f>
        <v>0</v>
      </c>
      <c r="J154" s="78">
        <f t="shared" ca="1" si="92"/>
        <v>0</v>
      </c>
      <c r="K154" s="78">
        <f t="shared" ca="1" si="93"/>
        <v>0</v>
      </c>
      <c r="L154" s="4">
        <f ca="1">-SUMIFS(INDIRECT("Tab_000.Trial["&amp;L$4&amp;"]"),Tab_000.Trial[CONTA],$B154)</f>
        <v>0</v>
      </c>
      <c r="M154" s="78">
        <f t="shared" ca="1" si="94"/>
        <v>0</v>
      </c>
      <c r="N154" s="78">
        <f t="shared" ca="1" si="95"/>
        <v>0</v>
      </c>
      <c r="O154" s="4">
        <f ca="1">-SUMIFS(INDIRECT("Tab_000.Trial["&amp;O$4&amp;"]"),Tab_000.Trial[CONTA],$B154)</f>
        <v>0</v>
      </c>
      <c r="P154" s="78">
        <f t="shared" ca="1" si="132"/>
        <v>0</v>
      </c>
      <c r="Q154" s="78">
        <f t="shared" ca="1" si="133"/>
        <v>0</v>
      </c>
      <c r="R154" s="4">
        <f ca="1">-SUMIFS(INDIRECT("Tab_000.Trial["&amp;R$4&amp;"]"),Tab_000.Trial[CONTA],$B154)</f>
        <v>0</v>
      </c>
      <c r="S154" s="78">
        <f t="shared" ca="1" si="98"/>
        <v>0</v>
      </c>
      <c r="T154" s="78">
        <f t="shared" ca="1" si="99"/>
        <v>0</v>
      </c>
      <c r="U154" s="4">
        <f ca="1">-SUMIFS(INDIRECT("Tab_000.Trial["&amp;U$4&amp;"]"),Tab_000.Trial[CONTA],$B154)</f>
        <v>0</v>
      </c>
      <c r="V154" s="78">
        <f t="shared" ca="1" si="100"/>
        <v>0</v>
      </c>
      <c r="W154" s="78">
        <f t="shared" ca="1" si="101"/>
        <v>0</v>
      </c>
      <c r="X154" s="4">
        <f ca="1">-SUMIFS(INDIRECT("Tab_000.Trial["&amp;X$4&amp;"]"),Tab_000.Trial[CONTA],$B154)</f>
        <v>0</v>
      </c>
      <c r="Y154" s="78">
        <f t="shared" ca="1" si="134"/>
        <v>0</v>
      </c>
      <c r="Z154" s="78">
        <f t="shared" ca="1" si="135"/>
        <v>0</v>
      </c>
      <c r="AA154" s="4">
        <f ca="1">-SUMIFS(INDIRECT("Tab_000.Trial["&amp;AA$4&amp;"]"),Tab_000.Trial[CONTA],$B154)</f>
        <v>0</v>
      </c>
      <c r="AB154" s="78">
        <f t="shared" ca="1" si="104"/>
        <v>0</v>
      </c>
      <c r="AC154" s="78">
        <f t="shared" ca="1" si="105"/>
        <v>0</v>
      </c>
      <c r="AD154" s="4">
        <f ca="1">-SUMIFS(INDIRECT("Tab_000.Trial["&amp;AD$4&amp;"]"),Tab_000.Trial[CONTA],$B154)</f>
        <v>0</v>
      </c>
      <c r="AE154" s="78">
        <f t="shared" ca="1" si="106"/>
        <v>0</v>
      </c>
      <c r="AF154" s="78">
        <f t="shared" ca="1" si="107"/>
        <v>0</v>
      </c>
      <c r="AG154" s="4">
        <f ca="1">-SUMIFS(INDIRECT("Tab_000.Trial["&amp;AG$4&amp;"]"),Tab_000.Trial[CONTA],$B154)</f>
        <v>0</v>
      </c>
      <c r="AH154" s="78">
        <f t="shared" ca="1" si="108"/>
        <v>0</v>
      </c>
      <c r="AI154" s="78">
        <f t="shared" ca="1" si="109"/>
        <v>0</v>
      </c>
      <c r="AJ154" s="4">
        <f ca="1">-SUMIFS(INDIRECT("Tab_000.Trial["&amp;AJ$4&amp;"]"),Tab_000.Trial[CONTA],$B154)</f>
        <v>0</v>
      </c>
      <c r="AK154" s="78">
        <f t="shared" ca="1" si="110"/>
        <v>0</v>
      </c>
      <c r="AL154" s="78">
        <f t="shared" ca="1" si="111"/>
        <v>0</v>
      </c>
    </row>
    <row r="155" spans="2:38" ht="15" hidden="1" customHeight="1" outlineLevel="1" x14ac:dyDescent="0.3">
      <c r="B155" s="14"/>
      <c r="C155" s="14"/>
      <c r="D155" s="4">
        <f ca="1">-SUMIFS(INDIRECT("Tab_000.Trial["&amp;D$4&amp;"]"),Tab_000.Trial[CONTA],$B155)</f>
        <v>0</v>
      </c>
      <c r="E155" s="78">
        <f t="shared" ca="1" si="130"/>
        <v>0</v>
      </c>
      <c r="F155" s="4">
        <f ca="1">-SUMIFS(INDIRECT("Tab_000.Trial["&amp;F$4&amp;"]"),Tab_000.Trial[CONTA],$B155)</f>
        <v>0</v>
      </c>
      <c r="G155" s="78">
        <f t="shared" ca="1" si="91"/>
        <v>0</v>
      </c>
      <c r="H155" s="78">
        <f t="shared" ca="1" si="131"/>
        <v>0</v>
      </c>
      <c r="I155" s="4">
        <f ca="1">-SUMIFS(INDIRECT("Tab_000.Trial["&amp;I$4&amp;"]"),Tab_000.Trial[CONTA],$B155)</f>
        <v>0</v>
      </c>
      <c r="J155" s="78">
        <f t="shared" ca="1" si="92"/>
        <v>0</v>
      </c>
      <c r="K155" s="78">
        <f t="shared" ca="1" si="93"/>
        <v>0</v>
      </c>
      <c r="L155" s="4">
        <f ca="1">-SUMIFS(INDIRECT("Tab_000.Trial["&amp;L$4&amp;"]"),Tab_000.Trial[CONTA],$B155)</f>
        <v>0</v>
      </c>
      <c r="M155" s="78">
        <f t="shared" ca="1" si="94"/>
        <v>0</v>
      </c>
      <c r="N155" s="78">
        <f t="shared" ca="1" si="95"/>
        <v>0</v>
      </c>
      <c r="O155" s="4">
        <f ca="1">-SUMIFS(INDIRECT("Tab_000.Trial["&amp;O$4&amp;"]"),Tab_000.Trial[CONTA],$B155)</f>
        <v>0</v>
      </c>
      <c r="P155" s="78">
        <f t="shared" ca="1" si="132"/>
        <v>0</v>
      </c>
      <c r="Q155" s="78">
        <f t="shared" ca="1" si="133"/>
        <v>0</v>
      </c>
      <c r="R155" s="4">
        <f ca="1">-SUMIFS(INDIRECT("Tab_000.Trial["&amp;R$4&amp;"]"),Tab_000.Trial[CONTA],$B155)</f>
        <v>0</v>
      </c>
      <c r="S155" s="78">
        <f t="shared" ca="1" si="98"/>
        <v>0</v>
      </c>
      <c r="T155" s="78">
        <f t="shared" ca="1" si="99"/>
        <v>0</v>
      </c>
      <c r="U155" s="4">
        <f ca="1">-SUMIFS(INDIRECT("Tab_000.Trial["&amp;U$4&amp;"]"),Tab_000.Trial[CONTA],$B155)</f>
        <v>0</v>
      </c>
      <c r="V155" s="78">
        <f t="shared" ca="1" si="100"/>
        <v>0</v>
      </c>
      <c r="W155" s="78">
        <f t="shared" ca="1" si="101"/>
        <v>0</v>
      </c>
      <c r="X155" s="4">
        <f ca="1">-SUMIFS(INDIRECT("Tab_000.Trial["&amp;X$4&amp;"]"),Tab_000.Trial[CONTA],$B155)</f>
        <v>0</v>
      </c>
      <c r="Y155" s="78">
        <f t="shared" ca="1" si="134"/>
        <v>0</v>
      </c>
      <c r="Z155" s="78">
        <f t="shared" ca="1" si="135"/>
        <v>0</v>
      </c>
      <c r="AA155" s="4">
        <f ca="1">-SUMIFS(INDIRECT("Tab_000.Trial["&amp;AA$4&amp;"]"),Tab_000.Trial[CONTA],$B155)</f>
        <v>0</v>
      </c>
      <c r="AB155" s="78">
        <f t="shared" ca="1" si="104"/>
        <v>0</v>
      </c>
      <c r="AC155" s="78">
        <f t="shared" ca="1" si="105"/>
        <v>0</v>
      </c>
      <c r="AD155" s="4">
        <f ca="1">-SUMIFS(INDIRECT("Tab_000.Trial["&amp;AD$4&amp;"]"),Tab_000.Trial[CONTA],$B155)</f>
        <v>0</v>
      </c>
      <c r="AE155" s="78">
        <f t="shared" ca="1" si="106"/>
        <v>0</v>
      </c>
      <c r="AF155" s="78">
        <f t="shared" ca="1" si="107"/>
        <v>0</v>
      </c>
      <c r="AG155" s="4">
        <f ca="1">-SUMIFS(INDIRECT("Tab_000.Trial["&amp;AG$4&amp;"]"),Tab_000.Trial[CONTA],$B155)</f>
        <v>0</v>
      </c>
      <c r="AH155" s="78">
        <f t="shared" ca="1" si="108"/>
        <v>0</v>
      </c>
      <c r="AI155" s="78">
        <f t="shared" ca="1" si="109"/>
        <v>0</v>
      </c>
      <c r="AJ155" s="4">
        <f ca="1">-SUMIFS(INDIRECT("Tab_000.Trial["&amp;AJ$4&amp;"]"),Tab_000.Trial[CONTA],$B155)</f>
        <v>0</v>
      </c>
      <c r="AK155" s="78">
        <f t="shared" ca="1" si="110"/>
        <v>0</v>
      </c>
      <c r="AL155" s="78">
        <f t="shared" ca="1" si="111"/>
        <v>0</v>
      </c>
    </row>
    <row r="156" spans="2:38" ht="5.0999999999999996" hidden="1" customHeight="1" outlineLevel="1" x14ac:dyDescent="0.3">
      <c r="B156" s="74"/>
      <c r="C156" s="75"/>
      <c r="D156" s="76"/>
      <c r="E156" s="77"/>
      <c r="F156" s="76"/>
      <c r="G156" s="77"/>
      <c r="H156" s="77"/>
      <c r="I156" s="76"/>
      <c r="J156" s="77"/>
      <c r="K156" s="77"/>
      <c r="L156" s="76"/>
      <c r="M156" s="77"/>
      <c r="N156" s="77"/>
      <c r="O156" s="76"/>
      <c r="P156" s="77"/>
      <c r="Q156" s="77"/>
      <c r="R156" s="76"/>
      <c r="S156" s="77"/>
      <c r="T156" s="77"/>
      <c r="U156" s="76"/>
      <c r="V156" s="77"/>
      <c r="W156" s="77"/>
      <c r="X156" s="76"/>
      <c r="Y156" s="77"/>
      <c r="Z156" s="77"/>
      <c r="AA156" s="76"/>
      <c r="AB156" s="77"/>
      <c r="AC156" s="77"/>
      <c r="AD156" s="76"/>
      <c r="AE156" s="77"/>
      <c r="AF156" s="77"/>
      <c r="AG156" s="76"/>
      <c r="AH156" s="77"/>
      <c r="AI156" s="77"/>
      <c r="AJ156" s="76"/>
      <c r="AK156" s="77"/>
      <c r="AL156" s="77"/>
    </row>
    <row r="157" spans="2:38" ht="15" customHeight="1" collapsed="1" x14ac:dyDescent="0.3">
      <c r="B157" s="3" t="s">
        <v>109</v>
      </c>
      <c r="C157" s="3" t="s">
        <v>150</v>
      </c>
      <c r="D157" s="4">
        <f ca="1">SUBTOTAL(9,D$158:D$162)</f>
        <v>-5364.1</v>
      </c>
      <c r="E157" s="78">
        <f t="shared" ref="E157:E161" ca="1" si="136">IFERROR($D157/$D$6,0)</f>
        <v>-5.7000000000000002E-3</v>
      </c>
      <c r="F157" s="4">
        <f ca="1">SUBTOTAL(9,F$158:F$162)</f>
        <v>0</v>
      </c>
      <c r="G157" s="78">
        <f ca="1">IFERROR($F157/$F$6,0)</f>
        <v>0</v>
      </c>
      <c r="H157" s="78">
        <f t="shared" ref="H157:H161" ca="1" si="137">IFERROR(($F157-$D157)/ABS($D157),0)</f>
        <v>1</v>
      </c>
      <c r="I157" s="4">
        <f ca="1">SUBTOTAL(9,I$158:I$162)</f>
        <v>-3667.05</v>
      </c>
      <c r="J157" s="78">
        <f ca="1">IFERROR($I157/$I$6,0)</f>
        <v>-3.5000000000000001E-3</v>
      </c>
      <c r="K157" s="78">
        <f ca="1">IFERROR(($I157-$F157)/ABS($F157),0)</f>
        <v>0</v>
      </c>
      <c r="L157" s="4">
        <f ca="1">SUBTOTAL(9,L$158:L$162)</f>
        <v>-3667.05</v>
      </c>
      <c r="M157" s="78">
        <f ca="1">IFERROR($L157/$L$6,0)</f>
        <v>-3.7000000000000002E-3</v>
      </c>
      <c r="N157" s="78">
        <f ca="1">IFERROR(($L157-$I157)/ABS($I157),0)</f>
        <v>0</v>
      </c>
      <c r="O157" s="4">
        <f ca="1">SUBTOTAL(9,O$158:O$162)</f>
        <v>-3667.05</v>
      </c>
      <c r="P157" s="78">
        <f ca="1">IFERROR($O157/$O$6,0)</f>
        <v>-3.0999999999999999E-3</v>
      </c>
      <c r="Q157" s="78">
        <f ca="1">IFERROR(($O157-$L157)/ABS($L157),0)</f>
        <v>0</v>
      </c>
      <c r="R157" s="4">
        <f ca="1">SUBTOTAL(9,R$158:R$162)</f>
        <v>-3666.75</v>
      </c>
      <c r="S157" s="78">
        <f ca="1">IFERROR($R157/$R$6,0)</f>
        <v>-3.5000000000000001E-3</v>
      </c>
      <c r="T157" s="78">
        <f ca="1">IFERROR(($R157-$O157)/ABS($O157),0)</f>
        <v>1E-4</v>
      </c>
      <c r="U157" s="4">
        <f ca="1">SUBTOTAL(9,U$158:U$162)</f>
        <v>-3666.75</v>
      </c>
      <c r="V157" s="78">
        <f ca="1">IFERROR($U157/$U$6,0)</f>
        <v>-3.5000000000000001E-3</v>
      </c>
      <c r="W157" s="78">
        <f ca="1">IFERROR(($U157-$R157)/ABS($R157),0)</f>
        <v>0</v>
      </c>
      <c r="X157" s="4">
        <f ca="1">SUBTOTAL(9,X$158:X$162)</f>
        <v>-3666.75</v>
      </c>
      <c r="Y157" s="78">
        <f ca="1">IFERROR($X157/$X$6,0)</f>
        <v>-3.5000000000000001E-3</v>
      </c>
      <c r="Z157" s="78">
        <f ca="1">IFERROR(($X157-$U157)/ABS($U157),0)</f>
        <v>0</v>
      </c>
      <c r="AA157" s="4">
        <f ca="1">SUBTOTAL(9,AA$158:AA$162)</f>
        <v>-3666.75</v>
      </c>
      <c r="AB157" s="78">
        <f ca="1">IFERROR($AA157/$AA$6,0)</f>
        <v>-3.8E-3</v>
      </c>
      <c r="AC157" s="78">
        <f ca="1">IFERROR(($AA157-$X157)/ABS($X157),0)</f>
        <v>0</v>
      </c>
      <c r="AD157" s="4">
        <f ca="1">SUBTOTAL(9,AD$158:AD$162)</f>
        <v>-3666.75</v>
      </c>
      <c r="AE157" s="78">
        <f ca="1">IFERROR($AD157/$AD$6,0)</f>
        <v>-3.0000000000000001E-3</v>
      </c>
      <c r="AF157" s="78">
        <f ca="1">IFERROR(($AD157-$AA157)/ABS($AA157),0)</f>
        <v>0</v>
      </c>
      <c r="AG157" s="4">
        <f ca="1">SUBTOTAL(9,AG$158:AG$162)</f>
        <v>-3666.75</v>
      </c>
      <c r="AH157" s="78">
        <f ca="1">IFERROR($AG157/$AG$6,0)</f>
        <v>-4.1000000000000003E-3</v>
      </c>
      <c r="AI157" s="78">
        <f ca="1">IFERROR(($AG157-$AD157)/ABS($AD157),0)</f>
        <v>0</v>
      </c>
      <c r="AJ157" s="4">
        <f ca="1">SUBTOTAL(9,AJ$158:AJ$162)</f>
        <v>-3666.75</v>
      </c>
      <c r="AK157" s="78">
        <f ca="1">IFERROR($AJ157/$AJ$6,0)</f>
        <v>-2.5000000000000001E-3</v>
      </c>
      <c r="AL157" s="78">
        <f ca="1">IFERROR(($AJ157-$AG157)/ABS($AG157),0)</f>
        <v>0</v>
      </c>
    </row>
    <row r="158" spans="2:38" ht="15" hidden="1" customHeight="1" outlineLevel="1" x14ac:dyDescent="0.3">
      <c r="B158" s="14" t="s">
        <v>520</v>
      </c>
      <c r="C158" s="14" t="s">
        <v>521</v>
      </c>
      <c r="D158" s="4">
        <f ca="1">-SUMIFS(INDIRECT("Tab_000.Trial["&amp;D$4&amp;"]"),Tab_000.Trial[CONTA],$B158)</f>
        <v>-5364.1</v>
      </c>
      <c r="E158" s="78">
        <f t="shared" ca="1" si="136"/>
        <v>-5.7000000000000002E-3</v>
      </c>
      <c r="F158" s="4">
        <f ca="1">-SUMIFS(INDIRECT("Tab_000.Trial["&amp;F$4&amp;"]"),Tab_000.Trial[CONTA],$B158)</f>
        <v>0</v>
      </c>
      <c r="G158" s="78">
        <f t="shared" ca="1" si="91"/>
        <v>0</v>
      </c>
      <c r="H158" s="78">
        <f t="shared" ca="1" si="137"/>
        <v>1</v>
      </c>
      <c r="I158" s="4">
        <f ca="1">-SUMIFS(INDIRECT("Tab_000.Trial["&amp;I$4&amp;"]"),Tab_000.Trial[CONTA],$B158)</f>
        <v>-3667.05</v>
      </c>
      <c r="J158" s="78">
        <f t="shared" ca="1" si="92"/>
        <v>-3.5000000000000001E-3</v>
      </c>
      <c r="K158" s="78">
        <f t="shared" ca="1" si="93"/>
        <v>0</v>
      </c>
      <c r="L158" s="4">
        <f ca="1">-SUMIFS(INDIRECT("Tab_000.Trial["&amp;L$4&amp;"]"),Tab_000.Trial[CONTA],$B158)</f>
        <v>-3667.05</v>
      </c>
      <c r="M158" s="78">
        <f t="shared" ca="1" si="94"/>
        <v>-3.7000000000000002E-3</v>
      </c>
      <c r="N158" s="78">
        <f t="shared" ca="1" si="95"/>
        <v>0</v>
      </c>
      <c r="O158" s="4">
        <f ca="1">-SUMIFS(INDIRECT("Tab_000.Trial["&amp;O$4&amp;"]"),Tab_000.Trial[CONTA],$B158)</f>
        <v>-3667.05</v>
      </c>
      <c r="P158" s="78">
        <f t="shared" ref="P158:P161" ca="1" si="138">IFERROR($O158/$O$6,0)</f>
        <v>-3.0999999999999999E-3</v>
      </c>
      <c r="Q158" s="78">
        <f t="shared" ref="Q158:Q161" ca="1" si="139">IFERROR(($O158-$L158)/ABS($L158),0)</f>
        <v>0</v>
      </c>
      <c r="R158" s="4">
        <f ca="1">-SUMIFS(INDIRECT("Tab_000.Trial["&amp;R$4&amp;"]"),Tab_000.Trial[CONTA],$B158)</f>
        <v>-3666.75</v>
      </c>
      <c r="S158" s="78">
        <f t="shared" ca="1" si="98"/>
        <v>-3.5000000000000001E-3</v>
      </c>
      <c r="T158" s="78">
        <f t="shared" ca="1" si="99"/>
        <v>1E-4</v>
      </c>
      <c r="U158" s="4">
        <f ca="1">-SUMIFS(INDIRECT("Tab_000.Trial["&amp;U$4&amp;"]"),Tab_000.Trial[CONTA],$B158)</f>
        <v>-3666.75</v>
      </c>
      <c r="V158" s="78">
        <f t="shared" ca="1" si="100"/>
        <v>-3.5000000000000001E-3</v>
      </c>
      <c r="W158" s="78">
        <f t="shared" ca="1" si="101"/>
        <v>0</v>
      </c>
      <c r="X158" s="4">
        <f ca="1">-SUMIFS(INDIRECT("Tab_000.Trial["&amp;X$4&amp;"]"),Tab_000.Trial[CONTA],$B158)</f>
        <v>-3666.75</v>
      </c>
      <c r="Y158" s="78">
        <f t="shared" ref="Y158:Y161" ca="1" si="140">IFERROR($X158/$X$6,0)</f>
        <v>-3.5000000000000001E-3</v>
      </c>
      <c r="Z158" s="78">
        <f t="shared" ref="Z158:Z161" ca="1" si="141">IFERROR(($X158-$U158)/ABS($U158),0)</f>
        <v>0</v>
      </c>
      <c r="AA158" s="4">
        <f ca="1">-SUMIFS(INDIRECT("Tab_000.Trial["&amp;AA$4&amp;"]"),Tab_000.Trial[CONTA],$B158)</f>
        <v>-3666.75</v>
      </c>
      <c r="AB158" s="78">
        <f t="shared" ca="1" si="104"/>
        <v>-3.8E-3</v>
      </c>
      <c r="AC158" s="78">
        <f t="shared" ca="1" si="105"/>
        <v>0</v>
      </c>
      <c r="AD158" s="4">
        <f ca="1">-SUMIFS(INDIRECT("Tab_000.Trial["&amp;AD$4&amp;"]"),Tab_000.Trial[CONTA],$B158)</f>
        <v>-3666.75</v>
      </c>
      <c r="AE158" s="78">
        <f t="shared" ca="1" si="106"/>
        <v>-3.0000000000000001E-3</v>
      </c>
      <c r="AF158" s="78">
        <f t="shared" ca="1" si="107"/>
        <v>0</v>
      </c>
      <c r="AG158" s="4">
        <f ca="1">-SUMIFS(INDIRECT("Tab_000.Trial["&amp;AG$4&amp;"]"),Tab_000.Trial[CONTA],$B158)</f>
        <v>-3666.75</v>
      </c>
      <c r="AH158" s="78">
        <f t="shared" ca="1" si="108"/>
        <v>-4.1000000000000003E-3</v>
      </c>
      <c r="AI158" s="78">
        <f t="shared" ca="1" si="109"/>
        <v>0</v>
      </c>
      <c r="AJ158" s="4">
        <f ca="1">-SUMIFS(INDIRECT("Tab_000.Trial["&amp;AJ$4&amp;"]"),Tab_000.Trial[CONTA],$B158)</f>
        <v>-3666.75</v>
      </c>
      <c r="AK158" s="78">
        <f t="shared" ca="1" si="110"/>
        <v>-2.5000000000000001E-3</v>
      </c>
      <c r="AL158" s="78">
        <f t="shared" ca="1" si="111"/>
        <v>0</v>
      </c>
    </row>
    <row r="159" spans="2:38" ht="15" hidden="1" customHeight="1" outlineLevel="1" x14ac:dyDescent="0.3">
      <c r="B159" s="14"/>
      <c r="C159" s="14"/>
      <c r="D159" s="4">
        <f ca="1">-SUMIFS(INDIRECT("Tab_000.Trial["&amp;D$4&amp;"]"),Tab_000.Trial[CONTA],$B159)</f>
        <v>0</v>
      </c>
      <c r="E159" s="78">
        <f t="shared" ca="1" si="136"/>
        <v>0</v>
      </c>
      <c r="F159" s="4">
        <f ca="1">-SUMIFS(INDIRECT("Tab_000.Trial["&amp;F$4&amp;"]"),Tab_000.Trial[CONTA],$B159)</f>
        <v>0</v>
      </c>
      <c r="G159" s="78">
        <f t="shared" ca="1" si="91"/>
        <v>0</v>
      </c>
      <c r="H159" s="78">
        <f t="shared" ca="1" si="137"/>
        <v>0</v>
      </c>
      <c r="I159" s="4">
        <f ca="1">-SUMIFS(INDIRECT("Tab_000.Trial["&amp;I$4&amp;"]"),Tab_000.Trial[CONTA],$B159)</f>
        <v>0</v>
      </c>
      <c r="J159" s="78">
        <f t="shared" ca="1" si="92"/>
        <v>0</v>
      </c>
      <c r="K159" s="78">
        <f t="shared" ca="1" si="93"/>
        <v>0</v>
      </c>
      <c r="L159" s="4">
        <f ca="1">-SUMIFS(INDIRECT("Tab_000.Trial["&amp;L$4&amp;"]"),Tab_000.Trial[CONTA],$B159)</f>
        <v>0</v>
      </c>
      <c r="M159" s="78">
        <f t="shared" ca="1" si="94"/>
        <v>0</v>
      </c>
      <c r="N159" s="78">
        <f t="shared" ca="1" si="95"/>
        <v>0</v>
      </c>
      <c r="O159" s="4">
        <f ca="1">-SUMIFS(INDIRECT("Tab_000.Trial["&amp;O$4&amp;"]"),Tab_000.Trial[CONTA],$B159)</f>
        <v>0</v>
      </c>
      <c r="P159" s="78">
        <f t="shared" ca="1" si="138"/>
        <v>0</v>
      </c>
      <c r="Q159" s="78">
        <f t="shared" ca="1" si="139"/>
        <v>0</v>
      </c>
      <c r="R159" s="4">
        <f ca="1">-SUMIFS(INDIRECT("Tab_000.Trial["&amp;R$4&amp;"]"),Tab_000.Trial[CONTA],$B159)</f>
        <v>0</v>
      </c>
      <c r="S159" s="78">
        <f t="shared" ca="1" si="98"/>
        <v>0</v>
      </c>
      <c r="T159" s="78">
        <f t="shared" ca="1" si="99"/>
        <v>0</v>
      </c>
      <c r="U159" s="4">
        <f ca="1">-SUMIFS(INDIRECT("Tab_000.Trial["&amp;U$4&amp;"]"),Tab_000.Trial[CONTA],$B159)</f>
        <v>0</v>
      </c>
      <c r="V159" s="78">
        <f t="shared" ca="1" si="100"/>
        <v>0</v>
      </c>
      <c r="W159" s="78">
        <f t="shared" ca="1" si="101"/>
        <v>0</v>
      </c>
      <c r="X159" s="4">
        <f ca="1">-SUMIFS(INDIRECT("Tab_000.Trial["&amp;X$4&amp;"]"),Tab_000.Trial[CONTA],$B159)</f>
        <v>0</v>
      </c>
      <c r="Y159" s="78">
        <f t="shared" ca="1" si="140"/>
        <v>0</v>
      </c>
      <c r="Z159" s="78">
        <f t="shared" ca="1" si="141"/>
        <v>0</v>
      </c>
      <c r="AA159" s="4">
        <f ca="1">-SUMIFS(INDIRECT("Tab_000.Trial["&amp;AA$4&amp;"]"),Tab_000.Trial[CONTA],$B159)</f>
        <v>0</v>
      </c>
      <c r="AB159" s="78">
        <f t="shared" ca="1" si="104"/>
        <v>0</v>
      </c>
      <c r="AC159" s="78">
        <f t="shared" ca="1" si="105"/>
        <v>0</v>
      </c>
      <c r="AD159" s="4">
        <f ca="1">-SUMIFS(INDIRECT("Tab_000.Trial["&amp;AD$4&amp;"]"),Tab_000.Trial[CONTA],$B159)</f>
        <v>0</v>
      </c>
      <c r="AE159" s="78">
        <f t="shared" ca="1" si="106"/>
        <v>0</v>
      </c>
      <c r="AF159" s="78">
        <f t="shared" ca="1" si="107"/>
        <v>0</v>
      </c>
      <c r="AG159" s="4">
        <f ca="1">-SUMIFS(INDIRECT("Tab_000.Trial["&amp;AG$4&amp;"]"),Tab_000.Trial[CONTA],$B159)</f>
        <v>0</v>
      </c>
      <c r="AH159" s="78">
        <f t="shared" ca="1" si="108"/>
        <v>0</v>
      </c>
      <c r="AI159" s="78">
        <f t="shared" ca="1" si="109"/>
        <v>0</v>
      </c>
      <c r="AJ159" s="4">
        <f ca="1">-SUMIFS(INDIRECT("Tab_000.Trial["&amp;AJ$4&amp;"]"),Tab_000.Trial[CONTA],$B159)</f>
        <v>0</v>
      </c>
      <c r="AK159" s="78">
        <f t="shared" ca="1" si="110"/>
        <v>0</v>
      </c>
      <c r="AL159" s="78">
        <f t="shared" ca="1" si="111"/>
        <v>0</v>
      </c>
    </row>
    <row r="160" spans="2:38" ht="15" hidden="1" customHeight="1" outlineLevel="1" x14ac:dyDescent="0.3">
      <c r="B160" s="14"/>
      <c r="C160" s="14"/>
      <c r="D160" s="4">
        <f ca="1">-SUMIFS(INDIRECT("Tab_000.Trial["&amp;D$4&amp;"]"),Tab_000.Trial[CONTA],$B160)</f>
        <v>0</v>
      </c>
      <c r="E160" s="78">
        <f t="shared" ca="1" si="136"/>
        <v>0</v>
      </c>
      <c r="F160" s="4">
        <f ca="1">-SUMIFS(INDIRECT("Tab_000.Trial["&amp;F$4&amp;"]"),Tab_000.Trial[CONTA],$B160)</f>
        <v>0</v>
      </c>
      <c r="G160" s="78">
        <f t="shared" ca="1" si="91"/>
        <v>0</v>
      </c>
      <c r="H160" s="78">
        <f t="shared" ca="1" si="137"/>
        <v>0</v>
      </c>
      <c r="I160" s="4">
        <f ca="1">-SUMIFS(INDIRECT("Tab_000.Trial["&amp;I$4&amp;"]"),Tab_000.Trial[CONTA],$B160)</f>
        <v>0</v>
      </c>
      <c r="J160" s="78">
        <f t="shared" ca="1" si="92"/>
        <v>0</v>
      </c>
      <c r="K160" s="78">
        <f t="shared" ca="1" si="93"/>
        <v>0</v>
      </c>
      <c r="L160" s="4">
        <f ca="1">-SUMIFS(INDIRECT("Tab_000.Trial["&amp;L$4&amp;"]"),Tab_000.Trial[CONTA],$B160)</f>
        <v>0</v>
      </c>
      <c r="M160" s="78">
        <f t="shared" ca="1" si="94"/>
        <v>0</v>
      </c>
      <c r="N160" s="78">
        <f t="shared" ca="1" si="95"/>
        <v>0</v>
      </c>
      <c r="O160" s="4">
        <f ca="1">-SUMIFS(INDIRECT("Tab_000.Trial["&amp;O$4&amp;"]"),Tab_000.Trial[CONTA],$B160)</f>
        <v>0</v>
      </c>
      <c r="P160" s="78">
        <f t="shared" ca="1" si="138"/>
        <v>0</v>
      </c>
      <c r="Q160" s="78">
        <f t="shared" ca="1" si="139"/>
        <v>0</v>
      </c>
      <c r="R160" s="4">
        <f ca="1">-SUMIFS(INDIRECT("Tab_000.Trial["&amp;R$4&amp;"]"),Tab_000.Trial[CONTA],$B160)</f>
        <v>0</v>
      </c>
      <c r="S160" s="78">
        <f t="shared" ca="1" si="98"/>
        <v>0</v>
      </c>
      <c r="T160" s="78">
        <f t="shared" ca="1" si="99"/>
        <v>0</v>
      </c>
      <c r="U160" s="4">
        <f ca="1">-SUMIFS(INDIRECT("Tab_000.Trial["&amp;U$4&amp;"]"),Tab_000.Trial[CONTA],$B160)</f>
        <v>0</v>
      </c>
      <c r="V160" s="78">
        <f t="shared" ca="1" si="100"/>
        <v>0</v>
      </c>
      <c r="W160" s="78">
        <f t="shared" ca="1" si="101"/>
        <v>0</v>
      </c>
      <c r="X160" s="4">
        <f ca="1">-SUMIFS(INDIRECT("Tab_000.Trial["&amp;X$4&amp;"]"),Tab_000.Trial[CONTA],$B160)</f>
        <v>0</v>
      </c>
      <c r="Y160" s="78">
        <f t="shared" ca="1" si="140"/>
        <v>0</v>
      </c>
      <c r="Z160" s="78">
        <f t="shared" ca="1" si="141"/>
        <v>0</v>
      </c>
      <c r="AA160" s="4">
        <f ca="1">-SUMIFS(INDIRECT("Tab_000.Trial["&amp;AA$4&amp;"]"),Tab_000.Trial[CONTA],$B160)</f>
        <v>0</v>
      </c>
      <c r="AB160" s="78">
        <f t="shared" ca="1" si="104"/>
        <v>0</v>
      </c>
      <c r="AC160" s="78">
        <f t="shared" ca="1" si="105"/>
        <v>0</v>
      </c>
      <c r="AD160" s="4">
        <f ca="1">-SUMIFS(INDIRECT("Tab_000.Trial["&amp;AD$4&amp;"]"),Tab_000.Trial[CONTA],$B160)</f>
        <v>0</v>
      </c>
      <c r="AE160" s="78">
        <f t="shared" ca="1" si="106"/>
        <v>0</v>
      </c>
      <c r="AF160" s="78">
        <f t="shared" ca="1" si="107"/>
        <v>0</v>
      </c>
      <c r="AG160" s="4">
        <f ca="1">-SUMIFS(INDIRECT("Tab_000.Trial["&amp;AG$4&amp;"]"),Tab_000.Trial[CONTA],$B160)</f>
        <v>0</v>
      </c>
      <c r="AH160" s="78">
        <f t="shared" ca="1" si="108"/>
        <v>0</v>
      </c>
      <c r="AI160" s="78">
        <f t="shared" ca="1" si="109"/>
        <v>0</v>
      </c>
      <c r="AJ160" s="4">
        <f ca="1">-SUMIFS(INDIRECT("Tab_000.Trial["&amp;AJ$4&amp;"]"),Tab_000.Trial[CONTA],$B160)</f>
        <v>0</v>
      </c>
      <c r="AK160" s="78">
        <f t="shared" ca="1" si="110"/>
        <v>0</v>
      </c>
      <c r="AL160" s="78">
        <f t="shared" ca="1" si="111"/>
        <v>0</v>
      </c>
    </row>
    <row r="161" spans="2:38" ht="15" hidden="1" customHeight="1" outlineLevel="1" x14ac:dyDescent="0.3">
      <c r="B161" s="14"/>
      <c r="C161" s="14"/>
      <c r="D161" s="4">
        <f ca="1">-SUMIFS(INDIRECT("Tab_000.Trial["&amp;D$4&amp;"]"),Tab_000.Trial[CONTA],$B161)</f>
        <v>0</v>
      </c>
      <c r="E161" s="78">
        <f t="shared" ca="1" si="136"/>
        <v>0</v>
      </c>
      <c r="F161" s="4">
        <f ca="1">-SUMIFS(INDIRECT("Tab_000.Trial["&amp;F$4&amp;"]"),Tab_000.Trial[CONTA],$B161)</f>
        <v>0</v>
      </c>
      <c r="G161" s="78">
        <f t="shared" ca="1" si="91"/>
        <v>0</v>
      </c>
      <c r="H161" s="78">
        <f t="shared" ca="1" si="137"/>
        <v>0</v>
      </c>
      <c r="I161" s="4">
        <f ca="1">-SUMIFS(INDIRECT("Tab_000.Trial["&amp;I$4&amp;"]"),Tab_000.Trial[CONTA],$B161)</f>
        <v>0</v>
      </c>
      <c r="J161" s="78">
        <f t="shared" ca="1" si="92"/>
        <v>0</v>
      </c>
      <c r="K161" s="78">
        <f t="shared" ca="1" si="93"/>
        <v>0</v>
      </c>
      <c r="L161" s="4">
        <f ca="1">-SUMIFS(INDIRECT("Tab_000.Trial["&amp;L$4&amp;"]"),Tab_000.Trial[CONTA],$B161)</f>
        <v>0</v>
      </c>
      <c r="M161" s="78">
        <f t="shared" ca="1" si="94"/>
        <v>0</v>
      </c>
      <c r="N161" s="78">
        <f t="shared" ca="1" si="95"/>
        <v>0</v>
      </c>
      <c r="O161" s="4">
        <f ca="1">-SUMIFS(INDIRECT("Tab_000.Trial["&amp;O$4&amp;"]"),Tab_000.Trial[CONTA],$B161)</f>
        <v>0</v>
      </c>
      <c r="P161" s="78">
        <f t="shared" ca="1" si="138"/>
        <v>0</v>
      </c>
      <c r="Q161" s="78">
        <f t="shared" ca="1" si="139"/>
        <v>0</v>
      </c>
      <c r="R161" s="4">
        <f ca="1">-SUMIFS(INDIRECT("Tab_000.Trial["&amp;R$4&amp;"]"),Tab_000.Trial[CONTA],$B161)</f>
        <v>0</v>
      </c>
      <c r="S161" s="78">
        <f t="shared" ca="1" si="98"/>
        <v>0</v>
      </c>
      <c r="T161" s="78">
        <f t="shared" ca="1" si="99"/>
        <v>0</v>
      </c>
      <c r="U161" s="4">
        <f ca="1">-SUMIFS(INDIRECT("Tab_000.Trial["&amp;U$4&amp;"]"),Tab_000.Trial[CONTA],$B161)</f>
        <v>0</v>
      </c>
      <c r="V161" s="78">
        <f t="shared" ca="1" si="100"/>
        <v>0</v>
      </c>
      <c r="W161" s="78">
        <f t="shared" ca="1" si="101"/>
        <v>0</v>
      </c>
      <c r="X161" s="4">
        <f ca="1">-SUMIFS(INDIRECT("Tab_000.Trial["&amp;X$4&amp;"]"),Tab_000.Trial[CONTA],$B161)</f>
        <v>0</v>
      </c>
      <c r="Y161" s="78">
        <f t="shared" ca="1" si="140"/>
        <v>0</v>
      </c>
      <c r="Z161" s="78">
        <f t="shared" ca="1" si="141"/>
        <v>0</v>
      </c>
      <c r="AA161" s="4">
        <f ca="1">-SUMIFS(INDIRECT("Tab_000.Trial["&amp;AA$4&amp;"]"),Tab_000.Trial[CONTA],$B161)</f>
        <v>0</v>
      </c>
      <c r="AB161" s="78">
        <f t="shared" ca="1" si="104"/>
        <v>0</v>
      </c>
      <c r="AC161" s="78">
        <f t="shared" ca="1" si="105"/>
        <v>0</v>
      </c>
      <c r="AD161" s="4">
        <f ca="1">-SUMIFS(INDIRECT("Tab_000.Trial["&amp;AD$4&amp;"]"),Tab_000.Trial[CONTA],$B161)</f>
        <v>0</v>
      </c>
      <c r="AE161" s="78">
        <f t="shared" ca="1" si="106"/>
        <v>0</v>
      </c>
      <c r="AF161" s="78">
        <f t="shared" ca="1" si="107"/>
        <v>0</v>
      </c>
      <c r="AG161" s="4">
        <f ca="1">-SUMIFS(INDIRECT("Tab_000.Trial["&amp;AG$4&amp;"]"),Tab_000.Trial[CONTA],$B161)</f>
        <v>0</v>
      </c>
      <c r="AH161" s="78">
        <f t="shared" ca="1" si="108"/>
        <v>0</v>
      </c>
      <c r="AI161" s="78">
        <f t="shared" ca="1" si="109"/>
        <v>0</v>
      </c>
      <c r="AJ161" s="4">
        <f ca="1">-SUMIFS(INDIRECT("Tab_000.Trial["&amp;AJ$4&amp;"]"),Tab_000.Trial[CONTA],$B161)</f>
        <v>0</v>
      </c>
      <c r="AK161" s="78">
        <f t="shared" ca="1" si="110"/>
        <v>0</v>
      </c>
      <c r="AL161" s="78">
        <f t="shared" ca="1" si="111"/>
        <v>0</v>
      </c>
    </row>
    <row r="162" spans="2:38" ht="5.0999999999999996" hidden="1" customHeight="1" outlineLevel="1" x14ac:dyDescent="0.3">
      <c r="B162" s="74"/>
      <c r="C162" s="75"/>
      <c r="D162" s="76"/>
      <c r="E162" s="77"/>
      <c r="F162" s="76"/>
      <c r="G162" s="77"/>
      <c r="H162" s="77"/>
      <c r="I162" s="76"/>
      <c r="J162" s="77"/>
      <c r="K162" s="77"/>
      <c r="L162" s="76"/>
      <c r="M162" s="77"/>
      <c r="N162" s="77"/>
      <c r="O162" s="76"/>
      <c r="P162" s="77"/>
      <c r="Q162" s="77"/>
      <c r="R162" s="76"/>
      <c r="S162" s="77"/>
      <c r="T162" s="77"/>
      <c r="U162" s="76"/>
      <c r="V162" s="77"/>
      <c r="W162" s="77"/>
      <c r="X162" s="76"/>
      <c r="Y162" s="77"/>
      <c r="Z162" s="77"/>
      <c r="AA162" s="76"/>
      <c r="AB162" s="77"/>
      <c r="AC162" s="77"/>
      <c r="AD162" s="76"/>
      <c r="AE162" s="77"/>
      <c r="AF162" s="77"/>
      <c r="AG162" s="76"/>
      <c r="AH162" s="77"/>
      <c r="AI162" s="77"/>
      <c r="AJ162" s="76"/>
      <c r="AK162" s="77"/>
      <c r="AL162" s="77"/>
    </row>
    <row r="163" spans="2:38" ht="15" customHeight="1" collapsed="1" x14ac:dyDescent="0.3">
      <c r="B163" s="3" t="s">
        <v>66</v>
      </c>
      <c r="C163" s="3" t="s">
        <v>83</v>
      </c>
      <c r="D163" s="4">
        <f ca="1">SUBTOTAL(9,D$164:D$169)</f>
        <v>189</v>
      </c>
      <c r="E163" s="78">
        <f t="shared" ref="E163:E168" ca="1" si="142">IFERROR($D163/$D$6,0)</f>
        <v>2.0000000000000001E-4</v>
      </c>
      <c r="F163" s="4">
        <f ca="1">SUBTOTAL(9,F$164:F$169)</f>
        <v>-270</v>
      </c>
      <c r="G163" s="78">
        <f ca="1">IFERROR($F163/$F$6,0)</f>
        <v>-5.0000000000000001E-4</v>
      </c>
      <c r="H163" s="78">
        <f t="shared" ref="H163:H168" ca="1" si="143">IFERROR(($F163-$D163)/ABS($D163),0)</f>
        <v>-2.4285999999999999</v>
      </c>
      <c r="I163" s="4">
        <f ca="1">SUBTOTAL(9,I$164:I$169)</f>
        <v>0</v>
      </c>
      <c r="J163" s="78">
        <f ca="1">IFERROR($I163/$I$6,0)</f>
        <v>0</v>
      </c>
      <c r="K163" s="78">
        <f ca="1">IFERROR(($I163-$F163)/ABS($F163),0)</f>
        <v>1</v>
      </c>
      <c r="L163" s="4">
        <f ca="1">SUBTOTAL(9,L$164:L$169)</f>
        <v>0</v>
      </c>
      <c r="M163" s="78">
        <f ca="1">IFERROR($L163/$L$6,0)</f>
        <v>0</v>
      </c>
      <c r="N163" s="78">
        <f ca="1">IFERROR(($L163-$I163)/ABS($I163),0)</f>
        <v>0</v>
      </c>
      <c r="O163" s="4">
        <f ca="1">SUBTOTAL(9,O$164:O$169)</f>
        <v>0</v>
      </c>
      <c r="P163" s="78">
        <f ca="1">IFERROR($O163/$O$6,0)</f>
        <v>0</v>
      </c>
      <c r="Q163" s="78">
        <f ca="1">IFERROR(($O163-$L163)/ABS($L163),0)</f>
        <v>0</v>
      </c>
      <c r="R163" s="4">
        <f ca="1">SUBTOTAL(9,R$164:R$169)</f>
        <v>0</v>
      </c>
      <c r="S163" s="78">
        <f ca="1">IFERROR($R163/$R$6,0)</f>
        <v>0</v>
      </c>
      <c r="T163" s="78">
        <f ca="1">IFERROR(($R163-$O163)/ABS($O163),0)</f>
        <v>0</v>
      </c>
      <c r="U163" s="4">
        <f ca="1">SUBTOTAL(9,U$164:U$169)</f>
        <v>0</v>
      </c>
      <c r="V163" s="78">
        <f ca="1">IFERROR($U163/$U$6,0)</f>
        <v>0</v>
      </c>
      <c r="W163" s="78">
        <f ca="1">IFERROR(($U163-$R163)/ABS($R163),0)</f>
        <v>0</v>
      </c>
      <c r="X163" s="4">
        <f ca="1">SUBTOTAL(9,X$164:X$169)</f>
        <v>0</v>
      </c>
      <c r="Y163" s="78">
        <f ca="1">IFERROR($X163/$X$6,0)</f>
        <v>0</v>
      </c>
      <c r="Z163" s="78">
        <f ca="1">IFERROR(($X163-$U163)/ABS($U163),0)</f>
        <v>0</v>
      </c>
      <c r="AA163" s="4">
        <f ca="1">SUBTOTAL(9,AA$164:AA$169)</f>
        <v>0</v>
      </c>
      <c r="AB163" s="78">
        <f ca="1">IFERROR($AA163/$AA$6,0)</f>
        <v>0</v>
      </c>
      <c r="AC163" s="78">
        <f ca="1">IFERROR(($AA163-$X163)/ABS($X163),0)</f>
        <v>0</v>
      </c>
      <c r="AD163" s="4">
        <f ca="1">SUBTOTAL(9,AD$164:AD$169)</f>
        <v>0</v>
      </c>
      <c r="AE163" s="78">
        <f ca="1">IFERROR($AD163/$AD$6,0)</f>
        <v>0</v>
      </c>
      <c r="AF163" s="78">
        <f ca="1">IFERROR(($AD163-$AA163)/ABS($AA163),0)</f>
        <v>0</v>
      </c>
      <c r="AG163" s="4">
        <f ca="1">SUBTOTAL(9,AG$164:AG$169)</f>
        <v>0</v>
      </c>
      <c r="AH163" s="78">
        <f ca="1">IFERROR($AG163/$AG$6,0)</f>
        <v>0</v>
      </c>
      <c r="AI163" s="78">
        <f ca="1">IFERROR(($AG163-$AD163)/ABS($AD163),0)</f>
        <v>0</v>
      </c>
      <c r="AJ163" s="4">
        <f ca="1">SUBTOTAL(9,AJ$164:AJ$169)</f>
        <v>0</v>
      </c>
      <c r="AK163" s="78">
        <f ca="1">IFERROR($AJ163/$AJ$6,0)</f>
        <v>0</v>
      </c>
      <c r="AL163" s="78">
        <f ca="1">IFERROR(($AJ163-$AG163)/ABS($AG163),0)</f>
        <v>0</v>
      </c>
    </row>
    <row r="164" spans="2:38" ht="15" hidden="1" customHeight="1" outlineLevel="1" x14ac:dyDescent="0.3">
      <c r="B164" s="14" t="s">
        <v>543</v>
      </c>
      <c r="C164" s="14" t="s">
        <v>544</v>
      </c>
      <c r="D164" s="4">
        <f ca="1">-SUMIFS(INDIRECT("Tab_000.Trial["&amp;D$4&amp;"]"),Tab_000.Trial[CONTA],$B164)</f>
        <v>0</v>
      </c>
      <c r="E164" s="78">
        <f t="shared" ca="1" si="142"/>
        <v>0</v>
      </c>
      <c r="F164" s="4">
        <f ca="1">-SUMIFS(INDIRECT("Tab_000.Trial["&amp;F$4&amp;"]"),Tab_000.Trial[CONTA],$B164)</f>
        <v>0</v>
      </c>
      <c r="G164" s="78">
        <f t="shared" ca="1" si="91"/>
        <v>0</v>
      </c>
      <c r="H164" s="78">
        <f t="shared" ca="1" si="143"/>
        <v>0</v>
      </c>
      <c r="I164" s="4">
        <f ca="1">-SUMIFS(INDIRECT("Tab_000.Trial["&amp;I$4&amp;"]"),Tab_000.Trial[CONTA],$B164)</f>
        <v>0</v>
      </c>
      <c r="J164" s="78">
        <f t="shared" ca="1" si="92"/>
        <v>0</v>
      </c>
      <c r="K164" s="78">
        <f t="shared" ca="1" si="93"/>
        <v>0</v>
      </c>
      <c r="L164" s="4">
        <f ca="1">-SUMIFS(INDIRECT("Tab_000.Trial["&amp;L$4&amp;"]"),Tab_000.Trial[CONTA],$B164)</f>
        <v>0</v>
      </c>
      <c r="M164" s="78">
        <f t="shared" ca="1" si="94"/>
        <v>0</v>
      </c>
      <c r="N164" s="78">
        <f t="shared" ca="1" si="95"/>
        <v>0</v>
      </c>
      <c r="O164" s="4">
        <f ca="1">-SUMIFS(INDIRECT("Tab_000.Trial["&amp;O$4&amp;"]"),Tab_000.Trial[CONTA],$B164)</f>
        <v>0</v>
      </c>
      <c r="P164" s="78">
        <f t="shared" ref="P164:P168" ca="1" si="144">IFERROR($O164/$O$6,0)</f>
        <v>0</v>
      </c>
      <c r="Q164" s="78">
        <f t="shared" ref="Q164:Q168" ca="1" si="145">IFERROR(($O164-$L164)/ABS($L164),0)</f>
        <v>0</v>
      </c>
      <c r="R164" s="4">
        <f ca="1">-SUMIFS(INDIRECT("Tab_000.Trial["&amp;R$4&amp;"]"),Tab_000.Trial[CONTA],$B164)</f>
        <v>0</v>
      </c>
      <c r="S164" s="78">
        <f t="shared" ca="1" si="98"/>
        <v>0</v>
      </c>
      <c r="T164" s="78">
        <f t="shared" ca="1" si="99"/>
        <v>0</v>
      </c>
      <c r="U164" s="4">
        <f ca="1">-SUMIFS(INDIRECT("Tab_000.Trial["&amp;U$4&amp;"]"),Tab_000.Trial[CONTA],$B164)</f>
        <v>0</v>
      </c>
      <c r="V164" s="78">
        <f t="shared" ca="1" si="100"/>
        <v>0</v>
      </c>
      <c r="W164" s="78">
        <f t="shared" ca="1" si="101"/>
        <v>0</v>
      </c>
      <c r="X164" s="4">
        <f ca="1">-SUMIFS(INDIRECT("Tab_000.Trial["&amp;X$4&amp;"]"),Tab_000.Trial[CONTA],$B164)</f>
        <v>0</v>
      </c>
      <c r="Y164" s="78">
        <f t="shared" ref="Y164:Y168" ca="1" si="146">IFERROR($X164/$X$6,0)</f>
        <v>0</v>
      </c>
      <c r="Z164" s="78">
        <f t="shared" ref="Z164:Z168" ca="1" si="147">IFERROR(($X164-$U164)/ABS($U164),0)</f>
        <v>0</v>
      </c>
      <c r="AA164" s="4">
        <f ca="1">-SUMIFS(INDIRECT("Tab_000.Trial["&amp;AA$4&amp;"]"),Tab_000.Trial[CONTA],$B164)</f>
        <v>0</v>
      </c>
      <c r="AB164" s="78">
        <f t="shared" ca="1" si="104"/>
        <v>0</v>
      </c>
      <c r="AC164" s="78">
        <f t="shared" ca="1" si="105"/>
        <v>0</v>
      </c>
      <c r="AD164" s="4">
        <f ca="1">-SUMIFS(INDIRECT("Tab_000.Trial["&amp;AD$4&amp;"]"),Tab_000.Trial[CONTA],$B164)</f>
        <v>0</v>
      </c>
      <c r="AE164" s="78">
        <f t="shared" ca="1" si="106"/>
        <v>0</v>
      </c>
      <c r="AF164" s="78">
        <f t="shared" ca="1" si="107"/>
        <v>0</v>
      </c>
      <c r="AG164" s="4">
        <f ca="1">-SUMIFS(INDIRECT("Tab_000.Trial["&amp;AG$4&amp;"]"),Tab_000.Trial[CONTA],$B164)</f>
        <v>0</v>
      </c>
      <c r="AH164" s="78">
        <f t="shared" ca="1" si="108"/>
        <v>0</v>
      </c>
      <c r="AI164" s="78">
        <f t="shared" ca="1" si="109"/>
        <v>0</v>
      </c>
      <c r="AJ164" s="4">
        <f ca="1">-SUMIFS(INDIRECT("Tab_000.Trial["&amp;AJ$4&amp;"]"),Tab_000.Trial[CONTA],$B164)</f>
        <v>0</v>
      </c>
      <c r="AK164" s="78">
        <f t="shared" ca="1" si="110"/>
        <v>0</v>
      </c>
      <c r="AL164" s="78">
        <f t="shared" ca="1" si="111"/>
        <v>0</v>
      </c>
    </row>
    <row r="165" spans="2:38" ht="15" hidden="1" customHeight="1" outlineLevel="1" x14ac:dyDescent="0.3">
      <c r="B165" s="14" t="s">
        <v>547</v>
      </c>
      <c r="C165" s="14" t="s">
        <v>548</v>
      </c>
      <c r="D165" s="4">
        <f ca="1">-SUMIFS(INDIRECT("Tab_000.Trial["&amp;D$4&amp;"]"),Tab_000.Trial[CONTA],$B165)</f>
        <v>0</v>
      </c>
      <c r="E165" s="78">
        <f t="shared" ca="1" si="142"/>
        <v>0</v>
      </c>
      <c r="F165" s="4">
        <f ca="1">-SUMIFS(INDIRECT("Tab_000.Trial["&amp;F$4&amp;"]"),Tab_000.Trial[CONTA],$B165)</f>
        <v>-270</v>
      </c>
      <c r="G165" s="78">
        <f t="shared" ca="1" si="91"/>
        <v>-5.0000000000000001E-4</v>
      </c>
      <c r="H165" s="78">
        <f t="shared" ca="1" si="143"/>
        <v>0</v>
      </c>
      <c r="I165" s="4">
        <f ca="1">-SUMIFS(INDIRECT("Tab_000.Trial["&amp;I$4&amp;"]"),Tab_000.Trial[CONTA],$B165)</f>
        <v>0</v>
      </c>
      <c r="J165" s="78">
        <f t="shared" ca="1" si="92"/>
        <v>0</v>
      </c>
      <c r="K165" s="78">
        <f t="shared" ca="1" si="93"/>
        <v>1</v>
      </c>
      <c r="L165" s="4">
        <f ca="1">-SUMIFS(INDIRECT("Tab_000.Trial["&amp;L$4&amp;"]"),Tab_000.Trial[CONTA],$B165)</f>
        <v>0</v>
      </c>
      <c r="M165" s="78">
        <f t="shared" ca="1" si="94"/>
        <v>0</v>
      </c>
      <c r="N165" s="78">
        <f t="shared" ca="1" si="95"/>
        <v>0</v>
      </c>
      <c r="O165" s="4">
        <f ca="1">-SUMIFS(INDIRECT("Tab_000.Trial["&amp;O$4&amp;"]"),Tab_000.Trial[CONTA],$B165)</f>
        <v>0</v>
      </c>
      <c r="P165" s="78">
        <f t="shared" ca="1" si="144"/>
        <v>0</v>
      </c>
      <c r="Q165" s="78">
        <f t="shared" ca="1" si="145"/>
        <v>0</v>
      </c>
      <c r="R165" s="4">
        <f ca="1">-SUMIFS(INDIRECT("Tab_000.Trial["&amp;R$4&amp;"]"),Tab_000.Trial[CONTA],$B165)</f>
        <v>0</v>
      </c>
      <c r="S165" s="78">
        <f t="shared" ca="1" si="98"/>
        <v>0</v>
      </c>
      <c r="T165" s="78">
        <f t="shared" ca="1" si="99"/>
        <v>0</v>
      </c>
      <c r="U165" s="4">
        <f ca="1">-SUMIFS(INDIRECT("Tab_000.Trial["&amp;U$4&amp;"]"),Tab_000.Trial[CONTA],$B165)</f>
        <v>0</v>
      </c>
      <c r="V165" s="78">
        <f t="shared" ca="1" si="100"/>
        <v>0</v>
      </c>
      <c r="W165" s="78">
        <f t="shared" ca="1" si="101"/>
        <v>0</v>
      </c>
      <c r="X165" s="4">
        <f ca="1">-SUMIFS(INDIRECT("Tab_000.Trial["&amp;X$4&amp;"]"),Tab_000.Trial[CONTA],$B165)</f>
        <v>0</v>
      </c>
      <c r="Y165" s="78">
        <f t="shared" ca="1" si="146"/>
        <v>0</v>
      </c>
      <c r="Z165" s="78">
        <f t="shared" ca="1" si="147"/>
        <v>0</v>
      </c>
      <c r="AA165" s="4">
        <f ca="1">-SUMIFS(INDIRECT("Tab_000.Trial["&amp;AA$4&amp;"]"),Tab_000.Trial[CONTA],$B165)</f>
        <v>0</v>
      </c>
      <c r="AB165" s="78">
        <f t="shared" ca="1" si="104"/>
        <v>0</v>
      </c>
      <c r="AC165" s="78">
        <f t="shared" ca="1" si="105"/>
        <v>0</v>
      </c>
      <c r="AD165" s="4">
        <f ca="1">-SUMIFS(INDIRECT("Tab_000.Trial["&amp;AD$4&amp;"]"),Tab_000.Trial[CONTA],$B165)</f>
        <v>0</v>
      </c>
      <c r="AE165" s="78">
        <f t="shared" ca="1" si="106"/>
        <v>0</v>
      </c>
      <c r="AF165" s="78">
        <f t="shared" ca="1" si="107"/>
        <v>0</v>
      </c>
      <c r="AG165" s="4">
        <f ca="1">-SUMIFS(INDIRECT("Tab_000.Trial["&amp;AG$4&amp;"]"),Tab_000.Trial[CONTA],$B165)</f>
        <v>0</v>
      </c>
      <c r="AH165" s="78">
        <f t="shared" ca="1" si="108"/>
        <v>0</v>
      </c>
      <c r="AI165" s="78">
        <f t="shared" ca="1" si="109"/>
        <v>0</v>
      </c>
      <c r="AJ165" s="4">
        <f ca="1">-SUMIFS(INDIRECT("Tab_000.Trial["&amp;AJ$4&amp;"]"),Tab_000.Trial[CONTA],$B165)</f>
        <v>0</v>
      </c>
      <c r="AK165" s="78">
        <f t="shared" ca="1" si="110"/>
        <v>0</v>
      </c>
      <c r="AL165" s="78">
        <f t="shared" ca="1" si="111"/>
        <v>0</v>
      </c>
    </row>
    <row r="166" spans="2:38" ht="15" hidden="1" customHeight="1" outlineLevel="1" x14ac:dyDescent="0.3">
      <c r="B166" s="14" t="s">
        <v>549</v>
      </c>
      <c r="C166" s="14" t="s">
        <v>550</v>
      </c>
      <c r="D166" s="4">
        <f ca="1">-SUMIFS(INDIRECT("Tab_000.Trial["&amp;D$4&amp;"]"),Tab_000.Trial[CONTA],$B166)</f>
        <v>0</v>
      </c>
      <c r="E166" s="78">
        <f t="shared" ca="1" si="142"/>
        <v>0</v>
      </c>
      <c r="F166" s="4">
        <f ca="1">-SUMIFS(INDIRECT("Tab_000.Trial["&amp;F$4&amp;"]"),Tab_000.Trial[CONTA],$B166)</f>
        <v>0</v>
      </c>
      <c r="G166" s="78">
        <f t="shared" ca="1" si="91"/>
        <v>0</v>
      </c>
      <c r="H166" s="78">
        <f t="shared" ca="1" si="143"/>
        <v>0</v>
      </c>
      <c r="I166" s="4">
        <f ca="1">-SUMIFS(INDIRECT("Tab_000.Trial["&amp;I$4&amp;"]"),Tab_000.Trial[CONTA],$B166)</f>
        <v>0</v>
      </c>
      <c r="J166" s="78">
        <f t="shared" ca="1" si="92"/>
        <v>0</v>
      </c>
      <c r="K166" s="78">
        <f t="shared" ca="1" si="93"/>
        <v>0</v>
      </c>
      <c r="L166" s="4">
        <f ca="1">-SUMIFS(INDIRECT("Tab_000.Trial["&amp;L$4&amp;"]"),Tab_000.Trial[CONTA],$B166)</f>
        <v>0</v>
      </c>
      <c r="M166" s="78">
        <f t="shared" ca="1" si="94"/>
        <v>0</v>
      </c>
      <c r="N166" s="78">
        <f t="shared" ca="1" si="95"/>
        <v>0</v>
      </c>
      <c r="O166" s="4">
        <f ca="1">-SUMIFS(INDIRECT("Tab_000.Trial["&amp;O$4&amp;"]"),Tab_000.Trial[CONTA],$B166)</f>
        <v>0</v>
      </c>
      <c r="P166" s="78">
        <f t="shared" ca="1" si="144"/>
        <v>0</v>
      </c>
      <c r="Q166" s="78">
        <f t="shared" ca="1" si="145"/>
        <v>0</v>
      </c>
      <c r="R166" s="4">
        <f ca="1">-SUMIFS(INDIRECT("Tab_000.Trial["&amp;R$4&amp;"]"),Tab_000.Trial[CONTA],$B166)</f>
        <v>0</v>
      </c>
      <c r="S166" s="78">
        <f t="shared" ca="1" si="98"/>
        <v>0</v>
      </c>
      <c r="T166" s="78">
        <f t="shared" ca="1" si="99"/>
        <v>0</v>
      </c>
      <c r="U166" s="4">
        <f ca="1">-SUMIFS(INDIRECT("Tab_000.Trial["&amp;U$4&amp;"]"),Tab_000.Trial[CONTA],$B166)</f>
        <v>0</v>
      </c>
      <c r="V166" s="78">
        <f t="shared" ca="1" si="100"/>
        <v>0</v>
      </c>
      <c r="W166" s="78">
        <f t="shared" ca="1" si="101"/>
        <v>0</v>
      </c>
      <c r="X166" s="4">
        <f ca="1">-SUMIFS(INDIRECT("Tab_000.Trial["&amp;X$4&amp;"]"),Tab_000.Trial[CONTA],$B166)</f>
        <v>0</v>
      </c>
      <c r="Y166" s="78">
        <f t="shared" ca="1" si="146"/>
        <v>0</v>
      </c>
      <c r="Z166" s="78">
        <f t="shared" ca="1" si="147"/>
        <v>0</v>
      </c>
      <c r="AA166" s="4">
        <f ca="1">-SUMIFS(INDIRECT("Tab_000.Trial["&amp;AA$4&amp;"]"),Tab_000.Trial[CONTA],$B166)</f>
        <v>0</v>
      </c>
      <c r="AB166" s="78">
        <f t="shared" ca="1" si="104"/>
        <v>0</v>
      </c>
      <c r="AC166" s="78">
        <f t="shared" ca="1" si="105"/>
        <v>0</v>
      </c>
      <c r="AD166" s="4">
        <f ca="1">-SUMIFS(INDIRECT("Tab_000.Trial["&amp;AD$4&amp;"]"),Tab_000.Trial[CONTA],$B166)</f>
        <v>0</v>
      </c>
      <c r="AE166" s="78">
        <f t="shared" ca="1" si="106"/>
        <v>0</v>
      </c>
      <c r="AF166" s="78">
        <f t="shared" ca="1" si="107"/>
        <v>0</v>
      </c>
      <c r="AG166" s="4">
        <f ca="1">-SUMIFS(INDIRECT("Tab_000.Trial["&amp;AG$4&amp;"]"),Tab_000.Trial[CONTA],$B166)</f>
        <v>0</v>
      </c>
      <c r="AH166" s="78">
        <f t="shared" ca="1" si="108"/>
        <v>0</v>
      </c>
      <c r="AI166" s="78">
        <f t="shared" ca="1" si="109"/>
        <v>0</v>
      </c>
      <c r="AJ166" s="4">
        <f ca="1">-SUMIFS(INDIRECT("Tab_000.Trial["&amp;AJ$4&amp;"]"),Tab_000.Trial[CONTA],$B166)</f>
        <v>0</v>
      </c>
      <c r="AK166" s="78">
        <f t="shared" ca="1" si="110"/>
        <v>0</v>
      </c>
      <c r="AL166" s="78">
        <f t="shared" ca="1" si="111"/>
        <v>0</v>
      </c>
    </row>
    <row r="167" spans="2:38" ht="15" hidden="1" customHeight="1" outlineLevel="1" x14ac:dyDescent="0.3">
      <c r="B167" s="14" t="s">
        <v>834</v>
      </c>
      <c r="C167" s="14" t="s">
        <v>835</v>
      </c>
      <c r="D167" s="4">
        <f ca="1">-SUMIFS(INDIRECT("Tab_000.Trial["&amp;D$4&amp;"]"),Tab_000.Trial[CONTA],$B167)</f>
        <v>189</v>
      </c>
      <c r="E167" s="78">
        <f t="shared" ca="1" si="142"/>
        <v>2.0000000000000001E-4</v>
      </c>
      <c r="F167" s="4">
        <f ca="1">-SUMIFS(INDIRECT("Tab_000.Trial["&amp;F$4&amp;"]"),Tab_000.Trial[CONTA],$B167)</f>
        <v>0</v>
      </c>
      <c r="G167" s="78">
        <f t="shared" ca="1" si="91"/>
        <v>0</v>
      </c>
      <c r="H167" s="78">
        <f t="shared" ca="1" si="143"/>
        <v>-1</v>
      </c>
      <c r="I167" s="4">
        <f ca="1">-SUMIFS(INDIRECT("Tab_000.Trial["&amp;I$4&amp;"]"),Tab_000.Trial[CONTA],$B167)</f>
        <v>0</v>
      </c>
      <c r="J167" s="78">
        <f t="shared" ca="1" si="92"/>
        <v>0</v>
      </c>
      <c r="K167" s="78">
        <f t="shared" ca="1" si="93"/>
        <v>0</v>
      </c>
      <c r="L167" s="4">
        <f ca="1">-SUMIFS(INDIRECT("Tab_000.Trial["&amp;L$4&amp;"]"),Tab_000.Trial[CONTA],$B167)</f>
        <v>0</v>
      </c>
      <c r="M167" s="78">
        <f t="shared" ca="1" si="94"/>
        <v>0</v>
      </c>
      <c r="N167" s="78">
        <f t="shared" ca="1" si="95"/>
        <v>0</v>
      </c>
      <c r="O167" s="4">
        <f ca="1">-SUMIFS(INDIRECT("Tab_000.Trial["&amp;O$4&amp;"]"),Tab_000.Trial[CONTA],$B167)</f>
        <v>0</v>
      </c>
      <c r="P167" s="78">
        <f t="shared" ca="1" si="144"/>
        <v>0</v>
      </c>
      <c r="Q167" s="78">
        <f t="shared" ca="1" si="145"/>
        <v>0</v>
      </c>
      <c r="R167" s="4">
        <f ca="1">-SUMIFS(INDIRECT("Tab_000.Trial["&amp;R$4&amp;"]"),Tab_000.Trial[CONTA],$B167)</f>
        <v>0</v>
      </c>
      <c r="S167" s="78">
        <f t="shared" ca="1" si="98"/>
        <v>0</v>
      </c>
      <c r="T167" s="78">
        <f t="shared" ca="1" si="99"/>
        <v>0</v>
      </c>
      <c r="U167" s="4">
        <f ca="1">-SUMIFS(INDIRECT("Tab_000.Trial["&amp;U$4&amp;"]"),Tab_000.Trial[CONTA],$B167)</f>
        <v>0</v>
      </c>
      <c r="V167" s="78">
        <f t="shared" ca="1" si="100"/>
        <v>0</v>
      </c>
      <c r="W167" s="78">
        <f t="shared" ca="1" si="101"/>
        <v>0</v>
      </c>
      <c r="X167" s="4">
        <f ca="1">-SUMIFS(INDIRECT("Tab_000.Trial["&amp;X$4&amp;"]"),Tab_000.Trial[CONTA],$B167)</f>
        <v>0</v>
      </c>
      <c r="Y167" s="78">
        <f t="shared" ca="1" si="146"/>
        <v>0</v>
      </c>
      <c r="Z167" s="78">
        <f t="shared" ca="1" si="147"/>
        <v>0</v>
      </c>
      <c r="AA167" s="4">
        <f ca="1">-SUMIFS(INDIRECT("Tab_000.Trial["&amp;AA$4&amp;"]"),Tab_000.Trial[CONTA],$B167)</f>
        <v>0</v>
      </c>
      <c r="AB167" s="78">
        <f t="shared" ca="1" si="104"/>
        <v>0</v>
      </c>
      <c r="AC167" s="78">
        <f t="shared" ca="1" si="105"/>
        <v>0</v>
      </c>
      <c r="AD167" s="4">
        <f ca="1">-SUMIFS(INDIRECT("Tab_000.Trial["&amp;AD$4&amp;"]"),Tab_000.Trial[CONTA],$B167)</f>
        <v>0</v>
      </c>
      <c r="AE167" s="78">
        <f t="shared" ca="1" si="106"/>
        <v>0</v>
      </c>
      <c r="AF167" s="78">
        <f t="shared" ca="1" si="107"/>
        <v>0</v>
      </c>
      <c r="AG167" s="4">
        <f ca="1">-SUMIFS(INDIRECT("Tab_000.Trial["&amp;AG$4&amp;"]"),Tab_000.Trial[CONTA],$B167)</f>
        <v>0</v>
      </c>
      <c r="AH167" s="78">
        <f t="shared" ca="1" si="108"/>
        <v>0</v>
      </c>
      <c r="AI167" s="78">
        <f t="shared" ca="1" si="109"/>
        <v>0</v>
      </c>
      <c r="AJ167" s="4">
        <f ca="1">-SUMIFS(INDIRECT("Tab_000.Trial["&amp;AJ$4&amp;"]"),Tab_000.Trial[CONTA],$B167)</f>
        <v>0</v>
      </c>
      <c r="AK167" s="78">
        <f t="shared" ca="1" si="110"/>
        <v>0</v>
      </c>
      <c r="AL167" s="78">
        <f t="shared" ca="1" si="111"/>
        <v>0</v>
      </c>
    </row>
    <row r="168" spans="2:38" ht="15" hidden="1" customHeight="1" outlineLevel="1" x14ac:dyDescent="0.3">
      <c r="B168" s="14" t="s">
        <v>830</v>
      </c>
      <c r="C168" s="14" t="s">
        <v>829</v>
      </c>
      <c r="D168" s="4">
        <f ca="1">-SUMIFS(INDIRECT("Tab_000.Trial["&amp;D$4&amp;"]"),Tab_000.Trial[CONTA],$B168)</f>
        <v>0</v>
      </c>
      <c r="E168" s="78">
        <f t="shared" ca="1" si="142"/>
        <v>0</v>
      </c>
      <c r="F168" s="4">
        <f ca="1">-SUMIFS(INDIRECT("Tab_000.Trial["&amp;F$4&amp;"]"),Tab_000.Trial[CONTA],$B168)</f>
        <v>0</v>
      </c>
      <c r="G168" s="78">
        <f t="shared" ca="1" si="91"/>
        <v>0</v>
      </c>
      <c r="H168" s="78">
        <f t="shared" ca="1" si="143"/>
        <v>0</v>
      </c>
      <c r="I168" s="4">
        <f ca="1">-SUMIFS(INDIRECT("Tab_000.Trial["&amp;I$4&amp;"]"),Tab_000.Trial[CONTA],$B168)</f>
        <v>0</v>
      </c>
      <c r="J168" s="78">
        <f t="shared" ca="1" si="92"/>
        <v>0</v>
      </c>
      <c r="K168" s="78">
        <f t="shared" ca="1" si="93"/>
        <v>0</v>
      </c>
      <c r="L168" s="4">
        <f ca="1">-SUMIFS(INDIRECT("Tab_000.Trial["&amp;L$4&amp;"]"),Tab_000.Trial[CONTA],$B168)</f>
        <v>0</v>
      </c>
      <c r="M168" s="78">
        <f t="shared" ca="1" si="94"/>
        <v>0</v>
      </c>
      <c r="N168" s="78">
        <f t="shared" ca="1" si="95"/>
        <v>0</v>
      </c>
      <c r="O168" s="4">
        <f ca="1">-SUMIFS(INDIRECT("Tab_000.Trial["&amp;O$4&amp;"]"),Tab_000.Trial[CONTA],$B168)</f>
        <v>0</v>
      </c>
      <c r="P168" s="78">
        <f t="shared" ca="1" si="144"/>
        <v>0</v>
      </c>
      <c r="Q168" s="78">
        <f t="shared" ca="1" si="145"/>
        <v>0</v>
      </c>
      <c r="R168" s="4">
        <f ca="1">-SUMIFS(INDIRECT("Tab_000.Trial["&amp;R$4&amp;"]"),Tab_000.Trial[CONTA],$B168)</f>
        <v>0</v>
      </c>
      <c r="S168" s="78">
        <f t="shared" ca="1" si="98"/>
        <v>0</v>
      </c>
      <c r="T168" s="78">
        <f t="shared" ca="1" si="99"/>
        <v>0</v>
      </c>
      <c r="U168" s="4">
        <f ca="1">-SUMIFS(INDIRECT("Tab_000.Trial["&amp;U$4&amp;"]"),Tab_000.Trial[CONTA],$B168)</f>
        <v>0</v>
      </c>
      <c r="V168" s="78">
        <f t="shared" ca="1" si="100"/>
        <v>0</v>
      </c>
      <c r="W168" s="78">
        <f t="shared" ca="1" si="101"/>
        <v>0</v>
      </c>
      <c r="X168" s="4">
        <f ca="1">-SUMIFS(INDIRECT("Tab_000.Trial["&amp;X$4&amp;"]"),Tab_000.Trial[CONTA],$B168)</f>
        <v>0</v>
      </c>
      <c r="Y168" s="78">
        <f t="shared" ca="1" si="146"/>
        <v>0</v>
      </c>
      <c r="Z168" s="78">
        <f t="shared" ca="1" si="147"/>
        <v>0</v>
      </c>
      <c r="AA168" s="4">
        <f ca="1">-SUMIFS(INDIRECT("Tab_000.Trial["&amp;AA$4&amp;"]"),Tab_000.Trial[CONTA],$B168)</f>
        <v>0</v>
      </c>
      <c r="AB168" s="78">
        <f t="shared" ca="1" si="104"/>
        <v>0</v>
      </c>
      <c r="AC168" s="78">
        <f t="shared" ca="1" si="105"/>
        <v>0</v>
      </c>
      <c r="AD168" s="4">
        <f ca="1">-SUMIFS(INDIRECT("Tab_000.Trial["&amp;AD$4&amp;"]"),Tab_000.Trial[CONTA],$B168)</f>
        <v>0</v>
      </c>
      <c r="AE168" s="78">
        <f t="shared" ca="1" si="106"/>
        <v>0</v>
      </c>
      <c r="AF168" s="78">
        <f t="shared" ca="1" si="107"/>
        <v>0</v>
      </c>
      <c r="AG168" s="4">
        <f ca="1">-SUMIFS(INDIRECT("Tab_000.Trial["&amp;AG$4&amp;"]"),Tab_000.Trial[CONTA],$B168)</f>
        <v>0</v>
      </c>
      <c r="AH168" s="78">
        <f t="shared" ca="1" si="108"/>
        <v>0</v>
      </c>
      <c r="AI168" s="78">
        <f t="shared" ca="1" si="109"/>
        <v>0</v>
      </c>
      <c r="AJ168" s="4">
        <f ca="1">-SUMIFS(INDIRECT("Tab_000.Trial["&amp;AJ$4&amp;"]"),Tab_000.Trial[CONTA],$B168)</f>
        <v>0</v>
      </c>
      <c r="AK168" s="78">
        <f t="shared" ca="1" si="110"/>
        <v>0</v>
      </c>
      <c r="AL168" s="78">
        <f t="shared" ca="1" si="111"/>
        <v>0</v>
      </c>
    </row>
    <row r="169" spans="2:38" ht="5.0999999999999996" hidden="1" customHeight="1" outlineLevel="1" x14ac:dyDescent="0.3">
      <c r="B169" s="74"/>
      <c r="C169" s="75"/>
      <c r="D169" s="76"/>
      <c r="E169" s="77"/>
      <c r="F169" s="76"/>
      <c r="G169" s="77"/>
      <c r="H169" s="77"/>
      <c r="I169" s="76"/>
      <c r="J169" s="77"/>
      <c r="K169" s="77"/>
      <c r="L169" s="76"/>
      <c r="M169" s="77"/>
      <c r="N169" s="77"/>
      <c r="O169" s="76"/>
      <c r="P169" s="77"/>
      <c r="Q169" s="77"/>
      <c r="R169" s="76"/>
      <c r="S169" s="77"/>
      <c r="T169" s="77"/>
      <c r="U169" s="76"/>
      <c r="V169" s="77"/>
      <c r="W169" s="77"/>
      <c r="X169" s="76"/>
      <c r="Y169" s="77"/>
      <c r="Z169" s="77"/>
      <c r="AA169" s="76"/>
      <c r="AB169" s="77"/>
      <c r="AC169" s="77"/>
      <c r="AD169" s="76"/>
      <c r="AE169" s="77"/>
      <c r="AF169" s="77"/>
      <c r="AG169" s="76"/>
      <c r="AH169" s="77"/>
      <c r="AI169" s="77"/>
      <c r="AJ169" s="76"/>
      <c r="AK169" s="77"/>
      <c r="AL169" s="77"/>
    </row>
    <row r="170" spans="2:38" ht="15" customHeight="1" collapsed="1" x14ac:dyDescent="0.3">
      <c r="D170" s="8">
        <f ca="1">SUBTOTAL(9,D$57:D$169)</f>
        <v>-356008.71</v>
      </c>
      <c r="E170" s="83">
        <f ca="1">IFERROR($D170/$D$6,0)</f>
        <v>-0.38150000000000001</v>
      </c>
      <c r="F170" s="8">
        <f ca="1">SUBTOTAL(9,F$57:F$169)</f>
        <v>-266992.82</v>
      </c>
      <c r="G170" s="83">
        <f t="shared" ca="1" si="91"/>
        <v>-0.50890000000000002</v>
      </c>
      <c r="H170" s="83">
        <f ca="1">IFERROR(($F170-$D170)/ABS($D170),0)</f>
        <v>0.25</v>
      </c>
      <c r="I170" s="8">
        <f ca="1">SUBTOTAL(9,I$57:I$169)</f>
        <v>-370812.69</v>
      </c>
      <c r="J170" s="83">
        <f t="shared" ca="1" si="92"/>
        <v>-0.35720000000000002</v>
      </c>
      <c r="K170" s="83">
        <f ca="1">IFERROR(($I170-$F170)/ABS($F170),0)</f>
        <v>-0.38879999999999998</v>
      </c>
      <c r="L170" s="8">
        <f ca="1">SUBTOTAL(9,L$57:L$169)</f>
        <v>-363477.87</v>
      </c>
      <c r="M170" s="83">
        <f t="shared" ca="1" si="94"/>
        <v>-0.36309999999999998</v>
      </c>
      <c r="N170" s="83">
        <f ca="1">IFERROR(($L170-$I170)/ABS($I170),0)</f>
        <v>1.9800000000000002E-2</v>
      </c>
      <c r="O170" s="8">
        <f ca="1">SUBTOTAL(9,O$57:O$169)</f>
        <v>-343278.78</v>
      </c>
      <c r="P170" s="83">
        <f t="shared" ref="P170" ca="1" si="148">IFERROR($O170/$O$6,0)</f>
        <v>-0.2858</v>
      </c>
      <c r="Q170" s="83">
        <f ca="1">IFERROR(($O170-$L170)/ABS($L170),0)</f>
        <v>5.5599999999999997E-2</v>
      </c>
      <c r="R170" s="8">
        <f ca="1">SUBTOTAL(9,R$57:R$169)</f>
        <v>-348601.74</v>
      </c>
      <c r="S170" s="83">
        <f t="shared" ca="1" si="98"/>
        <v>-0.3291</v>
      </c>
      <c r="T170" s="83">
        <f ca="1">IFERROR(($R170-$O170)/ABS($O170),0)</f>
        <v>-1.55E-2</v>
      </c>
      <c r="U170" s="8">
        <f ca="1">SUBTOTAL(9,U$57:U$169)</f>
        <v>-348601.74</v>
      </c>
      <c r="V170" s="83">
        <f t="shared" ca="1" si="100"/>
        <v>-0.3291</v>
      </c>
      <c r="W170" s="83">
        <f ca="1">IFERROR(($U170-$R170)/ABS($R170),0)</f>
        <v>0</v>
      </c>
      <c r="X170" s="8">
        <f ca="1">SUBTOTAL(9,X$57:X$169)</f>
        <v>-348601.74</v>
      </c>
      <c r="Y170" s="83">
        <f t="shared" ref="Y170" ca="1" si="149">IFERROR($X170/$X$6,0)</f>
        <v>-0.3291</v>
      </c>
      <c r="Z170" s="83">
        <f ca="1">IFERROR(($X170-$U170)/ABS($U170),0)</f>
        <v>0</v>
      </c>
      <c r="AA170" s="8">
        <f ca="1">SUBTOTAL(9,AA$57:AA$169)</f>
        <v>-383318.15</v>
      </c>
      <c r="AB170" s="83">
        <f t="shared" ca="1" si="104"/>
        <v>-0.39600000000000002</v>
      </c>
      <c r="AC170" s="83">
        <f ca="1">IFERROR(($AA170-$X170)/ABS($X170),0)</f>
        <v>-9.9599999999999994E-2</v>
      </c>
      <c r="AD170" s="8">
        <f ca="1">SUBTOTAL(9,AD$57:AD$169)</f>
        <v>-368400.76</v>
      </c>
      <c r="AE170" s="83">
        <f t="shared" ca="1" si="106"/>
        <v>-0.30080000000000001</v>
      </c>
      <c r="AF170" s="83">
        <f ca="1">IFERROR(($AD170-$AA170)/ABS($AA170),0)</f>
        <v>3.8899999999999997E-2</v>
      </c>
      <c r="AG170" s="8">
        <f ca="1">SUBTOTAL(9,AG$57:AG$169)</f>
        <v>-386653.88</v>
      </c>
      <c r="AH170" s="83">
        <f t="shared" ca="1" si="108"/>
        <v>-0.4279</v>
      </c>
      <c r="AI170" s="83">
        <f ca="1">IFERROR(($AG170-$AD170)/ABS($AD170),0)</f>
        <v>-4.9500000000000002E-2</v>
      </c>
      <c r="AJ170" s="8">
        <f ca="1">SUBTOTAL(9,AJ$57:AJ$169)</f>
        <v>-383993.61</v>
      </c>
      <c r="AK170" s="83">
        <f t="shared" ca="1" si="110"/>
        <v>-0.26050000000000001</v>
      </c>
      <c r="AL170" s="83">
        <f ca="1">IFERROR(($AJ170-$AG170)/ABS($AG170),0)</f>
        <v>6.8999999999999999E-3</v>
      </c>
    </row>
    <row r="171" spans="2:38" ht="5.0999999999999996" customHeight="1" x14ac:dyDescent="0.3"/>
    <row r="172" spans="2:38" ht="15" customHeight="1" x14ac:dyDescent="0.3">
      <c r="C172" s="17" t="s">
        <v>84</v>
      </c>
      <c r="D172" s="16">
        <f ca="1">SUBTOTAL(9,D$5:D$171)</f>
        <v>-313631.42</v>
      </c>
      <c r="E172" s="80">
        <f ca="1">IFERROR($D172/$D$6,0)</f>
        <v>-0.33610000000000001</v>
      </c>
      <c r="F172" s="16">
        <f ca="1">SUBTOTAL(9,F$5:F$171)</f>
        <v>50335.74</v>
      </c>
      <c r="G172" s="80">
        <f ca="1">IFERROR($F172/$F$6,0)</f>
        <v>9.5899999999999999E-2</v>
      </c>
      <c r="H172" s="80">
        <f ca="1">IFERROR(($F172-$D172)/ABS($D172),0)</f>
        <v>1.1605000000000001</v>
      </c>
      <c r="I172" s="16">
        <f ca="1">SUBTOTAL(9,I$5:I$171)</f>
        <v>229265.5</v>
      </c>
      <c r="J172" s="80">
        <f ca="1">IFERROR($I172/$I$6,0)</f>
        <v>0.2208</v>
      </c>
      <c r="K172" s="80">
        <f t="shared" ref="K172" ca="1" si="150">IFERROR(($I172-$F172)/ABS($F172),0)</f>
        <v>3.5547</v>
      </c>
      <c r="L172" s="16">
        <f ca="1">SUBTOTAL(9,L$5:L$171)</f>
        <v>-61452.57</v>
      </c>
      <c r="M172" s="80">
        <f ca="1">IFERROR($L172/$L$6,0)</f>
        <v>-6.1400000000000003E-2</v>
      </c>
      <c r="N172" s="80">
        <f t="shared" ref="N172" ca="1" si="151">IFERROR(($L172-$I172)/ABS($I172),0)</f>
        <v>-1.268</v>
      </c>
      <c r="O172" s="16">
        <f ca="1">SUBTOTAL(9,O$5:O$171)</f>
        <v>136727.46</v>
      </c>
      <c r="P172" s="80">
        <f ca="1">IFERROR($O172/$O$6,0)</f>
        <v>0.1138</v>
      </c>
      <c r="Q172" s="80">
        <f t="shared" ref="Q172" ca="1" si="152">IFERROR(($O172-$L172)/ABS($L172),0)</f>
        <v>3.2248999999999999</v>
      </c>
      <c r="R172" s="16">
        <f ca="1">SUBTOTAL(9,R$5:R$171)</f>
        <v>-25972.21</v>
      </c>
      <c r="S172" s="80">
        <f ca="1">IFERROR($R172/$R$6,0)</f>
        <v>-2.4500000000000001E-2</v>
      </c>
      <c r="T172" s="80">
        <f t="shared" ref="T172" ca="1" si="153">IFERROR(($R172-$O172)/ABS($O172),0)</f>
        <v>-1.19</v>
      </c>
      <c r="U172" s="16">
        <f ca="1">SUBTOTAL(9,U$5:U$171)</f>
        <v>-25972.21</v>
      </c>
      <c r="V172" s="80">
        <f ca="1">IFERROR($U172/$U$6,0)</f>
        <v>-2.4500000000000001E-2</v>
      </c>
      <c r="W172" s="80">
        <f t="shared" ref="W172" ca="1" si="154">IFERROR(($U172-$R172)/ABS($R172),0)</f>
        <v>0</v>
      </c>
      <c r="X172" s="16">
        <f ca="1">SUBTOTAL(9,X$5:X$171)</f>
        <v>-25972.21</v>
      </c>
      <c r="Y172" s="80">
        <f ca="1">IFERROR($X172/$X$6,0)</f>
        <v>-2.4500000000000001E-2</v>
      </c>
      <c r="Z172" s="80">
        <f t="shared" ref="Z172" ca="1" si="155">IFERROR(($X172-$U172)/ABS($U172),0)</f>
        <v>0</v>
      </c>
      <c r="AA172" s="16">
        <f ca="1">SUBTOTAL(9,AA$5:AA$171)</f>
        <v>-38608.160000000003</v>
      </c>
      <c r="AB172" s="80">
        <f ca="1">IFERROR($AA172/$AA$6,0)</f>
        <v>-3.9899999999999998E-2</v>
      </c>
      <c r="AC172" s="80">
        <f t="shared" ref="AC172" ca="1" si="156">IFERROR(($AA172-$X172)/ABS($X172),0)</f>
        <v>-0.48649999999999999</v>
      </c>
      <c r="AD172" s="16">
        <f ca="1">SUBTOTAL(9,AD$5:AD$171)</f>
        <v>16337.27</v>
      </c>
      <c r="AE172" s="80">
        <f ca="1">IFERROR($AD172/$AD$6,0)</f>
        <v>1.3299999999999999E-2</v>
      </c>
      <c r="AF172" s="80">
        <f t="shared" ref="AF172" ca="1" si="157">IFERROR(($AD172-$AA172)/ABS($AA172),0)</f>
        <v>1.4232</v>
      </c>
      <c r="AG172" s="16">
        <f ca="1">SUBTOTAL(9,AG$5:AG$171)</f>
        <v>171348.37</v>
      </c>
      <c r="AH172" s="80">
        <f ca="1">IFERROR($AG172/$AG$6,0)</f>
        <v>0.18959999999999999</v>
      </c>
      <c r="AI172" s="80">
        <f t="shared" ref="AI172" ca="1" si="158">IFERROR(($AG172-$AD172)/ABS($AD172),0)</f>
        <v>9.4882000000000009</v>
      </c>
      <c r="AJ172" s="16">
        <f ca="1">SUBTOTAL(9,AJ$5:AJ$171)</f>
        <v>-394837.65</v>
      </c>
      <c r="AK172" s="80">
        <f ca="1">IFERROR($AJ172/$AJ$6,0)</f>
        <v>-0.26790000000000003</v>
      </c>
      <c r="AL172" s="80">
        <f t="shared" ref="AL172" ca="1" si="159">IFERROR(($AJ172-$AG172)/ABS($AG172),0)</f>
        <v>-3.3043</v>
      </c>
    </row>
    <row r="173" spans="2:38" ht="5.0999999999999996" customHeight="1" x14ac:dyDescent="0.3"/>
    <row r="174" spans="2:38" ht="15" customHeight="1" x14ac:dyDescent="0.3">
      <c r="C174" s="17" t="s">
        <v>68</v>
      </c>
    </row>
    <row r="175" spans="2:38" ht="15" customHeight="1" collapsed="1" x14ac:dyDescent="0.3">
      <c r="B175" s="3" t="s">
        <v>67</v>
      </c>
      <c r="C175" s="3" t="s">
        <v>70</v>
      </c>
      <c r="D175" s="4">
        <f ca="1">SUBTOTAL(9,D$176:D$181)</f>
        <v>-662.87</v>
      </c>
      <c r="E175" s="78">
        <f t="shared" ref="E175:E180" ca="1" si="160">IFERROR($D175/$D$6,0)</f>
        <v>-6.9999999999999999E-4</v>
      </c>
      <c r="F175" s="4">
        <f ca="1">SUBTOTAL(9,F$176:F$181)</f>
        <v>-619.61</v>
      </c>
      <c r="G175" s="78">
        <f t="shared" ref="G175:G180" ca="1" si="161">IFERROR($F175/$F$6,0)</f>
        <v>-1.1999999999999999E-3</v>
      </c>
      <c r="H175" s="78">
        <f t="shared" ref="H175:H180" ca="1" si="162">IFERROR(($F175-$D175)/ABS($D175),0)</f>
        <v>6.5299999999999997E-2</v>
      </c>
      <c r="I175" s="4">
        <f ca="1">SUBTOTAL(9,I$176:I$181)</f>
        <v>-604.34</v>
      </c>
      <c r="J175" s="78">
        <f t="shared" ref="J175:J180" ca="1" si="163">IFERROR($I175/$I$6,0)</f>
        <v>-5.9999999999999995E-4</v>
      </c>
      <c r="K175" s="78">
        <f t="shared" ref="K175:K180" ca="1" si="164">IFERROR(($I175-$F175)/ABS($F175),0)</f>
        <v>2.46E-2</v>
      </c>
      <c r="L175" s="4">
        <f ca="1">SUBTOTAL(9,L$176:L$181)</f>
        <v>-1066.56</v>
      </c>
      <c r="M175" s="78">
        <f t="shared" ref="M175:M180" ca="1" si="165">IFERROR($L175/$L$6,0)</f>
        <v>-1.1000000000000001E-3</v>
      </c>
      <c r="N175" s="78">
        <f t="shared" ref="N175:N180" ca="1" si="166">IFERROR(($L175-$I175)/ABS($I175),0)</f>
        <v>-0.76480000000000004</v>
      </c>
      <c r="O175" s="4">
        <f ca="1">SUBTOTAL(9,O$176:O$181)</f>
        <v>-456.61</v>
      </c>
      <c r="P175" s="78">
        <f t="shared" ref="P175:P180" ca="1" si="167">IFERROR($O175/$O$6,0)</f>
        <v>-4.0000000000000002E-4</v>
      </c>
      <c r="Q175" s="78">
        <f t="shared" ref="Q175:Q180" ca="1" si="168">IFERROR(($O175-$L175)/ABS($L175),0)</f>
        <v>0.57189999999999996</v>
      </c>
      <c r="R175" s="4">
        <f ca="1">SUBTOTAL(9,R$176:R$181)</f>
        <v>-475.61</v>
      </c>
      <c r="S175" s="78">
        <f t="shared" ref="S175:S180" ca="1" si="169">IFERROR($R175/$R$6,0)</f>
        <v>-4.0000000000000002E-4</v>
      </c>
      <c r="T175" s="78">
        <f t="shared" ref="T175:T180" ca="1" si="170">IFERROR(($R175-$O175)/ABS($O175),0)</f>
        <v>-4.1599999999999998E-2</v>
      </c>
      <c r="U175" s="4">
        <f ca="1">SUBTOTAL(9,U$176:U$181)</f>
        <v>-475.61</v>
      </c>
      <c r="V175" s="78">
        <f t="shared" ref="V175:V180" ca="1" si="171">IFERROR($U175/$U$6,0)</f>
        <v>-4.0000000000000002E-4</v>
      </c>
      <c r="W175" s="78">
        <f t="shared" ref="W175:W180" ca="1" si="172">IFERROR(($U175-$R175)/ABS($R175),0)</f>
        <v>0</v>
      </c>
      <c r="X175" s="4">
        <f ca="1">SUBTOTAL(9,X$176:X$181)</f>
        <v>-475.61</v>
      </c>
      <c r="Y175" s="78">
        <f t="shared" ref="Y175:Y180" ca="1" si="173">IFERROR($X175/$X$6,0)</f>
        <v>-4.0000000000000002E-4</v>
      </c>
      <c r="Z175" s="78">
        <f t="shared" ref="Z175:Z180" ca="1" si="174">IFERROR(($X175-$U175)/ABS($U175),0)</f>
        <v>0</v>
      </c>
      <c r="AA175" s="4">
        <f ca="1">SUBTOTAL(9,AA$176:AA$181)</f>
        <v>-2899.73</v>
      </c>
      <c r="AB175" s="78">
        <f t="shared" ref="AB175:AB180" ca="1" si="175">IFERROR($AA175/$AA$6,0)</f>
        <v>-3.0000000000000001E-3</v>
      </c>
      <c r="AC175" s="78">
        <f t="shared" ref="AC175:AC180" ca="1" si="176">IFERROR(($AA175-$X175)/ABS($X175),0)</f>
        <v>-5.0968999999999998</v>
      </c>
      <c r="AD175" s="4">
        <f ca="1">SUBTOTAL(9,AD$176:AD$181)</f>
        <v>-3016.68</v>
      </c>
      <c r="AE175" s="78">
        <f t="shared" ref="AE175:AE180" ca="1" si="177">IFERROR($AD175/$AD$6,0)</f>
        <v>-2.5000000000000001E-3</v>
      </c>
      <c r="AF175" s="78">
        <f t="shared" ref="AF175:AF180" ca="1" si="178">IFERROR(($AD175-$AA175)/ABS($AA175),0)</f>
        <v>-4.0300000000000002E-2</v>
      </c>
      <c r="AG175" s="4">
        <f ca="1">SUBTOTAL(9,AG$176:AG$181)</f>
        <v>-2923.09</v>
      </c>
      <c r="AH175" s="78">
        <f t="shared" ref="AH175:AH180" ca="1" si="179">IFERROR($AG175/$AG$6,0)</f>
        <v>-3.2000000000000002E-3</v>
      </c>
      <c r="AI175" s="78">
        <f t="shared" ref="AI175:AI180" ca="1" si="180">IFERROR(($AG175-$AD175)/ABS($AD175),0)</f>
        <v>3.1E-2</v>
      </c>
      <c r="AJ175" s="4">
        <f ca="1">SUBTOTAL(9,AJ$176:AJ$181)</f>
        <v>-2816.89</v>
      </c>
      <c r="AK175" s="78">
        <f t="shared" ref="AK175:AK180" ca="1" si="181">IFERROR($AJ175/$AJ$6,0)</f>
        <v>-1.9E-3</v>
      </c>
      <c r="AL175" s="78">
        <f t="shared" ref="AL175:AL180" ca="1" si="182">IFERROR(($AJ175-$AG175)/ABS($AG175),0)</f>
        <v>3.6299999999999999E-2</v>
      </c>
    </row>
    <row r="176" spans="2:38" ht="15" hidden="1" customHeight="1" outlineLevel="1" x14ac:dyDescent="0.3">
      <c r="B176" s="14" t="s">
        <v>503</v>
      </c>
      <c r="C176" s="14" t="s">
        <v>504</v>
      </c>
      <c r="D176" s="4">
        <f ca="1">-SUMIFS(INDIRECT("Tab_000.Trial["&amp;D$4&amp;"]"),Tab_000.Trial[CONTA],$B176)</f>
        <v>-662.87</v>
      </c>
      <c r="E176" s="78">
        <f t="shared" ca="1" si="160"/>
        <v>-6.9999999999999999E-4</v>
      </c>
      <c r="F176" s="4">
        <f ca="1">-SUMIFS(INDIRECT("Tab_000.Trial["&amp;F$4&amp;"]"),Tab_000.Trial[CONTA],$B176)</f>
        <v>-604.28</v>
      </c>
      <c r="G176" s="78">
        <f t="shared" ca="1" si="161"/>
        <v>-1.1999999999999999E-3</v>
      </c>
      <c r="H176" s="78">
        <f t="shared" ca="1" si="162"/>
        <v>8.8400000000000006E-2</v>
      </c>
      <c r="I176" s="4">
        <f ca="1">-SUMIFS(INDIRECT("Tab_000.Trial["&amp;I$4&amp;"]"),Tab_000.Trial[CONTA],$B176)</f>
        <v>-589.01</v>
      </c>
      <c r="J176" s="78">
        <f t="shared" ca="1" si="163"/>
        <v>-5.9999999999999995E-4</v>
      </c>
      <c r="K176" s="78">
        <f t="shared" ca="1" si="164"/>
        <v>2.53E-2</v>
      </c>
      <c r="L176" s="4">
        <f ca="1">-SUMIFS(INDIRECT("Tab_000.Trial["&amp;L$4&amp;"]"),Tab_000.Trial[CONTA],$B176)</f>
        <v>-641.11</v>
      </c>
      <c r="M176" s="78">
        <f t="shared" ca="1" si="165"/>
        <v>-5.9999999999999995E-4</v>
      </c>
      <c r="N176" s="78">
        <f t="shared" ca="1" si="166"/>
        <v>-8.8499999999999995E-2</v>
      </c>
      <c r="O176" s="4">
        <f ca="1">-SUMIFS(INDIRECT("Tab_000.Trial["&amp;O$4&amp;"]"),Tab_000.Trial[CONTA],$B176)</f>
        <v>-456.61</v>
      </c>
      <c r="P176" s="78">
        <f t="shared" ca="1" si="167"/>
        <v>-4.0000000000000002E-4</v>
      </c>
      <c r="Q176" s="78">
        <f t="shared" ca="1" si="168"/>
        <v>0.2878</v>
      </c>
      <c r="R176" s="4">
        <f ca="1">-SUMIFS(INDIRECT("Tab_000.Trial["&amp;R$4&amp;"]"),Tab_000.Trial[CONTA],$B176)</f>
        <v>-375.79</v>
      </c>
      <c r="S176" s="78">
        <f t="shared" ca="1" si="169"/>
        <v>-4.0000000000000002E-4</v>
      </c>
      <c r="T176" s="78">
        <f t="shared" ca="1" si="170"/>
        <v>0.17699999999999999</v>
      </c>
      <c r="U176" s="4">
        <f ca="1">-SUMIFS(INDIRECT("Tab_000.Trial["&amp;U$4&amp;"]"),Tab_000.Trial[CONTA],$B176)</f>
        <v>-375.79</v>
      </c>
      <c r="V176" s="78">
        <f t="shared" ca="1" si="171"/>
        <v>-4.0000000000000002E-4</v>
      </c>
      <c r="W176" s="78">
        <f t="shared" ca="1" si="172"/>
        <v>0</v>
      </c>
      <c r="X176" s="4">
        <f ca="1">-SUMIFS(INDIRECT("Tab_000.Trial["&amp;X$4&amp;"]"),Tab_000.Trial[CONTA],$B176)</f>
        <v>-375.79</v>
      </c>
      <c r="Y176" s="78">
        <f t="shared" ca="1" si="173"/>
        <v>-4.0000000000000002E-4</v>
      </c>
      <c r="Z176" s="78">
        <f t="shared" ca="1" si="174"/>
        <v>0</v>
      </c>
      <c r="AA176" s="4">
        <f ca="1">-SUMIFS(INDIRECT("Tab_000.Trial["&amp;AA$4&amp;"]"),Tab_000.Trial[CONTA],$B176)</f>
        <v>-2886.59</v>
      </c>
      <c r="AB176" s="78">
        <f t="shared" ca="1" si="175"/>
        <v>-3.0000000000000001E-3</v>
      </c>
      <c r="AC176" s="78">
        <f t="shared" ca="1" si="176"/>
        <v>-6.6814</v>
      </c>
      <c r="AD176" s="4">
        <f ca="1">-SUMIFS(INDIRECT("Tab_000.Trial["&amp;AD$4&amp;"]"),Tab_000.Trial[CONTA],$B176)</f>
        <v>-3016.68</v>
      </c>
      <c r="AE176" s="78">
        <f t="shared" ca="1" si="177"/>
        <v>-2.5000000000000001E-3</v>
      </c>
      <c r="AF176" s="78">
        <f t="shared" ca="1" si="178"/>
        <v>-4.5100000000000001E-2</v>
      </c>
      <c r="AG176" s="4">
        <f ca="1">-SUMIFS(INDIRECT("Tab_000.Trial["&amp;AG$4&amp;"]"),Tab_000.Trial[CONTA],$B176)</f>
        <v>-2766.91</v>
      </c>
      <c r="AH176" s="78">
        <f t="shared" ca="1" si="179"/>
        <v>-3.0999999999999999E-3</v>
      </c>
      <c r="AI176" s="78">
        <f t="shared" ca="1" si="180"/>
        <v>8.2799999999999999E-2</v>
      </c>
      <c r="AJ176" s="4">
        <f ca="1">-SUMIFS(INDIRECT("Tab_000.Trial["&amp;AJ$4&amp;"]"),Tab_000.Trial[CONTA],$B176)</f>
        <v>-2792.27</v>
      </c>
      <c r="AK176" s="78">
        <f t="shared" ca="1" si="181"/>
        <v>-1.9E-3</v>
      </c>
      <c r="AL176" s="78">
        <f t="shared" ca="1" si="182"/>
        <v>-9.1999999999999998E-3</v>
      </c>
    </row>
    <row r="177" spans="2:39" ht="15" hidden="1" customHeight="1" outlineLevel="1" x14ac:dyDescent="0.3">
      <c r="B177" s="14" t="s">
        <v>505</v>
      </c>
      <c r="C177" s="14" t="s">
        <v>506</v>
      </c>
      <c r="D177" s="4">
        <f ca="1">-SUMIFS(INDIRECT("Tab_000.Trial["&amp;D$4&amp;"]"),Tab_000.Trial[CONTA],$B177)</f>
        <v>0</v>
      </c>
      <c r="E177" s="78">
        <f t="shared" ca="1" si="160"/>
        <v>0</v>
      </c>
      <c r="F177" s="4">
        <f ca="1">-SUMIFS(INDIRECT("Tab_000.Trial["&amp;F$4&amp;"]"),Tab_000.Trial[CONTA],$B177)</f>
        <v>0</v>
      </c>
      <c r="G177" s="78">
        <f t="shared" ca="1" si="161"/>
        <v>0</v>
      </c>
      <c r="H177" s="78">
        <f t="shared" ca="1" si="162"/>
        <v>0</v>
      </c>
      <c r="I177" s="4">
        <f ca="1">-SUMIFS(INDIRECT("Tab_000.Trial["&amp;I$4&amp;"]"),Tab_000.Trial[CONTA],$B177)</f>
        <v>0</v>
      </c>
      <c r="J177" s="78">
        <f t="shared" ca="1" si="163"/>
        <v>0</v>
      </c>
      <c r="K177" s="78">
        <f t="shared" ca="1" si="164"/>
        <v>0</v>
      </c>
      <c r="L177" s="4">
        <f ca="1">-SUMIFS(INDIRECT("Tab_000.Trial["&amp;L$4&amp;"]"),Tab_000.Trial[CONTA],$B177)</f>
        <v>0</v>
      </c>
      <c r="M177" s="78">
        <f t="shared" ca="1" si="165"/>
        <v>0</v>
      </c>
      <c r="N177" s="78">
        <f t="shared" ca="1" si="166"/>
        <v>0</v>
      </c>
      <c r="O177" s="4">
        <f ca="1">-SUMIFS(INDIRECT("Tab_000.Trial["&amp;O$4&amp;"]"),Tab_000.Trial[CONTA],$B177)</f>
        <v>0</v>
      </c>
      <c r="P177" s="78">
        <f t="shared" ca="1" si="167"/>
        <v>0</v>
      </c>
      <c r="Q177" s="78">
        <f t="shared" ca="1" si="168"/>
        <v>0</v>
      </c>
      <c r="R177" s="4">
        <f ca="1">-SUMIFS(INDIRECT("Tab_000.Trial["&amp;R$4&amp;"]"),Tab_000.Trial[CONTA],$B177)</f>
        <v>0</v>
      </c>
      <c r="S177" s="78">
        <f t="shared" ca="1" si="169"/>
        <v>0</v>
      </c>
      <c r="T177" s="78">
        <f t="shared" ca="1" si="170"/>
        <v>0</v>
      </c>
      <c r="U177" s="4">
        <f ca="1">-SUMIFS(INDIRECT("Tab_000.Trial["&amp;U$4&amp;"]"),Tab_000.Trial[CONTA],$B177)</f>
        <v>0</v>
      </c>
      <c r="V177" s="78">
        <f t="shared" ca="1" si="171"/>
        <v>0</v>
      </c>
      <c r="W177" s="78">
        <f t="shared" ca="1" si="172"/>
        <v>0</v>
      </c>
      <c r="X177" s="4">
        <f ca="1">-SUMIFS(INDIRECT("Tab_000.Trial["&amp;X$4&amp;"]"),Tab_000.Trial[CONTA],$B177)</f>
        <v>0</v>
      </c>
      <c r="Y177" s="78">
        <f t="shared" ca="1" si="173"/>
        <v>0</v>
      </c>
      <c r="Z177" s="78">
        <f t="shared" ca="1" si="174"/>
        <v>0</v>
      </c>
      <c r="AA177" s="4">
        <f ca="1">-SUMIFS(INDIRECT("Tab_000.Trial["&amp;AA$4&amp;"]"),Tab_000.Trial[CONTA],$B177)</f>
        <v>0</v>
      </c>
      <c r="AB177" s="78">
        <f t="shared" ca="1" si="175"/>
        <v>0</v>
      </c>
      <c r="AC177" s="78">
        <f t="shared" ca="1" si="176"/>
        <v>0</v>
      </c>
      <c r="AD177" s="4">
        <f ca="1">-SUMIFS(INDIRECT("Tab_000.Trial["&amp;AD$4&amp;"]"),Tab_000.Trial[CONTA],$B177)</f>
        <v>0</v>
      </c>
      <c r="AE177" s="78">
        <f t="shared" ca="1" si="177"/>
        <v>0</v>
      </c>
      <c r="AF177" s="78">
        <f t="shared" ca="1" si="178"/>
        <v>0</v>
      </c>
      <c r="AG177" s="4">
        <f ca="1">-SUMIFS(INDIRECT("Tab_000.Trial["&amp;AG$4&amp;"]"),Tab_000.Trial[CONTA],$B177)</f>
        <v>-139.54</v>
      </c>
      <c r="AH177" s="78">
        <f t="shared" ca="1" si="179"/>
        <v>-2.0000000000000001E-4</v>
      </c>
      <c r="AI177" s="78">
        <f t="shared" ca="1" si="180"/>
        <v>0</v>
      </c>
      <c r="AJ177" s="4">
        <f ca="1">-SUMIFS(INDIRECT("Tab_000.Trial["&amp;AJ$4&amp;"]"),Tab_000.Trial[CONTA],$B177)</f>
        <v>0</v>
      </c>
      <c r="AK177" s="78">
        <f t="shared" ca="1" si="181"/>
        <v>0</v>
      </c>
      <c r="AL177" s="78">
        <f t="shared" ca="1" si="182"/>
        <v>1</v>
      </c>
    </row>
    <row r="178" spans="2:39" ht="15" hidden="1" customHeight="1" outlineLevel="1" x14ac:dyDescent="0.3">
      <c r="B178" s="14" t="s">
        <v>524</v>
      </c>
      <c r="C178" s="14" t="s">
        <v>525</v>
      </c>
      <c r="D178" s="4">
        <f ca="1">-SUMIFS(INDIRECT("Tab_000.Trial["&amp;D$4&amp;"]"),Tab_000.Trial[CONTA],$B178)</f>
        <v>0</v>
      </c>
      <c r="E178" s="78">
        <f t="shared" ca="1" si="160"/>
        <v>0</v>
      </c>
      <c r="F178" s="4">
        <f ca="1">-SUMIFS(INDIRECT("Tab_000.Trial["&amp;F$4&amp;"]"),Tab_000.Trial[CONTA],$B178)</f>
        <v>-15.33</v>
      </c>
      <c r="G178" s="78">
        <f t="shared" ca="1" si="161"/>
        <v>0</v>
      </c>
      <c r="H178" s="78">
        <f t="shared" ca="1" si="162"/>
        <v>0</v>
      </c>
      <c r="I178" s="4">
        <f ca="1">-SUMIFS(INDIRECT("Tab_000.Trial["&amp;I$4&amp;"]"),Tab_000.Trial[CONTA],$B178)</f>
        <v>-15.33</v>
      </c>
      <c r="J178" s="78">
        <f t="shared" ca="1" si="163"/>
        <v>0</v>
      </c>
      <c r="K178" s="78">
        <f t="shared" ca="1" si="164"/>
        <v>0</v>
      </c>
      <c r="L178" s="4">
        <f ca="1">-SUMIFS(INDIRECT("Tab_000.Trial["&amp;L$4&amp;"]"),Tab_000.Trial[CONTA],$B178)</f>
        <v>-425.45</v>
      </c>
      <c r="M178" s="78">
        <f t="shared" ca="1" si="165"/>
        <v>-4.0000000000000002E-4</v>
      </c>
      <c r="N178" s="78">
        <f t="shared" ca="1" si="166"/>
        <v>-26.752800000000001</v>
      </c>
      <c r="O178" s="4">
        <f ca="1">-SUMIFS(INDIRECT("Tab_000.Trial["&amp;O$4&amp;"]"),Tab_000.Trial[CONTA],$B178)</f>
        <v>0</v>
      </c>
      <c r="P178" s="78">
        <f t="shared" ca="1" si="167"/>
        <v>0</v>
      </c>
      <c r="Q178" s="78">
        <f t="shared" ca="1" si="168"/>
        <v>1</v>
      </c>
      <c r="R178" s="4">
        <f ca="1">-SUMIFS(INDIRECT("Tab_000.Trial["&amp;R$4&amp;"]"),Tab_000.Trial[CONTA],$B178)</f>
        <v>-99.82</v>
      </c>
      <c r="S178" s="78">
        <f t="shared" ca="1" si="169"/>
        <v>-1E-4</v>
      </c>
      <c r="T178" s="78">
        <f t="shared" ca="1" si="170"/>
        <v>0</v>
      </c>
      <c r="U178" s="4">
        <f ca="1">-SUMIFS(INDIRECT("Tab_000.Trial["&amp;U$4&amp;"]"),Tab_000.Trial[CONTA],$B178)</f>
        <v>-99.82</v>
      </c>
      <c r="V178" s="78">
        <f t="shared" ca="1" si="171"/>
        <v>-1E-4</v>
      </c>
      <c r="W178" s="78">
        <f t="shared" ca="1" si="172"/>
        <v>0</v>
      </c>
      <c r="X178" s="4">
        <f ca="1">-SUMIFS(INDIRECT("Tab_000.Trial["&amp;X$4&amp;"]"),Tab_000.Trial[CONTA],$B178)</f>
        <v>-99.82</v>
      </c>
      <c r="Y178" s="78">
        <f t="shared" ca="1" si="173"/>
        <v>-1E-4</v>
      </c>
      <c r="Z178" s="78">
        <f t="shared" ca="1" si="174"/>
        <v>0</v>
      </c>
      <c r="AA178" s="4">
        <f ca="1">-SUMIFS(INDIRECT("Tab_000.Trial["&amp;AA$4&amp;"]"),Tab_000.Trial[CONTA],$B178)</f>
        <v>-13.14</v>
      </c>
      <c r="AB178" s="78">
        <f t="shared" ca="1" si="175"/>
        <v>0</v>
      </c>
      <c r="AC178" s="78">
        <f t="shared" ca="1" si="176"/>
        <v>0.86839999999999995</v>
      </c>
      <c r="AD178" s="4">
        <f ca="1">-SUMIFS(INDIRECT("Tab_000.Trial["&amp;AD$4&amp;"]"),Tab_000.Trial[CONTA],$B178)</f>
        <v>0</v>
      </c>
      <c r="AE178" s="78">
        <f t="shared" ca="1" si="177"/>
        <v>0</v>
      </c>
      <c r="AF178" s="78">
        <f t="shared" ca="1" si="178"/>
        <v>1</v>
      </c>
      <c r="AG178" s="4">
        <f ca="1">-SUMIFS(INDIRECT("Tab_000.Trial["&amp;AG$4&amp;"]"),Tab_000.Trial[CONTA],$B178)</f>
        <v>-16.64</v>
      </c>
      <c r="AH178" s="78">
        <f t="shared" ca="1" si="179"/>
        <v>0</v>
      </c>
      <c r="AI178" s="78">
        <f t="shared" ca="1" si="180"/>
        <v>0</v>
      </c>
      <c r="AJ178" s="4">
        <f ca="1">-SUMIFS(INDIRECT("Tab_000.Trial["&amp;AJ$4&amp;"]"),Tab_000.Trial[CONTA],$B178)</f>
        <v>-24.62</v>
      </c>
      <c r="AK178" s="78">
        <f t="shared" ca="1" si="181"/>
        <v>0</v>
      </c>
      <c r="AL178" s="78">
        <f t="shared" ca="1" si="182"/>
        <v>-0.47960000000000003</v>
      </c>
    </row>
    <row r="179" spans="2:39" ht="15" hidden="1" customHeight="1" outlineLevel="1" x14ac:dyDescent="0.3">
      <c r="B179" s="14" t="s">
        <v>545</v>
      </c>
      <c r="C179" s="14" t="s">
        <v>546</v>
      </c>
      <c r="D179" s="4">
        <f ca="1">-SUMIFS(INDIRECT("Tab_000.Trial["&amp;D$4&amp;"]"),Tab_000.Trial[CONTA],$B179)</f>
        <v>0</v>
      </c>
      <c r="E179" s="78">
        <f t="shared" ca="1" si="160"/>
        <v>0</v>
      </c>
      <c r="F179" s="4">
        <f ca="1">-SUMIFS(INDIRECT("Tab_000.Trial["&amp;F$4&amp;"]"),Tab_000.Trial[CONTA],$B179)</f>
        <v>0</v>
      </c>
      <c r="G179" s="78">
        <f t="shared" ca="1" si="161"/>
        <v>0</v>
      </c>
      <c r="H179" s="78">
        <f t="shared" ca="1" si="162"/>
        <v>0</v>
      </c>
      <c r="I179" s="4">
        <f ca="1">-SUMIFS(INDIRECT("Tab_000.Trial["&amp;I$4&amp;"]"),Tab_000.Trial[CONTA],$B179)</f>
        <v>0</v>
      </c>
      <c r="J179" s="78">
        <f t="shared" ca="1" si="163"/>
        <v>0</v>
      </c>
      <c r="K179" s="78">
        <f t="shared" ca="1" si="164"/>
        <v>0</v>
      </c>
      <c r="L179" s="4">
        <f ca="1">-SUMIFS(INDIRECT("Tab_000.Trial["&amp;L$4&amp;"]"),Tab_000.Trial[CONTA],$B179)</f>
        <v>0</v>
      </c>
      <c r="M179" s="78">
        <f t="shared" ca="1" si="165"/>
        <v>0</v>
      </c>
      <c r="N179" s="78">
        <f t="shared" ca="1" si="166"/>
        <v>0</v>
      </c>
      <c r="O179" s="4">
        <f ca="1">-SUMIFS(INDIRECT("Tab_000.Trial["&amp;O$4&amp;"]"),Tab_000.Trial[CONTA],$B179)</f>
        <v>0</v>
      </c>
      <c r="P179" s="78">
        <f t="shared" ca="1" si="167"/>
        <v>0</v>
      </c>
      <c r="Q179" s="78">
        <f t="shared" ca="1" si="168"/>
        <v>0</v>
      </c>
      <c r="R179" s="4">
        <f ca="1">-SUMIFS(INDIRECT("Tab_000.Trial["&amp;R$4&amp;"]"),Tab_000.Trial[CONTA],$B179)</f>
        <v>0</v>
      </c>
      <c r="S179" s="78">
        <f t="shared" ca="1" si="169"/>
        <v>0</v>
      </c>
      <c r="T179" s="78">
        <f t="shared" ca="1" si="170"/>
        <v>0</v>
      </c>
      <c r="U179" s="4">
        <f ca="1">-SUMIFS(INDIRECT("Tab_000.Trial["&amp;U$4&amp;"]"),Tab_000.Trial[CONTA],$B179)</f>
        <v>0</v>
      </c>
      <c r="V179" s="78">
        <f t="shared" ca="1" si="171"/>
        <v>0</v>
      </c>
      <c r="W179" s="78">
        <f t="shared" ca="1" si="172"/>
        <v>0</v>
      </c>
      <c r="X179" s="4">
        <f ca="1">-SUMIFS(INDIRECT("Tab_000.Trial["&amp;X$4&amp;"]"),Tab_000.Trial[CONTA],$B179)</f>
        <v>0</v>
      </c>
      <c r="Y179" s="78">
        <f t="shared" ca="1" si="173"/>
        <v>0</v>
      </c>
      <c r="Z179" s="78">
        <f t="shared" ca="1" si="174"/>
        <v>0</v>
      </c>
      <c r="AA179" s="4">
        <f ca="1">-SUMIFS(INDIRECT("Tab_000.Trial["&amp;AA$4&amp;"]"),Tab_000.Trial[CONTA],$B179)</f>
        <v>0</v>
      </c>
      <c r="AB179" s="78">
        <f t="shared" ca="1" si="175"/>
        <v>0</v>
      </c>
      <c r="AC179" s="78">
        <f t="shared" ca="1" si="176"/>
        <v>0</v>
      </c>
      <c r="AD179" s="4">
        <f ca="1">-SUMIFS(INDIRECT("Tab_000.Trial["&amp;AD$4&amp;"]"),Tab_000.Trial[CONTA],$B179)</f>
        <v>0</v>
      </c>
      <c r="AE179" s="78">
        <f t="shared" ca="1" si="177"/>
        <v>0</v>
      </c>
      <c r="AF179" s="78">
        <f t="shared" ca="1" si="178"/>
        <v>0</v>
      </c>
      <c r="AG179" s="4">
        <f ca="1">-SUMIFS(INDIRECT("Tab_000.Trial["&amp;AG$4&amp;"]"),Tab_000.Trial[CONTA],$B179)</f>
        <v>0</v>
      </c>
      <c r="AH179" s="78">
        <f t="shared" ca="1" si="179"/>
        <v>0</v>
      </c>
      <c r="AI179" s="78">
        <f t="shared" ca="1" si="180"/>
        <v>0</v>
      </c>
      <c r="AJ179" s="4">
        <f ca="1">-SUMIFS(INDIRECT("Tab_000.Trial["&amp;AJ$4&amp;"]"),Tab_000.Trial[CONTA],$B179)</f>
        <v>0</v>
      </c>
      <c r="AK179" s="78">
        <f t="shared" ca="1" si="181"/>
        <v>0</v>
      </c>
      <c r="AL179" s="78">
        <f t="shared" ca="1" si="182"/>
        <v>0</v>
      </c>
      <c r="AM179" s="142"/>
    </row>
    <row r="180" spans="2:39" ht="15" hidden="1" customHeight="1" outlineLevel="1" x14ac:dyDescent="0.3">
      <c r="B180" s="14"/>
      <c r="C180" s="14"/>
      <c r="D180" s="4">
        <f ca="1">-SUMIFS(INDIRECT("Tab_000.Trial["&amp;D$4&amp;"]"),Tab_000.Trial[CONTA],$B180)</f>
        <v>0</v>
      </c>
      <c r="E180" s="78">
        <f t="shared" ca="1" si="160"/>
        <v>0</v>
      </c>
      <c r="F180" s="4">
        <f ca="1">-SUMIFS(INDIRECT("Tab_000.Trial["&amp;F$4&amp;"]"),Tab_000.Trial[CONTA],$B180)</f>
        <v>0</v>
      </c>
      <c r="G180" s="78">
        <f t="shared" ca="1" si="161"/>
        <v>0</v>
      </c>
      <c r="H180" s="78">
        <f t="shared" ca="1" si="162"/>
        <v>0</v>
      </c>
      <c r="I180" s="4">
        <f ca="1">-SUMIFS(INDIRECT("Tab_000.Trial["&amp;I$4&amp;"]"),Tab_000.Trial[CONTA],$B180)</f>
        <v>0</v>
      </c>
      <c r="J180" s="78">
        <f t="shared" ca="1" si="163"/>
        <v>0</v>
      </c>
      <c r="K180" s="78">
        <f t="shared" ca="1" si="164"/>
        <v>0</v>
      </c>
      <c r="L180" s="4">
        <f ca="1">-SUMIFS(INDIRECT("Tab_000.Trial["&amp;L$4&amp;"]"),Tab_000.Trial[CONTA],$B180)</f>
        <v>0</v>
      </c>
      <c r="M180" s="78">
        <f t="shared" ca="1" si="165"/>
        <v>0</v>
      </c>
      <c r="N180" s="78">
        <f t="shared" ca="1" si="166"/>
        <v>0</v>
      </c>
      <c r="O180" s="4">
        <f ca="1">-SUMIFS(INDIRECT("Tab_000.Trial["&amp;O$4&amp;"]"),Tab_000.Trial[CONTA],$B180)</f>
        <v>0</v>
      </c>
      <c r="P180" s="78">
        <f t="shared" ca="1" si="167"/>
        <v>0</v>
      </c>
      <c r="Q180" s="78">
        <f t="shared" ca="1" si="168"/>
        <v>0</v>
      </c>
      <c r="R180" s="4">
        <f ca="1">-SUMIFS(INDIRECT("Tab_000.Trial["&amp;R$4&amp;"]"),Tab_000.Trial[CONTA],$B180)</f>
        <v>0</v>
      </c>
      <c r="S180" s="78">
        <f t="shared" ca="1" si="169"/>
        <v>0</v>
      </c>
      <c r="T180" s="78">
        <f t="shared" ca="1" si="170"/>
        <v>0</v>
      </c>
      <c r="U180" s="4">
        <f ca="1">-SUMIFS(INDIRECT("Tab_000.Trial["&amp;U$4&amp;"]"),Tab_000.Trial[CONTA],$B180)</f>
        <v>0</v>
      </c>
      <c r="V180" s="78">
        <f t="shared" ca="1" si="171"/>
        <v>0</v>
      </c>
      <c r="W180" s="78">
        <f t="shared" ca="1" si="172"/>
        <v>0</v>
      </c>
      <c r="X180" s="4">
        <f ca="1">-SUMIFS(INDIRECT("Tab_000.Trial["&amp;X$4&amp;"]"),Tab_000.Trial[CONTA],$B180)</f>
        <v>0</v>
      </c>
      <c r="Y180" s="78">
        <f t="shared" ca="1" si="173"/>
        <v>0</v>
      </c>
      <c r="Z180" s="78">
        <f t="shared" ca="1" si="174"/>
        <v>0</v>
      </c>
      <c r="AA180" s="4">
        <f ca="1">-SUMIFS(INDIRECT("Tab_000.Trial["&amp;AA$4&amp;"]"),Tab_000.Trial[CONTA],$B180)</f>
        <v>0</v>
      </c>
      <c r="AB180" s="78">
        <f t="shared" ca="1" si="175"/>
        <v>0</v>
      </c>
      <c r="AC180" s="78">
        <f t="shared" ca="1" si="176"/>
        <v>0</v>
      </c>
      <c r="AD180" s="4">
        <f ca="1">-SUMIFS(INDIRECT("Tab_000.Trial["&amp;AD$4&amp;"]"),Tab_000.Trial[CONTA],$B180)</f>
        <v>0</v>
      </c>
      <c r="AE180" s="78">
        <f t="shared" ca="1" si="177"/>
        <v>0</v>
      </c>
      <c r="AF180" s="78">
        <f t="shared" ca="1" si="178"/>
        <v>0</v>
      </c>
      <c r="AG180" s="4">
        <f ca="1">-SUMIFS(INDIRECT("Tab_000.Trial["&amp;AG$4&amp;"]"),Tab_000.Trial[CONTA],$B180)</f>
        <v>0</v>
      </c>
      <c r="AH180" s="78">
        <f t="shared" ca="1" si="179"/>
        <v>0</v>
      </c>
      <c r="AI180" s="78">
        <f t="shared" ca="1" si="180"/>
        <v>0</v>
      </c>
      <c r="AJ180" s="4">
        <f ca="1">-SUMIFS(INDIRECT("Tab_000.Trial["&amp;AJ$4&amp;"]"),Tab_000.Trial[CONTA],$B180)</f>
        <v>0</v>
      </c>
      <c r="AK180" s="78">
        <f t="shared" ca="1" si="181"/>
        <v>0</v>
      </c>
      <c r="AL180" s="78">
        <f t="shared" ca="1" si="182"/>
        <v>0</v>
      </c>
    </row>
    <row r="181" spans="2:39" ht="5.0999999999999996" hidden="1" customHeight="1" outlineLevel="1" x14ac:dyDescent="0.3">
      <c r="B181" s="74"/>
      <c r="C181" s="75"/>
      <c r="D181" s="76"/>
      <c r="E181" s="77"/>
      <c r="F181" s="76"/>
      <c r="G181" s="77"/>
      <c r="H181" s="77"/>
      <c r="I181" s="76"/>
      <c r="J181" s="77"/>
      <c r="K181" s="77"/>
      <c r="L181" s="76"/>
      <c r="M181" s="77"/>
      <c r="N181" s="77"/>
      <c r="O181" s="76"/>
      <c r="P181" s="77"/>
      <c r="Q181" s="77"/>
      <c r="R181" s="76"/>
      <c r="S181" s="77"/>
      <c r="T181" s="77"/>
      <c r="U181" s="76"/>
      <c r="V181" s="77"/>
      <c r="W181" s="77"/>
      <c r="X181" s="76"/>
      <c r="Y181" s="77"/>
      <c r="Z181" s="77"/>
      <c r="AA181" s="76"/>
      <c r="AB181" s="77"/>
      <c r="AC181" s="77"/>
      <c r="AD181" s="76"/>
      <c r="AE181" s="77"/>
      <c r="AF181" s="77"/>
      <c r="AG181" s="76"/>
      <c r="AH181" s="77"/>
      <c r="AI181" s="77"/>
      <c r="AJ181" s="76"/>
      <c r="AK181" s="77"/>
      <c r="AL181" s="77"/>
    </row>
    <row r="182" spans="2:39" ht="15" customHeight="1" collapsed="1" x14ac:dyDescent="0.3">
      <c r="B182" s="3" t="s">
        <v>71</v>
      </c>
      <c r="C182" s="3" t="s">
        <v>69</v>
      </c>
      <c r="D182" s="4">
        <f ca="1">SUBTOTAL(9,D$183:D$189)</f>
        <v>203029.53</v>
      </c>
      <c r="E182" s="78">
        <f t="shared" ref="E182:E188" ca="1" si="183">IFERROR($D182/$D$6,0)</f>
        <v>0.21759999999999999</v>
      </c>
      <c r="F182" s="4">
        <f ca="1">SUBTOTAL(9,F$183:F$189)</f>
        <v>0.02</v>
      </c>
      <c r="G182" s="78">
        <f ca="1">IFERROR($F182/$F$6,0)</f>
        <v>0</v>
      </c>
      <c r="H182" s="78">
        <f t="shared" ref="H182:H188" ca="1" si="184">IFERROR(($F182-$D182)/ABS($D182),0)</f>
        <v>-1</v>
      </c>
      <c r="I182" s="4">
        <f ca="1">SUBTOTAL(9,I$183:I$189)</f>
        <v>306654.71000000002</v>
      </c>
      <c r="J182" s="78">
        <f ca="1">IFERROR($I182/$I$6,0)</f>
        <v>0.2954</v>
      </c>
      <c r="K182" s="78">
        <f ca="1">IFERROR(($I182-$F182)/ABS($F182),0)</f>
        <v>15332734.5</v>
      </c>
      <c r="L182" s="4">
        <f ca="1">SUBTOTAL(9,L$183:L$189)</f>
        <v>-24727.24</v>
      </c>
      <c r="M182" s="78">
        <f ca="1">IFERROR($L182/$L$6,0)</f>
        <v>-2.47E-2</v>
      </c>
      <c r="N182" s="78">
        <f ca="1">IFERROR(($L182-$I182)/ABS($I182),0)</f>
        <v>-1.0806</v>
      </c>
      <c r="O182" s="4">
        <f ca="1">SUBTOTAL(9,O$183:O$189)</f>
        <v>326235.03999999998</v>
      </c>
      <c r="P182" s="78">
        <f ca="1">IFERROR($O182/$O$6,0)</f>
        <v>0.27160000000000001</v>
      </c>
      <c r="Q182" s="78">
        <f ca="1">IFERROR(($O182-$L182)/ABS($L182),0)</f>
        <v>14.193300000000001</v>
      </c>
      <c r="R182" s="4">
        <f ca="1">SUBTOTAL(9,R$183:R$189)</f>
        <v>435543.94</v>
      </c>
      <c r="S182" s="78">
        <f ca="1">IFERROR($R182/$R$6,0)</f>
        <v>0.41110000000000002</v>
      </c>
      <c r="T182" s="78">
        <f ca="1">IFERROR(($R182-$O182)/ABS($O182),0)</f>
        <v>0.33510000000000001</v>
      </c>
      <c r="U182" s="4">
        <f ca="1">SUBTOTAL(9,U$183:U$189)</f>
        <v>435543.94</v>
      </c>
      <c r="V182" s="78">
        <f ca="1">IFERROR($U182/$U$6,0)</f>
        <v>0.41110000000000002</v>
      </c>
      <c r="W182" s="78">
        <f ca="1">IFERROR(($U182-$R182)/ABS($R182),0)</f>
        <v>0</v>
      </c>
      <c r="X182" s="4">
        <f ca="1">SUBTOTAL(9,X$183:X$189)</f>
        <v>435543.94</v>
      </c>
      <c r="Y182" s="78">
        <f ca="1">IFERROR($X182/$X$6,0)</f>
        <v>0.41110000000000002</v>
      </c>
      <c r="Z182" s="78">
        <f ca="1">IFERROR(($X182-$U182)/ABS($U182),0)</f>
        <v>0</v>
      </c>
      <c r="AA182" s="4">
        <f ca="1">SUBTOTAL(9,AA$183:AA$189)</f>
        <v>154845.95000000001</v>
      </c>
      <c r="AB182" s="78">
        <f ca="1">IFERROR($AA182/$AA$6,0)</f>
        <v>0.16</v>
      </c>
      <c r="AC182" s="78">
        <f ca="1">IFERROR(($AA182-$X182)/ABS($X182),0)</f>
        <v>-0.64449999999999996</v>
      </c>
      <c r="AD182" s="4">
        <f ca="1">SUBTOTAL(9,AD$183:AD$189)</f>
        <v>213626.76</v>
      </c>
      <c r="AE182" s="78">
        <f ca="1">IFERROR($AD182/$AD$6,0)</f>
        <v>0.1744</v>
      </c>
      <c r="AF182" s="78">
        <f ca="1">IFERROR(($AD182-$AA182)/ABS($AA182),0)</f>
        <v>0.37959999999999999</v>
      </c>
      <c r="AG182" s="4">
        <f ca="1">SUBTOTAL(9,AG$183:AG$189)</f>
        <v>333363.81</v>
      </c>
      <c r="AH182" s="78">
        <f ca="1">IFERROR($AG182/$AG$6,0)</f>
        <v>0.36890000000000001</v>
      </c>
      <c r="AI182" s="78">
        <f ca="1">IFERROR(($AG182-$AD182)/ABS($AD182),0)</f>
        <v>0.5605</v>
      </c>
      <c r="AJ182" s="4">
        <f ca="1">SUBTOTAL(9,AJ$183:AJ$189)</f>
        <v>-93387.26</v>
      </c>
      <c r="AK182" s="78">
        <f ca="1">IFERROR($AJ182/$AJ$6,0)</f>
        <v>-6.3399999999999998E-2</v>
      </c>
      <c r="AL182" s="78">
        <f ca="1">IFERROR(($AJ182-$AG182)/ABS($AG182),0)</f>
        <v>-1.2801</v>
      </c>
    </row>
    <row r="183" spans="2:39" ht="15" hidden="1" customHeight="1" outlineLevel="1" x14ac:dyDescent="0.3">
      <c r="B183" s="14" t="s">
        <v>391</v>
      </c>
      <c r="C183" s="14" t="s">
        <v>392</v>
      </c>
      <c r="D183" s="4">
        <f ca="1">-SUMIFS(INDIRECT("Tab_000.Trial["&amp;D$4&amp;"]"),Tab_000.Trial[CONTA],$B183)</f>
        <v>0.05</v>
      </c>
      <c r="E183" s="78">
        <f t="shared" ca="1" si="183"/>
        <v>0</v>
      </c>
      <c r="F183" s="4">
        <f ca="1">-SUMIFS(INDIRECT("Tab_000.Trial["&amp;F$4&amp;"]"),Tab_000.Trial[CONTA],$B183)</f>
        <v>0.02</v>
      </c>
      <c r="G183" s="78">
        <f t="shared" ref="G183:G188" ca="1" si="185">IFERROR($F183/$F$6,0)</f>
        <v>0</v>
      </c>
      <c r="H183" s="78">
        <f t="shared" ca="1" si="184"/>
        <v>-0.6</v>
      </c>
      <c r="I183" s="4">
        <f ca="1">-SUMIFS(INDIRECT("Tab_000.Trial["&amp;I$4&amp;"]"),Tab_000.Trial[CONTA],$B183)</f>
        <v>0.03</v>
      </c>
      <c r="J183" s="78">
        <f t="shared" ref="J183:J188" ca="1" si="186">IFERROR($I183/$I$6,0)</f>
        <v>0</v>
      </c>
      <c r="K183" s="78">
        <f t="shared" ref="K183:K188" ca="1" si="187">IFERROR(($I183-$F183)/ABS($F183),0)</f>
        <v>0.5</v>
      </c>
      <c r="L183" s="4">
        <f ca="1">-SUMIFS(INDIRECT("Tab_000.Trial["&amp;L$4&amp;"]"),Tab_000.Trial[CONTA],$B183)</f>
        <v>0.05</v>
      </c>
      <c r="M183" s="78">
        <f t="shared" ref="M183:M188" ca="1" si="188">IFERROR($L183/$L$6,0)</f>
        <v>0</v>
      </c>
      <c r="N183" s="78">
        <f t="shared" ref="N183:N188" ca="1" si="189">IFERROR(($L183-$I183)/ABS($I183),0)</f>
        <v>0.66669999999999996</v>
      </c>
      <c r="O183" s="4">
        <f ca="1">-SUMIFS(INDIRECT("Tab_000.Trial["&amp;O$4&amp;"]"),Tab_000.Trial[CONTA],$B183)</f>
        <v>7.0000000000000007E-2</v>
      </c>
      <c r="P183" s="78">
        <f t="shared" ref="P183:P188" ca="1" si="190">IFERROR($O183/$O$6,0)</f>
        <v>0</v>
      </c>
      <c r="Q183" s="78">
        <f t="shared" ref="Q183:Q188" ca="1" si="191">IFERROR(($O183-$L183)/ABS($L183),0)</f>
        <v>0.4</v>
      </c>
      <c r="R183" s="4">
        <f ca="1">-SUMIFS(INDIRECT("Tab_000.Trial["&amp;R$4&amp;"]"),Tab_000.Trial[CONTA],$B183)</f>
        <v>0.03</v>
      </c>
      <c r="S183" s="78">
        <f t="shared" ref="S183:S188" ca="1" si="192">IFERROR($R183/$R$6,0)</f>
        <v>0</v>
      </c>
      <c r="T183" s="78">
        <f t="shared" ref="T183:T188" ca="1" si="193">IFERROR(($R183-$O183)/ABS($O183),0)</f>
        <v>-0.57140000000000002</v>
      </c>
      <c r="U183" s="4">
        <f ca="1">-SUMIFS(INDIRECT("Tab_000.Trial["&amp;U$4&amp;"]"),Tab_000.Trial[CONTA],$B183)</f>
        <v>0.03</v>
      </c>
      <c r="V183" s="78">
        <f t="shared" ref="V183:V188" ca="1" si="194">IFERROR($U183/$U$6,0)</f>
        <v>0</v>
      </c>
      <c r="W183" s="78">
        <f t="shared" ref="W183:W188" ca="1" si="195">IFERROR(($U183-$R183)/ABS($R183),0)</f>
        <v>0</v>
      </c>
      <c r="X183" s="4">
        <f ca="1">-SUMIFS(INDIRECT("Tab_000.Trial["&amp;X$4&amp;"]"),Tab_000.Trial[CONTA],$B183)</f>
        <v>0.03</v>
      </c>
      <c r="Y183" s="78">
        <f t="shared" ref="Y183:Y188" ca="1" si="196">IFERROR($X183/$X$6,0)</f>
        <v>0</v>
      </c>
      <c r="Z183" s="78">
        <f t="shared" ref="Z183:Z188" ca="1" si="197">IFERROR(($X183-$U183)/ABS($U183),0)</f>
        <v>0</v>
      </c>
      <c r="AA183" s="4">
        <f ca="1">-SUMIFS(INDIRECT("Tab_000.Trial["&amp;AA$4&amp;"]"),Tab_000.Trial[CONTA],$B183)</f>
        <v>300.02</v>
      </c>
      <c r="AB183" s="78">
        <f t="shared" ref="AB183:AB188" ca="1" si="198">IFERROR($AA183/$AA$6,0)</f>
        <v>2.9999999999999997E-4</v>
      </c>
      <c r="AC183" s="78">
        <f t="shared" ref="AC183:AC188" ca="1" si="199">IFERROR(($AA183-$X183)/ABS($X183),0)</f>
        <v>9999.6666999999998</v>
      </c>
      <c r="AD183" s="4">
        <f ca="1">-SUMIFS(INDIRECT("Tab_000.Trial["&amp;AD$4&amp;"]"),Tab_000.Trial[CONTA],$B183)</f>
        <v>0</v>
      </c>
      <c r="AE183" s="78">
        <f t="shared" ref="AE183:AE188" ca="1" si="200">IFERROR($AD183/$AD$6,0)</f>
        <v>0</v>
      </c>
      <c r="AF183" s="78">
        <f t="shared" ref="AF183:AF188" ca="1" si="201">IFERROR(($AD183-$AA183)/ABS($AA183),0)</f>
        <v>-1</v>
      </c>
      <c r="AG183" s="4">
        <f ca="1">-SUMIFS(INDIRECT("Tab_000.Trial["&amp;AG$4&amp;"]"),Tab_000.Trial[CONTA],$B183)</f>
        <v>1335.22</v>
      </c>
      <c r="AH183" s="78">
        <f t="shared" ref="AH183:AH188" ca="1" si="202">IFERROR($AG183/$AG$6,0)</f>
        <v>1.5E-3</v>
      </c>
      <c r="AI183" s="78">
        <f t="shared" ref="AI183:AI188" ca="1" si="203">IFERROR(($AG183-$AD183)/ABS($AD183),0)</f>
        <v>0</v>
      </c>
      <c r="AJ183" s="4">
        <f ca="1">-SUMIFS(INDIRECT("Tab_000.Trial["&amp;AJ$4&amp;"]"),Tab_000.Trial[CONTA],$B183)</f>
        <v>0.01</v>
      </c>
      <c r="AK183" s="78">
        <f t="shared" ref="AK183:AK188" ca="1" si="204">IFERROR($AJ183/$AJ$6,0)</f>
        <v>0</v>
      </c>
      <c r="AL183" s="78">
        <f t="shared" ref="AL183:AL188" ca="1" si="205">IFERROR(($AJ183-$AG183)/ABS($AG183),0)</f>
        <v>-1</v>
      </c>
    </row>
    <row r="184" spans="2:39" ht="15" hidden="1" customHeight="1" outlineLevel="1" x14ac:dyDescent="0.3">
      <c r="B184" s="14" t="s">
        <v>393</v>
      </c>
      <c r="C184" s="14" t="s">
        <v>394</v>
      </c>
      <c r="D184" s="4">
        <f ca="1">-SUMIFS(INDIRECT("Tab_000.Trial["&amp;D$4&amp;"]"),Tab_000.Trial[CONTA],$B184)</f>
        <v>203029.48</v>
      </c>
      <c r="E184" s="78">
        <f t="shared" ca="1" si="183"/>
        <v>0.21759999999999999</v>
      </c>
      <c r="F184" s="4">
        <f ca="1">-SUMIFS(INDIRECT("Tab_000.Trial["&amp;F$4&amp;"]"),Tab_000.Trial[CONTA],$B184)</f>
        <v>0</v>
      </c>
      <c r="G184" s="78">
        <f t="shared" ca="1" si="185"/>
        <v>0</v>
      </c>
      <c r="H184" s="78">
        <f t="shared" ca="1" si="184"/>
        <v>-1</v>
      </c>
      <c r="I184" s="4">
        <f ca="1">-SUMIFS(INDIRECT("Tab_000.Trial["&amp;I$4&amp;"]"),Tab_000.Trial[CONTA],$B184)</f>
        <v>306654.68</v>
      </c>
      <c r="J184" s="78">
        <f t="shared" ca="1" si="186"/>
        <v>0.2954</v>
      </c>
      <c r="K184" s="78">
        <f t="shared" ca="1" si="187"/>
        <v>0</v>
      </c>
      <c r="L184" s="4">
        <f ca="1">-SUMIFS(INDIRECT("Tab_000.Trial["&amp;L$4&amp;"]"),Tab_000.Trial[CONTA],$B184)</f>
        <v>-24727.29</v>
      </c>
      <c r="M184" s="78">
        <f t="shared" ca="1" si="188"/>
        <v>-2.47E-2</v>
      </c>
      <c r="N184" s="78">
        <f t="shared" ca="1" si="189"/>
        <v>-1.0806</v>
      </c>
      <c r="O184" s="4">
        <f ca="1">-SUMIFS(INDIRECT("Tab_000.Trial["&amp;O$4&amp;"]"),Tab_000.Trial[CONTA],$B184)</f>
        <v>326234.96999999997</v>
      </c>
      <c r="P184" s="78">
        <f t="shared" ca="1" si="190"/>
        <v>0.27160000000000001</v>
      </c>
      <c r="Q184" s="78">
        <f t="shared" ca="1" si="191"/>
        <v>14.193300000000001</v>
      </c>
      <c r="R184" s="4">
        <f ca="1">-SUMIFS(INDIRECT("Tab_000.Trial["&amp;R$4&amp;"]"),Tab_000.Trial[CONTA],$B184)</f>
        <v>435543.91</v>
      </c>
      <c r="S184" s="78">
        <f t="shared" ca="1" si="192"/>
        <v>0.41110000000000002</v>
      </c>
      <c r="T184" s="78">
        <f t="shared" ca="1" si="193"/>
        <v>0.33510000000000001</v>
      </c>
      <c r="U184" s="4">
        <f ca="1">-SUMIFS(INDIRECT("Tab_000.Trial["&amp;U$4&amp;"]"),Tab_000.Trial[CONTA],$B184)</f>
        <v>435543.91</v>
      </c>
      <c r="V184" s="78">
        <f t="shared" ca="1" si="194"/>
        <v>0.41110000000000002</v>
      </c>
      <c r="W184" s="78">
        <f t="shared" ca="1" si="195"/>
        <v>0</v>
      </c>
      <c r="X184" s="4">
        <f ca="1">-SUMIFS(INDIRECT("Tab_000.Trial["&amp;X$4&amp;"]"),Tab_000.Trial[CONTA],$B184)</f>
        <v>435543.91</v>
      </c>
      <c r="Y184" s="78">
        <f t="shared" ca="1" si="196"/>
        <v>0.41110000000000002</v>
      </c>
      <c r="Z184" s="78">
        <f t="shared" ca="1" si="197"/>
        <v>0</v>
      </c>
      <c r="AA184" s="4">
        <f ca="1">-SUMIFS(INDIRECT("Tab_000.Trial["&amp;AA$4&amp;"]"),Tab_000.Trial[CONTA],$B184)</f>
        <v>154545.93</v>
      </c>
      <c r="AB184" s="78">
        <f t="shared" ca="1" si="198"/>
        <v>0.15970000000000001</v>
      </c>
      <c r="AC184" s="78">
        <f t="shared" ca="1" si="199"/>
        <v>-0.6452</v>
      </c>
      <c r="AD184" s="4">
        <f ca="1">-SUMIFS(INDIRECT("Tab_000.Trial["&amp;AD$4&amp;"]"),Tab_000.Trial[CONTA],$B184)</f>
        <v>213626.76</v>
      </c>
      <c r="AE184" s="78">
        <f t="shared" ca="1" si="200"/>
        <v>0.1744</v>
      </c>
      <c r="AF184" s="78">
        <f t="shared" ca="1" si="201"/>
        <v>0.38229999999999997</v>
      </c>
      <c r="AG184" s="4">
        <f ca="1">-SUMIFS(INDIRECT("Tab_000.Trial["&amp;AG$4&amp;"]"),Tab_000.Trial[CONTA],$B184)</f>
        <v>332028.59000000003</v>
      </c>
      <c r="AH184" s="78">
        <f t="shared" ca="1" si="202"/>
        <v>0.3674</v>
      </c>
      <c r="AI184" s="78">
        <f t="shared" ca="1" si="203"/>
        <v>0.55420000000000003</v>
      </c>
      <c r="AJ184" s="4">
        <f ca="1">-SUMIFS(INDIRECT("Tab_000.Trial["&amp;AJ$4&amp;"]"),Tab_000.Trial[CONTA],$B184)</f>
        <v>-93387.27</v>
      </c>
      <c r="AK184" s="78">
        <f t="shared" ca="1" si="204"/>
        <v>-6.3399999999999998E-2</v>
      </c>
      <c r="AL184" s="78">
        <f t="shared" ca="1" si="205"/>
        <v>-1.2813000000000001</v>
      </c>
    </row>
    <row r="185" spans="2:39" ht="15" hidden="1" customHeight="1" outlineLevel="1" x14ac:dyDescent="0.3">
      <c r="B185" s="14"/>
      <c r="C185" s="14"/>
      <c r="D185" s="4">
        <f ca="1">-SUMIFS(INDIRECT("Tab_000.Trial["&amp;D$4&amp;"]"),Tab_000.Trial[CONTA],$B185)</f>
        <v>0</v>
      </c>
      <c r="E185" s="78">
        <f t="shared" ca="1" si="183"/>
        <v>0</v>
      </c>
      <c r="F185" s="4">
        <f ca="1">-SUMIFS(INDIRECT("Tab_000.Trial["&amp;F$4&amp;"]"),Tab_000.Trial[CONTA],$B185)</f>
        <v>0</v>
      </c>
      <c r="G185" s="78">
        <f t="shared" ca="1" si="185"/>
        <v>0</v>
      </c>
      <c r="H185" s="78">
        <f t="shared" ca="1" si="184"/>
        <v>0</v>
      </c>
      <c r="I185" s="4">
        <f ca="1">-SUMIFS(INDIRECT("Tab_000.Trial["&amp;I$4&amp;"]"),Tab_000.Trial[CONTA],$B185)</f>
        <v>0</v>
      </c>
      <c r="J185" s="78">
        <f t="shared" ca="1" si="186"/>
        <v>0</v>
      </c>
      <c r="K185" s="78">
        <f t="shared" ca="1" si="187"/>
        <v>0</v>
      </c>
      <c r="L185" s="4">
        <f ca="1">-SUMIFS(INDIRECT("Tab_000.Trial["&amp;L$4&amp;"]"),Tab_000.Trial[CONTA],$B185)</f>
        <v>0</v>
      </c>
      <c r="M185" s="78">
        <f t="shared" ca="1" si="188"/>
        <v>0</v>
      </c>
      <c r="N185" s="78">
        <f t="shared" ca="1" si="189"/>
        <v>0</v>
      </c>
      <c r="O185" s="4">
        <f ca="1">-SUMIFS(INDIRECT("Tab_000.Trial["&amp;O$4&amp;"]"),Tab_000.Trial[CONTA],$B185)</f>
        <v>0</v>
      </c>
      <c r="P185" s="78">
        <f t="shared" ca="1" si="190"/>
        <v>0</v>
      </c>
      <c r="Q185" s="78">
        <f t="shared" ca="1" si="191"/>
        <v>0</v>
      </c>
      <c r="R185" s="4">
        <f ca="1">-SUMIFS(INDIRECT("Tab_000.Trial["&amp;R$4&amp;"]"),Tab_000.Trial[CONTA],$B185)</f>
        <v>0</v>
      </c>
      <c r="S185" s="78">
        <f t="shared" ca="1" si="192"/>
        <v>0</v>
      </c>
      <c r="T185" s="78">
        <f t="shared" ca="1" si="193"/>
        <v>0</v>
      </c>
      <c r="U185" s="4">
        <f ca="1">-SUMIFS(INDIRECT("Tab_000.Trial["&amp;U$4&amp;"]"),Tab_000.Trial[CONTA],$B185)</f>
        <v>0</v>
      </c>
      <c r="V185" s="78">
        <f t="shared" ca="1" si="194"/>
        <v>0</v>
      </c>
      <c r="W185" s="78">
        <f t="shared" ca="1" si="195"/>
        <v>0</v>
      </c>
      <c r="X185" s="4">
        <f ca="1">-SUMIFS(INDIRECT("Tab_000.Trial["&amp;X$4&amp;"]"),Tab_000.Trial[CONTA],$B185)</f>
        <v>0</v>
      </c>
      <c r="Y185" s="78">
        <f t="shared" ca="1" si="196"/>
        <v>0</v>
      </c>
      <c r="Z185" s="78">
        <f t="shared" ca="1" si="197"/>
        <v>0</v>
      </c>
      <c r="AA185" s="4">
        <f ca="1">-SUMIFS(INDIRECT("Tab_000.Trial["&amp;AA$4&amp;"]"),Tab_000.Trial[CONTA],$B185)</f>
        <v>0</v>
      </c>
      <c r="AB185" s="78">
        <f t="shared" ca="1" si="198"/>
        <v>0</v>
      </c>
      <c r="AC185" s="78">
        <f t="shared" ca="1" si="199"/>
        <v>0</v>
      </c>
      <c r="AD185" s="4">
        <f ca="1">-SUMIFS(INDIRECT("Tab_000.Trial["&amp;AD$4&amp;"]"),Tab_000.Trial[CONTA],$B185)</f>
        <v>0</v>
      </c>
      <c r="AE185" s="78">
        <f t="shared" ca="1" si="200"/>
        <v>0</v>
      </c>
      <c r="AF185" s="78">
        <f t="shared" ca="1" si="201"/>
        <v>0</v>
      </c>
      <c r="AG185" s="4">
        <f ca="1">-SUMIFS(INDIRECT("Tab_000.Trial["&amp;AG$4&amp;"]"),Tab_000.Trial[CONTA],$B185)</f>
        <v>0</v>
      </c>
      <c r="AH185" s="78">
        <f t="shared" ca="1" si="202"/>
        <v>0</v>
      </c>
      <c r="AI185" s="78">
        <f t="shared" ca="1" si="203"/>
        <v>0</v>
      </c>
      <c r="AJ185" s="4">
        <f ca="1">-SUMIFS(INDIRECT("Tab_000.Trial["&amp;AJ$4&amp;"]"),Tab_000.Trial[CONTA],$B185)</f>
        <v>0</v>
      </c>
      <c r="AK185" s="78">
        <f t="shared" ca="1" si="204"/>
        <v>0</v>
      </c>
      <c r="AL185" s="78">
        <f t="shared" ca="1" si="205"/>
        <v>0</v>
      </c>
    </row>
    <row r="186" spans="2:39" ht="15" hidden="1" customHeight="1" outlineLevel="1" x14ac:dyDescent="0.3">
      <c r="B186" s="14"/>
      <c r="C186" s="14"/>
      <c r="D186" s="4">
        <f ca="1">-SUMIFS(INDIRECT("Tab_000.Trial["&amp;D$4&amp;"]"),Tab_000.Trial[CONTA],$B186)</f>
        <v>0</v>
      </c>
      <c r="E186" s="78">
        <f t="shared" ca="1" si="183"/>
        <v>0</v>
      </c>
      <c r="F186" s="4">
        <f ca="1">-SUMIFS(INDIRECT("Tab_000.Trial["&amp;F$4&amp;"]"),Tab_000.Trial[CONTA],$B186)</f>
        <v>0</v>
      </c>
      <c r="G186" s="78">
        <f t="shared" ca="1" si="185"/>
        <v>0</v>
      </c>
      <c r="H186" s="78">
        <f t="shared" ca="1" si="184"/>
        <v>0</v>
      </c>
      <c r="I186" s="4">
        <f ca="1">-SUMIFS(INDIRECT("Tab_000.Trial["&amp;I$4&amp;"]"),Tab_000.Trial[CONTA],$B186)</f>
        <v>0</v>
      </c>
      <c r="J186" s="78">
        <f t="shared" ca="1" si="186"/>
        <v>0</v>
      </c>
      <c r="K186" s="78">
        <f t="shared" ca="1" si="187"/>
        <v>0</v>
      </c>
      <c r="L186" s="4">
        <f ca="1">-SUMIFS(INDIRECT("Tab_000.Trial["&amp;L$4&amp;"]"),Tab_000.Trial[CONTA],$B186)</f>
        <v>0</v>
      </c>
      <c r="M186" s="78">
        <f t="shared" ca="1" si="188"/>
        <v>0</v>
      </c>
      <c r="N186" s="78">
        <f t="shared" ca="1" si="189"/>
        <v>0</v>
      </c>
      <c r="O186" s="4">
        <f ca="1">-SUMIFS(INDIRECT("Tab_000.Trial["&amp;O$4&amp;"]"),Tab_000.Trial[CONTA],$B186)</f>
        <v>0</v>
      </c>
      <c r="P186" s="78">
        <f t="shared" ca="1" si="190"/>
        <v>0</v>
      </c>
      <c r="Q186" s="78">
        <f t="shared" ca="1" si="191"/>
        <v>0</v>
      </c>
      <c r="R186" s="4">
        <f ca="1">-SUMIFS(INDIRECT("Tab_000.Trial["&amp;R$4&amp;"]"),Tab_000.Trial[CONTA],$B186)</f>
        <v>0</v>
      </c>
      <c r="S186" s="78">
        <f t="shared" ca="1" si="192"/>
        <v>0</v>
      </c>
      <c r="T186" s="78">
        <f t="shared" ca="1" si="193"/>
        <v>0</v>
      </c>
      <c r="U186" s="4">
        <f ca="1">-SUMIFS(INDIRECT("Tab_000.Trial["&amp;U$4&amp;"]"),Tab_000.Trial[CONTA],$B186)</f>
        <v>0</v>
      </c>
      <c r="V186" s="78">
        <f t="shared" ca="1" si="194"/>
        <v>0</v>
      </c>
      <c r="W186" s="78">
        <f t="shared" ca="1" si="195"/>
        <v>0</v>
      </c>
      <c r="X186" s="4">
        <f ca="1">-SUMIFS(INDIRECT("Tab_000.Trial["&amp;X$4&amp;"]"),Tab_000.Trial[CONTA],$B186)</f>
        <v>0</v>
      </c>
      <c r="Y186" s="78">
        <f t="shared" ca="1" si="196"/>
        <v>0</v>
      </c>
      <c r="Z186" s="78">
        <f t="shared" ca="1" si="197"/>
        <v>0</v>
      </c>
      <c r="AA186" s="4">
        <f ca="1">-SUMIFS(INDIRECT("Tab_000.Trial["&amp;AA$4&amp;"]"),Tab_000.Trial[CONTA],$B186)</f>
        <v>0</v>
      </c>
      <c r="AB186" s="78">
        <f t="shared" ca="1" si="198"/>
        <v>0</v>
      </c>
      <c r="AC186" s="78">
        <f t="shared" ca="1" si="199"/>
        <v>0</v>
      </c>
      <c r="AD186" s="4">
        <f ca="1">-SUMIFS(INDIRECT("Tab_000.Trial["&amp;AD$4&amp;"]"),Tab_000.Trial[CONTA],$B186)</f>
        <v>0</v>
      </c>
      <c r="AE186" s="78">
        <f t="shared" ca="1" si="200"/>
        <v>0</v>
      </c>
      <c r="AF186" s="78">
        <f t="shared" ca="1" si="201"/>
        <v>0</v>
      </c>
      <c r="AG186" s="4">
        <f ca="1">-SUMIFS(INDIRECT("Tab_000.Trial["&amp;AG$4&amp;"]"),Tab_000.Trial[CONTA],$B186)</f>
        <v>0</v>
      </c>
      <c r="AH186" s="78">
        <f t="shared" ca="1" si="202"/>
        <v>0</v>
      </c>
      <c r="AI186" s="78">
        <f t="shared" ca="1" si="203"/>
        <v>0</v>
      </c>
      <c r="AJ186" s="4">
        <f ca="1">-SUMIFS(INDIRECT("Tab_000.Trial["&amp;AJ$4&amp;"]"),Tab_000.Trial[CONTA],$B186)</f>
        <v>0</v>
      </c>
      <c r="AK186" s="78">
        <f t="shared" ca="1" si="204"/>
        <v>0</v>
      </c>
      <c r="AL186" s="78">
        <f t="shared" ca="1" si="205"/>
        <v>0</v>
      </c>
    </row>
    <row r="187" spans="2:39" ht="15" hidden="1" customHeight="1" outlineLevel="1" x14ac:dyDescent="0.3">
      <c r="B187" s="14"/>
      <c r="C187" s="14"/>
      <c r="D187" s="4">
        <f ca="1">-SUMIFS(INDIRECT("Tab_000.Trial["&amp;D$4&amp;"]"),Tab_000.Trial[CONTA],$B187)</f>
        <v>0</v>
      </c>
      <c r="E187" s="78">
        <f t="shared" ca="1" si="183"/>
        <v>0</v>
      </c>
      <c r="F187" s="4">
        <f ca="1">-SUMIFS(INDIRECT("Tab_000.Trial["&amp;F$4&amp;"]"),Tab_000.Trial[CONTA],$B187)</f>
        <v>0</v>
      </c>
      <c r="G187" s="78">
        <f t="shared" ca="1" si="185"/>
        <v>0</v>
      </c>
      <c r="H187" s="78">
        <f t="shared" ca="1" si="184"/>
        <v>0</v>
      </c>
      <c r="I187" s="4">
        <f ca="1">-SUMIFS(INDIRECT("Tab_000.Trial["&amp;I$4&amp;"]"),Tab_000.Trial[CONTA],$B187)</f>
        <v>0</v>
      </c>
      <c r="J187" s="78">
        <f t="shared" ca="1" si="186"/>
        <v>0</v>
      </c>
      <c r="K187" s="78">
        <f t="shared" ca="1" si="187"/>
        <v>0</v>
      </c>
      <c r="L187" s="4">
        <f ca="1">-SUMIFS(INDIRECT("Tab_000.Trial["&amp;L$4&amp;"]"),Tab_000.Trial[CONTA],$B187)</f>
        <v>0</v>
      </c>
      <c r="M187" s="78">
        <f t="shared" ca="1" si="188"/>
        <v>0</v>
      </c>
      <c r="N187" s="78">
        <f t="shared" ca="1" si="189"/>
        <v>0</v>
      </c>
      <c r="O187" s="4">
        <f ca="1">-SUMIFS(INDIRECT("Tab_000.Trial["&amp;O$4&amp;"]"),Tab_000.Trial[CONTA],$B187)</f>
        <v>0</v>
      </c>
      <c r="P187" s="78">
        <f t="shared" ca="1" si="190"/>
        <v>0</v>
      </c>
      <c r="Q187" s="78">
        <f t="shared" ca="1" si="191"/>
        <v>0</v>
      </c>
      <c r="R187" s="4">
        <f ca="1">-SUMIFS(INDIRECT("Tab_000.Trial["&amp;R$4&amp;"]"),Tab_000.Trial[CONTA],$B187)</f>
        <v>0</v>
      </c>
      <c r="S187" s="78">
        <f t="shared" ca="1" si="192"/>
        <v>0</v>
      </c>
      <c r="T187" s="78">
        <f t="shared" ca="1" si="193"/>
        <v>0</v>
      </c>
      <c r="U187" s="4">
        <f ca="1">-SUMIFS(INDIRECT("Tab_000.Trial["&amp;U$4&amp;"]"),Tab_000.Trial[CONTA],$B187)</f>
        <v>0</v>
      </c>
      <c r="V187" s="78">
        <f t="shared" ca="1" si="194"/>
        <v>0</v>
      </c>
      <c r="W187" s="78">
        <f t="shared" ca="1" si="195"/>
        <v>0</v>
      </c>
      <c r="X187" s="4">
        <f ca="1">-SUMIFS(INDIRECT("Tab_000.Trial["&amp;X$4&amp;"]"),Tab_000.Trial[CONTA],$B187)</f>
        <v>0</v>
      </c>
      <c r="Y187" s="78">
        <f t="shared" ca="1" si="196"/>
        <v>0</v>
      </c>
      <c r="Z187" s="78">
        <f t="shared" ca="1" si="197"/>
        <v>0</v>
      </c>
      <c r="AA187" s="4">
        <f ca="1">-SUMIFS(INDIRECT("Tab_000.Trial["&amp;AA$4&amp;"]"),Tab_000.Trial[CONTA],$B187)</f>
        <v>0</v>
      </c>
      <c r="AB187" s="78">
        <f t="shared" ca="1" si="198"/>
        <v>0</v>
      </c>
      <c r="AC187" s="78">
        <f t="shared" ca="1" si="199"/>
        <v>0</v>
      </c>
      <c r="AD187" s="4">
        <f ca="1">-SUMIFS(INDIRECT("Tab_000.Trial["&amp;AD$4&amp;"]"),Tab_000.Trial[CONTA],$B187)</f>
        <v>0</v>
      </c>
      <c r="AE187" s="78">
        <f t="shared" ca="1" si="200"/>
        <v>0</v>
      </c>
      <c r="AF187" s="78">
        <f t="shared" ca="1" si="201"/>
        <v>0</v>
      </c>
      <c r="AG187" s="4">
        <f ca="1">-SUMIFS(INDIRECT("Tab_000.Trial["&amp;AG$4&amp;"]"),Tab_000.Trial[CONTA],$B187)</f>
        <v>0</v>
      </c>
      <c r="AH187" s="78">
        <f t="shared" ca="1" si="202"/>
        <v>0</v>
      </c>
      <c r="AI187" s="78">
        <f t="shared" ca="1" si="203"/>
        <v>0</v>
      </c>
      <c r="AJ187" s="4">
        <f ca="1">-SUMIFS(INDIRECT("Tab_000.Trial["&amp;AJ$4&amp;"]"),Tab_000.Trial[CONTA],$B187)</f>
        <v>0</v>
      </c>
      <c r="AK187" s="78">
        <f t="shared" ca="1" si="204"/>
        <v>0</v>
      </c>
      <c r="AL187" s="78">
        <f t="shared" ca="1" si="205"/>
        <v>0</v>
      </c>
    </row>
    <row r="188" spans="2:39" ht="15" hidden="1" customHeight="1" outlineLevel="1" x14ac:dyDescent="0.3">
      <c r="B188" s="14"/>
      <c r="C188" s="14"/>
      <c r="D188" s="4">
        <f ca="1">-SUMIFS(INDIRECT("Tab_000.Trial["&amp;D$4&amp;"]"),Tab_000.Trial[CONTA],$B188)</f>
        <v>0</v>
      </c>
      <c r="E188" s="78">
        <f t="shared" ca="1" si="183"/>
        <v>0</v>
      </c>
      <c r="F188" s="4">
        <f ca="1">-SUMIFS(INDIRECT("Tab_000.Trial["&amp;F$4&amp;"]"),Tab_000.Trial[CONTA],$B188)</f>
        <v>0</v>
      </c>
      <c r="G188" s="78">
        <f t="shared" ca="1" si="185"/>
        <v>0</v>
      </c>
      <c r="H188" s="78">
        <f t="shared" ca="1" si="184"/>
        <v>0</v>
      </c>
      <c r="I188" s="4">
        <f ca="1">-SUMIFS(INDIRECT("Tab_000.Trial["&amp;I$4&amp;"]"),Tab_000.Trial[CONTA],$B188)</f>
        <v>0</v>
      </c>
      <c r="J188" s="78">
        <f t="shared" ca="1" si="186"/>
        <v>0</v>
      </c>
      <c r="K188" s="78">
        <f t="shared" ca="1" si="187"/>
        <v>0</v>
      </c>
      <c r="L188" s="4">
        <f ca="1">-SUMIFS(INDIRECT("Tab_000.Trial["&amp;L$4&amp;"]"),Tab_000.Trial[CONTA],$B188)</f>
        <v>0</v>
      </c>
      <c r="M188" s="78">
        <f t="shared" ca="1" si="188"/>
        <v>0</v>
      </c>
      <c r="N188" s="78">
        <f t="shared" ca="1" si="189"/>
        <v>0</v>
      </c>
      <c r="O188" s="4">
        <f ca="1">-SUMIFS(INDIRECT("Tab_000.Trial["&amp;O$4&amp;"]"),Tab_000.Trial[CONTA],$B188)</f>
        <v>0</v>
      </c>
      <c r="P188" s="78">
        <f t="shared" ca="1" si="190"/>
        <v>0</v>
      </c>
      <c r="Q188" s="78">
        <f t="shared" ca="1" si="191"/>
        <v>0</v>
      </c>
      <c r="R188" s="4">
        <f ca="1">-SUMIFS(INDIRECT("Tab_000.Trial["&amp;R$4&amp;"]"),Tab_000.Trial[CONTA],$B188)</f>
        <v>0</v>
      </c>
      <c r="S188" s="78">
        <f t="shared" ca="1" si="192"/>
        <v>0</v>
      </c>
      <c r="T188" s="78">
        <f t="shared" ca="1" si="193"/>
        <v>0</v>
      </c>
      <c r="U188" s="4">
        <f ca="1">-SUMIFS(INDIRECT("Tab_000.Trial["&amp;U$4&amp;"]"),Tab_000.Trial[CONTA],$B188)</f>
        <v>0</v>
      </c>
      <c r="V188" s="78">
        <f t="shared" ca="1" si="194"/>
        <v>0</v>
      </c>
      <c r="W188" s="78">
        <f t="shared" ca="1" si="195"/>
        <v>0</v>
      </c>
      <c r="X188" s="4">
        <f ca="1">-SUMIFS(INDIRECT("Tab_000.Trial["&amp;X$4&amp;"]"),Tab_000.Trial[CONTA],$B188)</f>
        <v>0</v>
      </c>
      <c r="Y188" s="78">
        <f t="shared" ca="1" si="196"/>
        <v>0</v>
      </c>
      <c r="Z188" s="78">
        <f t="shared" ca="1" si="197"/>
        <v>0</v>
      </c>
      <c r="AA188" s="4">
        <f ca="1">-SUMIFS(INDIRECT("Tab_000.Trial["&amp;AA$4&amp;"]"),Tab_000.Trial[CONTA],$B188)</f>
        <v>0</v>
      </c>
      <c r="AB188" s="78">
        <f t="shared" ca="1" si="198"/>
        <v>0</v>
      </c>
      <c r="AC188" s="78">
        <f t="shared" ca="1" si="199"/>
        <v>0</v>
      </c>
      <c r="AD188" s="4">
        <f ca="1">-SUMIFS(INDIRECT("Tab_000.Trial["&amp;AD$4&amp;"]"),Tab_000.Trial[CONTA],$B188)</f>
        <v>0</v>
      </c>
      <c r="AE188" s="78">
        <f t="shared" ca="1" si="200"/>
        <v>0</v>
      </c>
      <c r="AF188" s="78">
        <f t="shared" ca="1" si="201"/>
        <v>0</v>
      </c>
      <c r="AG188" s="4">
        <f ca="1">-SUMIFS(INDIRECT("Tab_000.Trial["&amp;AG$4&amp;"]"),Tab_000.Trial[CONTA],$B188)</f>
        <v>0</v>
      </c>
      <c r="AH188" s="78">
        <f t="shared" ca="1" si="202"/>
        <v>0</v>
      </c>
      <c r="AI188" s="78">
        <f t="shared" ca="1" si="203"/>
        <v>0</v>
      </c>
      <c r="AJ188" s="4">
        <f ca="1">-SUMIFS(INDIRECT("Tab_000.Trial["&amp;AJ$4&amp;"]"),Tab_000.Trial[CONTA],$B188)</f>
        <v>0</v>
      </c>
      <c r="AK188" s="78">
        <f t="shared" ca="1" si="204"/>
        <v>0</v>
      </c>
      <c r="AL188" s="78">
        <f t="shared" ca="1" si="205"/>
        <v>0</v>
      </c>
    </row>
    <row r="189" spans="2:39" ht="5.0999999999999996" hidden="1" customHeight="1" outlineLevel="1" x14ac:dyDescent="0.3">
      <c r="B189" s="74"/>
      <c r="C189" s="75"/>
      <c r="D189" s="76"/>
      <c r="E189" s="77"/>
      <c r="F189" s="76"/>
      <c r="G189" s="77"/>
      <c r="H189" s="77"/>
      <c r="I189" s="76"/>
      <c r="J189" s="77"/>
      <c r="K189" s="77"/>
      <c r="L189" s="76"/>
      <c r="M189" s="77"/>
      <c r="N189" s="77"/>
      <c r="O189" s="76"/>
      <c r="P189" s="77"/>
      <c r="Q189" s="77"/>
      <c r="R189" s="76"/>
      <c r="S189" s="77"/>
      <c r="T189" s="77"/>
      <c r="U189" s="76"/>
      <c r="V189" s="77"/>
      <c r="W189" s="77"/>
      <c r="X189" s="76"/>
      <c r="Y189" s="77"/>
      <c r="Z189" s="77"/>
      <c r="AA189" s="76"/>
      <c r="AB189" s="77"/>
      <c r="AC189" s="77"/>
      <c r="AD189" s="76"/>
      <c r="AE189" s="77"/>
      <c r="AF189" s="77"/>
      <c r="AG189" s="76"/>
      <c r="AH189" s="77"/>
      <c r="AI189" s="77"/>
      <c r="AJ189" s="76"/>
      <c r="AK189" s="77"/>
      <c r="AL189" s="77"/>
    </row>
    <row r="190" spans="2:39" ht="15" customHeight="1" collapsed="1" x14ac:dyDescent="0.3">
      <c r="D190" s="8">
        <f ca="1">SUBTOTAL(9,D$174:D$189)</f>
        <v>202366.66</v>
      </c>
      <c r="E190" s="83">
        <f ca="1">IFERROR($D190/$D$6,0)</f>
        <v>0.21679999999999999</v>
      </c>
      <c r="F190" s="8">
        <f ca="1">SUBTOTAL(9,F$174:F$189)</f>
        <v>-619.59</v>
      </c>
      <c r="G190" s="83">
        <f ca="1">IFERROR($F190/$F$6,0)</f>
        <v>-1.1999999999999999E-3</v>
      </c>
      <c r="H190" s="83">
        <f ca="1">IFERROR(($F190-$D190)/ABS($D190),0)</f>
        <v>-1.0031000000000001</v>
      </c>
      <c r="I190" s="8">
        <f ca="1">SUBTOTAL(9,I$174:I$189)</f>
        <v>306050.37</v>
      </c>
      <c r="J190" s="83">
        <f ca="1">IFERROR($I190/$I$6,0)</f>
        <v>0.29480000000000001</v>
      </c>
      <c r="K190" s="83">
        <f ca="1">IFERROR(($I190-$F190)/ABS($F190),0)</f>
        <v>494.9563</v>
      </c>
      <c r="L190" s="8">
        <f ca="1">SUBTOTAL(9,L$174:L$189)</f>
        <v>-25793.8</v>
      </c>
      <c r="M190" s="83">
        <f ca="1">IFERROR($L190/$L$6,0)</f>
        <v>-2.58E-2</v>
      </c>
      <c r="N190" s="83">
        <f ca="1">IFERROR(($L190-$I190)/ABS($I190),0)</f>
        <v>-1.0843</v>
      </c>
      <c r="O190" s="8">
        <f ca="1">SUBTOTAL(9,O$174:O$189)</f>
        <v>325778.43</v>
      </c>
      <c r="P190" s="83">
        <f ca="1">IFERROR($O190/$O$6,0)</f>
        <v>0.2712</v>
      </c>
      <c r="Q190" s="83">
        <f ca="1">IFERROR(($O190-$L190)/ABS($L190),0)</f>
        <v>13.630100000000001</v>
      </c>
      <c r="R190" s="8">
        <f ca="1">SUBTOTAL(9,R$174:R$189)</f>
        <v>435068.33</v>
      </c>
      <c r="S190" s="83">
        <f ca="1">IFERROR($R190/$R$6,0)</f>
        <v>0.41070000000000001</v>
      </c>
      <c r="T190" s="83">
        <f ca="1">IFERROR(($R190-$O190)/ABS($O190),0)</f>
        <v>0.33550000000000002</v>
      </c>
      <c r="U190" s="8">
        <f ca="1">SUBTOTAL(9,U$174:U$189)</f>
        <v>435068.33</v>
      </c>
      <c r="V190" s="83">
        <f ca="1">IFERROR($U190/$U$6,0)</f>
        <v>0.41070000000000001</v>
      </c>
      <c r="W190" s="83">
        <f ca="1">IFERROR(($U190-$R190)/ABS($R190),0)</f>
        <v>0</v>
      </c>
      <c r="X190" s="8">
        <f ca="1">SUBTOTAL(9,X$174:X$189)</f>
        <v>435068.33</v>
      </c>
      <c r="Y190" s="83">
        <f ca="1">IFERROR($X190/$X$6,0)</f>
        <v>0.41070000000000001</v>
      </c>
      <c r="Z190" s="83">
        <f ca="1">IFERROR(($X190-$U190)/ABS($U190),0)</f>
        <v>0</v>
      </c>
      <c r="AA190" s="8">
        <f ca="1">SUBTOTAL(9,AA$174:AA$189)</f>
        <v>151946.22</v>
      </c>
      <c r="AB190" s="83">
        <f ca="1">IFERROR($AA190/$AA$6,0)</f>
        <v>0.157</v>
      </c>
      <c r="AC190" s="83">
        <f ca="1">IFERROR(($AA190-$X190)/ABS($X190),0)</f>
        <v>-0.65080000000000005</v>
      </c>
      <c r="AD190" s="8">
        <f ca="1">SUBTOTAL(9,AD$174:AD$189)</f>
        <v>210610.08</v>
      </c>
      <c r="AE190" s="83">
        <f ca="1">IFERROR($AD190/$AD$6,0)</f>
        <v>0.17199999999999999</v>
      </c>
      <c r="AF190" s="83">
        <f ca="1">IFERROR(($AD190-$AA190)/ABS($AA190),0)</f>
        <v>0.3861</v>
      </c>
      <c r="AG190" s="8">
        <f ca="1">SUBTOTAL(9,AG$174:AG$189)</f>
        <v>330440.71999999997</v>
      </c>
      <c r="AH190" s="83">
        <f ca="1">IFERROR($AG190/$AG$6,0)</f>
        <v>0.36570000000000003</v>
      </c>
      <c r="AI190" s="83">
        <f ca="1">IFERROR(($AG190-$AD190)/ABS($AD190),0)</f>
        <v>0.56899999999999995</v>
      </c>
      <c r="AJ190" s="8">
        <f ca="1">SUBTOTAL(9,AJ$174:AJ$189)</f>
        <v>-96204.15</v>
      </c>
      <c r="AK190" s="83">
        <f ca="1">IFERROR($AJ190/$AJ$6,0)</f>
        <v>-6.5299999999999997E-2</v>
      </c>
      <c r="AL190" s="83">
        <f ca="1">IFERROR(($AJ190-$AG190)/ABS($AG190),0)</f>
        <v>-1.2910999999999999</v>
      </c>
    </row>
    <row r="191" spans="2:39" ht="5.0999999999999996" customHeight="1" x14ac:dyDescent="0.3"/>
    <row r="192" spans="2:39" ht="5.0999999999999996" customHeight="1" x14ac:dyDescent="0.3"/>
    <row r="193" spans="2:38" ht="5.0999999999999996" customHeight="1" x14ac:dyDescent="0.3"/>
    <row r="194" spans="2:38" ht="5.0999999999999996" customHeight="1" x14ac:dyDescent="0.3"/>
    <row r="195" spans="2:38" ht="15" customHeight="1" x14ac:dyDescent="0.3">
      <c r="C195" s="17" t="s">
        <v>157</v>
      </c>
    </row>
    <row r="196" spans="2:38" ht="15" customHeight="1" collapsed="1" x14ac:dyDescent="0.3">
      <c r="B196" s="3" t="s">
        <v>72</v>
      </c>
      <c r="C196" s="3" t="s">
        <v>158</v>
      </c>
      <c r="D196" s="4">
        <f ca="1">SUBTOTAL(9,D$197:D$199)</f>
        <v>0</v>
      </c>
      <c r="E196" s="78">
        <f t="shared" ref="E196:E198" ca="1" si="206">IFERROR($D196/$D$6,0)</f>
        <v>0</v>
      </c>
      <c r="F196" s="4">
        <f ca="1">SUBTOTAL(9,F$197:F$199)</f>
        <v>0</v>
      </c>
      <c r="G196" s="78">
        <f t="shared" ref="G196:G198" ca="1" si="207">IFERROR($F196/$F$6,0)</f>
        <v>0</v>
      </c>
      <c r="H196" s="78">
        <f t="shared" ref="H196:H198" ca="1" si="208">IFERROR(($F196-$D196)/ABS($D196),0)</f>
        <v>0</v>
      </c>
      <c r="I196" s="4">
        <f ca="1">SUBTOTAL(9,I$197:I$199)</f>
        <v>0</v>
      </c>
      <c r="J196" s="78">
        <f t="shared" ref="J196:J198" ca="1" si="209">IFERROR($I196/$I$6,0)</f>
        <v>0</v>
      </c>
      <c r="K196" s="78">
        <f t="shared" ref="K196:K198" ca="1" si="210">IFERROR(($I196-$F196)/ABS($F196),0)</f>
        <v>0</v>
      </c>
      <c r="L196" s="4">
        <f ca="1">SUBTOTAL(9,L$197:L$199)</f>
        <v>0</v>
      </c>
      <c r="M196" s="78">
        <f t="shared" ref="M196:M198" ca="1" si="211">IFERROR($L196/$L$6,0)</f>
        <v>0</v>
      </c>
      <c r="N196" s="78">
        <f t="shared" ref="N196:N198" ca="1" si="212">IFERROR(($L196-$I196)/ABS($I196),0)</f>
        <v>0</v>
      </c>
      <c r="O196" s="4">
        <f ca="1">SUBTOTAL(9,O$197:O$199)</f>
        <v>0</v>
      </c>
      <c r="P196" s="78">
        <f t="shared" ref="P196:P198" ca="1" si="213">IFERROR($O196/$O$6,0)</f>
        <v>0</v>
      </c>
      <c r="Q196" s="78">
        <f t="shared" ref="Q196:Q198" ca="1" si="214">IFERROR(($O196-$L196)/ABS($L196),0)</f>
        <v>0</v>
      </c>
      <c r="R196" s="4">
        <f ca="1">SUBTOTAL(9,R$197:R$199)</f>
        <v>0</v>
      </c>
      <c r="S196" s="78">
        <f t="shared" ref="S196:S198" ca="1" si="215">IFERROR($R196/$R$6,0)</f>
        <v>0</v>
      </c>
      <c r="T196" s="78">
        <f t="shared" ref="T196:T198" ca="1" si="216">IFERROR(($R196-$O196)/ABS($O196),0)</f>
        <v>0</v>
      </c>
      <c r="U196" s="4">
        <f ca="1">SUBTOTAL(9,U$197:U$199)</f>
        <v>0</v>
      </c>
      <c r="V196" s="78">
        <f t="shared" ref="V196:V198" ca="1" si="217">IFERROR($U196/$U$6,0)</f>
        <v>0</v>
      </c>
      <c r="W196" s="78">
        <f t="shared" ref="W196:W198" ca="1" si="218">IFERROR(($U196-$R196)/ABS($R196),0)</f>
        <v>0</v>
      </c>
      <c r="X196" s="4">
        <f ca="1">SUBTOTAL(9,X$197:X$199)</f>
        <v>0</v>
      </c>
      <c r="Y196" s="78">
        <f t="shared" ref="Y196:Y198" ca="1" si="219">IFERROR($X196/$X$6,0)</f>
        <v>0</v>
      </c>
      <c r="Z196" s="78">
        <f t="shared" ref="Z196:Z198" ca="1" si="220">IFERROR(($X196-$U196)/ABS($U196),0)</f>
        <v>0</v>
      </c>
      <c r="AA196" s="4">
        <f ca="1">SUBTOTAL(9,AA$197:AA$199)</f>
        <v>0</v>
      </c>
      <c r="AB196" s="78">
        <f t="shared" ref="AB196:AB198" ca="1" si="221">IFERROR($AA196/$AA$6,0)</f>
        <v>0</v>
      </c>
      <c r="AC196" s="78">
        <f t="shared" ref="AC196:AC198" ca="1" si="222">IFERROR(($AA196-$X196)/ABS($X196),0)</f>
        <v>0</v>
      </c>
      <c r="AD196" s="4">
        <f ca="1">SUBTOTAL(9,AD$197:AD$199)</f>
        <v>0</v>
      </c>
      <c r="AE196" s="78">
        <f t="shared" ref="AE196:AE198" ca="1" si="223">IFERROR($AD196/$AD$6,0)</f>
        <v>0</v>
      </c>
      <c r="AF196" s="78">
        <f t="shared" ref="AF196:AF198" ca="1" si="224">IFERROR(($AD196-$AA196)/ABS($AA196),0)</f>
        <v>0</v>
      </c>
      <c r="AG196" s="4">
        <f ca="1">SUBTOTAL(9,AG$197:AG$199)</f>
        <v>0</v>
      </c>
      <c r="AH196" s="78">
        <f t="shared" ref="AH196:AH198" ca="1" si="225">IFERROR($AG196/$AG$6,0)</f>
        <v>0</v>
      </c>
      <c r="AI196" s="78">
        <f t="shared" ref="AI196:AI198" ca="1" si="226">IFERROR(($AG196-$AD196)/ABS($AD196),0)</f>
        <v>0</v>
      </c>
      <c r="AJ196" s="4">
        <f ca="1">SUBTOTAL(9,AJ$197:AJ$199)</f>
        <v>0</v>
      </c>
      <c r="AK196" s="78">
        <f t="shared" ref="AK196:AK198" ca="1" si="227">IFERROR($AJ196/$AJ$6,0)</f>
        <v>0</v>
      </c>
      <c r="AL196" s="78">
        <f t="shared" ref="AL196:AL198" ca="1" si="228">IFERROR(($AJ196-$AG196)/ABS($AG196),0)</f>
        <v>0</v>
      </c>
    </row>
    <row r="197" spans="2:38" ht="15" hidden="1" customHeight="1" outlineLevel="1" x14ac:dyDescent="0.3">
      <c r="B197" s="14"/>
      <c r="C197" s="14"/>
      <c r="D197" s="4">
        <f ca="1">-SUMIFS(INDIRECT("Tab_000.Trial["&amp;D$4&amp;"]"),Tab_000.Trial[CONTA],$B197)</f>
        <v>0</v>
      </c>
      <c r="E197" s="78">
        <f t="shared" ca="1" si="206"/>
        <v>0</v>
      </c>
      <c r="F197" s="4">
        <f ca="1">-SUMIFS(INDIRECT("Tab_000.Trial["&amp;F$4&amp;"]"),Tab_000.Trial[CONTA],$B197)</f>
        <v>0</v>
      </c>
      <c r="G197" s="78">
        <f t="shared" ca="1" si="207"/>
        <v>0</v>
      </c>
      <c r="H197" s="78">
        <f t="shared" ca="1" si="208"/>
        <v>0</v>
      </c>
      <c r="I197" s="4">
        <f ca="1">-SUMIFS(INDIRECT("Tab_000.Trial["&amp;I$4&amp;"]"),Tab_000.Trial[CONTA],$B197)</f>
        <v>0</v>
      </c>
      <c r="J197" s="78">
        <f t="shared" ca="1" si="209"/>
        <v>0</v>
      </c>
      <c r="K197" s="78">
        <f t="shared" ca="1" si="210"/>
        <v>0</v>
      </c>
      <c r="L197" s="4">
        <f ca="1">-SUMIFS(INDIRECT("Tab_000.Trial["&amp;L$4&amp;"]"),Tab_000.Trial[CONTA],$B197)</f>
        <v>0</v>
      </c>
      <c r="M197" s="78">
        <f t="shared" ca="1" si="211"/>
        <v>0</v>
      </c>
      <c r="N197" s="78">
        <f t="shared" ca="1" si="212"/>
        <v>0</v>
      </c>
      <c r="O197" s="4">
        <f ca="1">-SUMIFS(INDIRECT("Tab_000.Trial["&amp;O$4&amp;"]"),Tab_000.Trial[CONTA],$B197)</f>
        <v>0</v>
      </c>
      <c r="P197" s="78">
        <f t="shared" ca="1" si="213"/>
        <v>0</v>
      </c>
      <c r="Q197" s="78">
        <f t="shared" ca="1" si="214"/>
        <v>0</v>
      </c>
      <c r="R197" s="4">
        <f ca="1">-SUMIFS(INDIRECT("Tab_000.Trial["&amp;R$4&amp;"]"),Tab_000.Trial[CONTA],$B197)</f>
        <v>0</v>
      </c>
      <c r="S197" s="78">
        <f t="shared" ca="1" si="215"/>
        <v>0</v>
      </c>
      <c r="T197" s="78">
        <f t="shared" ca="1" si="216"/>
        <v>0</v>
      </c>
      <c r="U197" s="4">
        <f ca="1">-SUMIFS(INDIRECT("Tab_000.Trial["&amp;U$4&amp;"]"),Tab_000.Trial[CONTA],$B197)</f>
        <v>0</v>
      </c>
      <c r="V197" s="78">
        <f t="shared" ca="1" si="217"/>
        <v>0</v>
      </c>
      <c r="W197" s="78">
        <f t="shared" ca="1" si="218"/>
        <v>0</v>
      </c>
      <c r="X197" s="4">
        <f ca="1">-SUMIFS(INDIRECT("Tab_000.Trial["&amp;X$4&amp;"]"),Tab_000.Trial[CONTA],$B197)</f>
        <v>0</v>
      </c>
      <c r="Y197" s="78">
        <f t="shared" ca="1" si="219"/>
        <v>0</v>
      </c>
      <c r="Z197" s="78">
        <f t="shared" ca="1" si="220"/>
        <v>0</v>
      </c>
      <c r="AA197" s="4">
        <f ca="1">-SUMIFS(INDIRECT("Tab_000.Trial["&amp;AA$4&amp;"]"),Tab_000.Trial[CONTA],$B197)</f>
        <v>0</v>
      </c>
      <c r="AB197" s="78">
        <f t="shared" ca="1" si="221"/>
        <v>0</v>
      </c>
      <c r="AC197" s="78">
        <f t="shared" ca="1" si="222"/>
        <v>0</v>
      </c>
      <c r="AD197" s="4">
        <f ca="1">-SUMIFS(INDIRECT("Tab_000.Trial["&amp;AD$4&amp;"]"),Tab_000.Trial[CONTA],$B197)</f>
        <v>0</v>
      </c>
      <c r="AE197" s="78">
        <f t="shared" ca="1" si="223"/>
        <v>0</v>
      </c>
      <c r="AF197" s="78">
        <f t="shared" ca="1" si="224"/>
        <v>0</v>
      </c>
      <c r="AG197" s="4">
        <f ca="1">-SUMIFS(INDIRECT("Tab_000.Trial["&amp;AG$4&amp;"]"),Tab_000.Trial[CONTA],$B197)</f>
        <v>0</v>
      </c>
      <c r="AH197" s="78">
        <f t="shared" ca="1" si="225"/>
        <v>0</v>
      </c>
      <c r="AI197" s="78">
        <f t="shared" ca="1" si="226"/>
        <v>0</v>
      </c>
      <c r="AJ197" s="4">
        <f ca="1">-SUMIFS(INDIRECT("Tab_000.Trial["&amp;AJ$4&amp;"]"),Tab_000.Trial[CONTA],$B197)</f>
        <v>0</v>
      </c>
      <c r="AK197" s="78">
        <f t="shared" ca="1" si="227"/>
        <v>0</v>
      </c>
      <c r="AL197" s="78">
        <f t="shared" ca="1" si="228"/>
        <v>0</v>
      </c>
    </row>
    <row r="198" spans="2:38" ht="15" hidden="1" customHeight="1" outlineLevel="1" x14ac:dyDescent="0.3">
      <c r="B198" s="14"/>
      <c r="C198" s="14"/>
      <c r="D198" s="4">
        <f ca="1">-SUMIFS(INDIRECT("Tab_000.Trial["&amp;D$4&amp;"]"),Tab_000.Trial[CONTA],$B198)</f>
        <v>0</v>
      </c>
      <c r="E198" s="78">
        <f t="shared" ca="1" si="206"/>
        <v>0</v>
      </c>
      <c r="F198" s="4">
        <f ca="1">-SUMIFS(INDIRECT("Tab_000.Trial["&amp;F$4&amp;"]"),Tab_000.Trial[CONTA],$B198)</f>
        <v>0</v>
      </c>
      <c r="G198" s="78">
        <f t="shared" ca="1" si="207"/>
        <v>0</v>
      </c>
      <c r="H198" s="78">
        <f t="shared" ca="1" si="208"/>
        <v>0</v>
      </c>
      <c r="I198" s="4">
        <f ca="1">-SUMIFS(INDIRECT("Tab_000.Trial["&amp;I$4&amp;"]"),Tab_000.Trial[CONTA],$B198)</f>
        <v>0</v>
      </c>
      <c r="J198" s="78">
        <f t="shared" ca="1" si="209"/>
        <v>0</v>
      </c>
      <c r="K198" s="78">
        <f t="shared" ca="1" si="210"/>
        <v>0</v>
      </c>
      <c r="L198" s="4">
        <f ca="1">-SUMIFS(INDIRECT("Tab_000.Trial["&amp;L$4&amp;"]"),Tab_000.Trial[CONTA],$B198)</f>
        <v>0</v>
      </c>
      <c r="M198" s="78">
        <f t="shared" ca="1" si="211"/>
        <v>0</v>
      </c>
      <c r="N198" s="78">
        <f t="shared" ca="1" si="212"/>
        <v>0</v>
      </c>
      <c r="O198" s="4">
        <f ca="1">-SUMIFS(INDIRECT("Tab_000.Trial["&amp;O$4&amp;"]"),Tab_000.Trial[CONTA],$B198)</f>
        <v>0</v>
      </c>
      <c r="P198" s="78">
        <f t="shared" ca="1" si="213"/>
        <v>0</v>
      </c>
      <c r="Q198" s="78">
        <f t="shared" ca="1" si="214"/>
        <v>0</v>
      </c>
      <c r="R198" s="4">
        <f ca="1">-SUMIFS(INDIRECT("Tab_000.Trial["&amp;R$4&amp;"]"),Tab_000.Trial[CONTA],$B198)</f>
        <v>0</v>
      </c>
      <c r="S198" s="78">
        <f t="shared" ca="1" si="215"/>
        <v>0</v>
      </c>
      <c r="T198" s="78">
        <f t="shared" ca="1" si="216"/>
        <v>0</v>
      </c>
      <c r="U198" s="4">
        <f ca="1">-SUMIFS(INDIRECT("Tab_000.Trial["&amp;U$4&amp;"]"),Tab_000.Trial[CONTA],$B198)</f>
        <v>0</v>
      </c>
      <c r="V198" s="78">
        <f t="shared" ca="1" si="217"/>
        <v>0</v>
      </c>
      <c r="W198" s="78">
        <f t="shared" ca="1" si="218"/>
        <v>0</v>
      </c>
      <c r="X198" s="4">
        <f ca="1">-SUMIFS(INDIRECT("Tab_000.Trial["&amp;X$4&amp;"]"),Tab_000.Trial[CONTA],$B198)</f>
        <v>0</v>
      </c>
      <c r="Y198" s="78">
        <f t="shared" ca="1" si="219"/>
        <v>0</v>
      </c>
      <c r="Z198" s="78">
        <f t="shared" ca="1" si="220"/>
        <v>0</v>
      </c>
      <c r="AA198" s="4">
        <f ca="1">-SUMIFS(INDIRECT("Tab_000.Trial["&amp;AA$4&amp;"]"),Tab_000.Trial[CONTA],$B198)</f>
        <v>0</v>
      </c>
      <c r="AB198" s="78">
        <f t="shared" ca="1" si="221"/>
        <v>0</v>
      </c>
      <c r="AC198" s="78">
        <f t="shared" ca="1" si="222"/>
        <v>0</v>
      </c>
      <c r="AD198" s="4">
        <f ca="1">-SUMIFS(INDIRECT("Tab_000.Trial["&amp;AD$4&amp;"]"),Tab_000.Trial[CONTA],$B198)</f>
        <v>0</v>
      </c>
      <c r="AE198" s="78">
        <f t="shared" ca="1" si="223"/>
        <v>0</v>
      </c>
      <c r="AF198" s="78">
        <f t="shared" ca="1" si="224"/>
        <v>0</v>
      </c>
      <c r="AG198" s="4">
        <f ca="1">-SUMIFS(INDIRECT("Tab_000.Trial["&amp;AG$4&amp;"]"),Tab_000.Trial[CONTA],$B198)</f>
        <v>0</v>
      </c>
      <c r="AH198" s="78">
        <f t="shared" ca="1" si="225"/>
        <v>0</v>
      </c>
      <c r="AI198" s="78">
        <f t="shared" ca="1" si="226"/>
        <v>0</v>
      </c>
      <c r="AJ198" s="4">
        <f ca="1">-SUMIFS(INDIRECT("Tab_000.Trial["&amp;AJ$4&amp;"]"),Tab_000.Trial[CONTA],$B198)</f>
        <v>0</v>
      </c>
      <c r="AK198" s="78">
        <f t="shared" ca="1" si="227"/>
        <v>0</v>
      </c>
      <c r="AL198" s="78">
        <f t="shared" ca="1" si="228"/>
        <v>0</v>
      </c>
    </row>
    <row r="199" spans="2:38" ht="5.0999999999999996" hidden="1" customHeight="1" outlineLevel="1" x14ac:dyDescent="0.3">
      <c r="B199" s="74"/>
      <c r="C199" s="75"/>
      <c r="D199" s="76"/>
      <c r="E199" s="77"/>
      <c r="F199" s="76"/>
      <c r="G199" s="77"/>
      <c r="H199" s="77"/>
      <c r="I199" s="76"/>
      <c r="J199" s="77"/>
      <c r="K199" s="77"/>
      <c r="L199" s="76"/>
      <c r="M199" s="77"/>
      <c r="N199" s="77"/>
      <c r="O199" s="76"/>
      <c r="P199" s="77"/>
      <c r="Q199" s="77"/>
      <c r="R199" s="76"/>
      <c r="S199" s="77"/>
      <c r="T199" s="77"/>
      <c r="U199" s="76"/>
      <c r="V199" s="77"/>
      <c r="W199" s="77"/>
      <c r="X199" s="76"/>
      <c r="Y199" s="77"/>
      <c r="Z199" s="77"/>
      <c r="AA199" s="76"/>
      <c r="AB199" s="77"/>
      <c r="AC199" s="77"/>
      <c r="AD199" s="76"/>
      <c r="AE199" s="77"/>
      <c r="AF199" s="77"/>
      <c r="AG199" s="76"/>
      <c r="AH199" s="77"/>
      <c r="AI199" s="77"/>
      <c r="AJ199" s="76"/>
      <c r="AK199" s="77"/>
      <c r="AL199" s="77"/>
    </row>
    <row r="200" spans="2:38" ht="15" customHeight="1" collapsed="1" x14ac:dyDescent="0.3">
      <c r="B200" s="3" t="s">
        <v>160</v>
      </c>
      <c r="C200" s="3" t="s">
        <v>159</v>
      </c>
      <c r="D200" s="4">
        <f ca="1">SUBTOTAL(9,D$201:D$203)</f>
        <v>0</v>
      </c>
      <c r="E200" s="78">
        <f t="shared" ref="E200:E202" ca="1" si="229">IFERROR($D200/$D$6,0)</f>
        <v>0</v>
      </c>
      <c r="F200" s="4">
        <f ca="1">SUBTOTAL(9,F$201:F$203)</f>
        <v>0</v>
      </c>
      <c r="G200" s="78">
        <f ca="1">IFERROR($F200/$F$6,0)</f>
        <v>0</v>
      </c>
      <c r="H200" s="78">
        <f t="shared" ref="H200:H202" ca="1" si="230">IFERROR(($F200-$D200)/ABS($D200),0)</f>
        <v>0</v>
      </c>
      <c r="I200" s="4">
        <f ca="1">SUBTOTAL(9,I$201:I$203)</f>
        <v>0</v>
      </c>
      <c r="J200" s="78">
        <f ca="1">IFERROR($I200/$I$6,0)</f>
        <v>0</v>
      </c>
      <c r="K200" s="78">
        <f ca="1">IFERROR(($I200-$F200)/ABS($F200),0)</f>
        <v>0</v>
      </c>
      <c r="L200" s="4">
        <f ca="1">SUBTOTAL(9,L$201:L$203)</f>
        <v>0</v>
      </c>
      <c r="M200" s="78">
        <f ca="1">IFERROR($L200/$L$6,0)</f>
        <v>0</v>
      </c>
      <c r="N200" s="78">
        <f ca="1">IFERROR(($L200-$I200)/ABS($I200),0)</f>
        <v>0</v>
      </c>
      <c r="O200" s="4">
        <f ca="1">SUBTOTAL(9,O$201:O$203)</f>
        <v>0</v>
      </c>
      <c r="P200" s="78">
        <f ca="1">IFERROR($O200/$O$6,0)</f>
        <v>0</v>
      </c>
      <c r="Q200" s="78">
        <f ca="1">IFERROR(($O200-$L200)/ABS($L200),0)</f>
        <v>0</v>
      </c>
      <c r="R200" s="4">
        <f ca="1">SUBTOTAL(9,R$201:R$203)</f>
        <v>0</v>
      </c>
      <c r="S200" s="78">
        <f ca="1">IFERROR($R200/$R$6,0)</f>
        <v>0</v>
      </c>
      <c r="T200" s="78">
        <f ca="1">IFERROR(($R200-$O200)/ABS($O200),0)</f>
        <v>0</v>
      </c>
      <c r="U200" s="4">
        <f ca="1">SUBTOTAL(9,U$201:U$203)</f>
        <v>0</v>
      </c>
      <c r="V200" s="78">
        <f ca="1">IFERROR($U200/$U$6,0)</f>
        <v>0</v>
      </c>
      <c r="W200" s="78">
        <f ca="1">IFERROR(($U200-$R200)/ABS($R200),0)</f>
        <v>0</v>
      </c>
      <c r="X200" s="4">
        <f ca="1">SUBTOTAL(9,X$201:X$203)</f>
        <v>0</v>
      </c>
      <c r="Y200" s="78">
        <f ca="1">IFERROR($X200/$X$6,0)</f>
        <v>0</v>
      </c>
      <c r="Z200" s="78">
        <f ca="1">IFERROR(($X200-$U200)/ABS($U200),0)</f>
        <v>0</v>
      </c>
      <c r="AA200" s="4">
        <f ca="1">SUBTOTAL(9,AA$201:AA$203)</f>
        <v>0</v>
      </c>
      <c r="AB200" s="78">
        <f ca="1">IFERROR($AA200/$AA$6,0)</f>
        <v>0</v>
      </c>
      <c r="AC200" s="78">
        <f ca="1">IFERROR(($AA200-$X200)/ABS($X200),0)</f>
        <v>0</v>
      </c>
      <c r="AD200" s="4">
        <f ca="1">SUBTOTAL(9,AD$201:AD$203)</f>
        <v>0</v>
      </c>
      <c r="AE200" s="78">
        <f ca="1">IFERROR($AD200/$AD$6,0)</f>
        <v>0</v>
      </c>
      <c r="AF200" s="78">
        <f ca="1">IFERROR(($AD200-$AA200)/ABS($AA200),0)</f>
        <v>0</v>
      </c>
      <c r="AG200" s="4">
        <f ca="1">SUBTOTAL(9,AG$201:AG$203)</f>
        <v>0</v>
      </c>
      <c r="AH200" s="78">
        <f ca="1">IFERROR($AG200/$AG$6,0)</f>
        <v>0</v>
      </c>
      <c r="AI200" s="78">
        <f ca="1">IFERROR(($AG200-$AD200)/ABS($AD200),0)</f>
        <v>0</v>
      </c>
      <c r="AJ200" s="4">
        <f ca="1">SUBTOTAL(9,AJ$201:AJ$203)</f>
        <v>0</v>
      </c>
      <c r="AK200" s="78">
        <f ca="1">IFERROR($AJ200/$AJ$6,0)</f>
        <v>0</v>
      </c>
      <c r="AL200" s="78">
        <f ca="1">IFERROR(($AJ200-$AG200)/ABS($AG200),0)</f>
        <v>0</v>
      </c>
    </row>
    <row r="201" spans="2:38" ht="15" hidden="1" customHeight="1" outlineLevel="1" x14ac:dyDescent="0.3">
      <c r="B201" s="14"/>
      <c r="C201" s="14"/>
      <c r="D201" s="4">
        <f ca="1">-SUMIFS(INDIRECT("Tab_000.Trial["&amp;D$4&amp;"]"),Tab_000.Trial[CONTA],$B201)</f>
        <v>0</v>
      </c>
      <c r="E201" s="78">
        <f t="shared" ca="1" si="229"/>
        <v>0</v>
      </c>
      <c r="F201" s="4">
        <f ca="1">-SUMIFS(INDIRECT("Tab_000.Trial["&amp;F$4&amp;"]"),Tab_000.Trial[CONTA],$B201)</f>
        <v>0</v>
      </c>
      <c r="G201" s="78">
        <f t="shared" ref="G201:G202" ca="1" si="231">IFERROR($F201/$F$6,0)</f>
        <v>0</v>
      </c>
      <c r="H201" s="78">
        <f t="shared" ca="1" si="230"/>
        <v>0</v>
      </c>
      <c r="I201" s="4">
        <f ca="1">-SUMIFS(INDIRECT("Tab_000.Trial["&amp;I$4&amp;"]"),Tab_000.Trial[CONTA],$B201)</f>
        <v>0</v>
      </c>
      <c r="J201" s="78">
        <f t="shared" ref="J201:J202" ca="1" si="232">IFERROR($I201/$I$6,0)</f>
        <v>0</v>
      </c>
      <c r="K201" s="78">
        <f t="shared" ref="K201:K202" ca="1" si="233">IFERROR(($I201-$F201)/ABS($F201),0)</f>
        <v>0</v>
      </c>
      <c r="L201" s="4">
        <f ca="1">-SUMIFS(INDIRECT("Tab_000.Trial["&amp;L$4&amp;"]"),Tab_000.Trial[CONTA],$B201)</f>
        <v>0</v>
      </c>
      <c r="M201" s="78">
        <f t="shared" ref="M201:M202" ca="1" si="234">IFERROR($L201/$L$6,0)</f>
        <v>0</v>
      </c>
      <c r="N201" s="78">
        <f t="shared" ref="N201:N202" ca="1" si="235">IFERROR(($L201-$I201)/ABS($I201),0)</f>
        <v>0</v>
      </c>
      <c r="O201" s="4">
        <f ca="1">-SUMIFS(INDIRECT("Tab_000.Trial["&amp;O$4&amp;"]"),Tab_000.Trial[CONTA],$B201)</f>
        <v>0</v>
      </c>
      <c r="P201" s="78">
        <f t="shared" ref="P201:P202" ca="1" si="236">IFERROR($O201/$O$6,0)</f>
        <v>0</v>
      </c>
      <c r="Q201" s="78">
        <f t="shared" ref="Q201:Q202" ca="1" si="237">IFERROR(($O201-$L201)/ABS($L201),0)</f>
        <v>0</v>
      </c>
      <c r="R201" s="4">
        <f ca="1">-SUMIFS(INDIRECT("Tab_000.Trial["&amp;R$4&amp;"]"),Tab_000.Trial[CONTA],$B201)</f>
        <v>0</v>
      </c>
      <c r="S201" s="78">
        <f t="shared" ref="S201:S202" ca="1" si="238">IFERROR($R201/$R$6,0)</f>
        <v>0</v>
      </c>
      <c r="T201" s="78">
        <f t="shared" ref="T201:T202" ca="1" si="239">IFERROR(($R201-$O201)/ABS($O201),0)</f>
        <v>0</v>
      </c>
      <c r="U201" s="4">
        <f ca="1">-SUMIFS(INDIRECT("Tab_000.Trial["&amp;U$4&amp;"]"),Tab_000.Trial[CONTA],$B201)</f>
        <v>0</v>
      </c>
      <c r="V201" s="78">
        <f t="shared" ref="V201:V202" ca="1" si="240">IFERROR($U201/$U$6,0)</f>
        <v>0</v>
      </c>
      <c r="W201" s="78">
        <f t="shared" ref="W201:W202" ca="1" si="241">IFERROR(($U201-$R201)/ABS($R201),0)</f>
        <v>0</v>
      </c>
      <c r="X201" s="4">
        <f ca="1">-SUMIFS(INDIRECT("Tab_000.Trial["&amp;X$4&amp;"]"),Tab_000.Trial[CONTA],$B201)</f>
        <v>0</v>
      </c>
      <c r="Y201" s="78">
        <f t="shared" ref="Y201:Y202" ca="1" si="242">IFERROR($X201/$X$6,0)</f>
        <v>0</v>
      </c>
      <c r="Z201" s="78">
        <f t="shared" ref="Z201:Z202" ca="1" si="243">IFERROR(($X201-$U201)/ABS($U201),0)</f>
        <v>0</v>
      </c>
      <c r="AA201" s="4">
        <f ca="1">-SUMIFS(INDIRECT("Tab_000.Trial["&amp;AA$4&amp;"]"),Tab_000.Trial[CONTA],$B201)</f>
        <v>0</v>
      </c>
      <c r="AB201" s="78">
        <f t="shared" ref="AB201:AB202" ca="1" si="244">IFERROR($AA201/$AA$6,0)</f>
        <v>0</v>
      </c>
      <c r="AC201" s="78">
        <f t="shared" ref="AC201:AC202" ca="1" si="245">IFERROR(($AA201-$X201)/ABS($X201),0)</f>
        <v>0</v>
      </c>
      <c r="AD201" s="4">
        <f ca="1">-SUMIFS(INDIRECT("Tab_000.Trial["&amp;AD$4&amp;"]"),Tab_000.Trial[CONTA],$B201)</f>
        <v>0</v>
      </c>
      <c r="AE201" s="78">
        <f t="shared" ref="AE201:AE202" ca="1" si="246">IFERROR($AD201/$AD$6,0)</f>
        <v>0</v>
      </c>
      <c r="AF201" s="78">
        <f t="shared" ref="AF201:AF202" ca="1" si="247">IFERROR(($AD201-$AA201)/ABS($AA201),0)</f>
        <v>0</v>
      </c>
      <c r="AG201" s="4">
        <f ca="1">-SUMIFS(INDIRECT("Tab_000.Trial["&amp;AG$4&amp;"]"),Tab_000.Trial[CONTA],$B201)</f>
        <v>0</v>
      </c>
      <c r="AH201" s="78">
        <f t="shared" ref="AH201:AH202" ca="1" si="248">IFERROR($AG201/$AG$6,0)</f>
        <v>0</v>
      </c>
      <c r="AI201" s="78">
        <f t="shared" ref="AI201:AI202" ca="1" si="249">IFERROR(($AG201-$AD201)/ABS($AD201),0)</f>
        <v>0</v>
      </c>
      <c r="AJ201" s="4">
        <f ca="1">-SUMIFS(INDIRECT("Tab_000.Trial["&amp;AJ$4&amp;"]"),Tab_000.Trial[CONTA],$B201)</f>
        <v>0</v>
      </c>
      <c r="AK201" s="78">
        <f t="shared" ref="AK201:AK202" ca="1" si="250">IFERROR($AJ201/$AJ$6,0)</f>
        <v>0</v>
      </c>
      <c r="AL201" s="78">
        <f t="shared" ref="AL201:AL202" ca="1" si="251">IFERROR(($AJ201-$AG201)/ABS($AG201),0)</f>
        <v>0</v>
      </c>
    </row>
    <row r="202" spans="2:38" ht="15" hidden="1" customHeight="1" outlineLevel="1" x14ac:dyDescent="0.3">
      <c r="B202" s="14"/>
      <c r="C202" s="14"/>
      <c r="D202" s="4">
        <f ca="1">-SUMIFS(INDIRECT("Tab_000.Trial["&amp;D$4&amp;"]"),Tab_000.Trial[CONTA],$B202)</f>
        <v>0</v>
      </c>
      <c r="E202" s="78">
        <f t="shared" ca="1" si="229"/>
        <v>0</v>
      </c>
      <c r="F202" s="4">
        <f ca="1">-SUMIFS(INDIRECT("Tab_000.Trial["&amp;F$4&amp;"]"),Tab_000.Trial[CONTA],$B202)</f>
        <v>0</v>
      </c>
      <c r="G202" s="78">
        <f t="shared" ca="1" si="231"/>
        <v>0</v>
      </c>
      <c r="H202" s="78">
        <f t="shared" ca="1" si="230"/>
        <v>0</v>
      </c>
      <c r="I202" s="4">
        <f ca="1">-SUMIFS(INDIRECT("Tab_000.Trial["&amp;I$4&amp;"]"),Tab_000.Trial[CONTA],$B202)</f>
        <v>0</v>
      </c>
      <c r="J202" s="78">
        <f t="shared" ca="1" si="232"/>
        <v>0</v>
      </c>
      <c r="K202" s="78">
        <f t="shared" ca="1" si="233"/>
        <v>0</v>
      </c>
      <c r="L202" s="4">
        <f ca="1">-SUMIFS(INDIRECT("Tab_000.Trial["&amp;L$4&amp;"]"),Tab_000.Trial[CONTA],$B202)</f>
        <v>0</v>
      </c>
      <c r="M202" s="78">
        <f t="shared" ca="1" si="234"/>
        <v>0</v>
      </c>
      <c r="N202" s="78">
        <f t="shared" ca="1" si="235"/>
        <v>0</v>
      </c>
      <c r="O202" s="4">
        <f ca="1">-SUMIFS(INDIRECT("Tab_000.Trial["&amp;O$4&amp;"]"),Tab_000.Trial[CONTA],$B202)</f>
        <v>0</v>
      </c>
      <c r="P202" s="78">
        <f t="shared" ca="1" si="236"/>
        <v>0</v>
      </c>
      <c r="Q202" s="78">
        <f t="shared" ca="1" si="237"/>
        <v>0</v>
      </c>
      <c r="R202" s="4">
        <f ca="1">-SUMIFS(INDIRECT("Tab_000.Trial["&amp;R$4&amp;"]"),Tab_000.Trial[CONTA],$B202)</f>
        <v>0</v>
      </c>
      <c r="S202" s="78">
        <f t="shared" ca="1" si="238"/>
        <v>0</v>
      </c>
      <c r="T202" s="78">
        <f t="shared" ca="1" si="239"/>
        <v>0</v>
      </c>
      <c r="U202" s="4">
        <f ca="1">-SUMIFS(INDIRECT("Tab_000.Trial["&amp;U$4&amp;"]"),Tab_000.Trial[CONTA],$B202)</f>
        <v>0</v>
      </c>
      <c r="V202" s="78">
        <f t="shared" ca="1" si="240"/>
        <v>0</v>
      </c>
      <c r="W202" s="78">
        <f t="shared" ca="1" si="241"/>
        <v>0</v>
      </c>
      <c r="X202" s="4">
        <f ca="1">-SUMIFS(INDIRECT("Tab_000.Trial["&amp;X$4&amp;"]"),Tab_000.Trial[CONTA],$B202)</f>
        <v>0</v>
      </c>
      <c r="Y202" s="78">
        <f t="shared" ca="1" si="242"/>
        <v>0</v>
      </c>
      <c r="Z202" s="78">
        <f t="shared" ca="1" si="243"/>
        <v>0</v>
      </c>
      <c r="AA202" s="4">
        <f ca="1">-SUMIFS(INDIRECT("Tab_000.Trial["&amp;AA$4&amp;"]"),Tab_000.Trial[CONTA],$B202)</f>
        <v>0</v>
      </c>
      <c r="AB202" s="78">
        <f t="shared" ca="1" si="244"/>
        <v>0</v>
      </c>
      <c r="AC202" s="78">
        <f t="shared" ca="1" si="245"/>
        <v>0</v>
      </c>
      <c r="AD202" s="4">
        <f ca="1">-SUMIFS(INDIRECT("Tab_000.Trial["&amp;AD$4&amp;"]"),Tab_000.Trial[CONTA],$B202)</f>
        <v>0</v>
      </c>
      <c r="AE202" s="78">
        <f t="shared" ca="1" si="246"/>
        <v>0</v>
      </c>
      <c r="AF202" s="78">
        <f t="shared" ca="1" si="247"/>
        <v>0</v>
      </c>
      <c r="AG202" s="4">
        <f ca="1">-SUMIFS(INDIRECT("Tab_000.Trial["&amp;AG$4&amp;"]"),Tab_000.Trial[CONTA],$B202)</f>
        <v>0</v>
      </c>
      <c r="AH202" s="78">
        <f t="shared" ca="1" si="248"/>
        <v>0</v>
      </c>
      <c r="AI202" s="78">
        <f t="shared" ca="1" si="249"/>
        <v>0</v>
      </c>
      <c r="AJ202" s="4">
        <f ca="1">-SUMIFS(INDIRECT("Tab_000.Trial["&amp;AJ$4&amp;"]"),Tab_000.Trial[CONTA],$B202)</f>
        <v>0</v>
      </c>
      <c r="AK202" s="78">
        <f t="shared" ca="1" si="250"/>
        <v>0</v>
      </c>
      <c r="AL202" s="78">
        <f t="shared" ca="1" si="251"/>
        <v>0</v>
      </c>
    </row>
    <row r="203" spans="2:38" ht="5.0999999999999996" hidden="1" customHeight="1" outlineLevel="1" x14ac:dyDescent="0.3">
      <c r="B203" s="74"/>
      <c r="C203" s="75"/>
      <c r="D203" s="76"/>
      <c r="E203" s="77"/>
      <c r="F203" s="76"/>
      <c r="G203" s="77"/>
      <c r="H203" s="77"/>
      <c r="I203" s="76"/>
      <c r="J203" s="77"/>
      <c r="K203" s="77"/>
      <c r="L203" s="76"/>
      <c r="M203" s="77"/>
      <c r="N203" s="77"/>
      <c r="O203" s="76"/>
      <c r="P203" s="77"/>
      <c r="Q203" s="77"/>
      <c r="R203" s="76"/>
      <c r="S203" s="77"/>
      <c r="T203" s="77"/>
      <c r="U203" s="76"/>
      <c r="V203" s="77"/>
      <c r="W203" s="77"/>
      <c r="X203" s="76"/>
      <c r="Y203" s="77"/>
      <c r="Z203" s="77"/>
      <c r="AA203" s="76"/>
      <c r="AB203" s="77"/>
      <c r="AC203" s="77"/>
      <c r="AD203" s="76"/>
      <c r="AE203" s="77"/>
      <c r="AF203" s="77"/>
      <c r="AG203" s="76"/>
      <c r="AH203" s="77"/>
      <c r="AI203" s="77"/>
      <c r="AJ203" s="76"/>
      <c r="AK203" s="77"/>
      <c r="AL203" s="77"/>
    </row>
    <row r="204" spans="2:38" ht="5.0999999999999996" customHeight="1" x14ac:dyDescent="0.3"/>
    <row r="205" spans="2:38" ht="20.100000000000001" customHeight="1" thickBot="1" x14ac:dyDescent="0.35">
      <c r="C205" s="17" t="s">
        <v>98</v>
      </c>
      <c r="D205" s="18">
        <f ca="1">SUBTOTAL(9,D$5:D$204)</f>
        <v>-111264.76</v>
      </c>
      <c r="E205" s="81">
        <f ca="1">IFERROR($D205/$D$6,0)</f>
        <v>-0.1192</v>
      </c>
      <c r="F205" s="18">
        <f ca="1">SUBTOTAL(9,F$5:F$204)</f>
        <v>49716.15</v>
      </c>
      <c r="G205" s="81">
        <f ca="1">IFERROR($F205/$F$6,0)</f>
        <v>9.4799999999999995E-2</v>
      </c>
      <c r="H205" s="81">
        <f ca="1">IFERROR(($F205-$D205)/ABS($D205),0)</f>
        <v>1.4468000000000001</v>
      </c>
      <c r="I205" s="18">
        <f ca="1">SUBTOTAL(9,I$5:I$204)</f>
        <v>535315.87</v>
      </c>
      <c r="J205" s="81">
        <f ca="1">IFERROR($I205/$I$6,0)</f>
        <v>0.51559999999999995</v>
      </c>
      <c r="K205" s="81">
        <f ca="1">IFERROR(($I205-$F205)/ABS($F205),0)</f>
        <v>9.7674000000000003</v>
      </c>
      <c r="L205" s="18">
        <f ca="1">SUBTOTAL(9,L$5:L$204)</f>
        <v>-87246.37</v>
      </c>
      <c r="M205" s="81">
        <f ca="1">IFERROR($L205/$L$6,0)</f>
        <v>-8.7099999999999997E-2</v>
      </c>
      <c r="N205" s="81">
        <f ca="1">IFERROR(($L205-$I205)/ABS($I205),0)</f>
        <v>-1.163</v>
      </c>
      <c r="O205" s="18">
        <f ca="1">SUBTOTAL(9,O$5:O$204)</f>
        <v>462505.89</v>
      </c>
      <c r="P205" s="81">
        <f ca="1">IFERROR($O205/$O$6,0)</f>
        <v>0.3851</v>
      </c>
      <c r="Q205" s="81">
        <f ca="1">IFERROR(($O205-$L205)/ABS($L205),0)</f>
        <v>6.3010999999999999</v>
      </c>
      <c r="R205" s="18">
        <f ca="1">SUBTOTAL(9,R$5:R$204)</f>
        <v>409096.12</v>
      </c>
      <c r="S205" s="81">
        <f ca="1">IFERROR($R205/$R$6,0)</f>
        <v>0.38619999999999999</v>
      </c>
      <c r="T205" s="81">
        <f ca="1">IFERROR(($R205-$O205)/ABS($O205),0)</f>
        <v>-0.11550000000000001</v>
      </c>
      <c r="U205" s="18">
        <f ca="1">SUBTOTAL(9,U$5:U$204)</f>
        <v>409096.12</v>
      </c>
      <c r="V205" s="81">
        <f ca="1">IFERROR($U205/$U$6,0)</f>
        <v>0.38619999999999999</v>
      </c>
      <c r="W205" s="81">
        <f ca="1">IFERROR(($U205-$R205)/ABS($R205),0)</f>
        <v>0</v>
      </c>
      <c r="X205" s="18">
        <f ca="1">SUBTOTAL(9,X$5:X$204)</f>
        <v>409096.12</v>
      </c>
      <c r="Y205" s="81">
        <f ca="1">IFERROR($X205/$X$6,0)</f>
        <v>0.38619999999999999</v>
      </c>
      <c r="Z205" s="81">
        <f ca="1">IFERROR(($X205-$U205)/ABS($U205),0)</f>
        <v>0</v>
      </c>
      <c r="AA205" s="18">
        <f ca="1">SUBTOTAL(9,AA$5:AA$204)</f>
        <v>113338.06</v>
      </c>
      <c r="AB205" s="81">
        <f ca="1">IFERROR($AA205/$AA$6,0)</f>
        <v>0.1171</v>
      </c>
      <c r="AC205" s="81">
        <f ca="1">IFERROR(($AA205-$X205)/ABS($X205),0)</f>
        <v>-0.72299999999999998</v>
      </c>
      <c r="AD205" s="18">
        <f ca="1">SUBTOTAL(9,AD$5:AD$204)</f>
        <v>226947.35</v>
      </c>
      <c r="AE205" s="81">
        <f ca="1">IFERROR($AD205/$AD$6,0)</f>
        <v>0.18529999999999999</v>
      </c>
      <c r="AF205" s="81">
        <f ca="1">IFERROR(($AD205-$AA205)/ABS($AA205),0)</f>
        <v>1.0024</v>
      </c>
      <c r="AG205" s="18">
        <f ca="1">SUBTOTAL(9,AG$5:AG$204)</f>
        <v>501789.09</v>
      </c>
      <c r="AH205" s="81">
        <f ca="1">IFERROR($AG205/$AG$6,0)</f>
        <v>0.55530000000000002</v>
      </c>
      <c r="AI205" s="81">
        <f ca="1">IFERROR(($AG205-$AD205)/ABS($AD205),0)</f>
        <v>1.2110000000000001</v>
      </c>
      <c r="AJ205" s="18">
        <f ca="1">SUBTOTAL(9,AJ$5:AJ$204)</f>
        <v>-491041.8</v>
      </c>
      <c r="AK205" s="81">
        <f ca="1">IFERROR($AJ205/$AJ$6,0)</f>
        <v>-0.33310000000000001</v>
      </c>
      <c r="AL205" s="81">
        <f ca="1">IFERROR(($AJ205-$AG205)/ABS($AG205),0)</f>
        <v>-1.9785999999999999</v>
      </c>
    </row>
    <row r="206" spans="2:38" ht="14.4" thickTop="1" x14ac:dyDescent="0.3"/>
    <row r="208" spans="2:38" x14ac:dyDescent="0.3">
      <c r="D208" s="11">
        <f ca="1">D$205</f>
        <v>-111264.76</v>
      </c>
      <c r="F208" s="11">
        <f ca="1">D$208+F$205</f>
        <v>-61548.61</v>
      </c>
      <c r="I208" s="11">
        <f ca="1">F$208+I$205</f>
        <v>473767.26</v>
      </c>
      <c r="L208" s="11">
        <f ca="1">I$208+L$205</f>
        <v>386520.89</v>
      </c>
      <c r="O208" s="11">
        <f ca="1">L$208+O$205</f>
        <v>849026.78</v>
      </c>
      <c r="R208" s="11">
        <f ca="1">O$208+R$205</f>
        <v>1258122.8999999999</v>
      </c>
      <c r="U208" s="11">
        <f ca="1">R$208+U$205</f>
        <v>1667219.02</v>
      </c>
      <c r="X208" s="11">
        <f ca="1">U$208+X$205</f>
        <v>2076315.14</v>
      </c>
      <c r="AA208" s="11">
        <f ca="1">X$208+AA$205</f>
        <v>2189653.2000000002</v>
      </c>
      <c r="AD208" s="11">
        <f ca="1">AA$208+AD$205</f>
        <v>2416600.5499999998</v>
      </c>
      <c r="AG208" s="11">
        <f ca="1">AD$208+AG$205</f>
        <v>2918389.64</v>
      </c>
      <c r="AJ208" s="11">
        <f ca="1">AG$208+AJ$205</f>
        <v>2427347.84</v>
      </c>
    </row>
    <row r="210" spans="4:21" x14ac:dyDescent="0.3">
      <c r="U210" s="4">
        <f ca="1">U205+X205+AA205</f>
        <v>931530.3</v>
      </c>
    </row>
    <row r="211" spans="4:21" x14ac:dyDescent="0.3">
      <c r="D211" s="4">
        <f ca="1">D205-par_01.LL</f>
        <v>0</v>
      </c>
      <c r="F211" s="4">
        <f ca="1">F208-par_02.LL</f>
        <v>0</v>
      </c>
    </row>
    <row r="212" spans="4:21" x14ac:dyDescent="0.3">
      <c r="O212" s="165"/>
    </row>
  </sheetData>
  <sheetProtection autoFilter="0"/>
  <dataValidations disablePrompts="1" count="1">
    <dataValidation type="custom" allowBlank="1" showInputMessage="1" showErrorMessage="1" error="Inserir linhas acima!!!" sqref="B156:AL156 B23:AL23 B169:AL169 B189:AL189 B181:AL181 B133:AL133 B144:AL144 B93:AL93 B162:AL162 B149:AL149 B30:AL30 B52:AL52 B203:AL203 B199:AL199" xr:uid="{22A19896-6996-4FC9-A93A-5C42195810DE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3C2-ACC6-482D-92D1-63A9028B942D}">
  <sheetPr codeName="Planilha8">
    <outlinePr summaryRight="0"/>
  </sheetPr>
  <dimension ref="A1:S572"/>
  <sheetViews>
    <sheetView showGridLines="0" showRowColHeaders="0" zoomScale="90" zoomScaleNormal="90" workbookViewId="0">
      <pane xSplit="7" ySplit="14" topLeftCell="O15" activePane="bottomRight" state="frozen"/>
      <selection pane="topRight" activeCell="H1" sqref="H1"/>
      <selection pane="bottomLeft" activeCell="A15" sqref="A15"/>
      <selection pane="bottomRight" activeCell="I18" sqref="I18:S19"/>
    </sheetView>
  </sheetViews>
  <sheetFormatPr defaultColWidth="8.88671875" defaultRowHeight="13.8" outlineLevelRow="1" x14ac:dyDescent="0.3"/>
  <cols>
    <col min="1" max="1" width="2.6640625" style="1" customWidth="1"/>
    <col min="2" max="2" width="8.6640625" customWidth="1"/>
    <col min="3" max="4" width="4.6640625" customWidth="1"/>
    <col min="5" max="5" width="4.6640625" style="2" customWidth="1"/>
    <col min="6" max="6" width="19.6640625" customWidth="1"/>
    <col min="7" max="7" width="80.6640625" style="2" customWidth="1"/>
    <col min="8" max="9" width="16.6640625" style="3" customWidth="1"/>
    <col min="10" max="10" width="16.6640625" style="3" customWidth="1" collapsed="1"/>
    <col min="11" max="15" width="16.6640625" customWidth="1"/>
    <col min="16" max="17" width="16.6640625" style="2" customWidth="1"/>
    <col min="18" max="19" width="16.6640625" style="4" customWidth="1"/>
    <col min="20" max="16384" width="8.88671875" style="1"/>
  </cols>
  <sheetData>
    <row r="1" spans="1:19" x14ac:dyDescent="0.3">
      <c r="B1" s="3"/>
      <c r="C1" s="2"/>
      <c r="D1" s="2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9" outlineLevel="1" x14ac:dyDescent="0.3">
      <c r="B2" s="3"/>
      <c r="C2" s="2" t="s">
        <v>16</v>
      </c>
      <c r="D2" s="2"/>
      <c r="F2" s="3"/>
      <c r="G2" s="88" t="s">
        <v>15</v>
      </c>
      <c r="H2" s="7">
        <f ca="1">SUMIFS(INDIRECT("Tab_99.Trial["&amp;H$14&amp;"]"),Tab_99.Trial[TP],$C2,Tab_99.Trial[S/A],"A")</f>
        <v>0</v>
      </c>
      <c r="I2" s="7">
        <f ca="1">SUMIFS(INDIRECT("Tab_99.Trial["&amp;I$14&amp;"]"),Tab_99.Trial[TP],$C2,Tab_99.Trial[S/A],"A")</f>
        <v>0</v>
      </c>
      <c r="J2" s="7">
        <f ca="1">SUMIFS(INDIRECT("Tab_99.Trial["&amp;J$14&amp;"]"),Tab_99.Trial[TP],$C2,Tab_99.Trial[S/A],"A")</f>
        <v>0</v>
      </c>
      <c r="K2" s="7">
        <f ca="1">SUMIFS(INDIRECT("Tab_99.Trial["&amp;K$14&amp;"]"),Tab_99.Trial[TP],$C2,Tab_99.Trial[S/A],"A")</f>
        <v>0</v>
      </c>
      <c r="L2" s="7">
        <f ca="1">SUMIFS(INDIRECT("Tab_99.Trial["&amp;L$14&amp;"]"),Tab_99.Trial[TP],$C2,Tab_99.Trial[S/A],"A")</f>
        <v>0</v>
      </c>
      <c r="M2" s="7">
        <f ca="1">SUMIFS(INDIRECT("Tab_99.Trial["&amp;M$14&amp;"]"),Tab_99.Trial[TP],$C2,Tab_99.Trial[S/A],"A")</f>
        <v>0</v>
      </c>
      <c r="N2" s="7">
        <f ca="1">SUMIFS(INDIRECT("Tab_99.Trial["&amp;N$14&amp;"]"),Tab_99.Trial[TP],$C2,Tab_99.Trial[S/A],"A")</f>
        <v>0</v>
      </c>
      <c r="O2" s="7">
        <f ca="1">SUMIFS(INDIRECT("Tab_99.Trial["&amp;O$14&amp;"]"),Tab_99.Trial[TP],$C2,Tab_99.Trial[S/A],"A")</f>
        <v>0</v>
      </c>
      <c r="P2" s="7">
        <f ca="1">SUMIFS(INDIRECT("Tab_99.Trial["&amp;P$14&amp;"]"),Tab_99.Trial[TP],$C2,Tab_99.Trial[S/A],"A")</f>
        <v>0</v>
      </c>
      <c r="Q2" s="7">
        <f ca="1">SUMIFS(INDIRECT("Tab_99.Trial["&amp;Q$14&amp;"]"),Tab_99.Trial[TP],$C2,Tab_99.Trial[S/A],"A")</f>
        <v>0</v>
      </c>
      <c r="R2" s="7">
        <f ca="1">SUMIFS(INDIRECT("Tab_99.Trial["&amp;R$14&amp;"]"),Tab_99.Trial[TP],$C2,Tab_99.Trial[S/A],"A")</f>
        <v>0</v>
      </c>
      <c r="S2" s="7">
        <f ca="1">SUMIFS(INDIRECT("Tab_99.Trial["&amp;S$14&amp;"]"),Tab_99.Trial[TP],$C2,Tab_99.Trial[S/A],"A")</f>
        <v>0</v>
      </c>
    </row>
    <row r="3" spans="1:19" outlineLevel="1" x14ac:dyDescent="0.3">
      <c r="B3" s="3"/>
      <c r="C3" s="2" t="s">
        <v>116</v>
      </c>
      <c r="D3" s="2"/>
      <c r="F3" s="3"/>
      <c r="G3" s="88" t="s">
        <v>110</v>
      </c>
      <c r="H3" s="7">
        <f ca="1">SUMIFS(INDIRECT("Tab_99.Trial["&amp;H$14&amp;"]"),Tab_99.Trial[TP],$C3,Tab_99.Trial[S/A],"A")</f>
        <v>0</v>
      </c>
      <c r="I3" s="7">
        <f ca="1">SUMIFS(INDIRECT("Tab_99.Trial["&amp;I$14&amp;"]"),Tab_99.Trial[TP],$C3,Tab_99.Trial[S/A],"A")</f>
        <v>0</v>
      </c>
      <c r="J3" s="7">
        <f ca="1">SUMIFS(INDIRECT("Tab_99.Trial["&amp;J$14&amp;"]"),Tab_99.Trial[TP],$C3,Tab_99.Trial[S/A],"A")</f>
        <v>0</v>
      </c>
      <c r="K3" s="7">
        <f ca="1">SUMIFS(INDIRECT("Tab_99.Trial["&amp;K$14&amp;"]"),Tab_99.Trial[TP],$C3,Tab_99.Trial[S/A],"A")</f>
        <v>0</v>
      </c>
      <c r="L3" s="7">
        <f ca="1">SUMIFS(INDIRECT("Tab_99.Trial["&amp;L$14&amp;"]"),Tab_99.Trial[TP],$C3,Tab_99.Trial[S/A],"A")</f>
        <v>0</v>
      </c>
      <c r="M3" s="7">
        <f ca="1">SUMIFS(INDIRECT("Tab_99.Trial["&amp;M$14&amp;"]"),Tab_99.Trial[TP],$C3,Tab_99.Trial[S/A],"A")</f>
        <v>0</v>
      </c>
      <c r="N3" s="7">
        <f ca="1">SUMIFS(INDIRECT("Tab_99.Trial["&amp;N$14&amp;"]"),Tab_99.Trial[TP],$C3,Tab_99.Trial[S/A],"A")</f>
        <v>0</v>
      </c>
      <c r="O3" s="7">
        <f ca="1">SUMIFS(INDIRECT("Tab_99.Trial["&amp;O$14&amp;"]"),Tab_99.Trial[TP],$C3,Tab_99.Trial[S/A],"A")</f>
        <v>0</v>
      </c>
      <c r="P3" s="7">
        <f ca="1">SUMIFS(INDIRECT("Tab_99.Trial["&amp;P$14&amp;"]"),Tab_99.Trial[TP],$C3,Tab_99.Trial[S/A],"A")</f>
        <v>0</v>
      </c>
      <c r="Q3" s="7">
        <f ca="1">SUMIFS(INDIRECT("Tab_99.Trial["&amp;Q$14&amp;"]"),Tab_99.Trial[TP],$C3,Tab_99.Trial[S/A],"A")</f>
        <v>0</v>
      </c>
      <c r="R3" s="7">
        <f ca="1">SUMIFS(INDIRECT("Tab_99.Trial["&amp;R$14&amp;"]"),Tab_99.Trial[TP],$C3,Tab_99.Trial[S/A],"A")</f>
        <v>0</v>
      </c>
      <c r="S3" s="7">
        <f ca="1">SUMIFS(INDIRECT("Tab_99.Trial["&amp;S$14&amp;"]"),Tab_99.Trial[TP],$C3,Tab_99.Trial[S/A],"A")</f>
        <v>0</v>
      </c>
    </row>
    <row r="4" spans="1:19" outlineLevel="1" x14ac:dyDescent="0.3">
      <c r="B4" s="3"/>
      <c r="C4" s="2"/>
      <c r="D4" s="2"/>
      <c r="F4" s="3"/>
      <c r="G4" s="88"/>
      <c r="H4" s="8">
        <f t="shared" ref="H4:S4" ca="1" si="0">SUM(H$2:H$3)</f>
        <v>0</v>
      </c>
      <c r="I4" s="8">
        <f t="shared" ca="1" si="0"/>
        <v>0</v>
      </c>
      <c r="J4" s="8">
        <f t="shared" ca="1" si="0"/>
        <v>0</v>
      </c>
      <c r="K4" s="8">
        <f t="shared" ca="1" si="0"/>
        <v>0</v>
      </c>
      <c r="L4" s="8">
        <f t="shared" ca="1" si="0"/>
        <v>0</v>
      </c>
      <c r="M4" s="8">
        <f t="shared" ca="1" si="0"/>
        <v>0</v>
      </c>
      <c r="N4" s="8">
        <f t="shared" ca="1" si="0"/>
        <v>0</v>
      </c>
      <c r="O4" s="8">
        <f t="shared" ca="1" si="0"/>
        <v>0</v>
      </c>
      <c r="P4" s="8">
        <f t="shared" ca="1" si="0"/>
        <v>0</v>
      </c>
      <c r="Q4" s="8">
        <f t="shared" ca="1" si="0"/>
        <v>0</v>
      </c>
      <c r="R4" s="8">
        <f t="shared" ca="1" si="0"/>
        <v>0</v>
      </c>
      <c r="S4" s="8">
        <f t="shared" ca="1" si="0"/>
        <v>0</v>
      </c>
    </row>
    <row r="5" spans="1:19" ht="5.0999999999999996" customHeight="1" outlineLevel="1" x14ac:dyDescent="0.3">
      <c r="B5" s="3"/>
      <c r="C5" s="2"/>
      <c r="D5" s="2"/>
      <c r="F5" s="3"/>
      <c r="G5" s="89"/>
      <c r="H5" s="4"/>
      <c r="I5" s="4"/>
      <c r="J5" s="4"/>
      <c r="K5" s="4"/>
      <c r="L5" s="4"/>
      <c r="M5" s="4"/>
      <c r="N5" s="4"/>
      <c r="O5" s="4"/>
      <c r="P5" s="4"/>
      <c r="Q5" s="4"/>
    </row>
    <row r="6" spans="1:19" outlineLevel="1" x14ac:dyDescent="0.3">
      <c r="B6" s="3"/>
      <c r="C6" s="2" t="s">
        <v>19</v>
      </c>
      <c r="D6" s="2"/>
      <c r="F6" s="3"/>
      <c r="G6" s="88" t="s">
        <v>18</v>
      </c>
      <c r="H6" s="7">
        <f ca="1">SUMIFS(INDIRECT("Tab_99.Trial["&amp;H$14&amp;"]"),Tab_99.Trial[TP],$C6,Tab_99.Trial[S/A],"A")</f>
        <v>0</v>
      </c>
      <c r="I6" s="7">
        <f ca="1">SUMIFS(INDIRECT("Tab_99.Trial["&amp;I$14&amp;"]"),Tab_99.Trial[TP],$C6,Tab_99.Trial[S/A],"A")</f>
        <v>0</v>
      </c>
      <c r="J6" s="7">
        <f ca="1">SUMIFS(INDIRECT("Tab_99.Trial["&amp;J$14&amp;"]"),Tab_99.Trial[TP],$C6,Tab_99.Trial[S/A],"A")</f>
        <v>0</v>
      </c>
      <c r="K6" s="7">
        <f ca="1">SUMIFS(INDIRECT("Tab_99.Trial["&amp;K$14&amp;"]"),Tab_99.Trial[TP],$C6,Tab_99.Trial[S/A],"A")</f>
        <v>0</v>
      </c>
      <c r="L6" s="7">
        <f ca="1">SUMIFS(INDIRECT("Tab_99.Trial["&amp;L$14&amp;"]"),Tab_99.Trial[TP],$C6,Tab_99.Trial[S/A],"A")</f>
        <v>0</v>
      </c>
      <c r="M6" s="7">
        <f ca="1">SUMIFS(INDIRECT("Tab_99.Trial["&amp;M$14&amp;"]"),Tab_99.Trial[TP],$C6,Tab_99.Trial[S/A],"A")</f>
        <v>0</v>
      </c>
      <c r="N6" s="7">
        <f ca="1">SUMIFS(INDIRECT("Tab_99.Trial["&amp;N$14&amp;"]"),Tab_99.Trial[TP],$C6,Tab_99.Trial[S/A],"A")</f>
        <v>0</v>
      </c>
      <c r="O6" s="7">
        <f ca="1">SUMIFS(INDIRECT("Tab_99.Trial["&amp;O$14&amp;"]"),Tab_99.Trial[TP],$C6,Tab_99.Trial[S/A],"A")</f>
        <v>0</v>
      </c>
      <c r="P6" s="7">
        <f ca="1">SUMIFS(INDIRECT("Tab_99.Trial["&amp;P$14&amp;"]"),Tab_99.Trial[TP],$C6,Tab_99.Trial[S/A],"A")</f>
        <v>0</v>
      </c>
      <c r="Q6" s="7">
        <f ca="1">SUMIFS(INDIRECT("Tab_99.Trial["&amp;Q$14&amp;"]"),Tab_99.Trial[TP],$C6,Tab_99.Trial[S/A],"A")</f>
        <v>0</v>
      </c>
      <c r="R6" s="7">
        <f ca="1">SUMIFS(INDIRECT("Tab_99.Trial["&amp;R$14&amp;"]"),Tab_99.Trial[TP],$C6,Tab_99.Trial[S/A],"A")</f>
        <v>0</v>
      </c>
      <c r="S6" s="7">
        <f ca="1">SUMIFS(INDIRECT("Tab_99.Trial["&amp;S$14&amp;"]"),Tab_99.Trial[TP],$C6,Tab_99.Trial[S/A],"A")</f>
        <v>0</v>
      </c>
    </row>
    <row r="7" spans="1:19" outlineLevel="1" x14ac:dyDescent="0.3">
      <c r="B7" s="3"/>
      <c r="C7" s="2" t="s">
        <v>20</v>
      </c>
      <c r="D7" s="2"/>
      <c r="F7" s="3"/>
      <c r="G7" s="88" t="s">
        <v>111</v>
      </c>
      <c r="H7" s="7">
        <f ca="1">SUMIFS(INDIRECT("Tab_99.Trial["&amp;H$14&amp;"]"),Tab_99.Trial[TP],$C7,Tab_99.Trial[S/A],"A")</f>
        <v>0</v>
      </c>
      <c r="I7" s="7">
        <f ca="1">SUMIFS(INDIRECT("Tab_99.Trial["&amp;I$14&amp;"]"),Tab_99.Trial[TP],$C7,Tab_99.Trial[S/A],"A")</f>
        <v>0</v>
      </c>
      <c r="J7" s="7">
        <f ca="1">SUMIFS(INDIRECT("Tab_99.Trial["&amp;J$14&amp;"]"),Tab_99.Trial[TP],$C7,Tab_99.Trial[S/A],"A")</f>
        <v>0</v>
      </c>
      <c r="K7" s="7">
        <f ca="1">SUMIFS(INDIRECT("Tab_99.Trial["&amp;K$14&amp;"]"),Tab_99.Trial[TP],$C7,Tab_99.Trial[S/A],"A")</f>
        <v>0</v>
      </c>
      <c r="L7" s="7">
        <f ca="1">SUMIFS(INDIRECT("Tab_99.Trial["&amp;L$14&amp;"]"),Tab_99.Trial[TP],$C7,Tab_99.Trial[S/A],"A")</f>
        <v>0</v>
      </c>
      <c r="M7" s="7">
        <f ca="1">SUMIFS(INDIRECT("Tab_99.Trial["&amp;M$14&amp;"]"),Tab_99.Trial[TP],$C7,Tab_99.Trial[S/A],"A")</f>
        <v>0</v>
      </c>
      <c r="N7" s="7">
        <f ca="1">SUMIFS(INDIRECT("Tab_99.Trial["&amp;N$14&amp;"]"),Tab_99.Trial[TP],$C7,Tab_99.Trial[S/A],"A")</f>
        <v>0</v>
      </c>
      <c r="O7" s="7">
        <f ca="1">SUMIFS(INDIRECT("Tab_99.Trial["&amp;O$14&amp;"]"),Tab_99.Trial[TP],$C7,Tab_99.Trial[S/A],"A")</f>
        <v>0</v>
      </c>
      <c r="P7" s="7">
        <f ca="1">SUMIFS(INDIRECT("Tab_99.Trial["&amp;P$14&amp;"]"),Tab_99.Trial[TP],$C7,Tab_99.Trial[S/A],"A")</f>
        <v>0</v>
      </c>
      <c r="Q7" s="7">
        <f ca="1">SUMIFS(INDIRECT("Tab_99.Trial["&amp;Q$14&amp;"]"),Tab_99.Trial[TP],$C7,Tab_99.Trial[S/A],"A")</f>
        <v>0</v>
      </c>
      <c r="R7" s="7">
        <f ca="1">SUMIFS(INDIRECT("Tab_99.Trial["&amp;R$14&amp;"]"),Tab_99.Trial[TP],$C7,Tab_99.Trial[S/A],"A")</f>
        <v>0</v>
      </c>
      <c r="S7" s="7">
        <f ca="1">SUMIFS(INDIRECT("Tab_99.Trial["&amp;S$14&amp;"]"),Tab_99.Trial[TP],$C7,Tab_99.Trial[S/A],"A")</f>
        <v>0</v>
      </c>
    </row>
    <row r="8" spans="1:19" outlineLevel="1" x14ac:dyDescent="0.3">
      <c r="A8" s="1" t="s">
        <v>21</v>
      </c>
      <c r="B8" s="3"/>
      <c r="C8" s="2"/>
      <c r="D8" s="2"/>
      <c r="F8" s="3"/>
      <c r="G8" s="88"/>
      <c r="H8" s="8">
        <f ca="1">SUM(H$6:H$7)</f>
        <v>0</v>
      </c>
      <c r="I8" s="8">
        <f t="shared" ref="I8:S8" ca="1" si="1">SUM(I$6:I$7)</f>
        <v>0</v>
      </c>
      <c r="J8" s="8">
        <f t="shared" ca="1" si="1"/>
        <v>0</v>
      </c>
      <c r="K8" s="8">
        <f t="shared" ca="1" si="1"/>
        <v>0</v>
      </c>
      <c r="L8" s="8">
        <f t="shared" ca="1" si="1"/>
        <v>0</v>
      </c>
      <c r="M8" s="8">
        <f t="shared" ca="1" si="1"/>
        <v>0</v>
      </c>
      <c r="N8" s="8">
        <f t="shared" ca="1" si="1"/>
        <v>0</v>
      </c>
      <c r="O8" s="8">
        <f t="shared" ca="1" si="1"/>
        <v>0</v>
      </c>
      <c r="P8" s="8">
        <f t="shared" ca="1" si="1"/>
        <v>0</v>
      </c>
      <c r="Q8" s="8">
        <f t="shared" ca="1" si="1"/>
        <v>0</v>
      </c>
      <c r="R8" s="8">
        <f t="shared" ca="1" si="1"/>
        <v>0</v>
      </c>
      <c r="S8" s="8">
        <f t="shared" ca="1" si="1"/>
        <v>0</v>
      </c>
    </row>
    <row r="9" spans="1:19" ht="5.0999999999999996" customHeight="1" outlineLevel="1" x14ac:dyDescent="0.3">
      <c r="B9" s="3"/>
      <c r="C9" s="2"/>
      <c r="D9" s="2"/>
      <c r="F9" s="3"/>
      <c r="G9" s="89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19" x14ac:dyDescent="0.3">
      <c r="B10" s="3"/>
      <c r="C10" s="2"/>
      <c r="D10" s="2"/>
      <c r="F10" s="3"/>
      <c r="G10" s="88" t="s">
        <v>22</v>
      </c>
      <c r="H10" s="11">
        <f t="shared" ref="H10:R10" ca="1" si="2">SUM(H$4,H$8)</f>
        <v>0</v>
      </c>
      <c r="I10" s="11">
        <f t="shared" ca="1" si="2"/>
        <v>0</v>
      </c>
      <c r="J10" s="11">
        <f t="shared" ca="1" si="2"/>
        <v>0</v>
      </c>
      <c r="K10" s="11">
        <f t="shared" ca="1" si="2"/>
        <v>0</v>
      </c>
      <c r="L10" s="11">
        <f t="shared" ca="1" si="2"/>
        <v>0</v>
      </c>
      <c r="M10" s="11">
        <f t="shared" ca="1" si="2"/>
        <v>0</v>
      </c>
      <c r="N10" s="11">
        <f t="shared" ca="1" si="2"/>
        <v>0</v>
      </c>
      <c r="O10" s="11">
        <f t="shared" ca="1" si="2"/>
        <v>0</v>
      </c>
      <c r="P10" s="11">
        <f t="shared" ca="1" si="2"/>
        <v>0</v>
      </c>
      <c r="Q10" s="11">
        <f t="shared" ca="1" si="2"/>
        <v>0</v>
      </c>
      <c r="R10" s="11">
        <f t="shared" ca="1" si="2"/>
        <v>0</v>
      </c>
      <c r="S10" s="11">
        <f ca="1">SUM(S$4,S$8)</f>
        <v>0</v>
      </c>
    </row>
    <row r="11" spans="1:19" ht="5.0999999999999996" customHeight="1" x14ac:dyDescent="0.3">
      <c r="B11" s="3"/>
      <c r="C11" s="2"/>
      <c r="D11" s="2"/>
      <c r="F11" s="3"/>
      <c r="G11" s="3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1:19" x14ac:dyDescent="0.3">
      <c r="B12" s="3"/>
      <c r="C12" s="2"/>
      <c r="D12" s="2"/>
      <c r="F12" s="3"/>
      <c r="G12" s="3"/>
      <c r="H12" s="7">
        <f>SUBTOTAL(9,Tab_99.Trial[JANEIRO])</f>
        <v>0</v>
      </c>
      <c r="I12" s="7">
        <f>SUBTOTAL(9,Tab_99.Trial[FEVEREIRO])</f>
        <v>0</v>
      </c>
      <c r="J12" s="7">
        <f>SUBTOTAL(9,Tab_99.Trial[MARÇO])</f>
        <v>0</v>
      </c>
      <c r="K12" s="7">
        <f>SUBTOTAL(9,Tab_99.Trial[ABRIL])</f>
        <v>0</v>
      </c>
      <c r="L12" s="7">
        <f>SUBTOTAL(9,Tab_99.Trial[MAIO])</f>
        <v>0</v>
      </c>
      <c r="M12" s="7">
        <f>SUBTOTAL(9,Tab_99.Trial[JUNHO])</f>
        <v>0</v>
      </c>
      <c r="N12" s="7">
        <f>SUBTOTAL(9,Tab_99.Trial[JULHO])</f>
        <v>0</v>
      </c>
      <c r="O12" s="7">
        <f>SUBTOTAL(9,Tab_99.Trial[AGOSTO])</f>
        <v>0</v>
      </c>
      <c r="P12" s="7">
        <f>SUBTOTAL(9,Tab_99.Trial[SETEMBRO])</f>
        <v>0</v>
      </c>
      <c r="Q12" s="7">
        <f>SUBTOTAL(9,Tab_99.Trial[OUTUBRO])</f>
        <v>0</v>
      </c>
      <c r="R12" s="7">
        <f>SUBTOTAL(9,Tab_99.Trial[NOVEMBRO])</f>
        <v>0</v>
      </c>
      <c r="S12" s="7">
        <f>SUBTOTAL(9,Tab_99.Trial[DEZEMBRO])</f>
        <v>0</v>
      </c>
    </row>
    <row r="13" spans="1:19" ht="5.0999999999999996" customHeight="1" x14ac:dyDescent="0.3">
      <c r="B13" s="3"/>
      <c r="C13" s="2"/>
      <c r="D13" s="2"/>
      <c r="F13" s="3"/>
      <c r="G13" s="3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1:19" ht="24.9" customHeight="1" x14ac:dyDescent="0.3">
      <c r="B14" s="19" t="s">
        <v>44</v>
      </c>
      <c r="C14" s="5" t="s">
        <v>1</v>
      </c>
      <c r="D14" s="5" t="s">
        <v>81</v>
      </c>
      <c r="E14" s="5" t="s">
        <v>2</v>
      </c>
      <c r="F14" s="5" t="s">
        <v>23</v>
      </c>
      <c r="G14" s="5" t="s">
        <v>0</v>
      </c>
      <c r="H14" s="6" t="s">
        <v>3</v>
      </c>
      <c r="I14" s="6" t="s">
        <v>4</v>
      </c>
      <c r="J14" s="6" t="s">
        <v>5</v>
      </c>
      <c r="K14" s="6" t="s">
        <v>6</v>
      </c>
      <c r="L14" s="6" t="s">
        <v>7</v>
      </c>
      <c r="M14" s="6" t="s">
        <v>8</v>
      </c>
      <c r="N14" s="6" t="s">
        <v>9</v>
      </c>
      <c r="O14" s="6" t="s">
        <v>10</v>
      </c>
      <c r="P14" s="6" t="s">
        <v>11</v>
      </c>
      <c r="Q14" s="6" t="s">
        <v>12</v>
      </c>
      <c r="R14" s="6" t="s">
        <v>13</v>
      </c>
      <c r="S14" s="6" t="s">
        <v>14</v>
      </c>
    </row>
    <row r="15" spans="1:19" ht="12.75" customHeight="1" x14ac:dyDescent="0.3">
      <c r="B15" s="3"/>
      <c r="C15" s="2" t="str">
        <f t="shared" ref="C15:C17" si="3">IF($F15="","",IF(LEFT($F15,1)*1=1,"A",IF(LEFT($F15,1)*1=2,"P",IF(LEFT($F15,1)*1=3,"C",IF(LEFT($F15,1)*1=4,"C",IF(LEFT($F15,1)*1=5,"R",""))))))</f>
        <v/>
      </c>
      <c r="D15" s="2" t="str">
        <f>IF($F15="","",IF(LEN($F15)=13,"A","S"))</f>
        <v/>
      </c>
      <c r="E15" s="2" t="str">
        <f t="shared" ref="E15:E17" si="4">IF($F15="","",IF(LEN($F15)=1,1,IF(LEN($F15)=3,2,IF(LEN($F15)=6,3,IF(LEN($F15)=9,4,IF(LEN($F15)=12,5,6))))))</f>
        <v/>
      </c>
      <c r="F15" s="3"/>
      <c r="G15" s="3"/>
      <c r="H15" s="4"/>
      <c r="I15" s="4"/>
      <c r="J15" s="4"/>
      <c r="K15" s="4"/>
      <c r="L15" s="4"/>
      <c r="M15" s="4"/>
      <c r="N15" s="4"/>
      <c r="O15" s="4"/>
      <c r="P15" s="4"/>
      <c r="Q15" s="4"/>
      <c r="S15" s="4">
        <v>17937150.390000001</v>
      </c>
    </row>
    <row r="16" spans="1:19" ht="12.75" customHeight="1" x14ac:dyDescent="0.3">
      <c r="B16" s="3"/>
      <c r="C16" s="2" t="str">
        <f t="shared" si="3"/>
        <v/>
      </c>
      <c r="D16" s="2" t="str">
        <f t="shared" ref="D16:D79" si="5">IF($F16="","",IF(LEN($F16)=13,"A","S"))</f>
        <v/>
      </c>
      <c r="E16" s="2" t="str">
        <f t="shared" si="4"/>
        <v/>
      </c>
      <c r="F16" s="3"/>
      <c r="G16" s="3"/>
      <c r="H16" s="4"/>
      <c r="I16" s="4"/>
      <c r="J16" s="4"/>
      <c r="K16" s="4"/>
      <c r="L16" s="4"/>
      <c r="M16" s="4"/>
      <c r="N16" s="4"/>
      <c r="O16" s="4"/>
      <c r="P16" s="4"/>
      <c r="Q16" s="4"/>
      <c r="S16" s="4">
        <v>12706664.09</v>
      </c>
    </row>
    <row r="17" spans="2:19" ht="12.75" customHeight="1" x14ac:dyDescent="0.3">
      <c r="B17" s="3"/>
      <c r="C17" s="2" t="str">
        <f t="shared" si="3"/>
        <v/>
      </c>
      <c r="D17" s="2" t="str">
        <f t="shared" si="5"/>
        <v/>
      </c>
      <c r="E17" s="2" t="str">
        <f t="shared" si="4"/>
        <v/>
      </c>
      <c r="F17" s="3"/>
      <c r="G17" s="3"/>
      <c r="H17" s="4"/>
      <c r="I17" s="4"/>
      <c r="J17" s="4"/>
      <c r="K17" s="4"/>
      <c r="L17" s="4"/>
      <c r="M17" s="4"/>
      <c r="N17" s="4"/>
      <c r="O17" s="4"/>
      <c r="P17" s="4"/>
      <c r="Q17" s="4"/>
      <c r="S17" s="4">
        <v>3184985.89</v>
      </c>
    </row>
    <row r="18" spans="2:19" x14ac:dyDescent="0.3">
      <c r="B18" s="3"/>
      <c r="C18" s="2" t="str">
        <f t="shared" ref="C18:C81" si="6">IF($F18="","",IF(LEFT($F18,1)*1=1,"A",IF(LEFT($F18,1)*1=2,"P",IF(LEFT($F18,1)*1=3,"C",IF(LEFT($F18,1)*1=4,"C",IF(LEFT($F18,1)*1=5,"R",""))))))</f>
        <v/>
      </c>
      <c r="D18" s="2" t="str">
        <f t="shared" si="5"/>
        <v/>
      </c>
      <c r="E18" s="2" t="str">
        <f t="shared" ref="E18:E81" si="7">IF($F18="","",IF(LEN($F18)=1,1,IF(LEN($F18)=3,2,IF(LEN($F18)=6,3,IF(LEN($F18)=9,4,IF(LEN($F18)=12,5,6))))))</f>
        <v/>
      </c>
      <c r="F18" s="3"/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S18" s="4">
        <v>11484.92</v>
      </c>
    </row>
    <row r="19" spans="2:19" x14ac:dyDescent="0.3">
      <c r="B19" s="3"/>
      <c r="C19" s="2" t="str">
        <f t="shared" si="6"/>
        <v/>
      </c>
      <c r="D19" s="2" t="str">
        <f t="shared" si="5"/>
        <v/>
      </c>
      <c r="E19" s="2" t="str">
        <f t="shared" si="7"/>
        <v/>
      </c>
      <c r="F19" s="3"/>
      <c r="G19" s="3"/>
      <c r="H19" s="4"/>
      <c r="I19" s="4"/>
      <c r="J19" s="4"/>
      <c r="K19" s="4"/>
      <c r="L19" s="4"/>
      <c r="M19" s="4"/>
      <c r="N19" s="4"/>
      <c r="O19" s="4"/>
      <c r="P19" s="4"/>
      <c r="Q19" s="4"/>
      <c r="S19" s="4">
        <v>7447.02</v>
      </c>
    </row>
    <row r="20" spans="2:19" x14ac:dyDescent="0.3">
      <c r="B20" s="3"/>
      <c r="C20" s="2" t="str">
        <f t="shared" si="6"/>
        <v/>
      </c>
      <c r="D20" s="2" t="str">
        <f t="shared" si="5"/>
        <v/>
      </c>
      <c r="E20" s="2" t="str">
        <f t="shared" si="7"/>
        <v/>
      </c>
      <c r="F20" s="3"/>
      <c r="G20" s="3"/>
      <c r="H20" s="4"/>
      <c r="I20" s="4"/>
      <c r="J20" s="4"/>
      <c r="K20" s="4"/>
      <c r="L20" s="4"/>
      <c r="M20" s="4"/>
      <c r="N20" s="4"/>
      <c r="O20" s="4"/>
      <c r="P20" s="4"/>
      <c r="Q20" s="4"/>
      <c r="S20" s="4">
        <v>4037.9</v>
      </c>
    </row>
    <row r="21" spans="2:19" x14ac:dyDescent="0.3">
      <c r="B21" s="3"/>
      <c r="C21" s="2" t="str">
        <f t="shared" si="6"/>
        <v/>
      </c>
      <c r="D21" s="2" t="str">
        <f t="shared" si="5"/>
        <v/>
      </c>
      <c r="E21" s="2" t="str">
        <f t="shared" si="7"/>
        <v/>
      </c>
      <c r="F21" s="3"/>
      <c r="G21" s="3"/>
      <c r="H21" s="4"/>
      <c r="I21" s="4"/>
      <c r="J21" s="4"/>
      <c r="K21" s="4"/>
      <c r="L21" s="4"/>
      <c r="M21" s="4"/>
      <c r="N21" s="4"/>
      <c r="O21" s="4"/>
      <c r="P21" s="4"/>
      <c r="Q21" s="4"/>
      <c r="S21" s="4">
        <v>261293.62</v>
      </c>
    </row>
    <row r="22" spans="2:19" x14ac:dyDescent="0.3">
      <c r="B22" s="3"/>
      <c r="C22" s="2" t="str">
        <f t="shared" si="6"/>
        <v/>
      </c>
      <c r="D22" s="2" t="str">
        <f t="shared" si="5"/>
        <v/>
      </c>
      <c r="E22" s="2" t="str">
        <f t="shared" si="7"/>
        <v/>
      </c>
      <c r="F22" s="3"/>
      <c r="G22" s="3"/>
      <c r="H22" s="4"/>
      <c r="I22" s="4"/>
      <c r="J22" s="4"/>
      <c r="K22" s="4"/>
      <c r="L22" s="4"/>
      <c r="M22" s="4"/>
      <c r="N22" s="4"/>
      <c r="O22" s="4"/>
      <c r="P22" s="4"/>
      <c r="Q22" s="4"/>
      <c r="S22" s="4">
        <v>10</v>
      </c>
    </row>
    <row r="23" spans="2:19" x14ac:dyDescent="0.3">
      <c r="B23" s="3"/>
      <c r="C23" s="2" t="str">
        <f t="shared" si="6"/>
        <v/>
      </c>
      <c r="D23" s="2" t="str">
        <f t="shared" si="5"/>
        <v/>
      </c>
      <c r="E23" s="2" t="str">
        <f t="shared" si="7"/>
        <v/>
      </c>
      <c r="F23" s="3"/>
      <c r="G23" s="3"/>
      <c r="H23" s="4"/>
      <c r="I23" s="4"/>
      <c r="J23" s="4"/>
      <c r="K23" s="4"/>
      <c r="L23" s="4"/>
      <c r="M23" s="4"/>
      <c r="N23" s="4"/>
      <c r="O23" s="4"/>
      <c r="P23" s="4"/>
      <c r="Q23" s="4"/>
      <c r="S23" s="4">
        <v>38.61</v>
      </c>
    </row>
    <row r="24" spans="2:19" x14ac:dyDescent="0.3">
      <c r="B24" s="3"/>
      <c r="C24" s="2" t="str">
        <f t="shared" si="6"/>
        <v/>
      </c>
      <c r="D24" s="2" t="str">
        <f t="shared" si="5"/>
        <v/>
      </c>
      <c r="E24" s="2" t="str">
        <f t="shared" si="7"/>
        <v/>
      </c>
      <c r="F24" s="3"/>
      <c r="G24" s="3"/>
      <c r="H24" s="4"/>
      <c r="I24" s="4"/>
      <c r="J24" s="4"/>
      <c r="K24" s="4"/>
      <c r="L24" s="4"/>
      <c r="M24" s="4"/>
      <c r="N24" s="4"/>
      <c r="O24" s="4"/>
      <c r="P24" s="4"/>
      <c r="Q24" s="4"/>
      <c r="S24" s="4">
        <v>7977.95</v>
      </c>
    </row>
    <row r="25" spans="2:19" x14ac:dyDescent="0.3">
      <c r="B25" s="3"/>
      <c r="C25" s="2" t="str">
        <f t="shared" si="6"/>
        <v/>
      </c>
      <c r="D25" s="2" t="str">
        <f t="shared" si="5"/>
        <v/>
      </c>
      <c r="E25" s="2" t="str">
        <f t="shared" si="7"/>
        <v/>
      </c>
      <c r="F25" s="3"/>
      <c r="G25" s="3"/>
      <c r="H25" s="4"/>
      <c r="I25" s="4"/>
      <c r="J25" s="4"/>
      <c r="K25" s="4"/>
      <c r="L25" s="4"/>
      <c r="M25" s="4"/>
      <c r="N25" s="4"/>
      <c r="O25" s="4"/>
      <c r="P25" s="4"/>
      <c r="Q25" s="4"/>
      <c r="S25" s="4">
        <v>0</v>
      </c>
    </row>
    <row r="26" spans="2:19" x14ac:dyDescent="0.3">
      <c r="B26" s="3"/>
      <c r="C26" s="2" t="str">
        <f t="shared" si="6"/>
        <v/>
      </c>
      <c r="D26" s="2" t="str">
        <f t="shared" si="5"/>
        <v/>
      </c>
      <c r="E26" s="2" t="str">
        <f t="shared" si="7"/>
        <v/>
      </c>
      <c r="F26" s="3"/>
      <c r="G26" s="3"/>
      <c r="H26" s="4"/>
      <c r="I26" s="4"/>
      <c r="J26" s="4"/>
      <c r="K26" s="4"/>
      <c r="L26" s="4"/>
      <c r="M26" s="4"/>
      <c r="N26" s="4"/>
      <c r="O26" s="4"/>
      <c r="P26" s="4"/>
      <c r="Q26" s="4"/>
      <c r="S26" s="4">
        <v>252290.64</v>
      </c>
    </row>
    <row r="27" spans="2:19" x14ac:dyDescent="0.3">
      <c r="B27" s="3"/>
      <c r="C27" s="2" t="str">
        <f t="shared" si="6"/>
        <v/>
      </c>
      <c r="D27" s="2" t="str">
        <f t="shared" si="5"/>
        <v/>
      </c>
      <c r="E27" s="2" t="str">
        <f t="shared" si="7"/>
        <v/>
      </c>
      <c r="F27" s="3"/>
      <c r="G27" s="3"/>
      <c r="H27" s="4"/>
      <c r="I27" s="4"/>
      <c r="J27" s="4"/>
      <c r="K27" s="4"/>
      <c r="L27" s="4"/>
      <c r="M27" s="4"/>
      <c r="N27" s="4"/>
      <c r="O27" s="4"/>
      <c r="P27" s="4"/>
      <c r="Q27" s="4"/>
      <c r="S27" s="4">
        <v>976.42</v>
      </c>
    </row>
    <row r="28" spans="2:19" x14ac:dyDescent="0.3">
      <c r="B28" s="3"/>
      <c r="C28" s="2" t="str">
        <f t="shared" si="6"/>
        <v/>
      </c>
      <c r="D28" s="2" t="str">
        <f t="shared" si="5"/>
        <v/>
      </c>
      <c r="E28" s="2" t="str">
        <f t="shared" si="7"/>
        <v/>
      </c>
      <c r="F28" s="3"/>
      <c r="G28" s="3"/>
      <c r="H28" s="4"/>
      <c r="I28" s="4"/>
      <c r="J28" s="4"/>
      <c r="K28" s="4"/>
      <c r="L28" s="4"/>
      <c r="M28" s="4"/>
      <c r="N28" s="4"/>
      <c r="O28" s="4"/>
      <c r="P28" s="4"/>
      <c r="Q28" s="4"/>
      <c r="S28" s="4">
        <v>0</v>
      </c>
    </row>
    <row r="29" spans="2:19" x14ac:dyDescent="0.3">
      <c r="B29" s="3"/>
      <c r="C29" s="2" t="str">
        <f t="shared" si="6"/>
        <v/>
      </c>
      <c r="D29" s="2" t="str">
        <f t="shared" si="5"/>
        <v/>
      </c>
      <c r="E29" s="2" t="str">
        <f t="shared" si="7"/>
        <v/>
      </c>
      <c r="F29" s="3"/>
      <c r="G29" s="3"/>
      <c r="H29" s="4"/>
      <c r="I29" s="4"/>
      <c r="J29" s="4"/>
      <c r="K29" s="4"/>
      <c r="L29" s="4"/>
      <c r="M29" s="4"/>
      <c r="N29" s="4"/>
      <c r="O29" s="4"/>
      <c r="P29" s="4"/>
      <c r="Q29" s="4"/>
      <c r="S29" s="4">
        <v>2908561.5</v>
      </c>
    </row>
    <row r="30" spans="2:19" x14ac:dyDescent="0.3">
      <c r="B30" s="3"/>
      <c r="C30" s="2" t="str">
        <f t="shared" si="6"/>
        <v/>
      </c>
      <c r="D30" s="2" t="str">
        <f t="shared" si="5"/>
        <v/>
      </c>
      <c r="E30" s="2" t="str">
        <f t="shared" si="7"/>
        <v/>
      </c>
      <c r="F30" s="3"/>
      <c r="G30" s="3"/>
      <c r="H30" s="4"/>
      <c r="I30" s="4"/>
      <c r="J30" s="4"/>
      <c r="K30" s="4"/>
      <c r="L30" s="4"/>
      <c r="M30" s="4"/>
      <c r="N30" s="4"/>
      <c r="O30" s="4"/>
      <c r="P30" s="4"/>
      <c r="Q30" s="4"/>
      <c r="S30" s="4">
        <v>1473617.02</v>
      </c>
    </row>
    <row r="31" spans="2:19" x14ac:dyDescent="0.3">
      <c r="B31" s="3"/>
      <c r="C31" s="2" t="str">
        <f t="shared" si="6"/>
        <v/>
      </c>
      <c r="D31" s="2" t="str">
        <f t="shared" si="5"/>
        <v/>
      </c>
      <c r="E31" s="2" t="str">
        <f t="shared" si="7"/>
        <v/>
      </c>
      <c r="F31" s="3"/>
      <c r="G31" s="3"/>
      <c r="H31" s="4"/>
      <c r="I31" s="4"/>
      <c r="J31" s="4"/>
      <c r="K31" s="4"/>
      <c r="L31" s="4"/>
      <c r="M31" s="4"/>
      <c r="N31" s="4"/>
      <c r="O31" s="4"/>
      <c r="P31" s="4"/>
      <c r="Q31" s="4"/>
      <c r="S31" s="4">
        <v>227.09</v>
      </c>
    </row>
    <row r="32" spans="2:19" x14ac:dyDescent="0.3">
      <c r="B32" s="3"/>
      <c r="C32" s="2" t="str">
        <f t="shared" si="6"/>
        <v/>
      </c>
      <c r="D32" s="2" t="str">
        <f t="shared" si="5"/>
        <v/>
      </c>
      <c r="E32" s="2" t="str">
        <f t="shared" si="7"/>
        <v/>
      </c>
      <c r="F32" s="3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S32" s="4">
        <v>226998.67</v>
      </c>
    </row>
    <row r="33" spans="2:19" x14ac:dyDescent="0.3">
      <c r="B33" s="3"/>
      <c r="C33" s="2" t="str">
        <f t="shared" si="6"/>
        <v/>
      </c>
      <c r="D33" s="2" t="str">
        <f t="shared" si="5"/>
        <v/>
      </c>
      <c r="E33" s="2" t="str">
        <f t="shared" si="7"/>
        <v/>
      </c>
      <c r="F33" s="3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S33" s="4">
        <v>29053.03</v>
      </c>
    </row>
    <row r="34" spans="2:19" x14ac:dyDescent="0.3">
      <c r="B34" s="3"/>
      <c r="C34" s="2" t="str">
        <f t="shared" si="6"/>
        <v/>
      </c>
      <c r="D34" s="2" t="str">
        <f t="shared" si="5"/>
        <v/>
      </c>
      <c r="E34" s="2" t="str">
        <f t="shared" si="7"/>
        <v/>
      </c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S34" s="4">
        <v>36640.519999999997</v>
      </c>
    </row>
    <row r="35" spans="2:19" x14ac:dyDescent="0.3">
      <c r="B35" s="3"/>
      <c r="C35" s="2" t="str">
        <f t="shared" si="6"/>
        <v/>
      </c>
      <c r="D35" s="2" t="str">
        <f t="shared" si="5"/>
        <v/>
      </c>
      <c r="E35" s="2" t="str">
        <f t="shared" si="7"/>
        <v/>
      </c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S35" s="4">
        <v>70037.37</v>
      </c>
    </row>
    <row r="36" spans="2:19" x14ac:dyDescent="0.3">
      <c r="B36" s="3"/>
      <c r="C36" s="2" t="str">
        <f t="shared" si="6"/>
        <v/>
      </c>
      <c r="D36" s="2" t="str">
        <f t="shared" si="5"/>
        <v/>
      </c>
      <c r="E36" s="2" t="str">
        <f t="shared" si="7"/>
        <v/>
      </c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S36" s="4">
        <v>0</v>
      </c>
    </row>
    <row r="37" spans="2:19" x14ac:dyDescent="0.3">
      <c r="B37" s="3"/>
      <c r="C37" s="2" t="str">
        <f t="shared" si="6"/>
        <v/>
      </c>
      <c r="D37" s="2" t="str">
        <f t="shared" si="5"/>
        <v/>
      </c>
      <c r="E37" s="2" t="str">
        <f t="shared" si="7"/>
        <v/>
      </c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S37" s="4">
        <v>100295.61</v>
      </c>
    </row>
    <row r="38" spans="2:19" x14ac:dyDescent="0.3">
      <c r="B38" s="3"/>
      <c r="C38" s="2" t="str">
        <f t="shared" si="6"/>
        <v/>
      </c>
      <c r="D38" s="2" t="str">
        <f t="shared" si="5"/>
        <v/>
      </c>
      <c r="E38" s="2" t="str">
        <f t="shared" si="7"/>
        <v/>
      </c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S38" s="4">
        <v>34105.47</v>
      </c>
    </row>
    <row r="39" spans="2:19" x14ac:dyDescent="0.3">
      <c r="B39" s="3"/>
      <c r="C39" s="2" t="str">
        <f t="shared" si="6"/>
        <v/>
      </c>
      <c r="D39" s="2" t="str">
        <f t="shared" si="5"/>
        <v/>
      </c>
      <c r="E39" s="2" t="str">
        <f t="shared" si="7"/>
        <v/>
      </c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S39" s="4">
        <v>0</v>
      </c>
    </row>
    <row r="40" spans="2:19" x14ac:dyDescent="0.3">
      <c r="B40" s="3"/>
      <c r="C40" s="2" t="str">
        <f t="shared" si="6"/>
        <v/>
      </c>
      <c r="D40" s="2" t="str">
        <f t="shared" si="5"/>
        <v/>
      </c>
      <c r="E40" s="2" t="str">
        <f t="shared" si="7"/>
        <v/>
      </c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S40" s="4">
        <v>937586.72</v>
      </c>
    </row>
    <row r="41" spans="2:19" x14ac:dyDescent="0.3">
      <c r="B41" s="3"/>
      <c r="C41" s="2" t="str">
        <f t="shared" si="6"/>
        <v/>
      </c>
      <c r="D41" s="2" t="str">
        <f t="shared" si="5"/>
        <v/>
      </c>
      <c r="E41" s="2" t="str">
        <f t="shared" si="7"/>
        <v/>
      </c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S41" s="4">
        <v>0</v>
      </c>
    </row>
    <row r="42" spans="2:19" x14ac:dyDescent="0.3">
      <c r="B42" s="3"/>
      <c r="C42" s="2" t="str">
        <f t="shared" si="6"/>
        <v/>
      </c>
      <c r="D42" s="2" t="str">
        <f t="shared" si="5"/>
        <v/>
      </c>
      <c r="E42" s="2" t="str">
        <f t="shared" si="7"/>
        <v/>
      </c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S42" s="4">
        <v>469.02</v>
      </c>
    </row>
    <row r="43" spans="2:19" x14ac:dyDescent="0.3">
      <c r="B43" s="3"/>
      <c r="C43" s="2" t="str">
        <f t="shared" si="6"/>
        <v/>
      </c>
      <c r="D43" s="2" t="str">
        <f t="shared" si="5"/>
        <v/>
      </c>
      <c r="E43" s="2" t="str">
        <f t="shared" si="7"/>
        <v/>
      </c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S43" s="4">
        <v>469.02</v>
      </c>
    </row>
    <row r="44" spans="2:19" x14ac:dyDescent="0.3">
      <c r="B44" s="3"/>
      <c r="C44" s="2" t="str">
        <f t="shared" si="6"/>
        <v/>
      </c>
      <c r="D44" s="2" t="str">
        <f t="shared" si="5"/>
        <v/>
      </c>
      <c r="E44" s="2" t="str">
        <f t="shared" si="7"/>
        <v/>
      </c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S44" s="4">
        <v>3176.83</v>
      </c>
    </row>
    <row r="45" spans="2:19" x14ac:dyDescent="0.3">
      <c r="B45" s="3"/>
      <c r="C45" s="2" t="str">
        <f t="shared" si="6"/>
        <v/>
      </c>
      <c r="D45" s="2" t="str">
        <f t="shared" si="5"/>
        <v/>
      </c>
      <c r="E45" s="2" t="str">
        <f t="shared" si="7"/>
        <v/>
      </c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S45" s="4">
        <v>3176.83</v>
      </c>
    </row>
    <row r="46" spans="2:19" x14ac:dyDescent="0.3">
      <c r="B46" s="3"/>
      <c r="C46" s="2" t="str">
        <f t="shared" si="6"/>
        <v/>
      </c>
      <c r="D46" s="2" t="str">
        <f t="shared" si="5"/>
        <v/>
      </c>
      <c r="E46" s="2" t="str">
        <f t="shared" si="7"/>
        <v/>
      </c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S46" s="4">
        <v>1970555.87</v>
      </c>
    </row>
    <row r="47" spans="2:19" x14ac:dyDescent="0.3">
      <c r="B47" s="3"/>
      <c r="C47" s="2" t="str">
        <f t="shared" si="6"/>
        <v/>
      </c>
      <c r="D47" s="2" t="str">
        <f t="shared" si="5"/>
        <v/>
      </c>
      <c r="E47" s="2" t="str">
        <f t="shared" si="7"/>
        <v/>
      </c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S47" s="4">
        <v>1925140.16</v>
      </c>
    </row>
    <row r="48" spans="2:19" x14ac:dyDescent="0.3">
      <c r="B48" s="3"/>
      <c r="C48" s="2" t="str">
        <f t="shared" si="6"/>
        <v/>
      </c>
      <c r="D48" s="2" t="str">
        <f t="shared" si="5"/>
        <v/>
      </c>
      <c r="E48" s="2" t="str">
        <f t="shared" si="7"/>
        <v/>
      </c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S48" s="4">
        <v>1925140.16</v>
      </c>
    </row>
    <row r="49" spans="2:19" x14ac:dyDescent="0.3">
      <c r="B49" s="3"/>
      <c r="C49" s="2" t="str">
        <f t="shared" si="6"/>
        <v/>
      </c>
      <c r="D49" s="2" t="str">
        <f t="shared" si="5"/>
        <v/>
      </c>
      <c r="E49" s="2" t="str">
        <f t="shared" si="7"/>
        <v/>
      </c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S49" s="4">
        <v>45415.71</v>
      </c>
    </row>
    <row r="50" spans="2:19" x14ac:dyDescent="0.3">
      <c r="B50" s="3"/>
      <c r="C50" s="2" t="str">
        <f t="shared" si="6"/>
        <v/>
      </c>
      <c r="D50" s="2" t="str">
        <f t="shared" si="5"/>
        <v/>
      </c>
      <c r="E50" s="2" t="str">
        <f t="shared" si="7"/>
        <v/>
      </c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S50" s="4">
        <v>10000</v>
      </c>
    </row>
    <row r="51" spans="2:19" x14ac:dyDescent="0.3">
      <c r="B51" s="3"/>
      <c r="C51" s="2" t="str">
        <f t="shared" si="6"/>
        <v/>
      </c>
      <c r="D51" s="2" t="str">
        <f t="shared" si="5"/>
        <v/>
      </c>
      <c r="E51" s="2" t="str">
        <f t="shared" si="7"/>
        <v/>
      </c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S51" s="4">
        <v>0</v>
      </c>
    </row>
    <row r="52" spans="2:19" x14ac:dyDescent="0.3">
      <c r="B52" s="3"/>
      <c r="C52" s="2" t="str">
        <f t="shared" si="6"/>
        <v/>
      </c>
      <c r="D52" s="2" t="str">
        <f t="shared" si="5"/>
        <v/>
      </c>
      <c r="E52" s="2" t="str">
        <f t="shared" si="7"/>
        <v/>
      </c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S52" s="4">
        <v>35415.71</v>
      </c>
    </row>
    <row r="53" spans="2:19" x14ac:dyDescent="0.3">
      <c r="B53" s="3"/>
      <c r="C53" s="2" t="str">
        <f t="shared" si="6"/>
        <v/>
      </c>
      <c r="D53" s="2" t="str">
        <f t="shared" si="5"/>
        <v/>
      </c>
      <c r="E53" s="2" t="str">
        <f t="shared" si="7"/>
        <v/>
      </c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S53" s="4">
        <v>0</v>
      </c>
    </row>
    <row r="54" spans="2:19" x14ac:dyDescent="0.3">
      <c r="B54" s="3"/>
      <c r="C54" s="2" t="str">
        <f t="shared" si="6"/>
        <v/>
      </c>
      <c r="D54" s="2" t="str">
        <f t="shared" si="5"/>
        <v/>
      </c>
      <c r="E54" s="2" t="str">
        <f t="shared" si="7"/>
        <v/>
      </c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S54" s="4">
        <v>0</v>
      </c>
    </row>
    <row r="55" spans="2:19" x14ac:dyDescent="0.3">
      <c r="B55" s="3"/>
      <c r="C55" s="2" t="str">
        <f t="shared" si="6"/>
        <v/>
      </c>
      <c r="D55" s="2" t="str">
        <f t="shared" si="5"/>
        <v/>
      </c>
      <c r="E55" s="2" t="str">
        <f t="shared" si="7"/>
        <v/>
      </c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S55" s="4">
        <v>0</v>
      </c>
    </row>
    <row r="56" spans="2:19" x14ac:dyDescent="0.3">
      <c r="B56" s="3"/>
      <c r="C56" s="2" t="str">
        <f t="shared" si="6"/>
        <v/>
      </c>
      <c r="D56" s="2" t="str">
        <f t="shared" si="5"/>
        <v/>
      </c>
      <c r="E56" s="2" t="str">
        <f t="shared" si="7"/>
        <v/>
      </c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S56" s="4">
        <v>0</v>
      </c>
    </row>
    <row r="57" spans="2:19" x14ac:dyDescent="0.3">
      <c r="B57" s="3"/>
      <c r="C57" s="2" t="str">
        <f t="shared" si="6"/>
        <v/>
      </c>
      <c r="D57" s="2" t="str">
        <f t="shared" si="5"/>
        <v/>
      </c>
      <c r="E57" s="2" t="str">
        <f t="shared" si="7"/>
        <v/>
      </c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S57" s="4">
        <v>3858057.14</v>
      </c>
    </row>
    <row r="58" spans="2:19" x14ac:dyDescent="0.3">
      <c r="B58" s="3"/>
      <c r="C58" s="2" t="str">
        <f t="shared" si="6"/>
        <v/>
      </c>
      <c r="D58" s="2" t="str">
        <f t="shared" si="5"/>
        <v/>
      </c>
      <c r="E58" s="2" t="str">
        <f t="shared" si="7"/>
        <v/>
      </c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S58" s="4">
        <v>3528863.85</v>
      </c>
    </row>
    <row r="59" spans="2:19" x14ac:dyDescent="0.3">
      <c r="B59" s="3"/>
      <c r="C59" s="2" t="str">
        <f t="shared" si="6"/>
        <v/>
      </c>
      <c r="D59" s="2" t="str">
        <f t="shared" si="5"/>
        <v/>
      </c>
      <c r="E59" s="2" t="str">
        <f t="shared" si="7"/>
        <v/>
      </c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S59" s="4">
        <v>4264516.18</v>
      </c>
    </row>
    <row r="60" spans="2:19" x14ac:dyDescent="0.3">
      <c r="B60" s="3"/>
      <c r="C60" s="2" t="str">
        <f t="shared" si="6"/>
        <v/>
      </c>
      <c r="D60" s="2" t="str">
        <f t="shared" si="5"/>
        <v/>
      </c>
      <c r="E60" s="2" t="str">
        <f t="shared" si="7"/>
        <v/>
      </c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S60" s="4">
        <v>0</v>
      </c>
    </row>
    <row r="61" spans="2:19" x14ac:dyDescent="0.3">
      <c r="B61" s="3"/>
      <c r="C61" s="2" t="str">
        <f t="shared" si="6"/>
        <v/>
      </c>
      <c r="D61" s="2" t="str">
        <f t="shared" si="5"/>
        <v/>
      </c>
      <c r="E61" s="2" t="str">
        <f t="shared" si="7"/>
        <v/>
      </c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S61" s="4">
        <v>0</v>
      </c>
    </row>
    <row r="62" spans="2:19" x14ac:dyDescent="0.3">
      <c r="B62" s="3"/>
      <c r="C62" s="2" t="str">
        <f t="shared" si="6"/>
        <v/>
      </c>
      <c r="D62" s="2" t="str">
        <f t="shared" si="5"/>
        <v/>
      </c>
      <c r="E62" s="2" t="str">
        <f t="shared" si="7"/>
        <v/>
      </c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S62" s="4">
        <v>0</v>
      </c>
    </row>
    <row r="63" spans="2:19" x14ac:dyDescent="0.3">
      <c r="B63" s="3"/>
      <c r="C63" s="2" t="str">
        <f t="shared" si="6"/>
        <v/>
      </c>
      <c r="D63" s="2" t="str">
        <f t="shared" si="5"/>
        <v/>
      </c>
      <c r="E63" s="2" t="str">
        <f t="shared" si="7"/>
        <v/>
      </c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S63" s="4">
        <v>-735652.33</v>
      </c>
    </row>
    <row r="64" spans="2:19" x14ac:dyDescent="0.3">
      <c r="B64" s="3"/>
      <c r="C64" s="2" t="str">
        <f t="shared" si="6"/>
        <v/>
      </c>
      <c r="D64" s="2" t="str">
        <f t="shared" si="5"/>
        <v/>
      </c>
      <c r="E64" s="2" t="str">
        <f t="shared" si="7"/>
        <v/>
      </c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S64" s="4">
        <v>374598.65</v>
      </c>
    </row>
    <row r="65" spans="2:19" x14ac:dyDescent="0.3">
      <c r="B65" s="3"/>
      <c r="C65" s="2" t="str">
        <f t="shared" si="6"/>
        <v/>
      </c>
      <c r="D65" s="2" t="str">
        <f t="shared" si="5"/>
        <v/>
      </c>
      <c r="E65" s="2" t="str">
        <f t="shared" si="7"/>
        <v/>
      </c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S65" s="4">
        <v>374598.65</v>
      </c>
    </row>
    <row r="66" spans="2:19" x14ac:dyDescent="0.3">
      <c r="B66" s="3"/>
      <c r="C66" s="2" t="str">
        <f t="shared" si="6"/>
        <v/>
      </c>
      <c r="D66" s="2" t="str">
        <f t="shared" si="5"/>
        <v/>
      </c>
      <c r="E66" s="2" t="str">
        <f t="shared" si="7"/>
        <v/>
      </c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S66" s="4">
        <v>-45405.36</v>
      </c>
    </row>
    <row r="67" spans="2:19" x14ac:dyDescent="0.3">
      <c r="B67" s="3"/>
      <c r="C67" s="2" t="str">
        <f t="shared" si="6"/>
        <v/>
      </c>
      <c r="D67" s="2" t="str">
        <f t="shared" si="5"/>
        <v/>
      </c>
      <c r="E67" s="2" t="str">
        <f t="shared" si="7"/>
        <v/>
      </c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S67" s="4">
        <v>-45405.36</v>
      </c>
    </row>
    <row r="68" spans="2:19" x14ac:dyDescent="0.3">
      <c r="B68" s="3"/>
      <c r="C68" s="2" t="str">
        <f t="shared" si="6"/>
        <v/>
      </c>
      <c r="D68" s="2" t="str">
        <f t="shared" si="5"/>
        <v/>
      </c>
      <c r="E68" s="2" t="str">
        <f t="shared" si="7"/>
        <v/>
      </c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S68" s="4">
        <v>1311491.94</v>
      </c>
    </row>
    <row r="69" spans="2:19" x14ac:dyDescent="0.3">
      <c r="B69" s="3"/>
      <c r="C69" s="2" t="str">
        <f t="shared" si="6"/>
        <v/>
      </c>
      <c r="D69" s="2" t="str">
        <f t="shared" si="5"/>
        <v/>
      </c>
      <c r="E69" s="2" t="str">
        <f t="shared" si="7"/>
        <v/>
      </c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S69" s="4">
        <v>1311491.94</v>
      </c>
    </row>
    <row r="70" spans="2:19" x14ac:dyDescent="0.3">
      <c r="B70" s="3"/>
      <c r="C70" s="2" t="str">
        <f t="shared" si="6"/>
        <v/>
      </c>
      <c r="D70" s="2" t="str">
        <f t="shared" si="5"/>
        <v/>
      </c>
      <c r="E70" s="2" t="str">
        <f t="shared" si="7"/>
        <v/>
      </c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S70" s="4">
        <v>721772.19</v>
      </c>
    </row>
    <row r="71" spans="2:19" x14ac:dyDescent="0.3">
      <c r="B71" s="3"/>
      <c r="C71" s="2" t="str">
        <f t="shared" si="6"/>
        <v/>
      </c>
      <c r="D71" s="2" t="str">
        <f t="shared" si="5"/>
        <v/>
      </c>
      <c r="E71" s="2" t="str">
        <f t="shared" si="7"/>
        <v/>
      </c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S71" s="4">
        <v>19836.29</v>
      </c>
    </row>
    <row r="72" spans="2:19" x14ac:dyDescent="0.3">
      <c r="B72" s="3"/>
      <c r="C72" s="2" t="str">
        <f t="shared" si="6"/>
        <v/>
      </c>
      <c r="D72" s="2" t="str">
        <f t="shared" si="5"/>
        <v/>
      </c>
      <c r="E72" s="2" t="str">
        <f t="shared" si="7"/>
        <v/>
      </c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S72" s="4">
        <v>85263.1</v>
      </c>
    </row>
    <row r="73" spans="2:19" x14ac:dyDescent="0.3">
      <c r="B73" s="3"/>
      <c r="C73" s="2" t="str">
        <f t="shared" si="6"/>
        <v/>
      </c>
      <c r="D73" s="2" t="str">
        <f t="shared" si="5"/>
        <v/>
      </c>
      <c r="E73" s="2" t="str">
        <f t="shared" si="7"/>
        <v/>
      </c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S73" s="4">
        <v>57519.25</v>
      </c>
    </row>
    <row r="74" spans="2:19" x14ac:dyDescent="0.3">
      <c r="B74" s="3"/>
      <c r="C74" s="2" t="str">
        <f t="shared" si="6"/>
        <v/>
      </c>
      <c r="D74" s="2" t="str">
        <f t="shared" si="5"/>
        <v/>
      </c>
      <c r="E74" s="2" t="str">
        <f t="shared" si="7"/>
        <v/>
      </c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S74" s="4">
        <v>264937.15999999997</v>
      </c>
    </row>
    <row r="75" spans="2:19" x14ac:dyDescent="0.3">
      <c r="B75" s="3"/>
      <c r="C75" s="2" t="str">
        <f t="shared" si="6"/>
        <v/>
      </c>
      <c r="D75" s="2" t="str">
        <f t="shared" si="5"/>
        <v/>
      </c>
      <c r="E75" s="2" t="str">
        <f t="shared" si="7"/>
        <v/>
      </c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S75" s="4">
        <v>10560.88</v>
      </c>
    </row>
    <row r="76" spans="2:19" x14ac:dyDescent="0.3">
      <c r="B76" s="3"/>
      <c r="C76" s="2" t="str">
        <f t="shared" si="6"/>
        <v/>
      </c>
      <c r="D76" s="2" t="str">
        <f t="shared" si="5"/>
        <v/>
      </c>
      <c r="E76" s="2" t="str">
        <f t="shared" si="7"/>
        <v/>
      </c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S76" s="4">
        <v>151603.07</v>
      </c>
    </row>
    <row r="77" spans="2:19" x14ac:dyDescent="0.3">
      <c r="B77" s="3"/>
      <c r="C77" s="2" t="str">
        <f t="shared" si="6"/>
        <v/>
      </c>
      <c r="D77" s="2" t="str">
        <f t="shared" si="5"/>
        <v/>
      </c>
      <c r="E77" s="2" t="str">
        <f t="shared" si="7"/>
        <v/>
      </c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S77" s="4">
        <v>2348141.31</v>
      </c>
    </row>
    <row r="78" spans="2:19" x14ac:dyDescent="0.3">
      <c r="B78" s="3"/>
      <c r="C78" s="2" t="str">
        <f t="shared" si="6"/>
        <v/>
      </c>
      <c r="D78" s="2" t="str">
        <f t="shared" si="5"/>
        <v/>
      </c>
      <c r="E78" s="2" t="str">
        <f t="shared" si="7"/>
        <v/>
      </c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S78" s="4">
        <v>2348141.31</v>
      </c>
    </row>
    <row r="79" spans="2:19" x14ac:dyDescent="0.3">
      <c r="B79" s="3"/>
      <c r="C79" s="2" t="str">
        <f t="shared" si="6"/>
        <v/>
      </c>
      <c r="D79" s="2" t="str">
        <f t="shared" si="5"/>
        <v/>
      </c>
      <c r="E79" s="2" t="str">
        <f t="shared" si="7"/>
        <v/>
      </c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S79" s="4">
        <v>151900</v>
      </c>
    </row>
    <row r="80" spans="2:19" x14ac:dyDescent="0.3">
      <c r="B80" s="3"/>
      <c r="C80" s="2" t="str">
        <f t="shared" si="6"/>
        <v/>
      </c>
      <c r="D80" s="2" t="str">
        <f t="shared" ref="D80:D143" si="8">IF($F80="","",IF(LEN($F80)=13,"A","S"))</f>
        <v/>
      </c>
      <c r="E80" s="2" t="str">
        <f t="shared" si="7"/>
        <v/>
      </c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S80" s="4">
        <v>189442.02</v>
      </c>
    </row>
    <row r="81" spans="2:19" x14ac:dyDescent="0.3">
      <c r="B81" s="3"/>
      <c r="C81" s="2" t="str">
        <f t="shared" si="6"/>
        <v/>
      </c>
      <c r="D81" s="2" t="str">
        <f t="shared" si="8"/>
        <v/>
      </c>
      <c r="E81" s="2" t="str">
        <f t="shared" si="7"/>
        <v/>
      </c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S81" s="4">
        <v>533849.93999999994</v>
      </c>
    </row>
    <row r="82" spans="2:19" x14ac:dyDescent="0.3">
      <c r="B82" s="3"/>
      <c r="C82" s="2" t="str">
        <f t="shared" ref="C82:C145" si="9">IF($F82="","",IF(LEFT($F82,1)*1=1,"A",IF(LEFT($F82,1)*1=2,"P",IF(LEFT($F82,1)*1=3,"C",IF(LEFT($F82,1)*1=4,"C",IF(LEFT($F82,1)*1=5,"R",""))))))</f>
        <v/>
      </c>
      <c r="D82" s="2" t="str">
        <f t="shared" si="8"/>
        <v/>
      </c>
      <c r="E82" s="2" t="str">
        <f t="shared" ref="E82:E145" si="10">IF($F82="","",IF(LEN($F82)=1,1,IF(LEN($F82)=3,2,IF(LEN($F82)=6,3,IF(LEN($F82)=9,4,IF(LEN($F82)=12,5,6))))))</f>
        <v/>
      </c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S82" s="4">
        <v>229910.9</v>
      </c>
    </row>
    <row r="83" spans="2:19" x14ac:dyDescent="0.3">
      <c r="B83" s="3"/>
      <c r="C83" s="2" t="str">
        <f t="shared" si="9"/>
        <v/>
      </c>
      <c r="D83" s="2" t="str">
        <f t="shared" si="8"/>
        <v/>
      </c>
      <c r="E83" s="2" t="str">
        <f t="shared" si="10"/>
        <v/>
      </c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S83" s="4">
        <v>35962.51</v>
      </c>
    </row>
    <row r="84" spans="2:19" x14ac:dyDescent="0.3">
      <c r="B84" s="3"/>
      <c r="C84" s="2" t="str">
        <f t="shared" si="9"/>
        <v/>
      </c>
      <c r="D84" s="2" t="str">
        <f t="shared" si="8"/>
        <v/>
      </c>
      <c r="E84" s="2" t="str">
        <f t="shared" si="10"/>
        <v/>
      </c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S84" s="4">
        <v>1075110.18</v>
      </c>
    </row>
    <row r="85" spans="2:19" x14ac:dyDescent="0.3">
      <c r="B85" s="3"/>
      <c r="C85" s="2" t="str">
        <f t="shared" si="9"/>
        <v/>
      </c>
      <c r="D85" s="2" t="str">
        <f t="shared" si="8"/>
        <v/>
      </c>
      <c r="E85" s="2" t="str">
        <f t="shared" si="10"/>
        <v/>
      </c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S85" s="4">
        <v>131965.76000000001</v>
      </c>
    </row>
    <row r="86" spans="2:19" x14ac:dyDescent="0.3">
      <c r="B86" s="3"/>
      <c r="C86" s="2" t="str">
        <f t="shared" si="9"/>
        <v/>
      </c>
      <c r="D86" s="2" t="str">
        <f t="shared" si="8"/>
        <v/>
      </c>
      <c r="E86" s="2" t="str">
        <f t="shared" si="10"/>
        <v/>
      </c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S86" s="4">
        <v>0</v>
      </c>
    </row>
    <row r="87" spans="2:19" x14ac:dyDescent="0.3">
      <c r="B87" s="3"/>
      <c r="C87" s="2" t="str">
        <f t="shared" si="9"/>
        <v/>
      </c>
      <c r="D87" s="2" t="str">
        <f t="shared" si="8"/>
        <v/>
      </c>
      <c r="E87" s="2" t="str">
        <f t="shared" si="10"/>
        <v/>
      </c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S87" s="4">
        <v>0</v>
      </c>
    </row>
    <row r="88" spans="2:19" x14ac:dyDescent="0.3">
      <c r="B88" s="3"/>
      <c r="C88" s="2" t="str">
        <f t="shared" si="9"/>
        <v/>
      </c>
      <c r="D88" s="2" t="str">
        <f t="shared" si="8"/>
        <v/>
      </c>
      <c r="E88" s="2" t="str">
        <f t="shared" si="10"/>
        <v/>
      </c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S88" s="4">
        <v>0</v>
      </c>
    </row>
    <row r="89" spans="2:19" x14ac:dyDescent="0.3">
      <c r="B89" s="3"/>
      <c r="C89" s="2" t="str">
        <f t="shared" si="9"/>
        <v/>
      </c>
      <c r="D89" s="2" t="str">
        <f t="shared" si="8"/>
        <v/>
      </c>
      <c r="E89" s="2" t="str">
        <f t="shared" si="10"/>
        <v/>
      </c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S89" s="4">
        <v>33431.94</v>
      </c>
    </row>
    <row r="90" spans="2:19" x14ac:dyDescent="0.3">
      <c r="B90" s="3"/>
      <c r="C90" s="2" t="str">
        <f t="shared" si="9"/>
        <v/>
      </c>
      <c r="D90" s="2" t="str">
        <f t="shared" si="8"/>
        <v/>
      </c>
      <c r="E90" s="2" t="str">
        <f t="shared" si="10"/>
        <v/>
      </c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S90" s="4">
        <v>33431.94</v>
      </c>
    </row>
    <row r="91" spans="2:19" x14ac:dyDescent="0.3">
      <c r="B91" s="3"/>
      <c r="C91" s="2" t="str">
        <f t="shared" si="9"/>
        <v/>
      </c>
      <c r="D91" s="2" t="str">
        <f t="shared" si="8"/>
        <v/>
      </c>
      <c r="E91" s="2" t="str">
        <f t="shared" si="10"/>
        <v/>
      </c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S91" s="4">
        <v>33431.94</v>
      </c>
    </row>
    <row r="92" spans="2:19" x14ac:dyDescent="0.3">
      <c r="B92" s="3"/>
      <c r="C92" s="2" t="str">
        <f t="shared" si="9"/>
        <v/>
      </c>
      <c r="D92" s="2" t="str">
        <f t="shared" si="8"/>
        <v/>
      </c>
      <c r="E92" s="2" t="str">
        <f t="shared" si="10"/>
        <v/>
      </c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S92" s="4">
        <v>5159082.3</v>
      </c>
    </row>
    <row r="93" spans="2:19" x14ac:dyDescent="0.3">
      <c r="B93" s="3"/>
      <c r="C93" s="2" t="str">
        <f t="shared" si="9"/>
        <v/>
      </c>
      <c r="D93" s="2" t="str">
        <f t="shared" si="8"/>
        <v/>
      </c>
      <c r="E93" s="2" t="str">
        <f t="shared" si="10"/>
        <v/>
      </c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S93" s="4">
        <v>5104874.22</v>
      </c>
    </row>
    <row r="94" spans="2:19" x14ac:dyDescent="0.3">
      <c r="B94" s="3"/>
      <c r="C94" s="2" t="str">
        <f t="shared" si="9"/>
        <v/>
      </c>
      <c r="D94" s="2" t="str">
        <f t="shared" si="8"/>
        <v/>
      </c>
      <c r="E94" s="2" t="str">
        <f t="shared" si="10"/>
        <v/>
      </c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S94" s="4">
        <v>5997395.0899999999</v>
      </c>
    </row>
    <row r="95" spans="2:19" x14ac:dyDescent="0.3">
      <c r="B95" s="3"/>
      <c r="C95" s="2" t="str">
        <f t="shared" si="9"/>
        <v/>
      </c>
      <c r="D95" s="2" t="str">
        <f t="shared" si="8"/>
        <v/>
      </c>
      <c r="E95" s="2" t="str">
        <f t="shared" si="10"/>
        <v/>
      </c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S95" s="4">
        <v>10091</v>
      </c>
    </row>
    <row r="96" spans="2:19" x14ac:dyDescent="0.3">
      <c r="B96" s="3"/>
      <c r="C96" s="2" t="str">
        <f t="shared" si="9"/>
        <v/>
      </c>
      <c r="D96" s="2" t="str">
        <f t="shared" si="8"/>
        <v/>
      </c>
      <c r="E96" s="2" t="str">
        <f t="shared" si="10"/>
        <v/>
      </c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S96" s="4">
        <v>664862.01</v>
      </c>
    </row>
    <row r="97" spans="2:19" x14ac:dyDescent="0.3">
      <c r="B97" s="3"/>
      <c r="C97" s="2" t="str">
        <f t="shared" si="9"/>
        <v/>
      </c>
      <c r="D97" s="2" t="str">
        <f t="shared" si="8"/>
        <v/>
      </c>
      <c r="E97" s="2" t="str">
        <f t="shared" si="10"/>
        <v/>
      </c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S97" s="4">
        <v>20088.78</v>
      </c>
    </row>
    <row r="98" spans="2:19" x14ac:dyDescent="0.3">
      <c r="B98" s="3"/>
      <c r="C98" s="2" t="str">
        <f t="shared" si="9"/>
        <v/>
      </c>
      <c r="D98" s="2" t="str">
        <f t="shared" si="8"/>
        <v/>
      </c>
      <c r="E98" s="2" t="str">
        <f t="shared" si="10"/>
        <v/>
      </c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S98" s="4">
        <v>142533.66</v>
      </c>
    </row>
    <row r="99" spans="2:19" x14ac:dyDescent="0.3">
      <c r="B99" s="3"/>
      <c r="C99" s="2" t="str">
        <f t="shared" si="9"/>
        <v/>
      </c>
      <c r="D99" s="2" t="str">
        <f t="shared" si="8"/>
        <v/>
      </c>
      <c r="E99" s="2" t="str">
        <f t="shared" si="10"/>
        <v/>
      </c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S99" s="4">
        <v>4447802.8899999997</v>
      </c>
    </row>
    <row r="100" spans="2:19" x14ac:dyDescent="0.3">
      <c r="B100" s="3"/>
      <c r="C100" s="2" t="str">
        <f t="shared" si="9"/>
        <v/>
      </c>
      <c r="D100" s="2" t="str">
        <f t="shared" si="8"/>
        <v/>
      </c>
      <c r="E100" s="2" t="str">
        <f t="shared" si="10"/>
        <v/>
      </c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S100" s="4">
        <v>707429.92</v>
      </c>
    </row>
    <row r="101" spans="2:19" x14ac:dyDescent="0.3">
      <c r="B101" s="3"/>
      <c r="C101" s="2" t="str">
        <f t="shared" si="9"/>
        <v/>
      </c>
      <c r="D101" s="2" t="str">
        <f t="shared" si="8"/>
        <v/>
      </c>
      <c r="E101" s="2" t="str">
        <f t="shared" si="10"/>
        <v/>
      </c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S101" s="4">
        <v>4586.83</v>
      </c>
    </row>
    <row r="102" spans="2:19" x14ac:dyDescent="0.3">
      <c r="B102" s="3"/>
      <c r="C102" s="2" t="str">
        <f t="shared" si="9"/>
        <v/>
      </c>
      <c r="D102" s="2" t="str">
        <f t="shared" si="8"/>
        <v/>
      </c>
      <c r="E102" s="2" t="str">
        <f t="shared" si="10"/>
        <v/>
      </c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S102" s="4">
        <v>-1064773.81</v>
      </c>
    </row>
    <row r="103" spans="2:19" x14ac:dyDescent="0.3">
      <c r="B103" s="3"/>
      <c r="C103" s="2" t="str">
        <f t="shared" si="9"/>
        <v/>
      </c>
      <c r="D103" s="2" t="str">
        <f t="shared" si="8"/>
        <v/>
      </c>
      <c r="E103" s="2" t="str">
        <f t="shared" si="10"/>
        <v/>
      </c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S103" s="4">
        <v>-238068.96</v>
      </c>
    </row>
    <row r="104" spans="2:19" x14ac:dyDescent="0.3">
      <c r="B104" s="3"/>
      <c r="C104" s="2" t="str">
        <f t="shared" si="9"/>
        <v/>
      </c>
      <c r="D104" s="2" t="str">
        <f t="shared" si="8"/>
        <v/>
      </c>
      <c r="E104" s="2" t="str">
        <f t="shared" si="10"/>
        <v/>
      </c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S104" s="4">
        <v>-817679.61</v>
      </c>
    </row>
    <row r="105" spans="2:19" x14ac:dyDescent="0.3">
      <c r="B105" s="3"/>
      <c r="C105" s="2" t="str">
        <f t="shared" si="9"/>
        <v/>
      </c>
      <c r="D105" s="2" t="str">
        <f t="shared" si="8"/>
        <v/>
      </c>
      <c r="E105" s="2" t="str">
        <f t="shared" si="10"/>
        <v/>
      </c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S105" s="4">
        <v>-4035.09</v>
      </c>
    </row>
    <row r="106" spans="2:19" x14ac:dyDescent="0.3">
      <c r="B106" s="3"/>
      <c r="C106" s="2" t="str">
        <f t="shared" si="9"/>
        <v/>
      </c>
      <c r="D106" s="2" t="str">
        <f t="shared" si="8"/>
        <v/>
      </c>
      <c r="E106" s="2" t="str">
        <f t="shared" si="10"/>
        <v/>
      </c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S106" s="4">
        <v>-3843.4</v>
      </c>
    </row>
    <row r="107" spans="2:19" x14ac:dyDescent="0.3">
      <c r="B107" s="3"/>
      <c r="C107" s="2" t="str">
        <f t="shared" si="9"/>
        <v/>
      </c>
      <c r="D107" s="2" t="str">
        <f t="shared" si="8"/>
        <v/>
      </c>
      <c r="E107" s="2" t="str">
        <f t="shared" si="10"/>
        <v/>
      </c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S107" s="4">
        <v>-1146.75</v>
      </c>
    </row>
    <row r="108" spans="2:19" x14ac:dyDescent="0.3">
      <c r="B108" s="3"/>
      <c r="C108" s="2" t="str">
        <f t="shared" si="9"/>
        <v/>
      </c>
      <c r="D108" s="2" t="str">
        <f t="shared" si="8"/>
        <v/>
      </c>
      <c r="E108" s="2" t="str">
        <f t="shared" si="10"/>
        <v/>
      </c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S108" s="4">
        <v>0</v>
      </c>
    </row>
    <row r="109" spans="2:19" x14ac:dyDescent="0.3">
      <c r="B109" s="3"/>
      <c r="C109" s="2" t="str">
        <f t="shared" si="9"/>
        <v/>
      </c>
      <c r="D109" s="2" t="str">
        <f t="shared" si="8"/>
        <v/>
      </c>
      <c r="E109" s="2" t="str">
        <f t="shared" si="10"/>
        <v/>
      </c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S109" s="4">
        <v>172252.94</v>
      </c>
    </row>
    <row r="110" spans="2:19" x14ac:dyDescent="0.3">
      <c r="B110" s="3"/>
      <c r="C110" s="2" t="str">
        <f t="shared" si="9"/>
        <v/>
      </c>
      <c r="D110" s="2" t="str">
        <f t="shared" si="8"/>
        <v/>
      </c>
      <c r="E110" s="2" t="str">
        <f t="shared" si="10"/>
        <v/>
      </c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S110" s="4">
        <v>49302.34</v>
      </c>
    </row>
    <row r="111" spans="2:19" x14ac:dyDescent="0.3">
      <c r="B111" s="3"/>
      <c r="C111" s="2" t="str">
        <f t="shared" si="9"/>
        <v/>
      </c>
      <c r="D111" s="2" t="str">
        <f t="shared" si="8"/>
        <v/>
      </c>
      <c r="E111" s="2" t="str">
        <f t="shared" si="10"/>
        <v/>
      </c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S111" s="4">
        <v>17983.009999999998</v>
      </c>
    </row>
    <row r="112" spans="2:19" x14ac:dyDescent="0.3">
      <c r="B112" s="3"/>
      <c r="C112" s="2" t="str">
        <f t="shared" si="9"/>
        <v/>
      </c>
      <c r="D112" s="2" t="str">
        <f t="shared" si="8"/>
        <v/>
      </c>
      <c r="E112" s="2" t="str">
        <f t="shared" si="10"/>
        <v/>
      </c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S112" s="4">
        <v>104967.59</v>
      </c>
    </row>
    <row r="113" spans="2:19" x14ac:dyDescent="0.3">
      <c r="B113" s="3"/>
      <c r="C113" s="2" t="str">
        <f t="shared" si="9"/>
        <v/>
      </c>
      <c r="D113" s="2" t="str">
        <f t="shared" si="8"/>
        <v/>
      </c>
      <c r="E113" s="2" t="str">
        <f t="shared" si="10"/>
        <v/>
      </c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S113" s="4">
        <v>2287.6</v>
      </c>
    </row>
    <row r="114" spans="2:19" x14ac:dyDescent="0.3">
      <c r="B114" s="3"/>
      <c r="C114" s="2" t="str">
        <f t="shared" si="9"/>
        <v/>
      </c>
      <c r="D114" s="2" t="str">
        <f t="shared" si="8"/>
        <v/>
      </c>
      <c r="E114" s="2" t="str">
        <f t="shared" si="10"/>
        <v/>
      </c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S114" s="4">
        <v>11803.6</v>
      </c>
    </row>
    <row r="115" spans="2:19" x14ac:dyDescent="0.3">
      <c r="B115" s="3"/>
      <c r="C115" s="2" t="str">
        <f t="shared" si="9"/>
        <v/>
      </c>
      <c r="D115" s="2" t="str">
        <f t="shared" si="8"/>
        <v/>
      </c>
      <c r="E115" s="2" t="str">
        <f t="shared" si="10"/>
        <v/>
      </c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S115" s="4">
        <v>11803.6</v>
      </c>
    </row>
    <row r="116" spans="2:19" x14ac:dyDescent="0.3">
      <c r="B116" s="3"/>
      <c r="C116" s="2" t="str">
        <f t="shared" si="9"/>
        <v/>
      </c>
      <c r="D116" s="2" t="str">
        <f t="shared" si="8"/>
        <v/>
      </c>
      <c r="E116" s="2" t="str">
        <f t="shared" si="10"/>
        <v/>
      </c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S116" s="4">
        <v>-9516</v>
      </c>
    </row>
    <row r="117" spans="2:19" x14ac:dyDescent="0.3">
      <c r="B117" s="3"/>
      <c r="C117" s="2" t="str">
        <f t="shared" si="9"/>
        <v/>
      </c>
      <c r="D117" s="2" t="str">
        <f t="shared" si="8"/>
        <v/>
      </c>
      <c r="E117" s="2" t="str">
        <f t="shared" si="10"/>
        <v/>
      </c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S117" s="4">
        <v>-9516</v>
      </c>
    </row>
    <row r="118" spans="2:19" x14ac:dyDescent="0.3">
      <c r="B118" s="3"/>
      <c r="C118" s="2" t="str">
        <f t="shared" si="9"/>
        <v/>
      </c>
      <c r="D118" s="2" t="str">
        <f t="shared" si="8"/>
        <v/>
      </c>
      <c r="E118" s="2" t="str">
        <f t="shared" si="10"/>
        <v/>
      </c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S118" s="4">
        <v>51920.480000000003</v>
      </c>
    </row>
    <row r="119" spans="2:19" x14ac:dyDescent="0.3">
      <c r="B119" s="3"/>
      <c r="C119" s="2" t="str">
        <f t="shared" si="9"/>
        <v/>
      </c>
      <c r="D119" s="2" t="str">
        <f t="shared" si="8"/>
        <v/>
      </c>
      <c r="E119" s="2" t="str">
        <f t="shared" si="10"/>
        <v/>
      </c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S119" s="4">
        <v>51920.480000000003</v>
      </c>
    </row>
    <row r="120" spans="2:19" x14ac:dyDescent="0.3">
      <c r="B120" s="3"/>
      <c r="C120" s="2" t="str">
        <f t="shared" si="9"/>
        <v/>
      </c>
      <c r="D120" s="2" t="str">
        <f t="shared" si="8"/>
        <v/>
      </c>
      <c r="E120" s="2" t="str">
        <f t="shared" si="10"/>
        <v/>
      </c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S120" s="4">
        <v>51920.480000000003</v>
      </c>
    </row>
    <row r="121" spans="2:19" x14ac:dyDescent="0.3">
      <c r="B121" s="3"/>
      <c r="C121" s="2" t="str">
        <f t="shared" si="9"/>
        <v/>
      </c>
      <c r="D121" s="2" t="str">
        <f t="shared" si="8"/>
        <v/>
      </c>
      <c r="E121" s="2" t="str">
        <f t="shared" si="10"/>
        <v/>
      </c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S121" s="4">
        <v>71404</v>
      </c>
    </row>
    <row r="122" spans="2:19" x14ac:dyDescent="0.3">
      <c r="B122" s="3"/>
      <c r="C122" s="2" t="str">
        <f t="shared" si="9"/>
        <v/>
      </c>
      <c r="D122" s="2" t="str">
        <f t="shared" si="8"/>
        <v/>
      </c>
      <c r="E122" s="2" t="str">
        <f t="shared" si="10"/>
        <v/>
      </c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S122" s="4">
        <v>71404</v>
      </c>
    </row>
    <row r="123" spans="2:19" x14ac:dyDescent="0.3">
      <c r="B123" s="3"/>
      <c r="C123" s="2" t="str">
        <f t="shared" si="9"/>
        <v/>
      </c>
      <c r="D123" s="2" t="str">
        <f t="shared" si="8"/>
        <v/>
      </c>
      <c r="E123" s="2" t="str">
        <f t="shared" si="10"/>
        <v/>
      </c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S123" s="4">
        <v>71404</v>
      </c>
    </row>
    <row r="124" spans="2:19" x14ac:dyDescent="0.3">
      <c r="B124" s="3"/>
      <c r="C124" s="2" t="str">
        <f t="shared" si="9"/>
        <v/>
      </c>
      <c r="D124" s="2" t="str">
        <f t="shared" si="8"/>
        <v/>
      </c>
      <c r="E124" s="2" t="str">
        <f t="shared" si="10"/>
        <v/>
      </c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S124" s="4">
        <v>69901</v>
      </c>
    </row>
    <row r="125" spans="2:19" x14ac:dyDescent="0.3">
      <c r="B125" s="3"/>
      <c r="C125" s="2" t="str">
        <f t="shared" si="9"/>
        <v/>
      </c>
      <c r="D125" s="2" t="str">
        <f t="shared" si="8"/>
        <v/>
      </c>
      <c r="E125" s="2" t="str">
        <f t="shared" si="10"/>
        <v/>
      </c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S125" s="4">
        <v>1503</v>
      </c>
    </row>
    <row r="126" spans="2:19" x14ac:dyDescent="0.3">
      <c r="B126" s="3"/>
      <c r="C126" s="2" t="str">
        <f t="shared" si="9"/>
        <v/>
      </c>
      <c r="D126" s="2" t="str">
        <f t="shared" si="8"/>
        <v/>
      </c>
      <c r="E126" s="2" t="str">
        <f t="shared" si="10"/>
        <v/>
      </c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S126" s="4">
        <v>-17937150.390000001</v>
      </c>
    </row>
    <row r="127" spans="2:19" x14ac:dyDescent="0.3">
      <c r="B127" s="3"/>
      <c r="C127" s="2" t="str">
        <f t="shared" si="9"/>
        <v/>
      </c>
      <c r="D127" s="2" t="str">
        <f t="shared" si="8"/>
        <v/>
      </c>
      <c r="E127" s="2" t="str">
        <f t="shared" si="10"/>
        <v/>
      </c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S127" s="4">
        <v>-13552322.630000001</v>
      </c>
    </row>
    <row r="128" spans="2:19" x14ac:dyDescent="0.3">
      <c r="B128" s="3"/>
      <c r="C128" s="2" t="str">
        <f t="shared" si="9"/>
        <v/>
      </c>
      <c r="D128" s="2" t="str">
        <f t="shared" si="8"/>
        <v/>
      </c>
      <c r="E128" s="2" t="str">
        <f t="shared" si="10"/>
        <v/>
      </c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S128" s="4">
        <v>-12960091.060000001</v>
      </c>
    </row>
    <row r="129" spans="2:19" x14ac:dyDescent="0.3">
      <c r="B129" s="3"/>
      <c r="C129" s="2" t="str">
        <f t="shared" si="9"/>
        <v/>
      </c>
      <c r="D129" s="2" t="str">
        <f t="shared" si="8"/>
        <v/>
      </c>
      <c r="E129" s="2" t="str">
        <f t="shared" si="10"/>
        <v/>
      </c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S129" s="4">
        <v>-2596279.46</v>
      </c>
    </row>
    <row r="130" spans="2:19" x14ac:dyDescent="0.3">
      <c r="B130" s="3"/>
      <c r="C130" s="2" t="str">
        <f t="shared" si="9"/>
        <v/>
      </c>
      <c r="D130" s="2" t="str">
        <f t="shared" si="8"/>
        <v/>
      </c>
      <c r="E130" s="2" t="str">
        <f t="shared" si="10"/>
        <v/>
      </c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S130" s="4">
        <v>-284497.19</v>
      </c>
    </row>
    <row r="131" spans="2:19" x14ac:dyDescent="0.3">
      <c r="B131" s="3"/>
      <c r="C131" s="2" t="str">
        <f t="shared" si="9"/>
        <v/>
      </c>
      <c r="D131" s="2" t="str">
        <f t="shared" si="8"/>
        <v/>
      </c>
      <c r="E131" s="2" t="str">
        <f t="shared" si="10"/>
        <v/>
      </c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S131" s="4">
        <v>-1311639.95</v>
      </c>
    </row>
    <row r="132" spans="2:19" x14ac:dyDescent="0.3">
      <c r="B132" s="3"/>
      <c r="C132" s="2" t="str">
        <f t="shared" si="9"/>
        <v/>
      </c>
      <c r="D132" s="2" t="str">
        <f t="shared" si="8"/>
        <v/>
      </c>
      <c r="E132" s="2" t="str">
        <f t="shared" si="10"/>
        <v/>
      </c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S132" s="4">
        <v>-570</v>
      </c>
    </row>
    <row r="133" spans="2:19" x14ac:dyDescent="0.3">
      <c r="B133" s="3"/>
      <c r="C133" s="2" t="str">
        <f t="shared" si="9"/>
        <v/>
      </c>
      <c r="D133" s="2" t="str">
        <f t="shared" si="8"/>
        <v/>
      </c>
      <c r="E133" s="2" t="str">
        <f t="shared" si="10"/>
        <v/>
      </c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S133" s="4">
        <v>-832.96</v>
      </c>
    </row>
    <row r="134" spans="2:19" x14ac:dyDescent="0.3">
      <c r="B134" s="3"/>
      <c r="C134" s="2" t="str">
        <f t="shared" si="9"/>
        <v/>
      </c>
      <c r="D134" s="2" t="str">
        <f t="shared" si="8"/>
        <v/>
      </c>
      <c r="E134" s="2" t="str">
        <f t="shared" si="10"/>
        <v/>
      </c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S134" s="4">
        <v>-923264.94</v>
      </c>
    </row>
    <row r="135" spans="2:19" x14ac:dyDescent="0.3">
      <c r="B135" s="3"/>
      <c r="C135" s="2" t="str">
        <f t="shared" si="9"/>
        <v/>
      </c>
      <c r="D135" s="2" t="str">
        <f t="shared" si="8"/>
        <v/>
      </c>
      <c r="E135" s="2" t="str">
        <f t="shared" si="10"/>
        <v/>
      </c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S135" s="4">
        <v>-3575</v>
      </c>
    </row>
    <row r="136" spans="2:19" x14ac:dyDescent="0.3">
      <c r="B136" s="3"/>
      <c r="C136" s="2" t="str">
        <f t="shared" si="9"/>
        <v/>
      </c>
      <c r="D136" s="2" t="str">
        <f t="shared" si="8"/>
        <v/>
      </c>
      <c r="E136" s="2" t="str">
        <f t="shared" si="10"/>
        <v/>
      </c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S136" s="4">
        <v>-1200</v>
      </c>
    </row>
    <row r="137" spans="2:19" x14ac:dyDescent="0.3">
      <c r="B137" s="3"/>
      <c r="C137" s="2" t="str">
        <f t="shared" si="9"/>
        <v/>
      </c>
      <c r="D137" s="2" t="str">
        <f t="shared" si="8"/>
        <v/>
      </c>
      <c r="E137" s="2" t="str">
        <f t="shared" si="10"/>
        <v/>
      </c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S137" s="4">
        <v>-1733.85</v>
      </c>
    </row>
    <row r="138" spans="2:19" x14ac:dyDescent="0.3">
      <c r="B138" s="3"/>
      <c r="C138" s="2" t="str">
        <f t="shared" si="9"/>
        <v/>
      </c>
      <c r="D138" s="2" t="str">
        <f t="shared" si="8"/>
        <v/>
      </c>
      <c r="E138" s="2" t="str">
        <f t="shared" si="10"/>
        <v/>
      </c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S138" s="4">
        <v>-3808.99</v>
      </c>
    </row>
    <row r="139" spans="2:19" x14ac:dyDescent="0.3">
      <c r="B139" s="3"/>
      <c r="C139" s="2" t="str">
        <f t="shared" si="9"/>
        <v/>
      </c>
      <c r="D139" s="2" t="str">
        <f t="shared" si="8"/>
        <v/>
      </c>
      <c r="E139" s="2" t="str">
        <f t="shared" si="10"/>
        <v/>
      </c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S139" s="4">
        <v>-3050</v>
      </c>
    </row>
    <row r="140" spans="2:19" x14ac:dyDescent="0.3">
      <c r="B140" s="3"/>
      <c r="C140" s="2" t="str">
        <f t="shared" si="9"/>
        <v/>
      </c>
      <c r="D140" s="2" t="str">
        <f t="shared" si="8"/>
        <v/>
      </c>
      <c r="E140" s="2" t="str">
        <f t="shared" si="10"/>
        <v/>
      </c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S140" s="4">
        <v>-420</v>
      </c>
    </row>
    <row r="141" spans="2:19" x14ac:dyDescent="0.3">
      <c r="B141" s="3"/>
      <c r="C141" s="2" t="str">
        <f t="shared" si="9"/>
        <v/>
      </c>
      <c r="D141" s="2" t="str">
        <f t="shared" si="8"/>
        <v/>
      </c>
      <c r="E141" s="2" t="str">
        <f t="shared" si="10"/>
        <v/>
      </c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S141" s="4">
        <v>-1944.19</v>
      </c>
    </row>
    <row r="142" spans="2:19" x14ac:dyDescent="0.3">
      <c r="B142" s="3"/>
      <c r="C142" s="2" t="str">
        <f t="shared" si="9"/>
        <v/>
      </c>
      <c r="D142" s="2" t="str">
        <f t="shared" si="8"/>
        <v/>
      </c>
      <c r="E142" s="2" t="str">
        <f t="shared" si="10"/>
        <v/>
      </c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S142" s="4">
        <v>-57054.34</v>
      </c>
    </row>
    <row r="143" spans="2:19" x14ac:dyDescent="0.3">
      <c r="B143" s="3"/>
      <c r="C143" s="2" t="str">
        <f t="shared" si="9"/>
        <v/>
      </c>
      <c r="D143" s="2" t="str">
        <f t="shared" si="8"/>
        <v/>
      </c>
      <c r="E143" s="2" t="str">
        <f t="shared" si="10"/>
        <v/>
      </c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S143" s="4">
        <v>-180</v>
      </c>
    </row>
    <row r="144" spans="2:19" x14ac:dyDescent="0.3">
      <c r="B144" s="3"/>
      <c r="C144" s="2" t="str">
        <f t="shared" si="9"/>
        <v/>
      </c>
      <c r="D144" s="2" t="str">
        <f t="shared" ref="D144:D207" si="11">IF($F144="","",IF(LEN($F144)=13,"A","S"))</f>
        <v/>
      </c>
      <c r="E144" s="2" t="str">
        <f t="shared" si="10"/>
        <v/>
      </c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S144" s="4">
        <v>-34.130000000000003</v>
      </c>
    </row>
    <row r="145" spans="2:19" x14ac:dyDescent="0.3">
      <c r="B145" s="3"/>
      <c r="C145" s="2" t="str">
        <f t="shared" si="9"/>
        <v/>
      </c>
      <c r="D145" s="2" t="str">
        <f t="shared" si="11"/>
        <v/>
      </c>
      <c r="E145" s="2" t="str">
        <f t="shared" si="10"/>
        <v/>
      </c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S145" s="4">
        <v>-1863.55</v>
      </c>
    </row>
    <row r="146" spans="2:19" x14ac:dyDescent="0.3">
      <c r="B146" s="3"/>
      <c r="C146" s="2" t="str">
        <f t="shared" ref="C146:C209" si="12">IF($F146="","",IF(LEFT($F146,1)*1=1,"A",IF(LEFT($F146,1)*1=2,"P",IF(LEFT($F146,1)*1=3,"C",IF(LEFT($F146,1)*1=4,"C",IF(LEFT($F146,1)*1=5,"R",""))))))</f>
        <v/>
      </c>
      <c r="D146" s="2" t="str">
        <f t="shared" si="11"/>
        <v/>
      </c>
      <c r="E146" s="2" t="str">
        <f t="shared" ref="E146:E209" si="13">IF($F146="","",IF(LEN($F146)=1,1,IF(LEN($F146)=3,2,IF(LEN($F146)=6,3,IF(LEN($F146)=9,4,IF(LEN($F146)=12,5,6))))))</f>
        <v/>
      </c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S146" s="4">
        <v>-610.37</v>
      </c>
    </row>
    <row r="147" spans="2:19" x14ac:dyDescent="0.3">
      <c r="B147" s="3"/>
      <c r="C147" s="2" t="str">
        <f t="shared" si="12"/>
        <v/>
      </c>
      <c r="D147" s="2" t="str">
        <f t="shared" si="11"/>
        <v/>
      </c>
      <c r="E147" s="2" t="str">
        <f t="shared" si="13"/>
        <v/>
      </c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S147" s="4">
        <v>-4155236.9</v>
      </c>
    </row>
    <row r="148" spans="2:19" x14ac:dyDescent="0.3">
      <c r="B148" s="3"/>
      <c r="C148" s="2" t="str">
        <f t="shared" si="12"/>
        <v/>
      </c>
      <c r="D148" s="2" t="str">
        <f t="shared" si="11"/>
        <v/>
      </c>
      <c r="E148" s="2" t="str">
        <f t="shared" si="13"/>
        <v/>
      </c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S148" s="4">
        <v>-3960945.82</v>
      </c>
    </row>
    <row r="149" spans="2:19" x14ac:dyDescent="0.3">
      <c r="B149" s="3"/>
      <c r="C149" s="2" t="str">
        <f t="shared" si="12"/>
        <v/>
      </c>
      <c r="D149" s="2" t="str">
        <f t="shared" si="11"/>
        <v/>
      </c>
      <c r="E149" s="2" t="str">
        <f t="shared" si="13"/>
        <v/>
      </c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S149" s="4">
        <v>-9627.44</v>
      </c>
    </row>
    <row r="150" spans="2:19" x14ac:dyDescent="0.3">
      <c r="B150" s="3"/>
      <c r="C150" s="2" t="str">
        <f t="shared" si="12"/>
        <v/>
      </c>
      <c r="D150" s="2" t="str">
        <f t="shared" si="11"/>
        <v/>
      </c>
      <c r="E150" s="2" t="str">
        <f t="shared" si="13"/>
        <v/>
      </c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S150" s="4">
        <v>-180000</v>
      </c>
    </row>
    <row r="151" spans="2:19" x14ac:dyDescent="0.3">
      <c r="B151" s="3"/>
      <c r="C151" s="2" t="str">
        <f t="shared" si="12"/>
        <v/>
      </c>
      <c r="D151" s="2" t="str">
        <f t="shared" si="11"/>
        <v/>
      </c>
      <c r="E151" s="2" t="str">
        <f t="shared" si="13"/>
        <v/>
      </c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S151" s="4">
        <v>-970</v>
      </c>
    </row>
    <row r="152" spans="2:19" x14ac:dyDescent="0.3">
      <c r="B152" s="3"/>
      <c r="C152" s="2" t="str">
        <f t="shared" si="12"/>
        <v/>
      </c>
      <c r="D152" s="2" t="str">
        <f t="shared" si="11"/>
        <v/>
      </c>
      <c r="E152" s="2" t="str">
        <f t="shared" si="13"/>
        <v/>
      </c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S152" s="4">
        <v>-3000</v>
      </c>
    </row>
    <row r="153" spans="2:19" x14ac:dyDescent="0.3">
      <c r="B153" s="3"/>
      <c r="C153" s="2" t="str">
        <f t="shared" si="12"/>
        <v/>
      </c>
      <c r="D153" s="2" t="str">
        <f t="shared" si="11"/>
        <v/>
      </c>
      <c r="E153" s="2" t="str">
        <f t="shared" si="13"/>
        <v/>
      </c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S153" s="4">
        <v>-593.64</v>
      </c>
    </row>
    <row r="154" spans="2:19" x14ac:dyDescent="0.3">
      <c r="B154" s="3"/>
      <c r="C154" s="2" t="str">
        <f t="shared" si="12"/>
        <v/>
      </c>
      <c r="D154" s="2" t="str">
        <f t="shared" si="11"/>
        <v/>
      </c>
      <c r="E154" s="2" t="str">
        <f t="shared" si="13"/>
        <v/>
      </c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S154" s="4">
        <v>-100</v>
      </c>
    </row>
    <row r="155" spans="2:19" x14ac:dyDescent="0.3">
      <c r="B155" s="3"/>
      <c r="C155" s="2" t="str">
        <f t="shared" si="12"/>
        <v/>
      </c>
      <c r="D155" s="2" t="str">
        <f t="shared" si="11"/>
        <v/>
      </c>
      <c r="E155" s="2" t="str">
        <f t="shared" si="13"/>
        <v/>
      </c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S155" s="4">
        <v>-79287.320000000007</v>
      </c>
    </row>
    <row r="156" spans="2:19" x14ac:dyDescent="0.3">
      <c r="B156" s="3"/>
      <c r="C156" s="2" t="str">
        <f t="shared" si="12"/>
        <v/>
      </c>
      <c r="D156" s="2" t="str">
        <f t="shared" si="11"/>
        <v/>
      </c>
      <c r="E156" s="2" t="str">
        <f t="shared" si="13"/>
        <v/>
      </c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S156" s="4">
        <v>-803.94</v>
      </c>
    </row>
    <row r="157" spans="2:19" x14ac:dyDescent="0.3">
      <c r="B157" s="3"/>
      <c r="C157" s="2" t="str">
        <f t="shared" si="12"/>
        <v/>
      </c>
      <c r="D157" s="2" t="str">
        <f t="shared" si="11"/>
        <v/>
      </c>
      <c r="E157" s="2" t="str">
        <f t="shared" si="13"/>
        <v/>
      </c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S157" s="4">
        <v>-1920.89</v>
      </c>
    </row>
    <row r="158" spans="2:19" x14ac:dyDescent="0.3">
      <c r="B158" s="3"/>
      <c r="C158" s="2" t="str">
        <f t="shared" si="12"/>
        <v/>
      </c>
      <c r="D158" s="2" t="str">
        <f t="shared" si="11"/>
        <v/>
      </c>
      <c r="E158" s="2" t="str">
        <f t="shared" si="13"/>
        <v/>
      </c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S158" s="4">
        <v>-3031.06</v>
      </c>
    </row>
    <row r="159" spans="2:19" x14ac:dyDescent="0.3">
      <c r="B159" s="3"/>
      <c r="C159" s="2" t="str">
        <f t="shared" si="12"/>
        <v/>
      </c>
      <c r="D159" s="2" t="str">
        <f t="shared" si="11"/>
        <v/>
      </c>
      <c r="E159" s="2" t="str">
        <f t="shared" si="13"/>
        <v/>
      </c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S159" s="4">
        <v>-5075.3</v>
      </c>
    </row>
    <row r="160" spans="2:19" x14ac:dyDescent="0.3">
      <c r="B160" s="3"/>
      <c r="C160" s="2" t="str">
        <f t="shared" si="12"/>
        <v/>
      </c>
      <c r="D160" s="2" t="str">
        <f t="shared" si="11"/>
        <v/>
      </c>
      <c r="E160" s="2" t="str">
        <f t="shared" si="13"/>
        <v/>
      </c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S160" s="4">
        <v>-33549.26</v>
      </c>
    </row>
    <row r="161" spans="2:19" x14ac:dyDescent="0.3">
      <c r="B161" s="3"/>
      <c r="C161" s="2" t="str">
        <f t="shared" si="12"/>
        <v/>
      </c>
      <c r="D161" s="2" t="str">
        <f t="shared" si="11"/>
        <v/>
      </c>
      <c r="E161" s="2" t="str">
        <f t="shared" si="13"/>
        <v/>
      </c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S161" s="4">
        <v>-477.38</v>
      </c>
    </row>
    <row r="162" spans="2:19" x14ac:dyDescent="0.3">
      <c r="B162" s="3"/>
      <c r="C162" s="2" t="str">
        <f t="shared" si="12"/>
        <v/>
      </c>
      <c r="D162" s="2" t="str">
        <f t="shared" si="11"/>
        <v/>
      </c>
      <c r="E162" s="2" t="str">
        <f t="shared" si="13"/>
        <v/>
      </c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S162" s="4">
        <v>1236.42</v>
      </c>
    </row>
    <row r="163" spans="2:19" x14ac:dyDescent="0.3">
      <c r="B163" s="3"/>
      <c r="C163" s="2" t="str">
        <f t="shared" si="12"/>
        <v/>
      </c>
      <c r="D163" s="2" t="str">
        <f t="shared" si="11"/>
        <v/>
      </c>
      <c r="E163" s="2" t="str">
        <f t="shared" si="13"/>
        <v/>
      </c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S163" s="4">
        <v>-25829.32</v>
      </c>
    </row>
    <row r="164" spans="2:19" x14ac:dyDescent="0.3">
      <c r="B164" s="3"/>
      <c r="C164" s="2" t="str">
        <f t="shared" si="12"/>
        <v/>
      </c>
      <c r="D164" s="2" t="str">
        <f t="shared" si="11"/>
        <v/>
      </c>
      <c r="E164" s="2" t="str">
        <f t="shared" si="13"/>
        <v/>
      </c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S164" s="4">
        <v>-1279.0899999999999</v>
      </c>
    </row>
    <row r="165" spans="2:19" x14ac:dyDescent="0.3">
      <c r="B165" s="3"/>
      <c r="C165" s="2" t="str">
        <f t="shared" si="12"/>
        <v/>
      </c>
      <c r="D165" s="2" t="str">
        <f t="shared" si="11"/>
        <v/>
      </c>
      <c r="E165" s="2" t="str">
        <f t="shared" si="13"/>
        <v/>
      </c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S165" s="4">
        <v>-545</v>
      </c>
    </row>
    <row r="166" spans="2:19" x14ac:dyDescent="0.3">
      <c r="B166" s="3"/>
      <c r="C166" s="2" t="str">
        <f t="shared" si="12"/>
        <v/>
      </c>
      <c r="D166" s="2" t="str">
        <f t="shared" si="11"/>
        <v/>
      </c>
      <c r="E166" s="2" t="str">
        <f t="shared" si="13"/>
        <v/>
      </c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S166" s="4">
        <v>-4675</v>
      </c>
    </row>
    <row r="167" spans="2:19" x14ac:dyDescent="0.3">
      <c r="B167" s="3"/>
      <c r="C167" s="2" t="str">
        <f t="shared" si="12"/>
        <v/>
      </c>
      <c r="D167" s="2" t="str">
        <f t="shared" si="11"/>
        <v/>
      </c>
      <c r="E167" s="2" t="str">
        <f t="shared" si="13"/>
        <v/>
      </c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S167" s="4">
        <v>-3337.5</v>
      </c>
    </row>
    <row r="168" spans="2:19" x14ac:dyDescent="0.3">
      <c r="B168" s="3"/>
      <c r="C168" s="2" t="str">
        <f t="shared" si="12"/>
        <v/>
      </c>
      <c r="D168" s="2" t="str">
        <f t="shared" si="11"/>
        <v/>
      </c>
      <c r="E168" s="2" t="str">
        <f t="shared" si="13"/>
        <v/>
      </c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S168" s="4">
        <v>-19513.080000000002</v>
      </c>
    </row>
    <row r="169" spans="2:19" x14ac:dyDescent="0.3">
      <c r="B169" s="3"/>
      <c r="C169" s="2" t="str">
        <f t="shared" si="12"/>
        <v/>
      </c>
      <c r="D169" s="2" t="str">
        <f t="shared" si="11"/>
        <v/>
      </c>
      <c r="E169" s="2" t="str">
        <f t="shared" si="13"/>
        <v/>
      </c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S169" s="4">
        <v>-8254</v>
      </c>
    </row>
    <row r="170" spans="2:19" x14ac:dyDescent="0.3">
      <c r="B170" s="3"/>
      <c r="C170" s="2" t="str">
        <f t="shared" si="12"/>
        <v/>
      </c>
      <c r="D170" s="2" t="str">
        <f t="shared" si="11"/>
        <v/>
      </c>
      <c r="E170" s="2" t="str">
        <f t="shared" si="13"/>
        <v/>
      </c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S170" s="4">
        <v>-310</v>
      </c>
    </row>
    <row r="171" spans="2:19" x14ac:dyDescent="0.3">
      <c r="B171" s="3"/>
      <c r="C171" s="2" t="str">
        <f t="shared" si="12"/>
        <v/>
      </c>
      <c r="D171" s="2" t="str">
        <f t="shared" si="11"/>
        <v/>
      </c>
      <c r="E171" s="2" t="str">
        <f t="shared" si="13"/>
        <v/>
      </c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S171" s="4">
        <v>-10000</v>
      </c>
    </row>
    <row r="172" spans="2:19" x14ac:dyDescent="0.3">
      <c r="B172" s="3"/>
      <c r="C172" s="2" t="str">
        <f t="shared" si="12"/>
        <v/>
      </c>
      <c r="D172" s="2" t="str">
        <f t="shared" si="11"/>
        <v/>
      </c>
      <c r="E172" s="2" t="str">
        <f t="shared" si="13"/>
        <v/>
      </c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S172" s="4">
        <v>-217.78</v>
      </c>
    </row>
    <row r="173" spans="2:19" x14ac:dyDescent="0.3">
      <c r="B173" s="3"/>
      <c r="C173" s="2" t="str">
        <f t="shared" si="12"/>
        <v/>
      </c>
      <c r="D173" s="2" t="str">
        <f t="shared" si="11"/>
        <v/>
      </c>
      <c r="E173" s="2" t="str">
        <f t="shared" si="13"/>
        <v/>
      </c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S173" s="4">
        <v>-731.3</v>
      </c>
    </row>
    <row r="174" spans="2:19" x14ac:dyDescent="0.3">
      <c r="B174" s="3"/>
      <c r="C174" s="2" t="str">
        <f t="shared" si="12"/>
        <v/>
      </c>
      <c r="D174" s="2" t="str">
        <f t="shared" si="11"/>
        <v/>
      </c>
      <c r="E174" s="2" t="str">
        <f t="shared" si="13"/>
        <v/>
      </c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S174" s="4">
        <v>-31333.67</v>
      </c>
    </row>
    <row r="175" spans="2:19" x14ac:dyDescent="0.3">
      <c r="B175" s="3"/>
      <c r="C175" s="2" t="str">
        <f t="shared" si="12"/>
        <v/>
      </c>
      <c r="D175" s="2" t="str">
        <f t="shared" si="11"/>
        <v/>
      </c>
      <c r="E175" s="2" t="str">
        <f t="shared" si="13"/>
        <v/>
      </c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S175" s="4">
        <v>-4794.79</v>
      </c>
    </row>
    <row r="176" spans="2:19" x14ac:dyDescent="0.3">
      <c r="B176" s="3"/>
      <c r="C176" s="2" t="str">
        <f t="shared" si="12"/>
        <v/>
      </c>
      <c r="D176" s="2" t="str">
        <f t="shared" si="11"/>
        <v/>
      </c>
      <c r="E176" s="2" t="str">
        <f t="shared" si="13"/>
        <v/>
      </c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S176" s="4">
        <v>-141.5</v>
      </c>
    </row>
    <row r="177" spans="2:19" x14ac:dyDescent="0.3">
      <c r="B177" s="3"/>
      <c r="C177" s="2" t="str">
        <f t="shared" si="12"/>
        <v/>
      </c>
      <c r="D177" s="2" t="str">
        <f t="shared" si="11"/>
        <v/>
      </c>
      <c r="E177" s="2" t="str">
        <f t="shared" si="13"/>
        <v/>
      </c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S177" s="4">
        <v>-5600</v>
      </c>
    </row>
    <row r="178" spans="2:19" x14ac:dyDescent="0.3">
      <c r="B178" s="3"/>
      <c r="C178" s="2" t="str">
        <f t="shared" si="12"/>
        <v/>
      </c>
      <c r="D178" s="2" t="str">
        <f t="shared" si="11"/>
        <v/>
      </c>
      <c r="E178" s="2" t="str">
        <f t="shared" si="13"/>
        <v/>
      </c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S178" s="4">
        <v>-1900</v>
      </c>
    </row>
    <row r="179" spans="2:19" x14ac:dyDescent="0.3">
      <c r="B179" s="3"/>
      <c r="C179" s="2" t="str">
        <f t="shared" si="12"/>
        <v/>
      </c>
      <c r="D179" s="2" t="str">
        <f t="shared" si="11"/>
        <v/>
      </c>
      <c r="E179" s="2" t="str">
        <f t="shared" si="13"/>
        <v/>
      </c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S179" s="4">
        <v>-18768.48</v>
      </c>
    </row>
    <row r="180" spans="2:19" x14ac:dyDescent="0.3">
      <c r="B180" s="3"/>
      <c r="C180" s="2" t="str">
        <f t="shared" si="12"/>
        <v/>
      </c>
      <c r="D180" s="2" t="str">
        <f t="shared" si="11"/>
        <v/>
      </c>
      <c r="E180" s="2" t="str">
        <f t="shared" si="13"/>
        <v/>
      </c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S180" s="4">
        <v>-128.9</v>
      </c>
    </row>
    <row r="181" spans="2:19" x14ac:dyDescent="0.3">
      <c r="B181" s="3"/>
      <c r="C181" s="2" t="str">
        <f t="shared" si="12"/>
        <v/>
      </c>
      <c r="D181" s="2" t="str">
        <f t="shared" si="11"/>
        <v/>
      </c>
      <c r="E181" s="2" t="str">
        <f t="shared" si="13"/>
        <v/>
      </c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S181" s="4">
        <v>-1150749.8600000001</v>
      </c>
    </row>
    <row r="182" spans="2:19" x14ac:dyDescent="0.3">
      <c r="B182" s="3"/>
      <c r="C182" s="2" t="str">
        <f t="shared" si="12"/>
        <v/>
      </c>
      <c r="D182" s="2" t="str">
        <f t="shared" si="11"/>
        <v/>
      </c>
      <c r="E182" s="2" t="str">
        <f t="shared" si="13"/>
        <v/>
      </c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S182" s="4">
        <v>-602231.53</v>
      </c>
    </row>
    <row r="183" spans="2:19" x14ac:dyDescent="0.3">
      <c r="B183" s="3"/>
      <c r="C183" s="2" t="str">
        <f t="shared" si="12"/>
        <v/>
      </c>
      <c r="D183" s="2" t="str">
        <f t="shared" si="11"/>
        <v/>
      </c>
      <c r="E183" s="2" t="str">
        <f t="shared" si="13"/>
        <v/>
      </c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S183" s="4">
        <v>-5694.68</v>
      </c>
    </row>
    <row r="184" spans="2:19" x14ac:dyDescent="0.3">
      <c r="B184" s="3"/>
      <c r="C184" s="2" t="str">
        <f t="shared" si="12"/>
        <v/>
      </c>
      <c r="D184" s="2" t="str">
        <f t="shared" si="11"/>
        <v/>
      </c>
      <c r="E184" s="2" t="str">
        <f t="shared" si="13"/>
        <v/>
      </c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S184" s="4">
        <v>-280</v>
      </c>
    </row>
    <row r="185" spans="2:19" x14ac:dyDescent="0.3">
      <c r="B185" s="3"/>
      <c r="C185" s="2" t="str">
        <f t="shared" si="12"/>
        <v/>
      </c>
      <c r="D185" s="2" t="str">
        <f t="shared" si="11"/>
        <v/>
      </c>
      <c r="E185" s="2" t="str">
        <f t="shared" si="13"/>
        <v/>
      </c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S185" s="4">
        <v>-1420</v>
      </c>
    </row>
    <row r="186" spans="2:19" x14ac:dyDescent="0.3">
      <c r="B186" s="3"/>
      <c r="C186" s="2" t="str">
        <f t="shared" si="12"/>
        <v/>
      </c>
      <c r="D186" s="2" t="str">
        <f t="shared" si="11"/>
        <v/>
      </c>
      <c r="E186" s="2" t="str">
        <f t="shared" si="13"/>
        <v/>
      </c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S186" s="4">
        <v>-356.24</v>
      </c>
    </row>
    <row r="187" spans="2:19" x14ac:dyDescent="0.3">
      <c r="B187" s="3"/>
      <c r="C187" s="2" t="str">
        <f t="shared" si="12"/>
        <v/>
      </c>
      <c r="D187" s="2" t="str">
        <f t="shared" si="11"/>
        <v/>
      </c>
      <c r="E187" s="2" t="str">
        <f t="shared" si="13"/>
        <v/>
      </c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S187" s="4">
        <v>-2547.7399999999998</v>
      </c>
    </row>
    <row r="188" spans="2:19" x14ac:dyDescent="0.3">
      <c r="B188" s="3"/>
      <c r="C188" s="2" t="str">
        <f t="shared" si="12"/>
        <v/>
      </c>
      <c r="D188" s="2" t="str">
        <f t="shared" si="11"/>
        <v/>
      </c>
      <c r="E188" s="2" t="str">
        <f t="shared" si="13"/>
        <v/>
      </c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S188" s="4">
        <v>-36353.599999999999</v>
      </c>
    </row>
    <row r="189" spans="2:19" x14ac:dyDescent="0.3">
      <c r="B189" s="3"/>
      <c r="C189" s="2" t="str">
        <f t="shared" si="12"/>
        <v/>
      </c>
      <c r="D189" s="2" t="str">
        <f t="shared" si="11"/>
        <v/>
      </c>
      <c r="E189" s="2" t="str">
        <f t="shared" si="13"/>
        <v/>
      </c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S189" s="4">
        <v>-19519.330000000002</v>
      </c>
    </row>
    <row r="190" spans="2:19" x14ac:dyDescent="0.3">
      <c r="B190" s="3"/>
      <c r="C190" s="2" t="str">
        <f t="shared" si="12"/>
        <v/>
      </c>
      <c r="D190" s="2" t="str">
        <f t="shared" si="11"/>
        <v/>
      </c>
      <c r="E190" s="2" t="str">
        <f t="shared" si="13"/>
        <v/>
      </c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S190" s="4">
        <v>-98.36</v>
      </c>
    </row>
    <row r="191" spans="2:19" x14ac:dyDescent="0.3">
      <c r="B191" s="3"/>
      <c r="C191" s="2" t="str">
        <f t="shared" si="12"/>
        <v/>
      </c>
      <c r="D191" s="2" t="str">
        <f t="shared" si="11"/>
        <v/>
      </c>
      <c r="E191" s="2" t="str">
        <f t="shared" si="13"/>
        <v/>
      </c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S191" s="4">
        <v>-3082.23</v>
      </c>
    </row>
    <row r="192" spans="2:19" x14ac:dyDescent="0.3">
      <c r="B192" s="3"/>
      <c r="C192" s="2" t="str">
        <f t="shared" si="12"/>
        <v/>
      </c>
      <c r="D192" s="2" t="str">
        <f t="shared" si="11"/>
        <v/>
      </c>
      <c r="E192" s="2" t="str">
        <f t="shared" si="13"/>
        <v/>
      </c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S192" s="4">
        <v>-250</v>
      </c>
    </row>
    <row r="193" spans="2:19" x14ac:dyDescent="0.3">
      <c r="B193" s="3"/>
      <c r="C193" s="2" t="str">
        <f t="shared" si="12"/>
        <v/>
      </c>
      <c r="D193" s="2" t="str">
        <f t="shared" si="11"/>
        <v/>
      </c>
      <c r="E193" s="2" t="str">
        <f t="shared" si="13"/>
        <v/>
      </c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S193" s="4">
        <v>-2291.08</v>
      </c>
    </row>
    <row r="194" spans="2:19" x14ac:dyDescent="0.3">
      <c r="B194" s="3"/>
      <c r="C194" s="2" t="str">
        <f t="shared" si="12"/>
        <v/>
      </c>
      <c r="D194" s="2" t="str">
        <f t="shared" si="11"/>
        <v/>
      </c>
      <c r="E194" s="2" t="str">
        <f t="shared" si="13"/>
        <v/>
      </c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S194" s="4">
        <v>-12466.08</v>
      </c>
    </row>
    <row r="195" spans="2:19" x14ac:dyDescent="0.3">
      <c r="B195" s="3"/>
      <c r="C195" s="2" t="str">
        <f t="shared" si="12"/>
        <v/>
      </c>
      <c r="D195" s="2" t="str">
        <f t="shared" si="11"/>
        <v/>
      </c>
      <c r="E195" s="2" t="str">
        <f t="shared" si="13"/>
        <v/>
      </c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S195" s="4">
        <v>-464158.99</v>
      </c>
    </row>
    <row r="196" spans="2:19" x14ac:dyDescent="0.3">
      <c r="B196" s="3"/>
      <c r="C196" s="2" t="str">
        <f t="shared" si="12"/>
        <v/>
      </c>
      <c r="D196" s="2" t="str">
        <f t="shared" si="11"/>
        <v/>
      </c>
      <c r="E196" s="2" t="str">
        <f t="shared" si="13"/>
        <v/>
      </c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S196" s="4">
        <v>-61806.89</v>
      </c>
    </row>
    <row r="197" spans="2:19" x14ac:dyDescent="0.3">
      <c r="B197" s="3"/>
      <c r="C197" s="2" t="str">
        <f t="shared" si="12"/>
        <v/>
      </c>
      <c r="D197" s="2" t="str">
        <f t="shared" si="11"/>
        <v/>
      </c>
      <c r="E197" s="2" t="str">
        <f t="shared" si="13"/>
        <v/>
      </c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S197" s="4">
        <v>-32853.449999999997</v>
      </c>
    </row>
    <row r="198" spans="2:19" x14ac:dyDescent="0.3">
      <c r="B198" s="3"/>
      <c r="C198" s="2" t="str">
        <f t="shared" si="12"/>
        <v/>
      </c>
      <c r="D198" s="2" t="str">
        <f t="shared" si="11"/>
        <v/>
      </c>
      <c r="E198" s="2" t="str">
        <f t="shared" si="13"/>
        <v/>
      </c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S198" s="4">
        <v>-556.25</v>
      </c>
    </row>
    <row r="199" spans="2:19" x14ac:dyDescent="0.3">
      <c r="B199" s="3"/>
      <c r="C199" s="2" t="str">
        <f t="shared" si="12"/>
        <v/>
      </c>
      <c r="D199" s="2" t="str">
        <f t="shared" si="11"/>
        <v/>
      </c>
      <c r="E199" s="2" t="str">
        <f t="shared" si="13"/>
        <v/>
      </c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S199" s="4">
        <v>-1726.07</v>
      </c>
    </row>
    <row r="200" spans="2:19" x14ac:dyDescent="0.3">
      <c r="B200" s="3"/>
      <c r="C200" s="2" t="str">
        <f t="shared" si="12"/>
        <v/>
      </c>
      <c r="D200" s="2" t="str">
        <f t="shared" si="11"/>
        <v/>
      </c>
      <c r="E200" s="2" t="str">
        <f t="shared" si="13"/>
        <v/>
      </c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S200" s="4">
        <v>-1391.48</v>
      </c>
    </row>
    <row r="201" spans="2:19" x14ac:dyDescent="0.3">
      <c r="B201" s="3"/>
      <c r="C201" s="2" t="str">
        <f t="shared" si="12"/>
        <v/>
      </c>
      <c r="D201" s="2" t="str">
        <f t="shared" si="11"/>
        <v/>
      </c>
      <c r="E201" s="2" t="str">
        <f t="shared" si="13"/>
        <v/>
      </c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S201" s="4">
        <v>-4750.47</v>
      </c>
    </row>
    <row r="202" spans="2:19" x14ac:dyDescent="0.3">
      <c r="B202" s="3"/>
      <c r="C202" s="2" t="str">
        <f t="shared" si="12"/>
        <v/>
      </c>
      <c r="D202" s="2" t="str">
        <f t="shared" si="11"/>
        <v/>
      </c>
      <c r="E202" s="2" t="str">
        <f t="shared" si="13"/>
        <v/>
      </c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S202" s="4">
        <v>-12728.87</v>
      </c>
    </row>
    <row r="203" spans="2:19" x14ac:dyDescent="0.3">
      <c r="B203" s="3"/>
      <c r="C203" s="2" t="str">
        <f t="shared" si="12"/>
        <v/>
      </c>
      <c r="D203" s="2" t="str">
        <f t="shared" si="11"/>
        <v/>
      </c>
      <c r="E203" s="2" t="str">
        <f t="shared" si="13"/>
        <v/>
      </c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S203" s="4">
        <v>-595.20000000000005</v>
      </c>
    </row>
    <row r="204" spans="2:19" x14ac:dyDescent="0.3">
      <c r="B204" s="3"/>
      <c r="C204" s="2" t="str">
        <f t="shared" si="12"/>
        <v/>
      </c>
      <c r="D204" s="2" t="str">
        <f t="shared" si="11"/>
        <v/>
      </c>
      <c r="E204" s="2" t="str">
        <f t="shared" si="13"/>
        <v/>
      </c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S204" s="4">
        <v>-28.75</v>
      </c>
    </row>
    <row r="205" spans="2:19" x14ac:dyDescent="0.3">
      <c r="B205" s="3"/>
      <c r="C205" s="2" t="str">
        <f t="shared" si="12"/>
        <v/>
      </c>
      <c r="D205" s="2" t="str">
        <f t="shared" si="11"/>
        <v/>
      </c>
      <c r="E205" s="2" t="str">
        <f t="shared" si="13"/>
        <v/>
      </c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S205" s="4">
        <v>-512.54999999999995</v>
      </c>
    </row>
    <row r="206" spans="2:19" x14ac:dyDescent="0.3">
      <c r="B206" s="3"/>
      <c r="C206" s="2" t="str">
        <f t="shared" si="12"/>
        <v/>
      </c>
      <c r="D206" s="2" t="str">
        <f t="shared" si="11"/>
        <v/>
      </c>
      <c r="E206" s="2" t="str">
        <f t="shared" si="13"/>
        <v/>
      </c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S206" s="4">
        <v>-1748</v>
      </c>
    </row>
    <row r="207" spans="2:19" x14ac:dyDescent="0.3">
      <c r="B207" s="3"/>
      <c r="C207" s="2" t="str">
        <f t="shared" si="12"/>
        <v/>
      </c>
      <c r="D207" s="2" t="str">
        <f t="shared" si="11"/>
        <v/>
      </c>
      <c r="E207" s="2" t="str">
        <f t="shared" si="13"/>
        <v/>
      </c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S207" s="4">
        <v>-4915.8</v>
      </c>
    </row>
    <row r="208" spans="2:19" x14ac:dyDescent="0.3">
      <c r="B208" s="3"/>
      <c r="C208" s="2" t="str">
        <f t="shared" si="12"/>
        <v/>
      </c>
      <c r="D208" s="2" t="str">
        <f t="shared" ref="D208:D231" si="14">IF($F208="","",IF(LEN($F208)=13,"A","S"))</f>
        <v/>
      </c>
      <c r="E208" s="2" t="str">
        <f t="shared" si="13"/>
        <v/>
      </c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S208" s="4">
        <v>-21597.279999999999</v>
      </c>
    </row>
    <row r="209" spans="2:19" x14ac:dyDescent="0.3">
      <c r="B209" s="3"/>
      <c r="C209" s="2" t="str">
        <f t="shared" si="12"/>
        <v/>
      </c>
      <c r="D209" s="2" t="str">
        <f t="shared" si="14"/>
        <v/>
      </c>
      <c r="E209" s="2" t="str">
        <f t="shared" si="13"/>
        <v/>
      </c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S209" s="4">
        <v>-458.75</v>
      </c>
    </row>
    <row r="210" spans="2:19" x14ac:dyDescent="0.3">
      <c r="B210" s="3"/>
      <c r="C210" s="2" t="str">
        <f t="shared" ref="C210:C231" si="15">IF($F210="","",IF(LEFT($F210,1)*1=1,"A",IF(LEFT($F210,1)*1=2,"P",IF(LEFT($F210,1)*1=3,"C",IF(LEFT($F210,1)*1=4,"C",IF(LEFT($F210,1)*1=5,"R",""))))))</f>
        <v/>
      </c>
      <c r="D210" s="2" t="str">
        <f t="shared" si="14"/>
        <v/>
      </c>
      <c r="E210" s="2" t="str">
        <f t="shared" ref="E210:E231" si="16">IF($F210="","",IF(LEN($F210)=1,1,IF(LEN($F210)=3,2,IF(LEN($F210)=6,3,IF(LEN($F210)=9,4,IF(LEN($F210)=12,5,6))))))</f>
        <v/>
      </c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S210" s="4">
        <v>-470</v>
      </c>
    </row>
    <row r="211" spans="2:19" x14ac:dyDescent="0.3">
      <c r="B211" s="3"/>
      <c r="C211" s="2" t="str">
        <f t="shared" si="15"/>
        <v/>
      </c>
      <c r="D211" s="2" t="str">
        <f t="shared" si="14"/>
        <v/>
      </c>
      <c r="E211" s="2" t="str">
        <f t="shared" si="16"/>
        <v/>
      </c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S211" s="4">
        <v>-364.65</v>
      </c>
    </row>
    <row r="212" spans="2:19" x14ac:dyDescent="0.3">
      <c r="B212" s="3"/>
      <c r="C212" s="2" t="str">
        <f t="shared" si="15"/>
        <v/>
      </c>
      <c r="D212" s="2" t="str">
        <f t="shared" si="14"/>
        <v/>
      </c>
      <c r="E212" s="2" t="str">
        <f t="shared" si="16"/>
        <v/>
      </c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S212" s="4">
        <v>-13663.88</v>
      </c>
    </row>
    <row r="213" spans="2:19" x14ac:dyDescent="0.3">
      <c r="B213" s="3"/>
      <c r="C213" s="2" t="str">
        <f t="shared" si="15"/>
        <v/>
      </c>
      <c r="D213" s="2" t="str">
        <f t="shared" si="14"/>
        <v/>
      </c>
      <c r="E213" s="2" t="str">
        <f t="shared" si="16"/>
        <v/>
      </c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S213" s="4">
        <v>-6640</v>
      </c>
    </row>
    <row r="214" spans="2:19" x14ac:dyDescent="0.3">
      <c r="B214" s="3"/>
      <c r="C214" s="2" t="str">
        <f t="shared" si="15"/>
        <v/>
      </c>
      <c r="D214" s="2" t="str">
        <f t="shared" si="14"/>
        <v/>
      </c>
      <c r="E214" s="2" t="str">
        <f t="shared" si="16"/>
        <v/>
      </c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S214" s="4">
        <v>-20457.52</v>
      </c>
    </row>
    <row r="215" spans="2:19" x14ac:dyDescent="0.3">
      <c r="B215" s="3"/>
      <c r="C215" s="2" t="str">
        <f t="shared" si="15"/>
        <v/>
      </c>
      <c r="D215" s="2" t="str">
        <f t="shared" si="14"/>
        <v/>
      </c>
      <c r="E215" s="2" t="str">
        <f t="shared" si="16"/>
        <v/>
      </c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S215" s="4">
        <v>-9239</v>
      </c>
    </row>
    <row r="216" spans="2:19" x14ac:dyDescent="0.3">
      <c r="B216" s="3"/>
      <c r="C216" s="2" t="str">
        <f t="shared" si="15"/>
        <v/>
      </c>
      <c r="D216" s="2" t="str">
        <f t="shared" si="14"/>
        <v/>
      </c>
      <c r="E216" s="2" t="str">
        <f t="shared" si="16"/>
        <v/>
      </c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S216" s="4">
        <v>-430</v>
      </c>
    </row>
    <row r="217" spans="2:19" x14ac:dyDescent="0.3">
      <c r="B217" s="3"/>
      <c r="C217" s="2" t="str">
        <f t="shared" si="15"/>
        <v/>
      </c>
      <c r="D217" s="2" t="str">
        <f t="shared" si="14"/>
        <v/>
      </c>
      <c r="E217" s="2" t="str">
        <f t="shared" si="16"/>
        <v/>
      </c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S217" s="4">
        <v>-1539.7</v>
      </c>
    </row>
    <row r="218" spans="2:19" x14ac:dyDescent="0.3">
      <c r="B218" s="3"/>
      <c r="C218" s="2" t="str">
        <f t="shared" si="15"/>
        <v/>
      </c>
      <c r="D218" s="2" t="str">
        <f t="shared" si="14"/>
        <v/>
      </c>
      <c r="E218" s="2" t="str">
        <f t="shared" si="16"/>
        <v/>
      </c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S218" s="4">
        <v>-171.88</v>
      </c>
    </row>
    <row r="219" spans="2:19" x14ac:dyDescent="0.3">
      <c r="B219" s="3"/>
      <c r="C219" s="2" t="str">
        <f t="shared" si="15"/>
        <v/>
      </c>
      <c r="D219" s="2" t="str">
        <f t="shared" si="14"/>
        <v/>
      </c>
      <c r="E219" s="2" t="str">
        <f t="shared" si="16"/>
        <v/>
      </c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S219" s="4">
        <v>-850</v>
      </c>
    </row>
    <row r="220" spans="2:19" x14ac:dyDescent="0.3">
      <c r="B220" s="3"/>
      <c r="C220" s="2" t="str">
        <f t="shared" si="15"/>
        <v/>
      </c>
      <c r="D220" s="2" t="str">
        <f t="shared" si="14"/>
        <v/>
      </c>
      <c r="E220" s="2" t="str">
        <f t="shared" si="16"/>
        <v/>
      </c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S220" s="4">
        <v>-726.94</v>
      </c>
    </row>
    <row r="221" spans="2:19" x14ac:dyDescent="0.3">
      <c r="B221" s="3"/>
      <c r="C221" s="2" t="str">
        <f t="shared" si="15"/>
        <v/>
      </c>
      <c r="D221" s="2" t="str">
        <f t="shared" si="14"/>
        <v/>
      </c>
      <c r="E221" s="2" t="str">
        <f t="shared" si="16"/>
        <v/>
      </c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S221" s="4">
        <v>-7500</v>
      </c>
    </row>
    <row r="222" spans="2:19" x14ac:dyDescent="0.3">
      <c r="B222" s="3"/>
      <c r="C222" s="2" t="str">
        <f t="shared" si="15"/>
        <v/>
      </c>
      <c r="D222" s="2" t="str">
        <f t="shared" si="14"/>
        <v/>
      </c>
      <c r="E222" s="2" t="str">
        <f t="shared" si="16"/>
        <v/>
      </c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S222" s="4">
        <v>-110.7</v>
      </c>
    </row>
    <row r="223" spans="2:19" x14ac:dyDescent="0.3">
      <c r="B223" s="3"/>
      <c r="C223" s="2" t="str">
        <f t="shared" si="15"/>
        <v/>
      </c>
      <c r="D223" s="2" t="str">
        <f t="shared" si="14"/>
        <v/>
      </c>
      <c r="E223" s="2" t="str">
        <f t="shared" si="16"/>
        <v/>
      </c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S223" s="4">
        <v>-110.7</v>
      </c>
    </row>
    <row r="224" spans="2:19" x14ac:dyDescent="0.3">
      <c r="B224" s="3"/>
      <c r="C224" s="2" t="str">
        <f t="shared" si="15"/>
        <v/>
      </c>
      <c r="D224" s="2" t="str">
        <f t="shared" si="14"/>
        <v/>
      </c>
      <c r="E224" s="2" t="str">
        <f t="shared" si="16"/>
        <v/>
      </c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S224" s="4">
        <v>-58803.5</v>
      </c>
    </row>
    <row r="225" spans="2:19" x14ac:dyDescent="0.3">
      <c r="B225" s="3"/>
      <c r="C225" s="2" t="str">
        <f t="shared" si="15"/>
        <v/>
      </c>
      <c r="D225" s="2" t="str">
        <f t="shared" si="14"/>
        <v/>
      </c>
      <c r="E225" s="2" t="str">
        <f t="shared" si="16"/>
        <v/>
      </c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S225" s="4">
        <v>-9475.7900000000009</v>
      </c>
    </row>
    <row r="226" spans="2:19" x14ac:dyDescent="0.3">
      <c r="B226" s="3"/>
      <c r="C226" s="2" t="str">
        <f t="shared" si="15"/>
        <v/>
      </c>
      <c r="D226" s="2" t="str">
        <f t="shared" si="14"/>
        <v/>
      </c>
      <c r="E226" s="2" t="str">
        <f t="shared" si="16"/>
        <v/>
      </c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S226" s="4">
        <v>-881.04</v>
      </c>
    </row>
    <row r="227" spans="2:19" x14ac:dyDescent="0.3">
      <c r="B227" s="3"/>
      <c r="C227" s="2" t="str">
        <f t="shared" si="15"/>
        <v/>
      </c>
      <c r="D227" s="2" t="str">
        <f t="shared" si="14"/>
        <v/>
      </c>
      <c r="E227" s="2" t="str">
        <f t="shared" si="16"/>
        <v/>
      </c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S227" s="4">
        <v>-18175.66</v>
      </c>
    </row>
    <row r="228" spans="2:19" x14ac:dyDescent="0.3">
      <c r="B228" s="3"/>
      <c r="C228" s="2" t="str">
        <f t="shared" si="15"/>
        <v/>
      </c>
      <c r="D228" s="2" t="str">
        <f t="shared" si="14"/>
        <v/>
      </c>
      <c r="E228" s="2" t="str">
        <f t="shared" si="16"/>
        <v/>
      </c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S228" s="4">
        <v>-3851.5</v>
      </c>
    </row>
    <row r="229" spans="2:19" x14ac:dyDescent="0.3">
      <c r="B229" s="3"/>
      <c r="C229" s="2" t="str">
        <f t="shared" si="15"/>
        <v/>
      </c>
      <c r="D229" s="2" t="str">
        <f t="shared" si="14"/>
        <v/>
      </c>
      <c r="E229" s="2" t="str">
        <f t="shared" si="16"/>
        <v/>
      </c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S229" s="4">
        <v>-16102.85</v>
      </c>
    </row>
    <row r="230" spans="2:19" x14ac:dyDescent="0.3">
      <c r="B230" s="3"/>
      <c r="C230" s="2" t="str">
        <f t="shared" si="15"/>
        <v/>
      </c>
      <c r="D230" s="2" t="str">
        <f t="shared" si="14"/>
        <v/>
      </c>
      <c r="E230" s="2" t="str">
        <f t="shared" si="16"/>
        <v/>
      </c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S230" s="4">
        <v>-1366.66</v>
      </c>
    </row>
    <row r="231" spans="2:19" x14ac:dyDescent="0.3">
      <c r="B231" s="3"/>
      <c r="C231" s="2" t="str">
        <f t="shared" si="15"/>
        <v/>
      </c>
      <c r="D231" s="2" t="str">
        <f t="shared" si="14"/>
        <v/>
      </c>
      <c r="E231" s="2" t="str">
        <f t="shared" si="16"/>
        <v/>
      </c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S231" s="4">
        <v>-8950</v>
      </c>
    </row>
    <row r="232" spans="2:19" x14ac:dyDescent="0.3">
      <c r="B232" s="3"/>
      <c r="C232" s="2" t="str">
        <f t="shared" ref="C232:C295" si="17">IF($F232="","",IF(LEFT($F232,1)*1=1,"A",IF(LEFT($F232,1)*1=2,"P",IF(LEFT($F232,1)*1=3,"C",IF(LEFT($F232,1)*1=4,"C",IF(LEFT($F232,1)*1=5,"R",""))))))</f>
        <v/>
      </c>
      <c r="D232" s="2"/>
      <c r="E232" s="2" t="str">
        <f t="shared" ref="E232:E295" si="18">IF($F232="","",IF(LEN($F232)=1,1,IF(LEN($F232)=3,2,IF(LEN($F232)=6,3,IF(LEN($F232)=9,4,IF(LEN($F232)=12,5,6))))))</f>
        <v/>
      </c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S232" s="4">
        <v>-3809041.33</v>
      </c>
    </row>
    <row r="233" spans="2:19" x14ac:dyDescent="0.3">
      <c r="B233" s="3"/>
      <c r="C233" s="2" t="str">
        <f t="shared" si="17"/>
        <v/>
      </c>
      <c r="D233" s="2"/>
      <c r="E233" s="2" t="str">
        <f t="shared" si="18"/>
        <v/>
      </c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S233" s="4">
        <v>-751125.42</v>
      </c>
    </row>
    <row r="234" spans="2:19" x14ac:dyDescent="0.3">
      <c r="B234" s="3"/>
      <c r="C234" s="2" t="str">
        <f t="shared" si="17"/>
        <v/>
      </c>
      <c r="D234" s="2"/>
      <c r="E234" s="2" t="str">
        <f t="shared" si="18"/>
        <v/>
      </c>
      <c r="F234" s="3"/>
      <c r="G234" s="3"/>
      <c r="H234" s="4"/>
      <c r="I234" s="4"/>
      <c r="J234" s="4"/>
      <c r="K234" s="4"/>
      <c r="L234" s="4"/>
      <c r="M234" s="4"/>
      <c r="N234" s="4"/>
      <c r="O234" s="4"/>
      <c r="P234" s="4"/>
      <c r="Q234" s="4"/>
      <c r="S234" s="4">
        <v>-2869637.61</v>
      </c>
    </row>
    <row r="235" spans="2:19" x14ac:dyDescent="0.3">
      <c r="B235" s="3"/>
      <c r="C235" s="2" t="str">
        <f t="shared" si="17"/>
        <v/>
      </c>
      <c r="D235" s="2"/>
      <c r="E235" s="2" t="str">
        <f t="shared" si="18"/>
        <v/>
      </c>
      <c r="F235" s="3"/>
      <c r="G235" s="3"/>
      <c r="H235" s="4"/>
      <c r="I235" s="4"/>
      <c r="J235" s="4"/>
      <c r="K235" s="4"/>
      <c r="L235" s="4"/>
      <c r="M235" s="4"/>
      <c r="N235" s="4"/>
      <c r="O235" s="4"/>
      <c r="P235" s="4"/>
      <c r="Q235" s="4"/>
      <c r="S235" s="4">
        <v>-530.46</v>
      </c>
    </row>
    <row r="236" spans="2:19" x14ac:dyDescent="0.3">
      <c r="B236" s="3"/>
      <c r="C236" s="2" t="str">
        <f t="shared" si="17"/>
        <v/>
      </c>
      <c r="D236" s="2"/>
      <c r="E236" s="2" t="str">
        <f t="shared" si="18"/>
        <v/>
      </c>
      <c r="F236" s="3"/>
      <c r="G236" s="3"/>
      <c r="H236" s="4"/>
      <c r="I236" s="4"/>
      <c r="J236" s="4"/>
      <c r="K236" s="4"/>
      <c r="L236" s="4"/>
      <c r="M236" s="4"/>
      <c r="N236" s="4"/>
      <c r="O236" s="4"/>
      <c r="P236" s="4"/>
      <c r="Q236" s="4"/>
      <c r="S236" s="4">
        <v>-1126.4000000000001</v>
      </c>
    </row>
    <row r="237" spans="2:19" x14ac:dyDescent="0.3">
      <c r="B237" s="3"/>
      <c r="C237" s="2" t="str">
        <f t="shared" si="17"/>
        <v/>
      </c>
      <c r="D237" s="2"/>
      <c r="E237" s="2" t="str">
        <f t="shared" si="18"/>
        <v/>
      </c>
      <c r="F237" s="3"/>
      <c r="G237" s="3"/>
      <c r="H237" s="4"/>
      <c r="I237" s="4"/>
      <c r="J237" s="4"/>
      <c r="K237" s="4"/>
      <c r="L237" s="4"/>
      <c r="M237" s="4"/>
      <c r="N237" s="4"/>
      <c r="O237" s="4"/>
      <c r="P237" s="4"/>
      <c r="Q237" s="4"/>
      <c r="S237" s="4">
        <v>-1230</v>
      </c>
    </row>
    <row r="238" spans="2:19" x14ac:dyDescent="0.3">
      <c r="B238" s="3"/>
      <c r="C238" s="2" t="str">
        <f t="shared" si="17"/>
        <v/>
      </c>
      <c r="D238" s="2"/>
      <c r="E238" s="2" t="str">
        <f t="shared" si="18"/>
        <v/>
      </c>
      <c r="F238" s="3"/>
      <c r="G238" s="3"/>
      <c r="H238" s="4"/>
      <c r="I238" s="4"/>
      <c r="J238" s="4"/>
      <c r="K238" s="4"/>
      <c r="L238" s="4"/>
      <c r="M238" s="4"/>
      <c r="N238" s="4"/>
      <c r="O238" s="4"/>
      <c r="P238" s="4"/>
      <c r="Q238" s="4"/>
      <c r="S238" s="4">
        <v>-3410.42</v>
      </c>
    </row>
    <row r="239" spans="2:19" x14ac:dyDescent="0.3">
      <c r="B239" s="3"/>
      <c r="C239" s="2" t="str">
        <f t="shared" si="17"/>
        <v/>
      </c>
      <c r="D239" s="2"/>
      <c r="E239" s="2" t="str">
        <f t="shared" si="18"/>
        <v/>
      </c>
      <c r="F239" s="3"/>
      <c r="G239" s="3"/>
      <c r="H239" s="4"/>
      <c r="I239" s="4"/>
      <c r="J239" s="4"/>
      <c r="K239" s="4"/>
      <c r="L239" s="4"/>
      <c r="M239" s="4"/>
      <c r="N239" s="4"/>
      <c r="O239" s="4"/>
      <c r="P239" s="4"/>
      <c r="Q239" s="4"/>
      <c r="S239" s="4">
        <v>-180000</v>
      </c>
    </row>
    <row r="240" spans="2:19" x14ac:dyDescent="0.3">
      <c r="B240" s="3"/>
      <c r="C240" s="2" t="str">
        <f t="shared" si="17"/>
        <v/>
      </c>
      <c r="D240" s="2"/>
      <c r="E240" s="2" t="str">
        <f t="shared" si="18"/>
        <v/>
      </c>
      <c r="F240" s="3"/>
      <c r="G240" s="3"/>
      <c r="H240" s="4"/>
      <c r="I240" s="4"/>
      <c r="J240" s="4"/>
      <c r="K240" s="4"/>
      <c r="L240" s="4"/>
      <c r="M240" s="4"/>
      <c r="N240" s="4"/>
      <c r="O240" s="4"/>
      <c r="P240" s="4"/>
      <c r="Q240" s="4"/>
      <c r="S240" s="4">
        <v>-250</v>
      </c>
    </row>
    <row r="241" spans="2:19" x14ac:dyDescent="0.3">
      <c r="B241" s="3"/>
      <c r="C241" s="2" t="str">
        <f t="shared" si="17"/>
        <v/>
      </c>
      <c r="D241" s="2"/>
      <c r="E241" s="2" t="str">
        <f t="shared" si="18"/>
        <v/>
      </c>
      <c r="F241" s="3"/>
      <c r="G241" s="3"/>
      <c r="H241" s="4"/>
      <c r="I241" s="4"/>
      <c r="J241" s="4"/>
      <c r="K241" s="4"/>
      <c r="L241" s="4"/>
      <c r="M241" s="4"/>
      <c r="N241" s="4"/>
      <c r="O241" s="4"/>
      <c r="P241" s="4"/>
      <c r="Q241" s="4"/>
      <c r="S241" s="4">
        <v>-778</v>
      </c>
    </row>
    <row r="242" spans="2:19" x14ac:dyDescent="0.3">
      <c r="B242" s="3"/>
      <c r="C242" s="2" t="str">
        <f t="shared" si="17"/>
        <v/>
      </c>
      <c r="D242" s="2"/>
      <c r="E242" s="2" t="str">
        <f t="shared" si="18"/>
        <v/>
      </c>
      <c r="F242" s="3"/>
      <c r="G242" s="3"/>
      <c r="H242" s="4"/>
      <c r="I242" s="4"/>
      <c r="J242" s="4"/>
      <c r="K242" s="4"/>
      <c r="L242" s="4"/>
      <c r="M242" s="4"/>
      <c r="N242" s="4"/>
      <c r="O242" s="4"/>
      <c r="P242" s="4"/>
      <c r="Q242" s="4"/>
      <c r="S242" s="4">
        <v>-306</v>
      </c>
    </row>
    <row r="243" spans="2:19" x14ac:dyDescent="0.3">
      <c r="B243" s="3"/>
      <c r="C243" s="2" t="str">
        <f t="shared" si="17"/>
        <v/>
      </c>
      <c r="D243" s="2"/>
      <c r="E243" s="2" t="str">
        <f t="shared" si="18"/>
        <v/>
      </c>
      <c r="F243" s="3"/>
      <c r="G243" s="3"/>
      <c r="H243" s="4"/>
      <c r="I243" s="4"/>
      <c r="J243" s="4"/>
      <c r="K243" s="4"/>
      <c r="L243" s="4"/>
      <c r="M243" s="4"/>
      <c r="N243" s="4"/>
      <c r="O243" s="4"/>
      <c r="P243" s="4"/>
      <c r="Q243" s="4"/>
      <c r="S243" s="4">
        <v>-222.22</v>
      </c>
    </row>
    <row r="244" spans="2:19" x14ac:dyDescent="0.3">
      <c r="B244" s="3"/>
      <c r="C244" s="2" t="str">
        <f t="shared" si="17"/>
        <v/>
      </c>
      <c r="D244" s="2"/>
      <c r="E244" s="2" t="str">
        <f t="shared" si="18"/>
        <v/>
      </c>
      <c r="F244" s="3"/>
      <c r="G244" s="3"/>
      <c r="H244" s="4"/>
      <c r="I244" s="4"/>
      <c r="J244" s="4"/>
      <c r="K244" s="4"/>
      <c r="L244" s="4"/>
      <c r="M244" s="4"/>
      <c r="N244" s="4"/>
      <c r="O244" s="4"/>
      <c r="P244" s="4"/>
      <c r="Q244" s="4"/>
      <c r="S244" s="4">
        <v>-424.8</v>
      </c>
    </row>
    <row r="245" spans="2:19" x14ac:dyDescent="0.3">
      <c r="B245" s="3"/>
      <c r="C245" s="2" t="str">
        <f t="shared" si="17"/>
        <v/>
      </c>
      <c r="D245" s="2"/>
      <c r="E245" s="2" t="str">
        <f t="shared" si="18"/>
        <v/>
      </c>
      <c r="F245" s="3"/>
      <c r="G245" s="3"/>
      <c r="H245" s="4"/>
      <c r="I245" s="4"/>
      <c r="J245" s="4"/>
      <c r="K245" s="4"/>
      <c r="L245" s="4"/>
      <c r="M245" s="4"/>
      <c r="N245" s="4"/>
      <c r="O245" s="4"/>
      <c r="P245" s="4"/>
      <c r="Q245" s="4"/>
      <c r="S245" s="4">
        <v>-48569.93</v>
      </c>
    </row>
    <row r="246" spans="2:19" x14ac:dyDescent="0.3">
      <c r="B246" s="3"/>
      <c r="C246" s="2" t="str">
        <f t="shared" si="17"/>
        <v/>
      </c>
      <c r="D246" s="2"/>
      <c r="E246" s="2" t="str">
        <f t="shared" si="18"/>
        <v/>
      </c>
      <c r="F246" s="3"/>
      <c r="G246" s="3"/>
      <c r="H246" s="4"/>
      <c r="I246" s="4"/>
      <c r="J246" s="4"/>
      <c r="K246" s="4"/>
      <c r="L246" s="4"/>
      <c r="M246" s="4"/>
      <c r="N246" s="4"/>
      <c r="O246" s="4"/>
      <c r="P246" s="4"/>
      <c r="Q246" s="4"/>
      <c r="S246" s="4">
        <v>-276.01</v>
      </c>
    </row>
    <row r="247" spans="2:19" x14ac:dyDescent="0.3">
      <c r="B247" s="3"/>
      <c r="C247" s="2" t="str">
        <f t="shared" si="17"/>
        <v/>
      </c>
      <c r="D247" s="2"/>
      <c r="E247" s="2" t="str">
        <f t="shared" si="18"/>
        <v/>
      </c>
      <c r="F247" s="3"/>
      <c r="G247" s="3"/>
      <c r="H247" s="4"/>
      <c r="I247" s="4"/>
      <c r="J247" s="4"/>
      <c r="K247" s="4"/>
      <c r="L247" s="4"/>
      <c r="M247" s="4"/>
      <c r="N247" s="4"/>
      <c r="O247" s="4"/>
      <c r="P247" s="4"/>
      <c r="Q247" s="4"/>
      <c r="S247" s="4">
        <v>-32580</v>
      </c>
    </row>
    <row r="248" spans="2:19" x14ac:dyDescent="0.3">
      <c r="B248" s="3"/>
      <c r="C248" s="2" t="str">
        <f t="shared" si="17"/>
        <v/>
      </c>
      <c r="D248" s="2"/>
      <c r="E248" s="2" t="str">
        <f t="shared" si="18"/>
        <v/>
      </c>
      <c r="F248" s="3"/>
      <c r="G248" s="3"/>
      <c r="H248" s="4"/>
      <c r="I248" s="4"/>
      <c r="J248" s="4"/>
      <c r="K248" s="4"/>
      <c r="L248" s="4"/>
      <c r="M248" s="4"/>
      <c r="N248" s="4"/>
      <c r="O248" s="4"/>
      <c r="P248" s="4"/>
      <c r="Q248" s="4"/>
      <c r="S248" s="4">
        <v>-4500</v>
      </c>
    </row>
    <row r="249" spans="2:19" x14ac:dyDescent="0.3">
      <c r="B249" s="3"/>
      <c r="C249" s="2" t="str">
        <f t="shared" si="17"/>
        <v/>
      </c>
      <c r="D249" s="2"/>
      <c r="E249" s="2" t="str">
        <f t="shared" si="18"/>
        <v/>
      </c>
      <c r="F249" s="3"/>
      <c r="G249" s="3"/>
      <c r="H249" s="4"/>
      <c r="I249" s="4"/>
      <c r="J249" s="4"/>
      <c r="K249" s="4"/>
      <c r="L249" s="4"/>
      <c r="M249" s="4"/>
      <c r="N249" s="4"/>
      <c r="O249" s="4"/>
      <c r="P249" s="4"/>
      <c r="Q249" s="4"/>
      <c r="S249" s="4">
        <v>-6434.92</v>
      </c>
    </row>
    <row r="250" spans="2:19" x14ac:dyDescent="0.3">
      <c r="B250" s="3"/>
      <c r="C250" s="2" t="str">
        <f t="shared" si="17"/>
        <v/>
      </c>
      <c r="D250" s="2"/>
      <c r="E250" s="2" t="str">
        <f t="shared" si="18"/>
        <v/>
      </c>
      <c r="F250" s="3"/>
      <c r="G250" s="3"/>
      <c r="H250" s="4"/>
      <c r="I250" s="4"/>
      <c r="J250" s="4"/>
      <c r="K250" s="4"/>
      <c r="L250" s="4"/>
      <c r="M250" s="4"/>
      <c r="N250" s="4"/>
      <c r="O250" s="4"/>
      <c r="P250" s="4"/>
      <c r="Q250" s="4"/>
      <c r="S250" s="4">
        <v>-4779</v>
      </c>
    </row>
    <row r="251" spans="2:19" x14ac:dyDescent="0.3">
      <c r="B251" s="3"/>
      <c r="C251" s="2" t="str">
        <f t="shared" si="17"/>
        <v/>
      </c>
      <c r="D251" s="2"/>
      <c r="E251" s="2" t="str">
        <f t="shared" si="18"/>
        <v/>
      </c>
      <c r="F251" s="3"/>
      <c r="G251" s="3"/>
      <c r="H251" s="4"/>
      <c r="I251" s="4"/>
      <c r="J251" s="4"/>
      <c r="K251" s="4"/>
      <c r="L251" s="4"/>
      <c r="M251" s="4"/>
      <c r="N251" s="4"/>
      <c r="O251" s="4"/>
      <c r="P251" s="4"/>
      <c r="Q251" s="4"/>
      <c r="S251" s="4">
        <v>-37861.49</v>
      </c>
    </row>
    <row r="252" spans="2:19" x14ac:dyDescent="0.3">
      <c r="B252" s="3"/>
      <c r="C252" s="2" t="str">
        <f t="shared" si="17"/>
        <v/>
      </c>
      <c r="D252" s="2"/>
      <c r="E252" s="2" t="str">
        <f t="shared" si="18"/>
        <v/>
      </c>
      <c r="F252" s="3"/>
      <c r="G252" s="3"/>
      <c r="H252" s="4"/>
      <c r="I252" s="4"/>
      <c r="J252" s="4"/>
      <c r="K252" s="4"/>
      <c r="L252" s="4"/>
      <c r="M252" s="4"/>
      <c r="N252" s="4"/>
      <c r="O252" s="4"/>
      <c r="P252" s="4"/>
      <c r="Q252" s="4"/>
      <c r="S252" s="4">
        <v>-17181.490000000002</v>
      </c>
    </row>
    <row r="253" spans="2:19" x14ac:dyDescent="0.3">
      <c r="B253" s="3"/>
      <c r="C253" s="2" t="str">
        <f t="shared" si="17"/>
        <v/>
      </c>
      <c r="D253" s="2"/>
      <c r="E253" s="2" t="str">
        <f t="shared" si="18"/>
        <v/>
      </c>
      <c r="F253" s="3"/>
      <c r="G253" s="3"/>
      <c r="H253" s="4"/>
      <c r="I253" s="4"/>
      <c r="J253" s="4"/>
      <c r="K253" s="4"/>
      <c r="L253" s="4"/>
      <c r="M253" s="4"/>
      <c r="N253" s="4"/>
      <c r="O253" s="4"/>
      <c r="P253" s="4"/>
      <c r="Q253" s="4"/>
      <c r="S253" s="4">
        <v>-10680</v>
      </c>
    </row>
    <row r="254" spans="2:19" x14ac:dyDescent="0.3">
      <c r="B254" s="3"/>
      <c r="C254" s="2" t="str">
        <f t="shared" si="17"/>
        <v/>
      </c>
      <c r="D254" s="2"/>
      <c r="E254" s="2" t="str">
        <f t="shared" si="18"/>
        <v/>
      </c>
      <c r="F254" s="3"/>
      <c r="G254" s="3"/>
      <c r="H254" s="4"/>
      <c r="I254" s="4"/>
      <c r="J254" s="4"/>
      <c r="K254" s="4"/>
      <c r="L254" s="4"/>
      <c r="M254" s="4"/>
      <c r="N254" s="4"/>
      <c r="O254" s="4"/>
      <c r="P254" s="4"/>
      <c r="Q254" s="4"/>
      <c r="S254" s="4">
        <v>-10000</v>
      </c>
    </row>
    <row r="255" spans="2:19" x14ac:dyDescent="0.3">
      <c r="B255" s="3"/>
      <c r="C255" s="2" t="str">
        <f t="shared" si="17"/>
        <v/>
      </c>
      <c r="D255" s="2"/>
      <c r="E255" s="2" t="str">
        <f t="shared" si="18"/>
        <v/>
      </c>
      <c r="F255" s="3"/>
      <c r="G255" s="3"/>
      <c r="H255" s="4"/>
      <c r="I255" s="4"/>
      <c r="J255" s="4"/>
      <c r="K255" s="4"/>
      <c r="L255" s="4"/>
      <c r="M255" s="4"/>
      <c r="N255" s="4"/>
      <c r="O255" s="4"/>
      <c r="P255" s="4"/>
      <c r="Q255" s="4"/>
      <c r="S255" s="4">
        <v>-253126.95</v>
      </c>
    </row>
    <row r="256" spans="2:19" x14ac:dyDescent="0.3">
      <c r="B256" s="3"/>
      <c r="C256" s="2" t="str">
        <f t="shared" si="17"/>
        <v/>
      </c>
      <c r="D256" s="2"/>
      <c r="E256" s="2" t="str">
        <f t="shared" si="18"/>
        <v/>
      </c>
      <c r="F256" s="3"/>
      <c r="G256" s="3"/>
      <c r="H256" s="4"/>
      <c r="I256" s="4"/>
      <c r="J256" s="4"/>
      <c r="K256" s="4"/>
      <c r="L256" s="4"/>
      <c r="M256" s="4"/>
      <c r="N256" s="4"/>
      <c r="O256" s="4"/>
      <c r="P256" s="4"/>
      <c r="Q256" s="4"/>
      <c r="S256" s="4">
        <v>-385.45</v>
      </c>
    </row>
    <row r="257" spans="2:19" x14ac:dyDescent="0.3">
      <c r="B257" s="3"/>
      <c r="C257" s="2" t="str">
        <f t="shared" si="17"/>
        <v/>
      </c>
      <c r="D257" s="2"/>
      <c r="E257" s="2" t="str">
        <f t="shared" si="18"/>
        <v/>
      </c>
      <c r="F257" s="3"/>
      <c r="G257" s="3"/>
      <c r="H257" s="4"/>
      <c r="I257" s="4"/>
      <c r="J257" s="4"/>
      <c r="K257" s="4"/>
      <c r="L257" s="4"/>
      <c r="M257" s="4"/>
      <c r="N257" s="4"/>
      <c r="O257" s="4"/>
      <c r="P257" s="4"/>
      <c r="Q257" s="4"/>
      <c r="S257" s="4">
        <v>-19899.72</v>
      </c>
    </row>
    <row r="258" spans="2:19" x14ac:dyDescent="0.3">
      <c r="B258" s="3"/>
      <c r="C258" s="2" t="str">
        <f t="shared" si="17"/>
        <v/>
      </c>
      <c r="D258" s="2"/>
      <c r="E258" s="2" t="str">
        <f t="shared" si="18"/>
        <v/>
      </c>
      <c r="F258" s="3"/>
      <c r="G258" s="3"/>
      <c r="H258" s="4"/>
      <c r="I258" s="4"/>
      <c r="J258" s="4"/>
      <c r="K258" s="4"/>
      <c r="L258" s="4"/>
      <c r="M258" s="4"/>
      <c r="N258" s="4"/>
      <c r="O258" s="4"/>
      <c r="P258" s="4"/>
      <c r="Q258" s="4"/>
      <c r="S258" s="4">
        <v>-98053.59</v>
      </c>
    </row>
    <row r="259" spans="2:19" x14ac:dyDescent="0.3">
      <c r="B259" s="3"/>
      <c r="C259" s="2" t="str">
        <f t="shared" si="17"/>
        <v/>
      </c>
      <c r="D259" s="2"/>
      <c r="E259" s="2" t="str">
        <f t="shared" si="18"/>
        <v/>
      </c>
      <c r="F259" s="3"/>
      <c r="G259" s="3"/>
      <c r="H259" s="4"/>
      <c r="I259" s="4"/>
      <c r="J259" s="4"/>
      <c r="K259" s="4"/>
      <c r="L259" s="4"/>
      <c r="M259" s="4"/>
      <c r="N259" s="4"/>
      <c r="O259" s="4"/>
      <c r="P259" s="4"/>
      <c r="Q259" s="4"/>
      <c r="S259" s="4">
        <v>-236.89</v>
      </c>
    </row>
    <row r="260" spans="2:19" x14ac:dyDescent="0.3">
      <c r="B260" s="3"/>
      <c r="C260" s="2" t="str">
        <f t="shared" si="17"/>
        <v/>
      </c>
      <c r="D260" s="2"/>
      <c r="E260" s="2" t="str">
        <f t="shared" si="18"/>
        <v/>
      </c>
      <c r="F260" s="3"/>
      <c r="G260" s="3"/>
      <c r="H260" s="4"/>
      <c r="I260" s="4"/>
      <c r="J260" s="4"/>
      <c r="K260" s="4"/>
      <c r="L260" s="4"/>
      <c r="M260" s="4"/>
      <c r="N260" s="4"/>
      <c r="O260" s="4"/>
      <c r="P260" s="4"/>
      <c r="Q260" s="4"/>
      <c r="S260" s="4">
        <v>-380</v>
      </c>
    </row>
    <row r="261" spans="2:19" x14ac:dyDescent="0.3">
      <c r="B261" s="3"/>
      <c r="C261" s="2" t="str">
        <f t="shared" si="17"/>
        <v/>
      </c>
      <c r="D261" s="2"/>
      <c r="E261" s="2" t="str">
        <f t="shared" si="18"/>
        <v/>
      </c>
      <c r="F261" s="3"/>
      <c r="G261" s="3"/>
      <c r="H261" s="4"/>
      <c r="I261" s="4"/>
      <c r="J261" s="4"/>
      <c r="K261" s="4"/>
      <c r="L261" s="4"/>
      <c r="M261" s="4"/>
      <c r="N261" s="4"/>
      <c r="O261" s="4"/>
      <c r="P261" s="4"/>
      <c r="Q261" s="4"/>
      <c r="S261" s="4">
        <v>-225.6</v>
      </c>
    </row>
    <row r="262" spans="2:19" x14ac:dyDescent="0.3">
      <c r="B262" s="3"/>
      <c r="C262" s="2" t="str">
        <f t="shared" si="17"/>
        <v/>
      </c>
      <c r="D262" s="2"/>
      <c r="E262" s="2" t="str">
        <f t="shared" si="18"/>
        <v/>
      </c>
      <c r="F262" s="3"/>
      <c r="G262" s="3"/>
      <c r="H262" s="4"/>
      <c r="I262" s="4"/>
      <c r="J262" s="4"/>
      <c r="K262" s="4"/>
      <c r="L262" s="4"/>
      <c r="M262" s="4"/>
      <c r="N262" s="4"/>
      <c r="O262" s="4"/>
      <c r="P262" s="4"/>
      <c r="Q262" s="4"/>
      <c r="S262" s="4">
        <v>-127190.39999999999</v>
      </c>
    </row>
    <row r="263" spans="2:19" x14ac:dyDescent="0.3">
      <c r="B263" s="3"/>
      <c r="C263" s="2" t="str">
        <f t="shared" si="17"/>
        <v/>
      </c>
      <c r="D263" s="2"/>
      <c r="E263" s="2" t="str">
        <f t="shared" si="18"/>
        <v/>
      </c>
      <c r="F263" s="3"/>
      <c r="G263" s="3"/>
      <c r="H263" s="4"/>
      <c r="I263" s="4"/>
      <c r="J263" s="4"/>
      <c r="K263" s="4"/>
      <c r="L263" s="4"/>
      <c r="M263" s="4"/>
      <c r="N263" s="4"/>
      <c r="O263" s="4"/>
      <c r="P263" s="4"/>
      <c r="Q263" s="4"/>
      <c r="S263" s="4">
        <v>-6755.3</v>
      </c>
    </row>
    <row r="264" spans="2:19" x14ac:dyDescent="0.3">
      <c r="B264" s="3"/>
      <c r="C264" s="2" t="str">
        <f t="shared" si="17"/>
        <v/>
      </c>
      <c r="D264" s="2"/>
      <c r="E264" s="2" t="str">
        <f t="shared" si="18"/>
        <v/>
      </c>
      <c r="F264" s="3"/>
      <c r="G264" s="3"/>
      <c r="H264" s="4"/>
      <c r="I264" s="4"/>
      <c r="J264" s="4"/>
      <c r="K264" s="4"/>
      <c r="L264" s="4"/>
      <c r="M264" s="4"/>
      <c r="N264" s="4"/>
      <c r="O264" s="4"/>
      <c r="P264" s="4"/>
      <c r="Q264" s="4"/>
      <c r="S264" s="4">
        <v>-323269.14</v>
      </c>
    </row>
    <row r="265" spans="2:19" x14ac:dyDescent="0.3">
      <c r="B265" s="3"/>
      <c r="C265" s="2" t="str">
        <f t="shared" si="17"/>
        <v/>
      </c>
      <c r="D265" s="2"/>
      <c r="E265" s="2" t="str">
        <f t="shared" si="18"/>
        <v/>
      </c>
      <c r="F265" s="3"/>
      <c r="G265" s="3"/>
      <c r="H265" s="4"/>
      <c r="I265" s="4"/>
      <c r="J265" s="4"/>
      <c r="K265" s="4"/>
      <c r="L265" s="4"/>
      <c r="M265" s="4"/>
      <c r="N265" s="4"/>
      <c r="O265" s="4"/>
      <c r="P265" s="4"/>
      <c r="Q265" s="4"/>
      <c r="S265" s="4">
        <v>-1380</v>
      </c>
    </row>
    <row r="266" spans="2:19" x14ac:dyDescent="0.3">
      <c r="B266" s="3"/>
      <c r="C266" s="2" t="str">
        <f t="shared" si="17"/>
        <v/>
      </c>
      <c r="D266" s="2"/>
      <c r="E266" s="2" t="str">
        <f t="shared" si="18"/>
        <v/>
      </c>
      <c r="F266" s="3"/>
      <c r="G266" s="3"/>
      <c r="H266" s="4"/>
      <c r="I266" s="4"/>
      <c r="J266" s="4"/>
      <c r="K266" s="4"/>
      <c r="L266" s="4"/>
      <c r="M266" s="4"/>
      <c r="N266" s="4"/>
      <c r="O266" s="4"/>
      <c r="P266" s="4"/>
      <c r="Q266" s="4"/>
      <c r="S266" s="4">
        <v>-1548.84</v>
      </c>
    </row>
    <row r="267" spans="2:19" x14ac:dyDescent="0.3">
      <c r="B267" s="3"/>
      <c r="C267" s="2" t="str">
        <f t="shared" si="17"/>
        <v/>
      </c>
      <c r="D267" s="2"/>
      <c r="E267" s="2" t="str">
        <f t="shared" si="18"/>
        <v/>
      </c>
      <c r="F267" s="3"/>
      <c r="G267" s="3"/>
      <c r="H267" s="4"/>
      <c r="I267" s="4"/>
      <c r="J267" s="4"/>
      <c r="K267" s="4"/>
      <c r="L267" s="4"/>
      <c r="M267" s="4"/>
      <c r="N267" s="4"/>
      <c r="O267" s="4"/>
      <c r="P267" s="4"/>
      <c r="Q267" s="4"/>
      <c r="S267" s="4">
        <v>-699.7</v>
      </c>
    </row>
    <row r="268" spans="2:19" x14ac:dyDescent="0.3">
      <c r="B268" s="3"/>
      <c r="C268" s="2" t="str">
        <f t="shared" si="17"/>
        <v/>
      </c>
      <c r="D268" s="2"/>
      <c r="E268" s="2" t="str">
        <f t="shared" si="18"/>
        <v/>
      </c>
      <c r="F268" s="3"/>
      <c r="G268" s="3"/>
      <c r="H268" s="4"/>
      <c r="I268" s="4"/>
      <c r="J268" s="4"/>
      <c r="K268" s="4"/>
      <c r="L268" s="4"/>
      <c r="M268" s="4"/>
      <c r="N268" s="4"/>
      <c r="O268" s="4"/>
      <c r="P268" s="4"/>
      <c r="Q268" s="4"/>
      <c r="S268" s="4">
        <v>-221762.6</v>
      </c>
    </row>
    <row r="269" spans="2:19" x14ac:dyDescent="0.3">
      <c r="B269" s="3"/>
      <c r="C269" s="2" t="str">
        <f t="shared" si="17"/>
        <v/>
      </c>
      <c r="D269" s="2"/>
      <c r="E269" s="2" t="str">
        <f t="shared" si="18"/>
        <v/>
      </c>
      <c r="F269" s="3"/>
      <c r="G269" s="3"/>
      <c r="H269" s="4"/>
      <c r="I269" s="4"/>
      <c r="J269" s="4"/>
      <c r="K269" s="4"/>
      <c r="L269" s="4"/>
      <c r="M269" s="4"/>
      <c r="N269" s="4"/>
      <c r="O269" s="4"/>
      <c r="P269" s="4"/>
      <c r="Q269" s="4"/>
      <c r="S269" s="4">
        <v>-11500</v>
      </c>
    </row>
    <row r="270" spans="2:19" x14ac:dyDescent="0.3">
      <c r="B270" s="3"/>
      <c r="C270" s="2" t="str">
        <f t="shared" si="17"/>
        <v/>
      </c>
      <c r="D270" s="2"/>
      <c r="E270" s="2" t="str">
        <f t="shared" si="18"/>
        <v/>
      </c>
      <c r="F270" s="3"/>
      <c r="G270" s="3"/>
      <c r="H270" s="4"/>
      <c r="I270" s="4"/>
      <c r="J270" s="4"/>
      <c r="K270" s="4"/>
      <c r="L270" s="4"/>
      <c r="M270" s="4"/>
      <c r="N270" s="4"/>
      <c r="O270" s="4"/>
      <c r="P270" s="4"/>
      <c r="Q270" s="4"/>
      <c r="S270" s="4">
        <v>-600</v>
      </c>
    </row>
    <row r="271" spans="2:19" x14ac:dyDescent="0.3">
      <c r="B271" s="3"/>
      <c r="C271" s="2" t="str">
        <f t="shared" si="17"/>
        <v/>
      </c>
      <c r="D271" s="2"/>
      <c r="E271" s="2" t="str">
        <f t="shared" si="18"/>
        <v/>
      </c>
      <c r="F271" s="3"/>
      <c r="G271" s="3"/>
      <c r="H271" s="4"/>
      <c r="I271" s="4"/>
      <c r="J271" s="4"/>
      <c r="K271" s="4"/>
      <c r="L271" s="4"/>
      <c r="M271" s="4"/>
      <c r="N271" s="4"/>
      <c r="O271" s="4"/>
      <c r="P271" s="4"/>
      <c r="Q271" s="4"/>
      <c r="S271" s="4">
        <v>-20838.400000000001</v>
      </c>
    </row>
    <row r="272" spans="2:19" x14ac:dyDescent="0.3">
      <c r="B272" s="3"/>
      <c r="C272" s="2" t="str">
        <f t="shared" si="17"/>
        <v/>
      </c>
      <c r="D272" s="2"/>
      <c r="E272" s="2" t="str">
        <f t="shared" si="18"/>
        <v/>
      </c>
      <c r="F272" s="3"/>
      <c r="G272" s="3"/>
      <c r="H272" s="4"/>
      <c r="I272" s="4"/>
      <c r="J272" s="4"/>
      <c r="K272" s="4"/>
      <c r="L272" s="4"/>
      <c r="M272" s="4"/>
      <c r="N272" s="4"/>
      <c r="O272" s="4"/>
      <c r="P272" s="4"/>
      <c r="Q272" s="4"/>
      <c r="S272" s="4">
        <v>-2580</v>
      </c>
    </row>
    <row r="273" spans="2:19" x14ac:dyDescent="0.3">
      <c r="B273" s="3"/>
      <c r="C273" s="2" t="str">
        <f t="shared" si="17"/>
        <v/>
      </c>
      <c r="D273" s="2"/>
      <c r="E273" s="2" t="str">
        <f t="shared" si="18"/>
        <v/>
      </c>
      <c r="F273" s="3"/>
      <c r="G273" s="3"/>
      <c r="H273" s="4"/>
      <c r="I273" s="4"/>
      <c r="J273" s="4"/>
      <c r="K273" s="4"/>
      <c r="L273" s="4"/>
      <c r="M273" s="4"/>
      <c r="N273" s="4"/>
      <c r="O273" s="4"/>
      <c r="P273" s="4"/>
      <c r="Q273" s="4"/>
      <c r="S273" s="4">
        <v>-2400</v>
      </c>
    </row>
    <row r="274" spans="2:19" x14ac:dyDescent="0.3">
      <c r="B274" s="3"/>
      <c r="C274" s="2" t="str">
        <f t="shared" si="17"/>
        <v/>
      </c>
      <c r="D274" s="2"/>
      <c r="E274" s="2" t="str">
        <f t="shared" si="18"/>
        <v/>
      </c>
      <c r="F274" s="3"/>
      <c r="G274" s="3"/>
      <c r="H274" s="4"/>
      <c r="I274" s="4"/>
      <c r="J274" s="4"/>
      <c r="K274" s="4"/>
      <c r="L274" s="4"/>
      <c r="M274" s="4"/>
      <c r="N274" s="4"/>
      <c r="O274" s="4"/>
      <c r="P274" s="4"/>
      <c r="Q274" s="4"/>
      <c r="S274" s="4">
        <v>-11684.6</v>
      </c>
    </row>
    <row r="275" spans="2:19" x14ac:dyDescent="0.3">
      <c r="B275" s="3"/>
      <c r="C275" s="2" t="str">
        <f t="shared" si="17"/>
        <v/>
      </c>
      <c r="D275" s="2"/>
      <c r="E275" s="2" t="str">
        <f t="shared" si="18"/>
        <v/>
      </c>
      <c r="F275" s="3"/>
      <c r="G275" s="3"/>
      <c r="H275" s="4"/>
      <c r="I275" s="4"/>
      <c r="J275" s="4"/>
      <c r="K275" s="4"/>
      <c r="L275" s="4"/>
      <c r="M275" s="4"/>
      <c r="N275" s="4"/>
      <c r="O275" s="4"/>
      <c r="P275" s="4"/>
      <c r="Q275" s="4"/>
      <c r="S275" s="4">
        <v>-48275</v>
      </c>
    </row>
    <row r="276" spans="2:19" x14ac:dyDescent="0.3">
      <c r="B276" s="3"/>
      <c r="C276" s="2" t="str">
        <f t="shared" si="17"/>
        <v/>
      </c>
      <c r="D276" s="2"/>
      <c r="E276" s="2" t="str">
        <f t="shared" si="18"/>
        <v/>
      </c>
      <c r="F276" s="3"/>
      <c r="G276" s="3"/>
      <c r="H276" s="4"/>
      <c r="I276" s="4"/>
      <c r="J276" s="4"/>
      <c r="K276" s="4"/>
      <c r="L276" s="4"/>
      <c r="M276" s="4"/>
      <c r="N276" s="4"/>
      <c r="O276" s="4"/>
      <c r="P276" s="4"/>
      <c r="Q276" s="4"/>
      <c r="S276" s="4">
        <v>-19668.689999999999</v>
      </c>
    </row>
    <row r="277" spans="2:19" x14ac:dyDescent="0.3">
      <c r="B277" s="3"/>
      <c r="C277" s="2" t="str">
        <f t="shared" si="17"/>
        <v/>
      </c>
      <c r="D277" s="2"/>
      <c r="E277" s="2" t="str">
        <f t="shared" si="18"/>
        <v/>
      </c>
      <c r="F277" s="3"/>
      <c r="G277" s="3"/>
      <c r="H277" s="4"/>
      <c r="I277" s="4"/>
      <c r="J277" s="4"/>
      <c r="K277" s="4"/>
      <c r="L277" s="4"/>
      <c r="M277" s="4"/>
      <c r="N277" s="4"/>
      <c r="O277" s="4"/>
      <c r="P277" s="4"/>
      <c r="Q277" s="4"/>
      <c r="S277" s="4">
        <v>-5550.48</v>
      </c>
    </row>
    <row r="278" spans="2:19" x14ac:dyDescent="0.3">
      <c r="B278" s="3"/>
      <c r="C278" s="2" t="str">
        <f t="shared" si="17"/>
        <v/>
      </c>
      <c r="D278" s="2"/>
      <c r="E278" s="2" t="str">
        <f t="shared" si="18"/>
        <v/>
      </c>
      <c r="F278" s="3"/>
      <c r="G278" s="3"/>
      <c r="H278" s="4"/>
      <c r="I278" s="4"/>
      <c r="J278" s="4"/>
      <c r="K278" s="4"/>
      <c r="L278" s="4"/>
      <c r="M278" s="4"/>
      <c r="N278" s="4"/>
      <c r="O278" s="4"/>
      <c r="P278" s="4"/>
      <c r="Q278" s="4"/>
      <c r="S278" s="4">
        <v>-2450</v>
      </c>
    </row>
    <row r="279" spans="2:19" x14ac:dyDescent="0.3">
      <c r="B279" s="3"/>
      <c r="C279" s="2" t="str">
        <f t="shared" si="17"/>
        <v/>
      </c>
      <c r="D279" s="2"/>
      <c r="E279" s="2" t="str">
        <f t="shared" si="18"/>
        <v/>
      </c>
      <c r="F279" s="3"/>
      <c r="G279" s="3"/>
      <c r="H279" s="4"/>
      <c r="I279" s="4"/>
      <c r="J279" s="4"/>
      <c r="K279" s="4"/>
      <c r="L279" s="4"/>
      <c r="M279" s="4"/>
      <c r="N279" s="4"/>
      <c r="O279" s="4"/>
      <c r="P279" s="4"/>
      <c r="Q279" s="4"/>
      <c r="S279" s="4">
        <v>-2318.8000000000002</v>
      </c>
    </row>
    <row r="280" spans="2:19" x14ac:dyDescent="0.3">
      <c r="B280" s="3"/>
      <c r="C280" s="2" t="str">
        <f t="shared" si="17"/>
        <v/>
      </c>
      <c r="D280" s="2"/>
      <c r="E280" s="2" t="str">
        <f t="shared" si="18"/>
        <v/>
      </c>
      <c r="F280" s="3"/>
      <c r="G280" s="3"/>
      <c r="H280" s="4"/>
      <c r="I280" s="4"/>
      <c r="J280" s="4"/>
      <c r="K280" s="4"/>
      <c r="L280" s="4"/>
      <c r="M280" s="4"/>
      <c r="N280" s="4"/>
      <c r="O280" s="4"/>
      <c r="P280" s="4"/>
      <c r="Q280" s="4"/>
      <c r="S280" s="4">
        <v>-147.41</v>
      </c>
    </row>
    <row r="281" spans="2:19" x14ac:dyDescent="0.3">
      <c r="B281" s="3"/>
      <c r="C281" s="2" t="str">
        <f t="shared" si="17"/>
        <v/>
      </c>
      <c r="D281" s="2"/>
      <c r="E281" s="2" t="str">
        <f t="shared" si="18"/>
        <v/>
      </c>
      <c r="F281" s="3"/>
      <c r="G281" s="3"/>
      <c r="H281" s="4"/>
      <c r="I281" s="4"/>
      <c r="J281" s="4"/>
      <c r="K281" s="4"/>
      <c r="L281" s="4"/>
      <c r="M281" s="4"/>
      <c r="N281" s="4"/>
      <c r="O281" s="4"/>
      <c r="P281" s="4"/>
      <c r="Q281" s="4"/>
      <c r="S281" s="4">
        <v>-230</v>
      </c>
    </row>
    <row r="282" spans="2:19" x14ac:dyDescent="0.3">
      <c r="B282" s="3"/>
      <c r="C282" s="2" t="str">
        <f t="shared" si="17"/>
        <v/>
      </c>
      <c r="D282" s="2"/>
      <c r="E282" s="2" t="str">
        <f t="shared" si="18"/>
        <v/>
      </c>
      <c r="F282" s="3"/>
      <c r="G282" s="3"/>
      <c r="H282" s="4"/>
      <c r="I282" s="4"/>
      <c r="J282" s="4"/>
      <c r="K282" s="4"/>
      <c r="L282" s="4"/>
      <c r="M282" s="4"/>
      <c r="N282" s="4"/>
      <c r="O282" s="4"/>
      <c r="P282" s="4"/>
      <c r="Q282" s="4"/>
      <c r="S282" s="4">
        <v>-8972</v>
      </c>
    </row>
    <row r="283" spans="2:19" x14ac:dyDescent="0.3">
      <c r="B283" s="3"/>
      <c r="C283" s="2" t="str">
        <f t="shared" si="17"/>
        <v/>
      </c>
      <c r="D283" s="2"/>
      <c r="E283" s="2" t="str">
        <f t="shared" si="18"/>
        <v/>
      </c>
      <c r="F283" s="3"/>
      <c r="G283" s="3"/>
      <c r="H283" s="4"/>
      <c r="I283" s="4"/>
      <c r="J283" s="4"/>
      <c r="K283" s="4"/>
      <c r="L283" s="4"/>
      <c r="M283" s="4"/>
      <c r="N283" s="4"/>
      <c r="O283" s="4"/>
      <c r="P283" s="4"/>
      <c r="Q283" s="4"/>
      <c r="S283" s="4">
        <v>-3540.48</v>
      </c>
    </row>
    <row r="284" spans="2:19" x14ac:dyDescent="0.3">
      <c r="B284" s="3"/>
      <c r="C284" s="2" t="str">
        <f t="shared" si="17"/>
        <v/>
      </c>
      <c r="D284" s="2"/>
      <c r="E284" s="2" t="str">
        <f t="shared" si="18"/>
        <v/>
      </c>
      <c r="F284" s="3"/>
      <c r="G284" s="3"/>
      <c r="H284" s="4"/>
      <c r="I284" s="4"/>
      <c r="J284" s="4"/>
      <c r="K284" s="4"/>
      <c r="L284" s="4"/>
      <c r="M284" s="4"/>
      <c r="N284" s="4"/>
      <c r="O284" s="4"/>
      <c r="P284" s="4"/>
      <c r="Q284" s="4"/>
      <c r="S284" s="4">
        <v>-2910.48</v>
      </c>
    </row>
    <row r="285" spans="2:19" x14ac:dyDescent="0.3">
      <c r="B285" s="3"/>
      <c r="C285" s="2" t="str">
        <f t="shared" si="17"/>
        <v/>
      </c>
      <c r="D285" s="2"/>
      <c r="E285" s="2" t="str">
        <f t="shared" si="18"/>
        <v/>
      </c>
      <c r="F285" s="3"/>
      <c r="G285" s="3"/>
      <c r="H285" s="4"/>
      <c r="I285" s="4"/>
      <c r="J285" s="4"/>
      <c r="K285" s="4"/>
      <c r="L285" s="4"/>
      <c r="M285" s="4"/>
      <c r="N285" s="4"/>
      <c r="O285" s="4"/>
      <c r="P285" s="4"/>
      <c r="Q285" s="4"/>
      <c r="S285" s="4">
        <v>-190</v>
      </c>
    </row>
    <row r="286" spans="2:19" x14ac:dyDescent="0.3">
      <c r="B286" s="3"/>
      <c r="C286" s="2" t="str">
        <f t="shared" si="17"/>
        <v/>
      </c>
      <c r="D286" s="2"/>
      <c r="E286" s="2" t="str">
        <f t="shared" si="18"/>
        <v/>
      </c>
      <c r="F286" s="3"/>
      <c r="G286" s="3"/>
      <c r="H286" s="4"/>
      <c r="I286" s="4"/>
      <c r="J286" s="4"/>
      <c r="K286" s="4"/>
      <c r="L286" s="4"/>
      <c r="M286" s="4"/>
      <c r="N286" s="4"/>
      <c r="O286" s="4"/>
      <c r="P286" s="4"/>
      <c r="Q286" s="4"/>
      <c r="S286" s="4">
        <v>-280</v>
      </c>
    </row>
    <row r="287" spans="2:19" x14ac:dyDescent="0.3">
      <c r="B287" s="3"/>
      <c r="C287" s="2" t="str">
        <f t="shared" si="17"/>
        <v/>
      </c>
      <c r="D287" s="2"/>
      <c r="E287" s="2" t="str">
        <f t="shared" si="18"/>
        <v/>
      </c>
      <c r="F287" s="3"/>
      <c r="G287" s="3"/>
      <c r="H287" s="4"/>
      <c r="I287" s="4"/>
      <c r="J287" s="4"/>
      <c r="K287" s="4"/>
      <c r="L287" s="4"/>
      <c r="M287" s="4"/>
      <c r="N287" s="4"/>
      <c r="O287" s="4"/>
      <c r="P287" s="4"/>
      <c r="Q287" s="4"/>
      <c r="S287" s="4">
        <v>-160</v>
      </c>
    </row>
    <row r="288" spans="2:19" x14ac:dyDescent="0.3">
      <c r="B288" s="3"/>
      <c r="C288" s="2" t="str">
        <f t="shared" si="17"/>
        <v/>
      </c>
      <c r="D288" s="2"/>
      <c r="E288" s="2" t="str">
        <f t="shared" si="18"/>
        <v/>
      </c>
      <c r="F288" s="3"/>
      <c r="G288" s="3"/>
      <c r="H288" s="4"/>
      <c r="I288" s="4"/>
      <c r="J288" s="4"/>
      <c r="K288" s="4"/>
      <c r="L288" s="4"/>
      <c r="M288" s="4"/>
      <c r="N288" s="4"/>
      <c r="O288" s="4"/>
      <c r="P288" s="4"/>
      <c r="Q288" s="4"/>
      <c r="S288" s="4">
        <v>-520.64</v>
      </c>
    </row>
    <row r="289" spans="2:19" x14ac:dyDescent="0.3">
      <c r="B289" s="3"/>
      <c r="C289" s="2" t="str">
        <f t="shared" si="17"/>
        <v/>
      </c>
      <c r="D289" s="2"/>
      <c r="E289" s="2" t="str">
        <f t="shared" si="18"/>
        <v/>
      </c>
      <c r="F289" s="3"/>
      <c r="G289" s="3"/>
      <c r="H289" s="4"/>
      <c r="I289" s="4"/>
      <c r="J289" s="4"/>
      <c r="K289" s="4"/>
      <c r="L289" s="4"/>
      <c r="M289" s="4"/>
      <c r="N289" s="4"/>
      <c r="O289" s="4"/>
      <c r="P289" s="4"/>
      <c r="Q289" s="4"/>
      <c r="S289" s="4">
        <v>-520.64</v>
      </c>
    </row>
    <row r="290" spans="2:19" x14ac:dyDescent="0.3">
      <c r="B290" s="3"/>
      <c r="C290" s="2" t="str">
        <f t="shared" si="17"/>
        <v/>
      </c>
      <c r="D290" s="2"/>
      <c r="E290" s="2" t="str">
        <f t="shared" si="18"/>
        <v/>
      </c>
      <c r="F290" s="3"/>
      <c r="G290" s="3"/>
      <c r="H290" s="4"/>
      <c r="I290" s="4"/>
      <c r="J290" s="4"/>
      <c r="K290" s="4"/>
      <c r="L290" s="4"/>
      <c r="M290" s="4"/>
      <c r="N290" s="4"/>
      <c r="O290" s="4"/>
      <c r="P290" s="4"/>
      <c r="Q290" s="4"/>
      <c r="S290" s="4">
        <v>-3643.53</v>
      </c>
    </row>
    <row r="291" spans="2:19" x14ac:dyDescent="0.3">
      <c r="B291" s="3"/>
      <c r="C291" s="2" t="str">
        <f t="shared" si="17"/>
        <v/>
      </c>
      <c r="D291" s="2"/>
      <c r="E291" s="2" t="str">
        <f t="shared" si="18"/>
        <v/>
      </c>
      <c r="F291" s="3"/>
      <c r="G291" s="3"/>
      <c r="H291" s="4"/>
      <c r="I291" s="4"/>
      <c r="J291" s="4"/>
      <c r="K291" s="4"/>
      <c r="L291" s="4"/>
      <c r="M291" s="4"/>
      <c r="N291" s="4"/>
      <c r="O291" s="4"/>
      <c r="P291" s="4"/>
      <c r="Q291" s="4"/>
      <c r="S291" s="4">
        <v>-3158.65</v>
      </c>
    </row>
    <row r="292" spans="2:19" x14ac:dyDescent="0.3">
      <c r="B292" s="3"/>
      <c r="C292" s="2" t="str">
        <f t="shared" si="17"/>
        <v/>
      </c>
      <c r="D292" s="2"/>
      <c r="E292" s="2" t="str">
        <f t="shared" si="18"/>
        <v/>
      </c>
      <c r="F292" s="3"/>
      <c r="G292" s="3"/>
      <c r="H292" s="4"/>
      <c r="I292" s="4"/>
      <c r="J292" s="4"/>
      <c r="K292" s="4"/>
      <c r="L292" s="4"/>
      <c r="M292" s="4"/>
      <c r="N292" s="4"/>
      <c r="O292" s="4"/>
      <c r="P292" s="4"/>
      <c r="Q292" s="4"/>
      <c r="S292" s="4">
        <v>-484.88</v>
      </c>
    </row>
    <row r="293" spans="2:19" x14ac:dyDescent="0.3">
      <c r="B293" s="3"/>
      <c r="C293" s="2" t="str">
        <f t="shared" si="17"/>
        <v/>
      </c>
      <c r="D293" s="2"/>
      <c r="E293" s="2" t="str">
        <f t="shared" si="18"/>
        <v/>
      </c>
      <c r="F293" s="3"/>
      <c r="G293" s="3"/>
      <c r="H293" s="4"/>
      <c r="I293" s="4"/>
      <c r="J293" s="4"/>
      <c r="K293" s="4"/>
      <c r="L293" s="4"/>
      <c r="M293" s="4"/>
      <c r="N293" s="4"/>
      <c r="O293" s="4"/>
      <c r="P293" s="4"/>
      <c r="Q293" s="4"/>
      <c r="S293" s="4">
        <v>-380</v>
      </c>
    </row>
    <row r="294" spans="2:19" x14ac:dyDescent="0.3">
      <c r="B294" s="3"/>
      <c r="C294" s="2" t="str">
        <f t="shared" si="17"/>
        <v/>
      </c>
      <c r="D294" s="2"/>
      <c r="E294" s="2" t="str">
        <f t="shared" si="18"/>
        <v/>
      </c>
      <c r="F294" s="3"/>
      <c r="G294" s="3"/>
      <c r="H294" s="4"/>
      <c r="I294" s="4"/>
      <c r="J294" s="4"/>
      <c r="K294" s="4"/>
      <c r="L294" s="4"/>
      <c r="M294" s="4"/>
      <c r="N294" s="4"/>
      <c r="O294" s="4"/>
      <c r="P294" s="4"/>
      <c r="Q294" s="4"/>
      <c r="S294" s="4">
        <v>-380</v>
      </c>
    </row>
    <row r="295" spans="2:19" x14ac:dyDescent="0.3">
      <c r="B295" s="3"/>
      <c r="C295" s="2" t="str">
        <f t="shared" si="17"/>
        <v/>
      </c>
      <c r="D295" s="2"/>
      <c r="E295" s="2" t="str">
        <f t="shared" si="18"/>
        <v/>
      </c>
      <c r="F295" s="3"/>
      <c r="G295" s="3"/>
      <c r="H295" s="4"/>
      <c r="I295" s="4"/>
      <c r="J295" s="4"/>
      <c r="K295" s="4"/>
      <c r="L295" s="4"/>
      <c r="M295" s="4"/>
      <c r="N295" s="4"/>
      <c r="O295" s="4"/>
      <c r="P295" s="4"/>
      <c r="Q295" s="4"/>
      <c r="S295" s="4">
        <v>-265292.7</v>
      </c>
    </row>
    <row r="296" spans="2:19" x14ac:dyDescent="0.3">
      <c r="B296" s="3"/>
      <c r="C296" s="2" t="str">
        <f t="shared" ref="C296:C359" si="19">IF($F296="","",IF(LEFT($F296,1)*1=1,"A",IF(LEFT($F296,1)*1=2,"P",IF(LEFT($F296,1)*1=3,"C",IF(LEFT($F296,1)*1=4,"C",IF(LEFT($F296,1)*1=5,"R",""))))))</f>
        <v/>
      </c>
      <c r="D296" s="2"/>
      <c r="E296" s="2" t="str">
        <f t="shared" ref="E296:E359" si="20">IF($F296="","",IF(LEN($F296)=1,1,IF(LEN($F296)=3,2,IF(LEN($F296)=6,3,IF(LEN($F296)=9,4,IF(LEN($F296)=12,5,6))))))</f>
        <v/>
      </c>
      <c r="F296" s="3"/>
      <c r="G296" s="3"/>
      <c r="H296" s="4"/>
      <c r="I296" s="4"/>
      <c r="J296" s="4"/>
      <c r="K296" s="4"/>
      <c r="L296" s="4"/>
      <c r="M296" s="4"/>
      <c r="N296" s="4"/>
      <c r="O296" s="4"/>
      <c r="P296" s="4"/>
      <c r="Q296" s="4"/>
      <c r="S296" s="4">
        <v>-262149.63</v>
      </c>
    </row>
    <row r="297" spans="2:19" x14ac:dyDescent="0.3">
      <c r="B297" s="3"/>
      <c r="C297" s="2" t="str">
        <f t="shared" si="19"/>
        <v/>
      </c>
      <c r="D297" s="2"/>
      <c r="E297" s="2" t="str">
        <f t="shared" si="20"/>
        <v/>
      </c>
      <c r="F297" s="3"/>
      <c r="G297" s="3"/>
      <c r="H297" s="4"/>
      <c r="I297" s="4"/>
      <c r="J297" s="4"/>
      <c r="K297" s="4"/>
      <c r="L297" s="4"/>
      <c r="M297" s="4"/>
      <c r="N297" s="4"/>
      <c r="O297" s="4"/>
      <c r="P297" s="4"/>
      <c r="Q297" s="4"/>
      <c r="S297" s="4">
        <v>-3143.07</v>
      </c>
    </row>
    <row r="298" spans="2:19" x14ac:dyDescent="0.3">
      <c r="B298" s="3"/>
      <c r="C298" s="2" t="str">
        <f t="shared" si="19"/>
        <v/>
      </c>
      <c r="D298" s="2"/>
      <c r="E298" s="2" t="str">
        <f t="shared" si="20"/>
        <v/>
      </c>
      <c r="F298" s="3"/>
      <c r="G298" s="3"/>
      <c r="H298" s="4"/>
      <c r="I298" s="4"/>
      <c r="J298" s="4"/>
      <c r="K298" s="4"/>
      <c r="L298" s="4"/>
      <c r="M298" s="4"/>
      <c r="N298" s="4"/>
      <c r="O298" s="4"/>
      <c r="P298" s="4"/>
      <c r="Q298" s="4"/>
      <c r="S298" s="4">
        <v>-20109.27</v>
      </c>
    </row>
    <row r="299" spans="2:19" x14ac:dyDescent="0.3">
      <c r="B299" s="3"/>
      <c r="C299" s="2" t="str">
        <f t="shared" si="19"/>
        <v/>
      </c>
      <c r="D299" s="2"/>
      <c r="E299" s="2" t="str">
        <f t="shared" si="20"/>
        <v/>
      </c>
      <c r="F299" s="3"/>
      <c r="G299" s="3"/>
      <c r="H299" s="4"/>
      <c r="I299" s="4"/>
      <c r="J299" s="4"/>
      <c r="K299" s="4"/>
      <c r="L299" s="4"/>
      <c r="M299" s="4"/>
      <c r="N299" s="4"/>
      <c r="O299" s="4"/>
      <c r="P299" s="4"/>
      <c r="Q299" s="4"/>
      <c r="S299" s="4">
        <v>-8826.16</v>
      </c>
    </row>
    <row r="300" spans="2:19" x14ac:dyDescent="0.3">
      <c r="B300" s="3"/>
      <c r="C300" s="2" t="str">
        <f t="shared" si="19"/>
        <v/>
      </c>
      <c r="D300" s="2"/>
      <c r="E300" s="2" t="str">
        <f t="shared" si="20"/>
        <v/>
      </c>
      <c r="F300" s="3"/>
      <c r="G300" s="3"/>
      <c r="H300" s="4"/>
      <c r="I300" s="4"/>
      <c r="J300" s="4"/>
      <c r="K300" s="4"/>
      <c r="L300" s="4"/>
      <c r="M300" s="4"/>
      <c r="N300" s="4"/>
      <c r="O300" s="4"/>
      <c r="P300" s="4"/>
      <c r="Q300" s="4"/>
      <c r="S300" s="4">
        <v>-4001.44</v>
      </c>
    </row>
    <row r="301" spans="2:19" x14ac:dyDescent="0.3">
      <c r="B301" s="3"/>
      <c r="C301" s="2" t="str">
        <f t="shared" si="19"/>
        <v/>
      </c>
      <c r="D301" s="2"/>
      <c r="E301" s="2" t="str">
        <f t="shared" si="20"/>
        <v/>
      </c>
      <c r="F301" s="3"/>
      <c r="G301" s="3"/>
      <c r="H301" s="4"/>
      <c r="I301" s="4"/>
      <c r="J301" s="4"/>
      <c r="K301" s="4"/>
      <c r="L301" s="4"/>
      <c r="M301" s="4"/>
      <c r="N301" s="4"/>
      <c r="O301" s="4"/>
      <c r="P301" s="4"/>
      <c r="Q301" s="4"/>
      <c r="S301" s="4">
        <v>-3044.72</v>
      </c>
    </row>
    <row r="302" spans="2:19" x14ac:dyDescent="0.3">
      <c r="B302" s="3"/>
      <c r="C302" s="2" t="str">
        <f t="shared" si="19"/>
        <v/>
      </c>
      <c r="D302" s="2"/>
      <c r="E302" s="2" t="str">
        <f t="shared" si="20"/>
        <v/>
      </c>
      <c r="F302" s="3"/>
      <c r="G302" s="3"/>
      <c r="H302" s="4"/>
      <c r="I302" s="4"/>
      <c r="J302" s="4"/>
      <c r="K302" s="4"/>
      <c r="L302" s="4"/>
      <c r="M302" s="4"/>
      <c r="N302" s="4"/>
      <c r="O302" s="4"/>
      <c r="P302" s="4"/>
      <c r="Q302" s="4"/>
      <c r="S302" s="4">
        <v>-1780</v>
      </c>
    </row>
    <row r="303" spans="2:19" x14ac:dyDescent="0.3">
      <c r="B303" s="3"/>
      <c r="C303" s="2" t="str">
        <f t="shared" si="19"/>
        <v/>
      </c>
      <c r="D303" s="2"/>
      <c r="E303" s="2" t="str">
        <f t="shared" si="20"/>
        <v/>
      </c>
      <c r="F303" s="3"/>
      <c r="G303" s="3"/>
      <c r="H303" s="4"/>
      <c r="I303" s="4"/>
      <c r="J303" s="4"/>
      <c r="K303" s="4"/>
      <c r="L303" s="4"/>
      <c r="M303" s="4"/>
      <c r="N303" s="4"/>
      <c r="O303" s="4"/>
      <c r="P303" s="4"/>
      <c r="Q303" s="4"/>
      <c r="S303" s="4">
        <v>-5074.22</v>
      </c>
    </row>
    <row r="304" spans="2:19" x14ac:dyDescent="0.3">
      <c r="B304" s="3"/>
      <c r="C304" s="2" t="str">
        <f t="shared" si="19"/>
        <v/>
      </c>
      <c r="D304" s="2"/>
      <c r="E304" s="2" t="str">
        <f t="shared" si="20"/>
        <v/>
      </c>
      <c r="F304" s="3"/>
      <c r="G304" s="3"/>
      <c r="H304" s="4"/>
      <c r="I304" s="4"/>
      <c r="J304" s="4"/>
      <c r="K304" s="4"/>
      <c r="L304" s="4"/>
      <c r="M304" s="4"/>
      <c r="N304" s="4"/>
      <c r="O304" s="4"/>
      <c r="P304" s="4"/>
      <c r="Q304" s="4"/>
      <c r="S304" s="4">
        <v>-5074.22</v>
      </c>
    </row>
    <row r="305" spans="2:19" x14ac:dyDescent="0.3">
      <c r="B305" s="3"/>
      <c r="C305" s="2" t="str">
        <f t="shared" si="19"/>
        <v/>
      </c>
      <c r="D305" s="2"/>
      <c r="E305" s="2" t="str">
        <f t="shared" si="20"/>
        <v/>
      </c>
      <c r="F305" s="3"/>
      <c r="G305" s="3"/>
      <c r="H305" s="4"/>
      <c r="I305" s="4"/>
      <c r="J305" s="4"/>
      <c r="K305" s="4"/>
      <c r="L305" s="4"/>
      <c r="M305" s="4"/>
      <c r="N305" s="4"/>
      <c r="O305" s="4"/>
      <c r="P305" s="4"/>
      <c r="Q305" s="4"/>
      <c r="S305" s="4">
        <v>0</v>
      </c>
    </row>
    <row r="306" spans="2:19" x14ac:dyDescent="0.3">
      <c r="B306" s="3"/>
      <c r="C306" s="2" t="str">
        <f t="shared" si="19"/>
        <v/>
      </c>
      <c r="D306" s="2"/>
      <c r="E306" s="2" t="str">
        <f t="shared" si="20"/>
        <v/>
      </c>
      <c r="F306" s="3"/>
      <c r="G306" s="3"/>
      <c r="H306" s="4"/>
      <c r="I306" s="4"/>
      <c r="J306" s="4"/>
      <c r="K306" s="4"/>
      <c r="L306" s="4"/>
      <c r="M306" s="4"/>
      <c r="N306" s="4"/>
      <c r="O306" s="4"/>
      <c r="P306" s="4"/>
      <c r="Q306" s="4"/>
      <c r="S306" s="4">
        <v>0</v>
      </c>
    </row>
    <row r="307" spans="2:19" x14ac:dyDescent="0.3">
      <c r="B307" s="3"/>
      <c r="C307" s="2" t="str">
        <f t="shared" si="19"/>
        <v/>
      </c>
      <c r="D307" s="2"/>
      <c r="E307" s="2" t="str">
        <f t="shared" si="20"/>
        <v/>
      </c>
      <c r="F307" s="3"/>
      <c r="G307" s="3"/>
      <c r="H307" s="4"/>
      <c r="I307" s="4"/>
      <c r="J307" s="4"/>
      <c r="K307" s="4"/>
      <c r="L307" s="4"/>
      <c r="M307" s="4"/>
      <c r="N307" s="4"/>
      <c r="O307" s="4"/>
      <c r="P307" s="4"/>
      <c r="Q307" s="4"/>
      <c r="S307" s="4">
        <v>-1095.99</v>
      </c>
    </row>
    <row r="308" spans="2:19" x14ac:dyDescent="0.3">
      <c r="B308" s="3"/>
      <c r="C308" s="2" t="str">
        <f t="shared" si="19"/>
        <v/>
      </c>
      <c r="D308" s="2"/>
      <c r="E308" s="2" t="str">
        <f t="shared" si="20"/>
        <v/>
      </c>
      <c r="F308" s="3"/>
      <c r="G308" s="3"/>
      <c r="H308" s="4"/>
      <c r="I308" s="4"/>
      <c r="J308" s="4"/>
      <c r="K308" s="4"/>
      <c r="L308" s="4"/>
      <c r="M308" s="4"/>
      <c r="N308" s="4"/>
      <c r="O308" s="4"/>
      <c r="P308" s="4"/>
      <c r="Q308" s="4"/>
      <c r="S308" s="4">
        <v>-742.45</v>
      </c>
    </row>
    <row r="309" spans="2:19" x14ac:dyDescent="0.3">
      <c r="B309" s="3"/>
      <c r="C309" s="2" t="str">
        <f t="shared" si="19"/>
        <v/>
      </c>
      <c r="D309" s="2"/>
      <c r="E309" s="2" t="str">
        <f t="shared" si="20"/>
        <v/>
      </c>
      <c r="F309" s="3"/>
      <c r="G309" s="3"/>
      <c r="H309" s="4"/>
      <c r="I309" s="4"/>
      <c r="J309" s="4"/>
      <c r="K309" s="4"/>
      <c r="L309" s="4"/>
      <c r="M309" s="4"/>
      <c r="N309" s="4"/>
      <c r="O309" s="4"/>
      <c r="P309" s="4"/>
      <c r="Q309" s="4"/>
      <c r="S309" s="4">
        <v>-353.54</v>
      </c>
    </row>
    <row r="310" spans="2:19" x14ac:dyDescent="0.3">
      <c r="B310" s="3"/>
      <c r="C310" s="2" t="str">
        <f t="shared" si="19"/>
        <v/>
      </c>
      <c r="D310" s="2"/>
      <c r="E310" s="2" t="str">
        <f t="shared" si="20"/>
        <v/>
      </c>
      <c r="F310" s="3"/>
      <c r="G310" s="3"/>
      <c r="H310" s="4"/>
      <c r="I310" s="4"/>
      <c r="J310" s="4"/>
      <c r="K310" s="4"/>
      <c r="L310" s="4"/>
      <c r="M310" s="4"/>
      <c r="N310" s="4"/>
      <c r="O310" s="4"/>
      <c r="P310" s="4"/>
      <c r="Q310" s="4"/>
      <c r="S310" s="4">
        <v>-5112.8999999999996</v>
      </c>
    </row>
    <row r="311" spans="2:19" x14ac:dyDescent="0.3">
      <c r="B311" s="3"/>
      <c r="C311" s="2" t="str">
        <f t="shared" si="19"/>
        <v/>
      </c>
      <c r="D311" s="2"/>
      <c r="E311" s="2" t="str">
        <f t="shared" si="20"/>
        <v/>
      </c>
      <c r="F311" s="3"/>
      <c r="G311" s="3"/>
      <c r="H311" s="4"/>
      <c r="I311" s="4"/>
      <c r="J311" s="4"/>
      <c r="K311" s="4"/>
      <c r="L311" s="4"/>
      <c r="M311" s="4"/>
      <c r="N311" s="4"/>
      <c r="O311" s="4"/>
      <c r="P311" s="4"/>
      <c r="Q311" s="4"/>
      <c r="S311" s="4">
        <v>-4422.71</v>
      </c>
    </row>
    <row r="312" spans="2:19" x14ac:dyDescent="0.3">
      <c r="B312" s="3"/>
      <c r="C312" s="2" t="str">
        <f t="shared" si="19"/>
        <v/>
      </c>
      <c r="D312" s="2"/>
      <c r="E312" s="2" t="str">
        <f t="shared" si="20"/>
        <v/>
      </c>
      <c r="F312" s="3"/>
      <c r="G312" s="3"/>
      <c r="H312" s="4"/>
      <c r="I312" s="4"/>
      <c r="J312" s="4"/>
      <c r="K312" s="4"/>
      <c r="L312" s="4"/>
      <c r="M312" s="4"/>
      <c r="N312" s="4"/>
      <c r="O312" s="4"/>
      <c r="P312" s="4"/>
      <c r="Q312" s="4"/>
      <c r="S312" s="4">
        <v>-690.19</v>
      </c>
    </row>
    <row r="313" spans="2:19" x14ac:dyDescent="0.3">
      <c r="B313" s="3"/>
      <c r="C313" s="2" t="str">
        <f t="shared" si="19"/>
        <v/>
      </c>
      <c r="D313" s="2"/>
      <c r="E313" s="2" t="str">
        <f t="shared" si="20"/>
        <v/>
      </c>
      <c r="F313" s="3"/>
      <c r="G313" s="3"/>
      <c r="H313" s="4"/>
      <c r="I313" s="4"/>
      <c r="J313" s="4"/>
      <c r="K313" s="4"/>
      <c r="L313" s="4"/>
      <c r="M313" s="4"/>
      <c r="N313" s="4"/>
      <c r="O313" s="4"/>
      <c r="P313" s="4"/>
      <c r="Q313" s="4"/>
      <c r="S313" s="4">
        <v>0</v>
      </c>
    </row>
    <row r="314" spans="2:19" x14ac:dyDescent="0.3">
      <c r="B314" s="3"/>
      <c r="C314" s="2" t="str">
        <f t="shared" si="19"/>
        <v/>
      </c>
      <c r="D314" s="2"/>
      <c r="E314" s="2" t="str">
        <f t="shared" si="20"/>
        <v/>
      </c>
      <c r="F314" s="3"/>
      <c r="G314" s="3"/>
      <c r="H314" s="4"/>
      <c r="I314" s="4"/>
      <c r="J314" s="4"/>
      <c r="K314" s="4"/>
      <c r="L314" s="4"/>
      <c r="M314" s="4"/>
      <c r="N314" s="4"/>
      <c r="O314" s="4"/>
      <c r="P314" s="4"/>
      <c r="Q314" s="4"/>
      <c r="S314" s="4">
        <v>0</v>
      </c>
    </row>
    <row r="315" spans="2:19" x14ac:dyDescent="0.3">
      <c r="B315" s="3"/>
      <c r="C315" s="2" t="str">
        <f t="shared" si="19"/>
        <v/>
      </c>
      <c r="D315" s="2"/>
      <c r="E315" s="2" t="str">
        <f t="shared" si="20"/>
        <v/>
      </c>
      <c r="F315" s="3"/>
      <c r="G315" s="3"/>
      <c r="H315" s="4"/>
      <c r="I315" s="4"/>
      <c r="J315" s="4"/>
      <c r="K315" s="4"/>
      <c r="L315" s="4"/>
      <c r="M315" s="4"/>
      <c r="N315" s="4"/>
      <c r="O315" s="4"/>
      <c r="P315" s="4"/>
      <c r="Q315" s="4"/>
      <c r="S315" s="4">
        <v>0</v>
      </c>
    </row>
    <row r="316" spans="2:19" x14ac:dyDescent="0.3">
      <c r="B316" s="3"/>
      <c r="C316" s="2" t="str">
        <f t="shared" si="19"/>
        <v/>
      </c>
      <c r="D316" s="2"/>
      <c r="E316" s="2" t="str">
        <f t="shared" si="20"/>
        <v/>
      </c>
      <c r="F316" s="3"/>
      <c r="G316" s="3"/>
      <c r="H316" s="4"/>
      <c r="I316" s="4"/>
      <c r="J316" s="4"/>
      <c r="K316" s="4"/>
      <c r="L316" s="4"/>
      <c r="M316" s="4"/>
      <c r="N316" s="4"/>
      <c r="O316" s="4"/>
      <c r="P316" s="4"/>
      <c r="Q316" s="4"/>
      <c r="S316" s="4">
        <v>0</v>
      </c>
    </row>
    <row r="317" spans="2:19" x14ac:dyDescent="0.3">
      <c r="B317" s="3"/>
      <c r="C317" s="2" t="str">
        <f t="shared" si="19"/>
        <v/>
      </c>
      <c r="D317" s="2"/>
      <c r="E317" s="2" t="str">
        <f t="shared" si="20"/>
        <v/>
      </c>
      <c r="F317" s="3"/>
      <c r="G317" s="3"/>
      <c r="H317" s="4"/>
      <c r="I317" s="4"/>
      <c r="J317" s="4"/>
      <c r="K317" s="4"/>
      <c r="L317" s="4"/>
      <c r="M317" s="4"/>
      <c r="N317" s="4"/>
      <c r="O317" s="4"/>
      <c r="P317" s="4"/>
      <c r="Q317" s="4"/>
      <c r="S317" s="4">
        <v>0</v>
      </c>
    </row>
    <row r="318" spans="2:19" x14ac:dyDescent="0.3">
      <c r="B318" s="3"/>
      <c r="C318" s="2" t="str">
        <f t="shared" si="19"/>
        <v/>
      </c>
      <c r="D318" s="2"/>
      <c r="E318" s="2" t="str">
        <f t="shared" si="20"/>
        <v/>
      </c>
      <c r="F318" s="3"/>
      <c r="G318" s="3"/>
      <c r="H318" s="4"/>
      <c r="I318" s="4"/>
      <c r="J318" s="4"/>
      <c r="K318" s="4"/>
      <c r="L318" s="4"/>
      <c r="M318" s="4"/>
      <c r="N318" s="4"/>
      <c r="O318" s="4"/>
      <c r="P318" s="4"/>
      <c r="Q318" s="4"/>
      <c r="S318" s="4">
        <v>0</v>
      </c>
    </row>
    <row r="319" spans="2:19" x14ac:dyDescent="0.3">
      <c r="B319" s="3"/>
      <c r="C319" s="2" t="str">
        <f t="shared" si="19"/>
        <v/>
      </c>
      <c r="D319" s="2"/>
      <c r="E319" s="2" t="str">
        <f t="shared" si="20"/>
        <v/>
      </c>
      <c r="F319" s="3"/>
      <c r="G319" s="3"/>
      <c r="H319" s="4"/>
      <c r="I319" s="4"/>
      <c r="J319" s="4"/>
      <c r="K319" s="4"/>
      <c r="L319" s="4"/>
      <c r="M319" s="4"/>
      <c r="N319" s="4"/>
      <c r="O319" s="4"/>
      <c r="P319" s="4"/>
      <c r="Q319" s="4"/>
      <c r="S319" s="4">
        <v>0</v>
      </c>
    </row>
    <row r="320" spans="2:19" x14ac:dyDescent="0.3">
      <c r="B320" s="3"/>
      <c r="C320" s="2" t="str">
        <f t="shared" si="19"/>
        <v/>
      </c>
      <c r="D320" s="2"/>
      <c r="E320" s="2" t="str">
        <f t="shared" si="20"/>
        <v/>
      </c>
      <c r="F320" s="3"/>
      <c r="G320" s="3"/>
      <c r="H320" s="4"/>
      <c r="I320" s="4"/>
      <c r="J320" s="4"/>
      <c r="K320" s="4"/>
      <c r="L320" s="4"/>
      <c r="M320" s="4"/>
      <c r="N320" s="4"/>
      <c r="O320" s="4"/>
      <c r="P320" s="4"/>
      <c r="Q320" s="4"/>
      <c r="S320" s="4">
        <v>0</v>
      </c>
    </row>
    <row r="321" spans="2:19" x14ac:dyDescent="0.3">
      <c r="B321" s="3"/>
      <c r="C321" s="2" t="str">
        <f t="shared" si="19"/>
        <v/>
      </c>
      <c r="D321" s="2"/>
      <c r="E321" s="2" t="str">
        <f t="shared" si="20"/>
        <v/>
      </c>
      <c r="F321" s="3"/>
      <c r="G321" s="3"/>
      <c r="H321" s="4"/>
      <c r="I321" s="4"/>
      <c r="J321" s="4"/>
      <c r="K321" s="4"/>
      <c r="L321" s="4"/>
      <c r="M321" s="4"/>
      <c r="N321" s="4"/>
      <c r="O321" s="4"/>
      <c r="P321" s="4"/>
      <c r="Q321" s="4"/>
      <c r="S321" s="4">
        <v>0</v>
      </c>
    </row>
    <row r="322" spans="2:19" x14ac:dyDescent="0.3">
      <c r="B322" s="3"/>
      <c r="C322" s="2" t="str">
        <f t="shared" si="19"/>
        <v/>
      </c>
      <c r="D322" s="2"/>
      <c r="E322" s="2" t="str">
        <f t="shared" si="20"/>
        <v/>
      </c>
      <c r="F322" s="3"/>
      <c r="G322" s="3"/>
      <c r="H322" s="4"/>
      <c r="I322" s="4"/>
      <c r="J322" s="4"/>
      <c r="K322" s="4"/>
      <c r="L322" s="4"/>
      <c r="M322" s="4"/>
      <c r="N322" s="4"/>
      <c r="O322" s="4"/>
      <c r="P322" s="4"/>
      <c r="Q322" s="4"/>
      <c r="S322" s="4">
        <v>0</v>
      </c>
    </row>
    <row r="323" spans="2:19" x14ac:dyDescent="0.3">
      <c r="B323" s="3"/>
      <c r="C323" s="2" t="str">
        <f t="shared" si="19"/>
        <v/>
      </c>
      <c r="D323" s="2"/>
      <c r="E323" s="2" t="str">
        <f t="shared" si="20"/>
        <v/>
      </c>
      <c r="F323" s="3"/>
      <c r="G323" s="3"/>
      <c r="H323" s="4"/>
      <c r="I323" s="4"/>
      <c r="J323" s="4"/>
      <c r="K323" s="4"/>
      <c r="L323" s="4"/>
      <c r="M323" s="4"/>
      <c r="N323" s="4"/>
      <c r="O323" s="4"/>
      <c r="P323" s="4"/>
      <c r="Q323" s="4"/>
      <c r="S323" s="4">
        <v>-258192.16</v>
      </c>
    </row>
    <row r="324" spans="2:19" x14ac:dyDescent="0.3">
      <c r="B324" s="3"/>
      <c r="C324" s="2" t="str">
        <f t="shared" si="19"/>
        <v/>
      </c>
      <c r="D324" s="2"/>
      <c r="E324" s="2" t="str">
        <f t="shared" si="20"/>
        <v/>
      </c>
      <c r="F324" s="3"/>
      <c r="G324" s="3"/>
      <c r="H324" s="4"/>
      <c r="I324" s="4"/>
      <c r="J324" s="4"/>
      <c r="K324" s="4"/>
      <c r="L324" s="4"/>
      <c r="M324" s="4"/>
      <c r="N324" s="4"/>
      <c r="O324" s="4"/>
      <c r="P324" s="4"/>
      <c r="Q324" s="4"/>
      <c r="S324" s="4">
        <v>-258192.16</v>
      </c>
    </row>
    <row r="325" spans="2:19" x14ac:dyDescent="0.3">
      <c r="B325" s="3"/>
      <c r="C325" s="2" t="str">
        <f t="shared" si="19"/>
        <v/>
      </c>
      <c r="D325" s="2"/>
      <c r="E325" s="2" t="str">
        <f t="shared" si="20"/>
        <v/>
      </c>
      <c r="F325" s="3"/>
      <c r="G325" s="3"/>
      <c r="H325" s="4"/>
      <c r="I325" s="4"/>
      <c r="J325" s="4"/>
      <c r="K325" s="4"/>
      <c r="L325" s="4"/>
      <c r="M325" s="4"/>
      <c r="N325" s="4"/>
      <c r="O325" s="4"/>
      <c r="P325" s="4"/>
      <c r="Q325" s="4"/>
      <c r="S325" s="4">
        <v>0</v>
      </c>
    </row>
    <row r="326" spans="2:19" x14ac:dyDescent="0.3">
      <c r="B326" s="3"/>
      <c r="C326" s="2" t="str">
        <f t="shared" si="19"/>
        <v/>
      </c>
      <c r="D326" s="2"/>
      <c r="E326" s="2" t="str">
        <f t="shared" si="20"/>
        <v/>
      </c>
      <c r="F326" s="3"/>
      <c r="G326" s="3"/>
      <c r="H326" s="4"/>
      <c r="I326" s="4"/>
      <c r="J326" s="4"/>
      <c r="K326" s="4"/>
      <c r="L326" s="4"/>
      <c r="M326" s="4"/>
      <c r="N326" s="4"/>
      <c r="O326" s="4"/>
      <c r="P326" s="4"/>
      <c r="Q326" s="4"/>
      <c r="S326" s="4">
        <v>0</v>
      </c>
    </row>
    <row r="327" spans="2:19" x14ac:dyDescent="0.3">
      <c r="B327" s="3"/>
      <c r="C327" s="2" t="str">
        <f t="shared" si="19"/>
        <v/>
      </c>
      <c r="D327" s="2"/>
      <c r="E327" s="2" t="str">
        <f t="shared" si="20"/>
        <v/>
      </c>
      <c r="F327" s="3"/>
      <c r="G327" s="3"/>
      <c r="H327" s="4"/>
      <c r="I327" s="4"/>
      <c r="J327" s="4"/>
      <c r="K327" s="4"/>
      <c r="L327" s="4"/>
      <c r="M327" s="4"/>
      <c r="N327" s="4"/>
      <c r="O327" s="4"/>
      <c r="P327" s="4"/>
      <c r="Q327" s="4"/>
      <c r="S327" s="4">
        <v>0</v>
      </c>
    </row>
    <row r="328" spans="2:19" x14ac:dyDescent="0.3">
      <c r="B328" s="3"/>
      <c r="C328" s="2" t="str">
        <f t="shared" si="19"/>
        <v/>
      </c>
      <c r="D328" s="2"/>
      <c r="E328" s="2" t="str">
        <f t="shared" si="20"/>
        <v/>
      </c>
      <c r="F328" s="3"/>
      <c r="G328" s="3"/>
      <c r="H328" s="4"/>
      <c r="I328" s="4"/>
      <c r="J328" s="4"/>
      <c r="K328" s="4"/>
      <c r="L328" s="4"/>
      <c r="M328" s="4"/>
      <c r="N328" s="4"/>
      <c r="O328" s="4"/>
      <c r="P328" s="4"/>
      <c r="Q328" s="4"/>
      <c r="S328" s="4">
        <v>0</v>
      </c>
    </row>
    <row r="329" spans="2:19" x14ac:dyDescent="0.3">
      <c r="B329" s="3"/>
      <c r="C329" s="2" t="str">
        <f t="shared" si="19"/>
        <v/>
      </c>
      <c r="D329" s="2"/>
      <c r="E329" s="2" t="str">
        <f t="shared" si="20"/>
        <v/>
      </c>
      <c r="F329" s="3"/>
      <c r="G329" s="3"/>
      <c r="H329" s="4"/>
      <c r="I329" s="4"/>
      <c r="J329" s="4"/>
      <c r="K329" s="4"/>
      <c r="L329" s="4"/>
      <c r="M329" s="4"/>
      <c r="N329" s="4"/>
      <c r="O329" s="4"/>
      <c r="P329" s="4"/>
      <c r="Q329" s="4"/>
      <c r="S329" s="4">
        <v>-141895.04999999999</v>
      </c>
    </row>
    <row r="330" spans="2:19" x14ac:dyDescent="0.3">
      <c r="B330" s="3"/>
      <c r="C330" s="2" t="str">
        <f t="shared" si="19"/>
        <v/>
      </c>
      <c r="D330" s="2"/>
      <c r="E330" s="2" t="str">
        <f t="shared" si="20"/>
        <v/>
      </c>
      <c r="F330" s="3"/>
      <c r="G330" s="3"/>
      <c r="H330" s="4"/>
      <c r="I330" s="4"/>
      <c r="J330" s="4"/>
      <c r="K330" s="4"/>
      <c r="L330" s="4"/>
      <c r="M330" s="4"/>
      <c r="N330" s="4"/>
      <c r="O330" s="4"/>
      <c r="P330" s="4"/>
      <c r="Q330" s="4"/>
      <c r="S330" s="4">
        <v>-55402.22</v>
      </c>
    </row>
    <row r="331" spans="2:19" x14ac:dyDescent="0.3">
      <c r="B331" s="3"/>
      <c r="C331" s="2" t="str">
        <f t="shared" si="19"/>
        <v/>
      </c>
      <c r="D331" s="2"/>
      <c r="E331" s="2" t="str">
        <f t="shared" si="20"/>
        <v/>
      </c>
      <c r="F331" s="3"/>
      <c r="G331" s="3"/>
      <c r="H331" s="4"/>
      <c r="I331" s="4"/>
      <c r="J331" s="4"/>
      <c r="K331" s="4"/>
      <c r="L331" s="4"/>
      <c r="M331" s="4"/>
      <c r="N331" s="4"/>
      <c r="O331" s="4"/>
      <c r="P331" s="4"/>
      <c r="Q331" s="4"/>
      <c r="S331" s="4">
        <v>-69.75</v>
      </c>
    </row>
    <row r="332" spans="2:19" x14ac:dyDescent="0.3">
      <c r="B332" s="3"/>
      <c r="C332" s="2" t="str">
        <f t="shared" si="19"/>
        <v/>
      </c>
      <c r="D332" s="2"/>
      <c r="E332" s="2" t="str">
        <f t="shared" si="20"/>
        <v/>
      </c>
      <c r="F332" s="3"/>
      <c r="G332" s="3"/>
      <c r="H332" s="4"/>
      <c r="I332" s="4"/>
      <c r="J332" s="4"/>
      <c r="K332" s="4"/>
      <c r="L332" s="4"/>
      <c r="M332" s="4"/>
      <c r="N332" s="4"/>
      <c r="O332" s="4"/>
      <c r="P332" s="4"/>
      <c r="Q332" s="4"/>
      <c r="S332" s="4">
        <v>0</v>
      </c>
    </row>
    <row r="333" spans="2:19" x14ac:dyDescent="0.3">
      <c r="B333" s="3"/>
      <c r="C333" s="2" t="str">
        <f t="shared" si="19"/>
        <v/>
      </c>
      <c r="D333" s="2"/>
      <c r="E333" s="2" t="str">
        <f t="shared" si="20"/>
        <v/>
      </c>
      <c r="F333" s="3"/>
      <c r="G333" s="3"/>
      <c r="H333" s="4"/>
      <c r="I333" s="4"/>
      <c r="J333" s="4"/>
      <c r="K333" s="4"/>
      <c r="L333" s="4"/>
      <c r="M333" s="4"/>
      <c r="N333" s="4"/>
      <c r="O333" s="4"/>
      <c r="P333" s="4"/>
      <c r="Q333" s="4"/>
      <c r="S333" s="4">
        <v>-60825.14</v>
      </c>
    </row>
    <row r="334" spans="2:19" x14ac:dyDescent="0.3">
      <c r="B334" s="3"/>
      <c r="C334" s="2" t="str">
        <f t="shared" si="19"/>
        <v/>
      </c>
      <c r="D334" s="2"/>
      <c r="E334" s="2" t="str">
        <f t="shared" si="20"/>
        <v/>
      </c>
      <c r="F334" s="3"/>
      <c r="G334" s="3"/>
      <c r="H334" s="4"/>
      <c r="I334" s="4"/>
      <c r="J334" s="4"/>
      <c r="K334" s="4"/>
      <c r="L334" s="4"/>
      <c r="M334" s="4"/>
      <c r="N334" s="4"/>
      <c r="O334" s="4"/>
      <c r="P334" s="4"/>
      <c r="Q334" s="4"/>
      <c r="S334" s="4">
        <v>0</v>
      </c>
    </row>
    <row r="335" spans="2:19" x14ac:dyDescent="0.3">
      <c r="B335" s="3"/>
      <c r="C335" s="2" t="str">
        <f t="shared" si="19"/>
        <v/>
      </c>
      <c r="D335" s="2"/>
      <c r="E335" s="2" t="str">
        <f t="shared" si="20"/>
        <v/>
      </c>
      <c r="F335" s="3"/>
      <c r="G335" s="3"/>
      <c r="H335" s="4"/>
      <c r="I335" s="4"/>
      <c r="J335" s="4"/>
      <c r="K335" s="4"/>
      <c r="L335" s="4"/>
      <c r="M335" s="4"/>
      <c r="N335" s="4"/>
      <c r="O335" s="4"/>
      <c r="P335" s="4"/>
      <c r="Q335" s="4"/>
      <c r="S335" s="4">
        <v>-26830.42</v>
      </c>
    </row>
    <row r="336" spans="2:19" x14ac:dyDescent="0.3">
      <c r="B336" s="3"/>
      <c r="C336" s="2" t="str">
        <f t="shared" si="19"/>
        <v/>
      </c>
      <c r="D336" s="2"/>
      <c r="E336" s="2" t="str">
        <f t="shared" si="20"/>
        <v/>
      </c>
      <c r="F336" s="3"/>
      <c r="G336" s="3"/>
      <c r="H336" s="4"/>
      <c r="I336" s="4"/>
      <c r="J336" s="4"/>
      <c r="K336" s="4"/>
      <c r="L336" s="4"/>
      <c r="M336" s="4"/>
      <c r="N336" s="4"/>
      <c r="O336" s="4"/>
      <c r="P336" s="4"/>
      <c r="Q336" s="4"/>
      <c r="S336" s="4">
        <v>-26830.42</v>
      </c>
    </row>
    <row r="337" spans="2:19" x14ac:dyDescent="0.3">
      <c r="B337" s="3"/>
      <c r="C337" s="2" t="str">
        <f t="shared" si="19"/>
        <v/>
      </c>
      <c r="D337" s="2"/>
      <c r="E337" s="2" t="str">
        <f t="shared" si="20"/>
        <v/>
      </c>
      <c r="F337" s="3"/>
      <c r="G337" s="3"/>
      <c r="H337" s="4"/>
      <c r="I337" s="4"/>
      <c r="J337" s="4"/>
      <c r="K337" s="4"/>
      <c r="L337" s="4"/>
      <c r="M337" s="4"/>
      <c r="N337" s="4"/>
      <c r="O337" s="4"/>
      <c r="P337" s="4"/>
      <c r="Q337" s="4"/>
      <c r="S337" s="4">
        <v>-23410.55</v>
      </c>
    </row>
    <row r="338" spans="2:19" x14ac:dyDescent="0.3">
      <c r="B338" s="3"/>
      <c r="C338" s="2" t="str">
        <f t="shared" si="19"/>
        <v/>
      </c>
      <c r="D338" s="2"/>
      <c r="E338" s="2" t="str">
        <f t="shared" si="20"/>
        <v/>
      </c>
      <c r="F338" s="3"/>
      <c r="G338" s="3"/>
      <c r="H338" s="4"/>
      <c r="I338" s="4"/>
      <c r="J338" s="4"/>
      <c r="K338" s="4"/>
      <c r="L338" s="4"/>
      <c r="M338" s="4"/>
      <c r="N338" s="4"/>
      <c r="O338" s="4"/>
      <c r="P338" s="4"/>
      <c r="Q338" s="4"/>
      <c r="S338" s="4">
        <v>-3419.87</v>
      </c>
    </row>
    <row r="339" spans="2:19" x14ac:dyDescent="0.3">
      <c r="B339" s="3"/>
      <c r="C339" s="2" t="str">
        <f t="shared" si="19"/>
        <v/>
      </c>
      <c r="D339" s="2"/>
      <c r="E339" s="2" t="str">
        <f t="shared" si="20"/>
        <v/>
      </c>
      <c r="F339" s="3"/>
      <c r="G339" s="3"/>
      <c r="H339" s="4"/>
      <c r="I339" s="4"/>
      <c r="J339" s="4"/>
      <c r="K339" s="4"/>
      <c r="L339" s="4"/>
      <c r="M339" s="4"/>
      <c r="N339" s="4"/>
      <c r="O339" s="4"/>
      <c r="P339" s="4"/>
      <c r="Q339" s="4"/>
      <c r="S339" s="4">
        <v>-66989.3</v>
      </c>
    </row>
    <row r="340" spans="2:19" x14ac:dyDescent="0.3">
      <c r="B340" s="3"/>
      <c r="C340" s="2" t="str">
        <f t="shared" si="19"/>
        <v/>
      </c>
      <c r="D340" s="2"/>
      <c r="E340" s="2" t="str">
        <f t="shared" si="20"/>
        <v/>
      </c>
      <c r="F340" s="3"/>
      <c r="G340" s="3"/>
      <c r="H340" s="4"/>
      <c r="I340" s="4"/>
      <c r="J340" s="4"/>
      <c r="K340" s="4"/>
      <c r="L340" s="4"/>
      <c r="M340" s="4"/>
      <c r="N340" s="4"/>
      <c r="O340" s="4"/>
      <c r="P340" s="4"/>
      <c r="Q340" s="4"/>
      <c r="S340" s="4">
        <v>-62760.19</v>
      </c>
    </row>
    <row r="341" spans="2:19" x14ac:dyDescent="0.3">
      <c r="B341" s="3"/>
      <c r="C341" s="2" t="str">
        <f t="shared" si="19"/>
        <v/>
      </c>
      <c r="D341" s="2"/>
      <c r="E341" s="2" t="str">
        <f t="shared" si="20"/>
        <v/>
      </c>
      <c r="F341" s="3"/>
      <c r="G341" s="3"/>
      <c r="H341" s="4"/>
      <c r="I341" s="4"/>
      <c r="J341" s="4"/>
      <c r="K341" s="4"/>
      <c r="L341" s="4"/>
      <c r="M341" s="4"/>
      <c r="N341" s="4"/>
      <c r="O341" s="4"/>
      <c r="P341" s="4"/>
      <c r="Q341" s="4"/>
      <c r="S341" s="4">
        <v>-40386.379999999997</v>
      </c>
    </row>
    <row r="342" spans="2:19" x14ac:dyDescent="0.3">
      <c r="B342" s="3"/>
      <c r="C342" s="2" t="str">
        <f t="shared" si="19"/>
        <v/>
      </c>
      <c r="D342" s="2"/>
      <c r="E342" s="2" t="str">
        <f t="shared" si="20"/>
        <v/>
      </c>
      <c r="F342" s="3"/>
      <c r="G342" s="3"/>
      <c r="H342" s="4"/>
      <c r="I342" s="4"/>
      <c r="J342" s="4"/>
      <c r="K342" s="4"/>
      <c r="L342" s="4"/>
      <c r="M342" s="4"/>
      <c r="N342" s="4"/>
      <c r="O342" s="4"/>
      <c r="P342" s="4"/>
      <c r="Q342" s="4"/>
      <c r="S342" s="4">
        <v>-22373.81</v>
      </c>
    </row>
    <row r="343" spans="2:19" x14ac:dyDescent="0.3">
      <c r="B343" s="3"/>
      <c r="C343" s="2" t="str">
        <f t="shared" si="19"/>
        <v/>
      </c>
      <c r="D343" s="2"/>
      <c r="E343" s="2" t="str">
        <f t="shared" si="20"/>
        <v/>
      </c>
      <c r="F343" s="3"/>
      <c r="G343" s="3"/>
      <c r="H343" s="4"/>
      <c r="I343" s="4"/>
      <c r="J343" s="4"/>
      <c r="K343" s="4"/>
      <c r="L343" s="4"/>
      <c r="M343" s="4"/>
      <c r="N343" s="4"/>
      <c r="O343" s="4"/>
      <c r="P343" s="4"/>
      <c r="Q343" s="4"/>
      <c r="S343" s="4">
        <v>0</v>
      </c>
    </row>
    <row r="344" spans="2:19" x14ac:dyDescent="0.3">
      <c r="B344" s="3"/>
      <c r="C344" s="2" t="str">
        <f t="shared" si="19"/>
        <v/>
      </c>
      <c r="D344" s="2"/>
      <c r="E344" s="2" t="str">
        <f t="shared" si="20"/>
        <v/>
      </c>
      <c r="F344" s="3"/>
      <c r="G344" s="3"/>
      <c r="H344" s="4"/>
      <c r="I344" s="4"/>
      <c r="J344" s="4"/>
      <c r="K344" s="4"/>
      <c r="L344" s="4"/>
      <c r="M344" s="4"/>
      <c r="N344" s="4"/>
      <c r="O344" s="4"/>
      <c r="P344" s="4"/>
      <c r="Q344" s="4"/>
      <c r="S344" s="4">
        <v>-4229.1099999999997</v>
      </c>
    </row>
    <row r="345" spans="2:19" x14ac:dyDescent="0.3">
      <c r="B345" s="3"/>
      <c r="C345" s="2" t="str">
        <f t="shared" si="19"/>
        <v/>
      </c>
      <c r="D345" s="2"/>
      <c r="E345" s="2" t="str">
        <f t="shared" si="20"/>
        <v/>
      </c>
      <c r="F345" s="3"/>
      <c r="G345" s="3"/>
      <c r="H345" s="4"/>
      <c r="I345" s="4"/>
      <c r="J345" s="4"/>
      <c r="K345" s="4"/>
      <c r="L345" s="4"/>
      <c r="M345" s="4"/>
      <c r="N345" s="4"/>
      <c r="O345" s="4"/>
      <c r="P345" s="4"/>
      <c r="Q345" s="4"/>
      <c r="S345" s="4">
        <v>-0.01</v>
      </c>
    </row>
    <row r="346" spans="2:19" x14ac:dyDescent="0.3">
      <c r="B346" s="3"/>
      <c r="C346" s="2" t="str">
        <f t="shared" si="19"/>
        <v/>
      </c>
      <c r="D346" s="2"/>
      <c r="E346" s="2" t="str">
        <f t="shared" si="20"/>
        <v/>
      </c>
      <c r="F346" s="3"/>
      <c r="G346" s="3"/>
      <c r="H346" s="4"/>
      <c r="I346" s="4"/>
      <c r="J346" s="4"/>
      <c r="K346" s="4"/>
      <c r="L346" s="4"/>
      <c r="M346" s="4"/>
      <c r="N346" s="4"/>
      <c r="O346" s="4"/>
      <c r="P346" s="4"/>
      <c r="Q346" s="4"/>
      <c r="S346" s="4">
        <v>-688.33</v>
      </c>
    </row>
    <row r="347" spans="2:19" x14ac:dyDescent="0.3">
      <c r="B347" s="3"/>
      <c r="C347" s="2" t="str">
        <f t="shared" si="19"/>
        <v/>
      </c>
      <c r="D347" s="2"/>
      <c r="E347" s="2" t="str">
        <f t="shared" si="20"/>
        <v/>
      </c>
      <c r="F347" s="3"/>
      <c r="G347" s="3"/>
      <c r="H347" s="4"/>
      <c r="I347" s="4"/>
      <c r="J347" s="4"/>
      <c r="K347" s="4"/>
      <c r="L347" s="4"/>
      <c r="M347" s="4"/>
      <c r="N347" s="4"/>
      <c r="O347" s="4"/>
      <c r="P347" s="4"/>
      <c r="Q347" s="4"/>
      <c r="S347" s="4">
        <v>-1914.12</v>
      </c>
    </row>
    <row r="348" spans="2:19" x14ac:dyDescent="0.3">
      <c r="B348" s="3"/>
      <c r="C348" s="2" t="str">
        <f t="shared" si="19"/>
        <v/>
      </c>
      <c r="D348" s="2"/>
      <c r="E348" s="2" t="str">
        <f t="shared" si="20"/>
        <v/>
      </c>
      <c r="F348" s="3"/>
      <c r="G348" s="3"/>
      <c r="H348" s="4"/>
      <c r="I348" s="4"/>
      <c r="J348" s="4"/>
      <c r="K348" s="4"/>
      <c r="L348" s="4"/>
      <c r="M348" s="4"/>
      <c r="N348" s="4"/>
      <c r="O348" s="4"/>
      <c r="P348" s="4"/>
      <c r="Q348" s="4"/>
      <c r="S348" s="4">
        <v>-1626.65</v>
      </c>
    </row>
    <row r="349" spans="2:19" x14ac:dyDescent="0.3">
      <c r="B349" s="3"/>
      <c r="C349" s="2" t="str">
        <f t="shared" si="19"/>
        <v/>
      </c>
      <c r="D349" s="2"/>
      <c r="E349" s="2" t="str">
        <f t="shared" si="20"/>
        <v/>
      </c>
      <c r="F349" s="3"/>
      <c r="G349" s="3"/>
      <c r="H349" s="4"/>
      <c r="I349" s="4"/>
      <c r="J349" s="4"/>
      <c r="K349" s="4"/>
      <c r="L349" s="4"/>
      <c r="M349" s="4"/>
      <c r="N349" s="4"/>
      <c r="O349" s="4"/>
      <c r="P349" s="4"/>
      <c r="Q349" s="4"/>
      <c r="S349" s="4">
        <v>-220110.42</v>
      </c>
    </row>
    <row r="350" spans="2:19" x14ac:dyDescent="0.3">
      <c r="B350" s="3"/>
      <c r="C350" s="2" t="str">
        <f t="shared" si="19"/>
        <v/>
      </c>
      <c r="D350" s="2"/>
      <c r="E350" s="2" t="str">
        <f t="shared" si="20"/>
        <v/>
      </c>
      <c r="F350" s="3"/>
      <c r="G350" s="3"/>
      <c r="H350" s="4"/>
      <c r="I350" s="4"/>
      <c r="J350" s="4"/>
      <c r="K350" s="4"/>
      <c r="L350" s="4"/>
      <c r="M350" s="4"/>
      <c r="N350" s="4"/>
      <c r="O350" s="4"/>
      <c r="P350" s="4"/>
      <c r="Q350" s="4"/>
      <c r="S350" s="4">
        <v>-220110.42</v>
      </c>
    </row>
    <row r="351" spans="2:19" x14ac:dyDescent="0.3">
      <c r="B351" s="3"/>
      <c r="C351" s="2" t="str">
        <f t="shared" si="19"/>
        <v/>
      </c>
      <c r="D351" s="2"/>
      <c r="E351" s="2" t="str">
        <f t="shared" si="20"/>
        <v/>
      </c>
      <c r="F351" s="3"/>
      <c r="G351" s="3"/>
      <c r="H351" s="4"/>
      <c r="I351" s="4"/>
      <c r="J351" s="4"/>
      <c r="K351" s="4"/>
      <c r="L351" s="4"/>
      <c r="M351" s="4"/>
      <c r="N351" s="4"/>
      <c r="O351" s="4"/>
      <c r="P351" s="4"/>
      <c r="Q351" s="4"/>
      <c r="S351" s="4">
        <v>-220110.42</v>
      </c>
    </row>
    <row r="352" spans="2:19" x14ac:dyDescent="0.3">
      <c r="B352" s="3"/>
      <c r="C352" s="2" t="str">
        <f t="shared" si="19"/>
        <v/>
      </c>
      <c r="D352" s="2"/>
      <c r="E352" s="2" t="str">
        <f t="shared" si="20"/>
        <v/>
      </c>
      <c r="F352" s="3"/>
      <c r="G352" s="3"/>
      <c r="H352" s="4"/>
      <c r="I352" s="4"/>
      <c r="J352" s="4"/>
      <c r="K352" s="4"/>
      <c r="L352" s="4"/>
      <c r="M352" s="4"/>
      <c r="N352" s="4"/>
      <c r="O352" s="4"/>
      <c r="P352" s="4"/>
      <c r="Q352" s="4"/>
      <c r="S352" s="4">
        <v>-5257036.18</v>
      </c>
    </row>
    <row r="353" spans="2:19" x14ac:dyDescent="0.3">
      <c r="B353" s="3"/>
      <c r="C353" s="2" t="str">
        <f t="shared" si="19"/>
        <v/>
      </c>
      <c r="D353" s="2"/>
      <c r="E353" s="2" t="str">
        <f t="shared" si="20"/>
        <v/>
      </c>
      <c r="F353" s="3"/>
      <c r="G353" s="3"/>
      <c r="H353" s="4"/>
      <c r="I353" s="4"/>
      <c r="J353" s="4"/>
      <c r="K353" s="4"/>
      <c r="L353" s="4"/>
      <c r="M353" s="4"/>
      <c r="N353" s="4"/>
      <c r="O353" s="4"/>
      <c r="P353" s="4"/>
      <c r="Q353" s="4"/>
      <c r="S353" s="4">
        <v>-5257036.18</v>
      </c>
    </row>
    <row r="354" spans="2:19" x14ac:dyDescent="0.3">
      <c r="B354" s="3"/>
      <c r="C354" s="2" t="str">
        <f t="shared" si="19"/>
        <v/>
      </c>
      <c r="D354" s="2"/>
      <c r="E354" s="2" t="str">
        <f t="shared" si="20"/>
        <v/>
      </c>
      <c r="F354" s="3"/>
      <c r="G354" s="3"/>
      <c r="H354" s="4"/>
      <c r="I354" s="4"/>
      <c r="J354" s="4"/>
      <c r="K354" s="4"/>
      <c r="L354" s="4"/>
      <c r="M354" s="4"/>
      <c r="N354" s="4"/>
      <c r="O354" s="4"/>
      <c r="P354" s="4"/>
      <c r="Q354" s="4"/>
      <c r="S354" s="4">
        <v>-4462659.96</v>
      </c>
    </row>
    <row r="355" spans="2:19" x14ac:dyDescent="0.3">
      <c r="B355" s="3"/>
      <c r="C355" s="2" t="str">
        <f t="shared" si="19"/>
        <v/>
      </c>
      <c r="D355" s="2"/>
      <c r="E355" s="2" t="str">
        <f t="shared" si="20"/>
        <v/>
      </c>
      <c r="F355" s="3"/>
      <c r="G355" s="3"/>
      <c r="H355" s="4"/>
      <c r="I355" s="4"/>
      <c r="J355" s="4"/>
      <c r="K355" s="4"/>
      <c r="L355" s="4"/>
      <c r="M355" s="4"/>
      <c r="N355" s="4"/>
      <c r="O355" s="4"/>
      <c r="P355" s="4"/>
      <c r="Q355" s="4"/>
      <c r="S355" s="4">
        <v>-760597.12</v>
      </c>
    </row>
    <row r="356" spans="2:19" x14ac:dyDescent="0.3">
      <c r="B356" s="3"/>
      <c r="C356" s="2" t="str">
        <f t="shared" si="19"/>
        <v/>
      </c>
      <c r="D356" s="2"/>
      <c r="E356" s="2" t="str">
        <f t="shared" si="20"/>
        <v/>
      </c>
      <c r="F356" s="3"/>
      <c r="G356" s="3"/>
      <c r="H356" s="4"/>
      <c r="I356" s="4"/>
      <c r="J356" s="4"/>
      <c r="K356" s="4"/>
      <c r="L356" s="4"/>
      <c r="M356" s="4"/>
      <c r="N356" s="4"/>
      <c r="O356" s="4"/>
      <c r="P356" s="4"/>
      <c r="Q356" s="4"/>
      <c r="S356" s="4">
        <v>-2253494.1</v>
      </c>
    </row>
    <row r="357" spans="2:19" x14ac:dyDescent="0.3">
      <c r="B357" s="3"/>
      <c r="C357" s="2" t="str">
        <f t="shared" si="19"/>
        <v/>
      </c>
      <c r="D357" s="2"/>
      <c r="E357" s="2" t="str">
        <f t="shared" si="20"/>
        <v/>
      </c>
      <c r="F357" s="3"/>
      <c r="G357" s="3"/>
      <c r="H357" s="4"/>
      <c r="I357" s="4"/>
      <c r="J357" s="4"/>
      <c r="K357" s="4"/>
      <c r="L357" s="4"/>
      <c r="M357" s="4"/>
      <c r="N357" s="4"/>
      <c r="O357" s="4"/>
      <c r="P357" s="4"/>
      <c r="Q357" s="4"/>
      <c r="S357" s="4">
        <v>-17272.64</v>
      </c>
    </row>
    <row r="358" spans="2:19" x14ac:dyDescent="0.3">
      <c r="B358" s="3"/>
      <c r="C358" s="2" t="str">
        <f t="shared" si="19"/>
        <v/>
      </c>
      <c r="D358" s="2"/>
      <c r="E358" s="2" t="str">
        <f t="shared" si="20"/>
        <v/>
      </c>
      <c r="F358" s="3"/>
      <c r="G358" s="3"/>
      <c r="H358" s="4"/>
      <c r="I358" s="4"/>
      <c r="J358" s="4"/>
      <c r="K358" s="4"/>
      <c r="L358" s="4"/>
      <c r="M358" s="4"/>
      <c r="N358" s="4"/>
      <c r="O358" s="4"/>
      <c r="P358" s="4"/>
      <c r="Q358" s="4"/>
      <c r="S358" s="4">
        <v>-228863.28</v>
      </c>
    </row>
    <row r="359" spans="2:19" x14ac:dyDescent="0.3">
      <c r="B359" s="3"/>
      <c r="C359" s="2" t="str">
        <f t="shared" si="19"/>
        <v/>
      </c>
      <c r="D359" s="2"/>
      <c r="E359" s="2" t="str">
        <f t="shared" si="20"/>
        <v/>
      </c>
      <c r="F359" s="3"/>
      <c r="G359" s="3"/>
      <c r="H359" s="4"/>
      <c r="I359" s="4"/>
      <c r="J359" s="4"/>
      <c r="K359" s="4"/>
      <c r="L359" s="4"/>
      <c r="M359" s="4"/>
      <c r="N359" s="4"/>
      <c r="O359" s="4"/>
      <c r="P359" s="4"/>
      <c r="Q359" s="4"/>
      <c r="S359" s="4">
        <v>-142840.28</v>
      </c>
    </row>
    <row r="360" spans="2:19" x14ac:dyDescent="0.3">
      <c r="B360" s="3"/>
      <c r="C360" s="2" t="str">
        <f t="shared" ref="C360:C423" si="21">IF($F360="","",IF(LEFT($F360,1)*1=1,"A",IF(LEFT($F360,1)*1=2,"P",IF(LEFT($F360,1)*1=3,"C",IF(LEFT($F360,1)*1=4,"C",IF(LEFT($F360,1)*1=5,"R",""))))))</f>
        <v/>
      </c>
      <c r="D360" s="2"/>
      <c r="E360" s="2" t="str">
        <f t="shared" ref="E360:E423" si="22">IF($F360="","",IF(LEN($F360)=1,1,IF(LEN($F360)=3,2,IF(LEN($F360)=6,3,IF(LEN($F360)=9,4,IF(LEN($F360)=12,5,6))))))</f>
        <v/>
      </c>
      <c r="F360" s="3"/>
      <c r="G360" s="3"/>
      <c r="H360" s="4"/>
      <c r="I360" s="4"/>
      <c r="J360" s="4"/>
      <c r="K360" s="4"/>
      <c r="L360" s="4"/>
      <c r="M360" s="4"/>
      <c r="N360" s="4"/>
      <c r="O360" s="4"/>
      <c r="P360" s="4"/>
      <c r="Q360" s="4"/>
      <c r="S360" s="4">
        <v>-463080.96000000002</v>
      </c>
    </row>
    <row r="361" spans="2:19" x14ac:dyDescent="0.3">
      <c r="B361" s="3"/>
      <c r="C361" s="2" t="str">
        <f t="shared" si="21"/>
        <v/>
      </c>
      <c r="D361" s="2"/>
      <c r="E361" s="2" t="str">
        <f t="shared" si="22"/>
        <v/>
      </c>
      <c r="F361" s="3"/>
      <c r="G361" s="3"/>
      <c r="H361" s="4"/>
      <c r="I361" s="4"/>
      <c r="J361" s="4"/>
      <c r="K361" s="4"/>
      <c r="L361" s="4"/>
      <c r="M361" s="4"/>
      <c r="N361" s="4"/>
      <c r="O361" s="4"/>
      <c r="P361" s="4"/>
      <c r="Q361" s="4"/>
      <c r="S361" s="4">
        <v>-555451.02</v>
      </c>
    </row>
    <row r="362" spans="2:19" x14ac:dyDescent="0.3">
      <c r="B362" s="3"/>
      <c r="C362" s="2" t="str">
        <f t="shared" si="21"/>
        <v/>
      </c>
      <c r="D362" s="2"/>
      <c r="E362" s="2" t="str">
        <f t="shared" si="22"/>
        <v/>
      </c>
      <c r="F362" s="3"/>
      <c r="G362" s="3"/>
      <c r="H362" s="4"/>
      <c r="I362" s="4"/>
      <c r="J362" s="4"/>
      <c r="K362" s="4"/>
      <c r="L362" s="4"/>
      <c r="M362" s="4"/>
      <c r="N362" s="4"/>
      <c r="O362" s="4"/>
      <c r="P362" s="4"/>
      <c r="Q362" s="4"/>
      <c r="S362" s="4">
        <v>-41060.559999999998</v>
      </c>
    </row>
    <row r="363" spans="2:19" x14ac:dyDescent="0.3">
      <c r="B363" s="3"/>
      <c r="C363" s="2" t="str">
        <f t="shared" si="21"/>
        <v/>
      </c>
      <c r="D363" s="2"/>
      <c r="E363" s="2" t="str">
        <f t="shared" si="22"/>
        <v/>
      </c>
      <c r="F363" s="3"/>
      <c r="G363" s="3"/>
      <c r="H363" s="4"/>
      <c r="I363" s="4"/>
      <c r="J363" s="4"/>
      <c r="K363" s="4"/>
      <c r="L363" s="4"/>
      <c r="M363" s="4"/>
      <c r="N363" s="4"/>
      <c r="O363" s="4"/>
      <c r="P363" s="4"/>
      <c r="Q363" s="4"/>
      <c r="S363" s="4">
        <v>-1570173.15</v>
      </c>
    </row>
    <row r="364" spans="2:19" x14ac:dyDescent="0.3">
      <c r="B364" s="3"/>
      <c r="C364" s="2" t="str">
        <f t="shared" si="21"/>
        <v/>
      </c>
      <c r="D364" s="2"/>
      <c r="E364" s="2" t="str">
        <f t="shared" si="22"/>
        <v/>
      </c>
      <c r="F364" s="3"/>
      <c r="G364" s="3"/>
      <c r="H364" s="4"/>
      <c r="I364" s="4"/>
      <c r="J364" s="4"/>
      <c r="K364" s="4"/>
      <c r="L364" s="4"/>
      <c r="M364" s="4"/>
      <c r="N364" s="4"/>
      <c r="O364" s="4"/>
      <c r="P364" s="4"/>
      <c r="Q364" s="4"/>
      <c r="S364" s="4">
        <v>-1570173.15</v>
      </c>
    </row>
    <row r="365" spans="2:19" x14ac:dyDescent="0.3">
      <c r="B365" s="3"/>
      <c r="C365" s="2" t="str">
        <f t="shared" si="21"/>
        <v/>
      </c>
      <c r="D365" s="2"/>
      <c r="E365" s="2" t="str">
        <f t="shared" si="22"/>
        <v/>
      </c>
      <c r="F365" s="3"/>
      <c r="G365" s="3"/>
      <c r="H365" s="4"/>
      <c r="I365" s="4"/>
      <c r="J365" s="4"/>
      <c r="K365" s="4"/>
      <c r="L365" s="4"/>
      <c r="M365" s="4"/>
      <c r="N365" s="4"/>
      <c r="O365" s="4"/>
      <c r="P365" s="4"/>
      <c r="Q365" s="4"/>
      <c r="S365" s="4">
        <v>775796.93</v>
      </c>
    </row>
    <row r="366" spans="2:19" x14ac:dyDescent="0.3">
      <c r="B366" s="3"/>
      <c r="C366" s="2" t="str">
        <f t="shared" si="21"/>
        <v/>
      </c>
      <c r="D366" s="2"/>
      <c r="E366" s="2" t="str">
        <f t="shared" si="22"/>
        <v/>
      </c>
      <c r="F366" s="3"/>
      <c r="G366" s="3"/>
      <c r="H366" s="4"/>
      <c r="I366" s="4"/>
      <c r="J366" s="4"/>
      <c r="K366" s="4"/>
      <c r="L366" s="4"/>
      <c r="M366" s="4"/>
      <c r="N366" s="4"/>
      <c r="O366" s="4"/>
      <c r="P366" s="4"/>
      <c r="Q366" s="4"/>
      <c r="S366" s="4">
        <v>289278.65000000002</v>
      </c>
    </row>
    <row r="367" spans="2:19" x14ac:dyDescent="0.3">
      <c r="B367" s="3"/>
      <c r="C367" s="2" t="str">
        <f t="shared" si="21"/>
        <v/>
      </c>
      <c r="D367" s="2"/>
      <c r="E367" s="2" t="str">
        <f t="shared" si="22"/>
        <v/>
      </c>
      <c r="F367" s="3"/>
      <c r="G367" s="3"/>
      <c r="H367" s="4"/>
      <c r="I367" s="4"/>
      <c r="J367" s="4"/>
      <c r="K367" s="4"/>
      <c r="L367" s="4"/>
      <c r="M367" s="4"/>
      <c r="N367" s="4"/>
      <c r="O367" s="4"/>
      <c r="P367" s="4"/>
      <c r="Q367" s="4"/>
      <c r="S367" s="4">
        <v>107523.9</v>
      </c>
    </row>
    <row r="368" spans="2:19" x14ac:dyDescent="0.3">
      <c r="B368" s="3"/>
      <c r="C368" s="2" t="str">
        <f t="shared" si="21"/>
        <v/>
      </c>
      <c r="D368" s="2"/>
      <c r="E368" s="2" t="str">
        <f t="shared" si="22"/>
        <v/>
      </c>
      <c r="F368" s="3"/>
      <c r="G368" s="3"/>
      <c r="H368" s="4"/>
      <c r="I368" s="4"/>
      <c r="J368" s="4"/>
      <c r="K368" s="4"/>
      <c r="L368" s="4"/>
      <c r="M368" s="4"/>
      <c r="N368" s="4"/>
      <c r="O368" s="4"/>
      <c r="P368" s="4"/>
      <c r="Q368" s="4"/>
      <c r="S368" s="4">
        <v>20710.849999999999</v>
      </c>
    </row>
    <row r="369" spans="2:19" x14ac:dyDescent="0.3">
      <c r="B369" s="3"/>
      <c r="C369" s="2" t="str">
        <f t="shared" si="21"/>
        <v/>
      </c>
      <c r="D369" s="2"/>
      <c r="E369" s="2" t="str">
        <f t="shared" si="22"/>
        <v/>
      </c>
      <c r="F369" s="3"/>
      <c r="G369" s="3"/>
      <c r="H369" s="4"/>
      <c r="I369" s="4"/>
      <c r="J369" s="4"/>
      <c r="K369" s="4"/>
      <c r="L369" s="4"/>
      <c r="M369" s="4"/>
      <c r="N369" s="4"/>
      <c r="O369" s="4"/>
      <c r="P369" s="4"/>
      <c r="Q369" s="4"/>
      <c r="S369" s="4">
        <v>16350.04</v>
      </c>
    </row>
    <row r="370" spans="2:19" x14ac:dyDescent="0.3">
      <c r="B370" s="3"/>
      <c r="C370" s="2" t="str">
        <f t="shared" si="21"/>
        <v/>
      </c>
      <c r="D370" s="2"/>
      <c r="E370" s="2" t="str">
        <f t="shared" si="22"/>
        <v/>
      </c>
      <c r="F370" s="3"/>
      <c r="G370" s="3"/>
      <c r="H370" s="4"/>
      <c r="I370" s="4"/>
      <c r="J370" s="4"/>
      <c r="K370" s="4"/>
      <c r="L370" s="4"/>
      <c r="M370" s="4"/>
      <c r="N370" s="4"/>
      <c r="O370" s="4"/>
      <c r="P370" s="4"/>
      <c r="Q370" s="4"/>
      <c r="S370" s="4">
        <v>35811.79</v>
      </c>
    </row>
    <row r="371" spans="2:19" x14ac:dyDescent="0.3">
      <c r="B371" s="3"/>
      <c r="C371" s="2" t="str">
        <f t="shared" si="21"/>
        <v/>
      </c>
      <c r="D371" s="2"/>
      <c r="E371" s="2" t="str">
        <f t="shared" si="22"/>
        <v/>
      </c>
      <c r="F371" s="3"/>
      <c r="G371" s="3"/>
      <c r="H371" s="4"/>
      <c r="I371" s="4"/>
      <c r="J371" s="4"/>
      <c r="K371" s="4"/>
      <c r="L371" s="4"/>
      <c r="M371" s="4"/>
      <c r="N371" s="4"/>
      <c r="O371" s="4"/>
      <c r="P371" s="4"/>
      <c r="Q371" s="4"/>
      <c r="S371" s="4">
        <v>124742.15</v>
      </c>
    </row>
    <row r="372" spans="2:19" x14ac:dyDescent="0.3">
      <c r="B372" s="3"/>
      <c r="C372" s="2" t="str">
        <f t="shared" si="21"/>
        <v/>
      </c>
      <c r="D372" s="2"/>
      <c r="E372" s="2" t="str">
        <f t="shared" si="22"/>
        <v/>
      </c>
      <c r="F372" s="3"/>
      <c r="G372" s="3"/>
      <c r="H372" s="4"/>
      <c r="I372" s="4"/>
      <c r="J372" s="4"/>
      <c r="K372" s="4"/>
      <c r="L372" s="4"/>
      <c r="M372" s="4"/>
      <c r="N372" s="4"/>
      <c r="O372" s="4"/>
      <c r="P372" s="4"/>
      <c r="Q372" s="4"/>
      <c r="S372" s="4">
        <v>181379.55</v>
      </c>
    </row>
    <row r="373" spans="2:19" x14ac:dyDescent="0.3">
      <c r="B373" s="3"/>
      <c r="C373" s="2" t="str">
        <f t="shared" si="21"/>
        <v/>
      </c>
      <c r="D373" s="2"/>
      <c r="E373" s="2" t="str">
        <f t="shared" si="22"/>
        <v/>
      </c>
      <c r="F373" s="3"/>
      <c r="G373" s="3"/>
      <c r="H373" s="4"/>
      <c r="I373" s="4"/>
      <c r="J373" s="4"/>
      <c r="K373" s="4"/>
      <c r="L373" s="4"/>
      <c r="M373" s="4"/>
      <c r="N373" s="4"/>
      <c r="O373" s="4"/>
      <c r="P373" s="4"/>
      <c r="Q373" s="4"/>
      <c r="S373" s="4">
        <v>943612.42</v>
      </c>
    </row>
    <row r="374" spans="2:19" x14ac:dyDescent="0.3">
      <c r="B374" s="3"/>
      <c r="C374" s="2" t="str">
        <f t="shared" si="21"/>
        <v/>
      </c>
      <c r="D374" s="2"/>
      <c r="E374" s="2" t="str">
        <f t="shared" si="22"/>
        <v/>
      </c>
      <c r="F374" s="3"/>
      <c r="G374" s="3"/>
      <c r="H374" s="4"/>
      <c r="I374" s="4"/>
      <c r="J374" s="4"/>
      <c r="K374" s="4"/>
      <c r="L374" s="4"/>
      <c r="M374" s="4"/>
      <c r="N374" s="4"/>
      <c r="O374" s="4"/>
      <c r="P374" s="4"/>
      <c r="Q374" s="4"/>
      <c r="S374" s="4">
        <v>-250000</v>
      </c>
    </row>
    <row r="375" spans="2:19" x14ac:dyDescent="0.3">
      <c r="B375" s="3"/>
      <c r="C375" s="2" t="str">
        <f t="shared" si="21"/>
        <v/>
      </c>
      <c r="D375" s="2"/>
      <c r="E375" s="2" t="str">
        <f t="shared" si="22"/>
        <v/>
      </c>
      <c r="F375" s="3"/>
      <c r="G375" s="3"/>
      <c r="H375" s="4"/>
      <c r="I375" s="4"/>
      <c r="J375" s="4"/>
      <c r="K375" s="4"/>
      <c r="L375" s="4"/>
      <c r="M375" s="4"/>
      <c r="N375" s="4"/>
      <c r="O375" s="4"/>
      <c r="P375" s="4"/>
      <c r="Q375" s="4"/>
      <c r="S375" s="4">
        <v>-250000</v>
      </c>
    </row>
    <row r="376" spans="2:19" x14ac:dyDescent="0.3">
      <c r="B376" s="3"/>
      <c r="C376" s="2" t="str">
        <f t="shared" si="21"/>
        <v/>
      </c>
      <c r="D376" s="2"/>
      <c r="E376" s="2" t="str">
        <f t="shared" si="22"/>
        <v/>
      </c>
      <c r="F376" s="3"/>
      <c r="G376" s="3"/>
      <c r="H376" s="4"/>
      <c r="I376" s="4"/>
      <c r="J376" s="4"/>
      <c r="K376" s="4"/>
      <c r="L376" s="4"/>
      <c r="M376" s="4"/>
      <c r="N376" s="4"/>
      <c r="O376" s="4"/>
      <c r="P376" s="4"/>
      <c r="Q376" s="4"/>
      <c r="S376" s="4">
        <v>-250000</v>
      </c>
    </row>
    <row r="377" spans="2:19" x14ac:dyDescent="0.3">
      <c r="B377" s="3"/>
      <c r="C377" s="2" t="str">
        <f t="shared" si="21"/>
        <v/>
      </c>
      <c r="D377" s="2"/>
      <c r="E377" s="2" t="str">
        <f t="shared" si="22"/>
        <v/>
      </c>
      <c r="F377" s="3"/>
      <c r="G377" s="3"/>
      <c r="H377" s="4"/>
      <c r="I377" s="4"/>
      <c r="J377" s="4"/>
      <c r="K377" s="4"/>
      <c r="L377" s="4"/>
      <c r="M377" s="4"/>
      <c r="N377" s="4"/>
      <c r="O377" s="4"/>
      <c r="P377" s="4"/>
      <c r="Q377" s="4"/>
      <c r="S377" s="4">
        <v>1193612.42</v>
      </c>
    </row>
    <row r="378" spans="2:19" x14ac:dyDescent="0.3">
      <c r="B378" s="3"/>
      <c r="C378" s="2" t="str">
        <f t="shared" si="21"/>
        <v/>
      </c>
      <c r="D378" s="2"/>
      <c r="E378" s="2" t="str">
        <f t="shared" si="22"/>
        <v/>
      </c>
      <c r="F378" s="3"/>
      <c r="G378" s="3"/>
      <c r="H378" s="4"/>
      <c r="I378" s="4"/>
      <c r="J378" s="4"/>
      <c r="K378" s="4"/>
      <c r="L378" s="4"/>
      <c r="M378" s="4"/>
      <c r="N378" s="4"/>
      <c r="O378" s="4"/>
      <c r="P378" s="4"/>
      <c r="Q378" s="4"/>
      <c r="S378" s="4">
        <v>1193612.42</v>
      </c>
    </row>
    <row r="379" spans="2:19" x14ac:dyDescent="0.3">
      <c r="B379" s="3"/>
      <c r="C379" s="2" t="str">
        <f t="shared" si="21"/>
        <v/>
      </c>
      <c r="D379" s="2"/>
      <c r="E379" s="2" t="str">
        <f t="shared" si="22"/>
        <v/>
      </c>
      <c r="F379" s="3"/>
      <c r="G379" s="3"/>
      <c r="H379" s="4"/>
      <c r="I379" s="4"/>
      <c r="J379" s="4"/>
      <c r="K379" s="4"/>
      <c r="L379" s="4"/>
      <c r="M379" s="4"/>
      <c r="N379" s="4"/>
      <c r="O379" s="4"/>
      <c r="P379" s="4"/>
      <c r="Q379" s="4"/>
      <c r="S379" s="4">
        <v>1193912.42</v>
      </c>
    </row>
    <row r="380" spans="2:19" x14ac:dyDescent="0.3">
      <c r="B380" s="3"/>
      <c r="C380" s="2" t="str">
        <f t="shared" si="21"/>
        <v/>
      </c>
      <c r="D380" s="2"/>
      <c r="E380" s="2" t="str">
        <f t="shared" si="22"/>
        <v/>
      </c>
      <c r="F380" s="3"/>
      <c r="G380" s="3"/>
      <c r="H380" s="4"/>
      <c r="I380" s="4"/>
      <c r="J380" s="4"/>
      <c r="K380" s="4"/>
      <c r="L380" s="4"/>
      <c r="M380" s="4"/>
      <c r="N380" s="4"/>
      <c r="O380" s="4"/>
      <c r="P380" s="4"/>
      <c r="Q380" s="4"/>
      <c r="S380" s="4">
        <v>-300</v>
      </c>
    </row>
    <row r="381" spans="2:19" x14ac:dyDescent="0.3">
      <c r="B381" s="3"/>
      <c r="C381" s="2" t="str">
        <f t="shared" si="21"/>
        <v/>
      </c>
      <c r="D381" s="2"/>
      <c r="E381" s="2" t="str">
        <f t="shared" si="22"/>
        <v/>
      </c>
      <c r="F381" s="3"/>
      <c r="G381" s="3"/>
      <c r="H381" s="4"/>
      <c r="I381" s="4"/>
      <c r="J381" s="4"/>
      <c r="K381" s="4"/>
      <c r="L381" s="4"/>
      <c r="M381" s="4"/>
      <c r="N381" s="4"/>
      <c r="O381" s="4"/>
      <c r="P381" s="4"/>
      <c r="Q381" s="4"/>
      <c r="S381" s="4">
        <v>-71404</v>
      </c>
    </row>
    <row r="382" spans="2:19" x14ac:dyDescent="0.3">
      <c r="B382" s="3"/>
      <c r="C382" s="2" t="str">
        <f t="shared" si="21"/>
        <v/>
      </c>
      <c r="D382" s="2"/>
      <c r="E382" s="2" t="str">
        <f t="shared" si="22"/>
        <v/>
      </c>
      <c r="F382" s="3"/>
      <c r="G382" s="3"/>
      <c r="H382" s="4"/>
      <c r="I382" s="4"/>
      <c r="J382" s="4"/>
      <c r="K382" s="4"/>
      <c r="L382" s="4"/>
      <c r="M382" s="4"/>
      <c r="N382" s="4"/>
      <c r="O382" s="4"/>
      <c r="P382" s="4"/>
      <c r="Q382" s="4"/>
      <c r="S382" s="4">
        <v>-71404</v>
      </c>
    </row>
    <row r="383" spans="2:19" x14ac:dyDescent="0.3">
      <c r="B383" s="3"/>
      <c r="C383" s="2" t="str">
        <f t="shared" si="21"/>
        <v/>
      </c>
      <c r="D383" s="2"/>
      <c r="E383" s="2" t="str">
        <f t="shared" si="22"/>
        <v/>
      </c>
      <c r="F383" s="3"/>
      <c r="G383" s="3"/>
      <c r="H383" s="4"/>
      <c r="I383" s="4"/>
      <c r="J383" s="4"/>
      <c r="K383" s="4"/>
      <c r="L383" s="4"/>
      <c r="M383" s="4"/>
      <c r="N383" s="4"/>
      <c r="O383" s="4"/>
      <c r="P383" s="4"/>
      <c r="Q383" s="4"/>
      <c r="S383" s="4">
        <v>-71404</v>
      </c>
    </row>
    <row r="384" spans="2:19" x14ac:dyDescent="0.3">
      <c r="B384" s="3"/>
      <c r="C384" s="2" t="str">
        <f t="shared" si="21"/>
        <v/>
      </c>
      <c r="D384" s="2"/>
      <c r="E384" s="2" t="str">
        <f t="shared" si="22"/>
        <v/>
      </c>
      <c r="F384" s="3"/>
      <c r="G384" s="3"/>
      <c r="H384" s="4"/>
      <c r="I384" s="4"/>
      <c r="J384" s="4"/>
      <c r="K384" s="4"/>
      <c r="L384" s="4"/>
      <c r="M384" s="4"/>
      <c r="N384" s="4"/>
      <c r="O384" s="4"/>
      <c r="P384" s="4"/>
      <c r="Q384" s="4"/>
      <c r="S384" s="4">
        <v>-69901</v>
      </c>
    </row>
    <row r="385" spans="2:19" x14ac:dyDescent="0.3">
      <c r="B385" s="3"/>
      <c r="C385" s="2" t="str">
        <f t="shared" si="21"/>
        <v/>
      </c>
      <c r="D385" s="2"/>
      <c r="E385" s="2" t="str">
        <f t="shared" si="22"/>
        <v/>
      </c>
      <c r="F385" s="3"/>
      <c r="G385" s="3"/>
      <c r="H385" s="4"/>
      <c r="I385" s="4"/>
      <c r="J385" s="4"/>
      <c r="K385" s="4"/>
      <c r="L385" s="4"/>
      <c r="M385" s="4"/>
      <c r="N385" s="4"/>
      <c r="O385" s="4"/>
      <c r="P385" s="4"/>
      <c r="Q385" s="4"/>
      <c r="S385" s="4">
        <v>-1503</v>
      </c>
    </row>
    <row r="386" spans="2:19" x14ac:dyDescent="0.3">
      <c r="B386" s="3"/>
      <c r="C386" s="2" t="str">
        <f t="shared" si="21"/>
        <v/>
      </c>
      <c r="D386" s="2"/>
      <c r="E386" s="2" t="str">
        <f t="shared" si="22"/>
        <v/>
      </c>
      <c r="F386" s="3"/>
      <c r="G386" s="3"/>
      <c r="H386" s="4"/>
      <c r="I386" s="4"/>
      <c r="J386" s="4"/>
      <c r="K386" s="4"/>
      <c r="L386" s="4"/>
      <c r="M386" s="4"/>
      <c r="N386" s="4"/>
      <c r="O386" s="4"/>
      <c r="P386" s="4"/>
      <c r="Q386" s="4"/>
      <c r="S386" s="4">
        <v>0</v>
      </c>
    </row>
    <row r="387" spans="2:19" x14ac:dyDescent="0.3">
      <c r="B387" s="3"/>
      <c r="C387" s="2" t="str">
        <f t="shared" si="21"/>
        <v/>
      </c>
      <c r="D387" s="2"/>
      <c r="E387" s="2" t="str">
        <f t="shared" si="22"/>
        <v/>
      </c>
      <c r="F387" s="3"/>
      <c r="G387" s="3"/>
      <c r="H387" s="4"/>
      <c r="I387" s="4"/>
      <c r="J387" s="4"/>
      <c r="K387" s="4"/>
      <c r="L387" s="4"/>
      <c r="M387" s="4"/>
      <c r="N387" s="4"/>
      <c r="O387" s="4"/>
      <c r="P387" s="4"/>
      <c r="Q387" s="4"/>
      <c r="S387" s="4">
        <v>0</v>
      </c>
    </row>
    <row r="388" spans="2:19" x14ac:dyDescent="0.3">
      <c r="B388" s="3"/>
      <c r="C388" s="2" t="str">
        <f t="shared" si="21"/>
        <v/>
      </c>
      <c r="D388" s="2"/>
      <c r="E388" s="2" t="str">
        <f t="shared" si="22"/>
        <v/>
      </c>
      <c r="F388" s="3"/>
      <c r="G388" s="3"/>
      <c r="H388" s="4"/>
      <c r="I388" s="4"/>
      <c r="J388" s="4"/>
      <c r="K388" s="4"/>
      <c r="L388" s="4"/>
      <c r="M388" s="4"/>
      <c r="N388" s="4"/>
      <c r="O388" s="4"/>
      <c r="P388" s="4"/>
      <c r="Q388" s="4"/>
      <c r="S388" s="4">
        <v>0</v>
      </c>
    </row>
    <row r="389" spans="2:19" x14ac:dyDescent="0.3">
      <c r="B389" s="3"/>
      <c r="C389" s="2" t="str">
        <f t="shared" si="21"/>
        <v/>
      </c>
      <c r="D389" s="2"/>
      <c r="E389" s="2" t="str">
        <f t="shared" si="22"/>
        <v/>
      </c>
      <c r="F389" s="3"/>
      <c r="G389" s="3"/>
      <c r="H389" s="4"/>
      <c r="I389" s="4"/>
      <c r="J389" s="4"/>
      <c r="K389" s="4"/>
      <c r="L389" s="4"/>
      <c r="M389" s="4"/>
      <c r="N389" s="4"/>
      <c r="O389" s="4"/>
      <c r="P389" s="4"/>
      <c r="Q389" s="4"/>
      <c r="S389" s="4">
        <v>0</v>
      </c>
    </row>
    <row r="390" spans="2:19" x14ac:dyDescent="0.3">
      <c r="B390" s="3"/>
      <c r="C390" s="2" t="str">
        <f t="shared" si="21"/>
        <v/>
      </c>
      <c r="D390" s="2"/>
      <c r="E390" s="2" t="str">
        <f t="shared" si="22"/>
        <v/>
      </c>
      <c r="F390" s="3"/>
      <c r="G390" s="3"/>
      <c r="H390" s="4"/>
      <c r="I390" s="4"/>
      <c r="J390" s="4"/>
      <c r="K390" s="4"/>
      <c r="L390" s="4"/>
      <c r="M390" s="4"/>
      <c r="N390" s="4"/>
      <c r="O390" s="4"/>
      <c r="P390" s="4"/>
      <c r="Q390" s="4"/>
      <c r="S390" s="4">
        <v>0</v>
      </c>
    </row>
    <row r="391" spans="2:19" x14ac:dyDescent="0.3">
      <c r="B391" s="3"/>
      <c r="C391" s="2" t="str">
        <f t="shared" si="21"/>
        <v/>
      </c>
      <c r="D391" s="2"/>
      <c r="E391" s="2" t="str">
        <f t="shared" si="22"/>
        <v/>
      </c>
      <c r="F391" s="3"/>
      <c r="G391" s="3"/>
      <c r="H391" s="4"/>
      <c r="I391" s="4"/>
      <c r="J391" s="4"/>
      <c r="K391" s="4"/>
      <c r="L391" s="4"/>
      <c r="M391" s="4"/>
      <c r="N391" s="4"/>
      <c r="O391" s="4"/>
      <c r="P391" s="4"/>
      <c r="Q391" s="4"/>
      <c r="S391" s="4">
        <v>0</v>
      </c>
    </row>
    <row r="392" spans="2:19" x14ac:dyDescent="0.3">
      <c r="B392" s="3"/>
      <c r="C392" s="2" t="str">
        <f t="shared" si="21"/>
        <v/>
      </c>
      <c r="D392" s="2"/>
      <c r="E392" s="2" t="str">
        <f t="shared" si="22"/>
        <v/>
      </c>
      <c r="F392" s="3"/>
      <c r="G392" s="3"/>
      <c r="H392" s="4"/>
      <c r="I392" s="4"/>
      <c r="J392" s="4"/>
      <c r="K392" s="4"/>
      <c r="L392" s="4"/>
      <c r="M392" s="4"/>
      <c r="N392" s="4"/>
      <c r="O392" s="4"/>
      <c r="P392" s="4"/>
      <c r="Q392" s="4"/>
      <c r="S392" s="4">
        <v>0</v>
      </c>
    </row>
    <row r="393" spans="2:19" x14ac:dyDescent="0.3">
      <c r="B393" s="3"/>
      <c r="C393" s="2" t="str">
        <f t="shared" si="21"/>
        <v/>
      </c>
      <c r="D393" s="2"/>
      <c r="E393" s="2" t="str">
        <f t="shared" si="22"/>
        <v/>
      </c>
      <c r="F393" s="3"/>
      <c r="G393" s="3"/>
      <c r="H393" s="4"/>
      <c r="I393" s="4"/>
      <c r="J393" s="4"/>
      <c r="K393" s="4"/>
      <c r="L393" s="4"/>
      <c r="M393" s="4"/>
      <c r="N393" s="4"/>
      <c r="O393" s="4"/>
      <c r="P393" s="4"/>
      <c r="Q393" s="4"/>
      <c r="S393" s="4">
        <v>0</v>
      </c>
    </row>
    <row r="394" spans="2:19" x14ac:dyDescent="0.3">
      <c r="B394" s="3"/>
      <c r="C394" s="2" t="str">
        <f t="shared" si="21"/>
        <v/>
      </c>
      <c r="D394" s="2"/>
      <c r="E394" s="2" t="str">
        <f t="shared" si="22"/>
        <v/>
      </c>
      <c r="F394" s="3"/>
      <c r="G394" s="3"/>
      <c r="H394" s="4"/>
      <c r="I394" s="4"/>
      <c r="J394" s="4"/>
      <c r="K394" s="4"/>
      <c r="L394" s="4"/>
      <c r="M394" s="4"/>
      <c r="N394" s="4"/>
      <c r="O394" s="4"/>
      <c r="P394" s="4"/>
      <c r="Q394" s="4"/>
      <c r="S394" s="4">
        <v>0</v>
      </c>
    </row>
    <row r="395" spans="2:19" x14ac:dyDescent="0.3">
      <c r="B395" s="3"/>
      <c r="C395" s="2" t="str">
        <f t="shared" si="21"/>
        <v/>
      </c>
      <c r="D395" s="2"/>
      <c r="E395" s="2" t="str">
        <f t="shared" si="22"/>
        <v/>
      </c>
      <c r="F395" s="3"/>
      <c r="G395" s="3"/>
      <c r="H395" s="4"/>
      <c r="I395" s="4"/>
      <c r="J395" s="4"/>
      <c r="K395" s="4"/>
      <c r="L395" s="4"/>
      <c r="M395" s="4"/>
      <c r="N395" s="4"/>
      <c r="O395" s="4"/>
      <c r="P395" s="4"/>
      <c r="Q395" s="4"/>
      <c r="S395" s="4">
        <v>0</v>
      </c>
    </row>
    <row r="396" spans="2:19" x14ac:dyDescent="0.3">
      <c r="B396" s="3"/>
      <c r="C396" s="2" t="str">
        <f t="shared" si="21"/>
        <v/>
      </c>
      <c r="D396" s="2"/>
      <c r="E396" s="2" t="str">
        <f t="shared" si="22"/>
        <v/>
      </c>
      <c r="F396" s="3"/>
      <c r="G396" s="3"/>
      <c r="H396" s="4"/>
      <c r="I396" s="4"/>
      <c r="J396" s="4"/>
      <c r="K396" s="4"/>
      <c r="L396" s="4"/>
      <c r="M396" s="4"/>
      <c r="N396" s="4"/>
      <c r="O396" s="4"/>
      <c r="P396" s="4"/>
      <c r="Q396" s="4"/>
      <c r="S396" s="4">
        <v>0</v>
      </c>
    </row>
    <row r="397" spans="2:19" x14ac:dyDescent="0.3">
      <c r="B397" s="3"/>
      <c r="C397" s="2" t="str">
        <f t="shared" si="21"/>
        <v/>
      </c>
      <c r="D397" s="2"/>
      <c r="E397" s="2" t="str">
        <f t="shared" si="22"/>
        <v/>
      </c>
      <c r="F397" s="3"/>
      <c r="G397" s="3"/>
      <c r="H397" s="4"/>
      <c r="I397" s="4"/>
      <c r="J397" s="4"/>
      <c r="K397" s="4"/>
      <c r="L397" s="4"/>
      <c r="M397" s="4"/>
      <c r="N397" s="4"/>
      <c r="O397" s="4"/>
      <c r="P397" s="4"/>
      <c r="Q397" s="4"/>
      <c r="S397" s="4">
        <v>0</v>
      </c>
    </row>
    <row r="398" spans="2:19" x14ac:dyDescent="0.3">
      <c r="B398" s="3"/>
      <c r="C398" s="2" t="str">
        <f t="shared" si="21"/>
        <v/>
      </c>
      <c r="D398" s="2"/>
      <c r="E398" s="2" t="str">
        <f t="shared" si="22"/>
        <v/>
      </c>
      <c r="F398" s="3"/>
      <c r="G398" s="3"/>
      <c r="H398" s="4"/>
      <c r="I398" s="4"/>
      <c r="J398" s="4"/>
      <c r="K398" s="4"/>
      <c r="L398" s="4"/>
      <c r="M398" s="4"/>
      <c r="N398" s="4"/>
      <c r="O398" s="4"/>
      <c r="P398" s="4"/>
      <c r="Q398" s="4"/>
      <c r="S398" s="4">
        <v>0</v>
      </c>
    </row>
    <row r="399" spans="2:19" x14ac:dyDescent="0.3">
      <c r="B399" s="3"/>
      <c r="C399" s="2" t="str">
        <f t="shared" si="21"/>
        <v/>
      </c>
      <c r="D399" s="2"/>
      <c r="E399" s="2" t="str">
        <f t="shared" si="22"/>
        <v/>
      </c>
      <c r="F399" s="3"/>
      <c r="G399" s="3"/>
      <c r="H399" s="4"/>
      <c r="I399" s="4"/>
      <c r="J399" s="4"/>
      <c r="K399" s="4"/>
      <c r="L399" s="4"/>
      <c r="M399" s="4"/>
      <c r="N399" s="4"/>
      <c r="O399" s="4"/>
      <c r="P399" s="4"/>
      <c r="Q399" s="4"/>
      <c r="S399" s="4">
        <v>0</v>
      </c>
    </row>
    <row r="400" spans="2:19" x14ac:dyDescent="0.3">
      <c r="B400" s="3"/>
      <c r="C400" s="2" t="str">
        <f t="shared" si="21"/>
        <v/>
      </c>
      <c r="D400" s="2"/>
      <c r="E400" s="2" t="str">
        <f t="shared" si="22"/>
        <v/>
      </c>
      <c r="F400" s="3"/>
      <c r="G400" s="3"/>
      <c r="H400" s="4"/>
      <c r="I400" s="4"/>
      <c r="J400" s="4"/>
      <c r="K400" s="4"/>
      <c r="L400" s="4"/>
      <c r="M400" s="4"/>
      <c r="N400" s="4"/>
      <c r="O400" s="4"/>
      <c r="P400" s="4"/>
      <c r="Q400" s="4"/>
      <c r="S400" s="4">
        <v>0</v>
      </c>
    </row>
    <row r="401" spans="2:19" x14ac:dyDescent="0.3">
      <c r="B401" s="3"/>
      <c r="C401" s="2" t="str">
        <f t="shared" si="21"/>
        <v/>
      </c>
      <c r="D401" s="2"/>
      <c r="E401" s="2" t="str">
        <f t="shared" si="22"/>
        <v/>
      </c>
      <c r="F401" s="3"/>
      <c r="G401" s="3"/>
      <c r="H401" s="4"/>
      <c r="I401" s="4"/>
      <c r="J401" s="4"/>
      <c r="K401" s="4"/>
      <c r="L401" s="4"/>
      <c r="M401" s="4"/>
      <c r="N401" s="4"/>
      <c r="O401" s="4"/>
      <c r="P401" s="4"/>
      <c r="Q401" s="4"/>
      <c r="S401" s="4">
        <v>0</v>
      </c>
    </row>
    <row r="402" spans="2:19" x14ac:dyDescent="0.3">
      <c r="B402" s="3"/>
      <c r="C402" s="2" t="str">
        <f t="shared" si="21"/>
        <v/>
      </c>
      <c r="D402" s="2"/>
      <c r="E402" s="2" t="str">
        <f t="shared" si="22"/>
        <v/>
      </c>
      <c r="F402" s="3"/>
      <c r="G402" s="3"/>
      <c r="H402" s="4"/>
      <c r="I402" s="4"/>
      <c r="J402" s="4"/>
      <c r="K402" s="4"/>
      <c r="L402" s="4"/>
      <c r="M402" s="4"/>
      <c r="N402" s="4"/>
      <c r="O402" s="4"/>
      <c r="P402" s="4"/>
      <c r="Q402" s="4"/>
      <c r="S402" s="4">
        <v>0</v>
      </c>
    </row>
    <row r="403" spans="2:19" x14ac:dyDescent="0.3">
      <c r="B403" s="3"/>
      <c r="C403" s="2" t="str">
        <f t="shared" si="21"/>
        <v/>
      </c>
      <c r="D403" s="2"/>
      <c r="E403" s="2" t="str">
        <f t="shared" si="22"/>
        <v/>
      </c>
      <c r="F403" s="3"/>
      <c r="G403" s="3"/>
      <c r="H403" s="4"/>
      <c r="I403" s="4"/>
      <c r="J403" s="4"/>
      <c r="K403" s="4"/>
      <c r="L403" s="4"/>
      <c r="M403" s="4"/>
      <c r="N403" s="4"/>
      <c r="O403" s="4"/>
      <c r="P403" s="4"/>
      <c r="Q403" s="4"/>
      <c r="S403" s="4">
        <v>0</v>
      </c>
    </row>
    <row r="404" spans="2:19" x14ac:dyDescent="0.3">
      <c r="B404" s="3"/>
      <c r="C404" s="2" t="str">
        <f t="shared" si="21"/>
        <v/>
      </c>
      <c r="D404" s="2"/>
      <c r="E404" s="2" t="str">
        <f t="shared" si="22"/>
        <v/>
      </c>
      <c r="F404" s="3"/>
      <c r="G404" s="3"/>
      <c r="H404" s="4"/>
      <c r="I404" s="4"/>
      <c r="J404" s="4"/>
      <c r="K404" s="4"/>
      <c r="L404" s="4"/>
      <c r="M404" s="4"/>
      <c r="N404" s="4"/>
      <c r="O404" s="4"/>
      <c r="P404" s="4"/>
      <c r="Q404" s="4"/>
      <c r="S404" s="4">
        <v>0</v>
      </c>
    </row>
    <row r="405" spans="2:19" x14ac:dyDescent="0.3">
      <c r="B405" s="3"/>
      <c r="C405" s="2" t="str">
        <f t="shared" si="21"/>
        <v/>
      </c>
      <c r="D405" s="2"/>
      <c r="E405" s="2" t="str">
        <f t="shared" si="22"/>
        <v/>
      </c>
      <c r="F405" s="3"/>
      <c r="G405" s="3"/>
      <c r="H405" s="4"/>
      <c r="I405" s="4"/>
      <c r="J405" s="4"/>
      <c r="K405" s="4"/>
      <c r="L405" s="4"/>
      <c r="M405" s="4"/>
      <c r="N405" s="4"/>
      <c r="O405" s="4"/>
      <c r="P405" s="4"/>
      <c r="Q405" s="4"/>
      <c r="S405" s="4">
        <v>0</v>
      </c>
    </row>
    <row r="406" spans="2:19" x14ac:dyDescent="0.3">
      <c r="B406" s="3"/>
      <c r="C406" s="2" t="str">
        <f t="shared" si="21"/>
        <v/>
      </c>
      <c r="D406" s="2"/>
      <c r="E406" s="2" t="str">
        <f t="shared" si="22"/>
        <v/>
      </c>
      <c r="F406" s="3"/>
      <c r="G406" s="3"/>
      <c r="H406" s="4"/>
      <c r="I406" s="4"/>
      <c r="J406" s="4"/>
      <c r="K406" s="4"/>
      <c r="L406" s="4"/>
      <c r="M406" s="4"/>
      <c r="N406" s="4"/>
      <c r="O406" s="4"/>
      <c r="P406" s="4"/>
      <c r="Q406" s="4"/>
      <c r="S406" s="4">
        <v>0</v>
      </c>
    </row>
    <row r="407" spans="2:19" x14ac:dyDescent="0.3">
      <c r="B407" s="3"/>
      <c r="C407" s="2" t="str">
        <f t="shared" si="21"/>
        <v/>
      </c>
      <c r="D407" s="2"/>
      <c r="E407" s="2" t="str">
        <f t="shared" si="22"/>
        <v/>
      </c>
      <c r="F407" s="3"/>
      <c r="G407" s="3"/>
      <c r="H407" s="4"/>
      <c r="I407" s="4"/>
      <c r="J407" s="4"/>
      <c r="K407" s="4"/>
      <c r="L407" s="4"/>
      <c r="M407" s="4"/>
      <c r="N407" s="4"/>
      <c r="O407" s="4"/>
      <c r="P407" s="4"/>
      <c r="Q407" s="4"/>
      <c r="S407" s="4">
        <v>0</v>
      </c>
    </row>
    <row r="408" spans="2:19" x14ac:dyDescent="0.3">
      <c r="B408" s="3"/>
      <c r="C408" s="2" t="str">
        <f t="shared" si="21"/>
        <v/>
      </c>
      <c r="D408" s="2"/>
      <c r="E408" s="2" t="str">
        <f t="shared" si="22"/>
        <v/>
      </c>
      <c r="F408" s="3"/>
      <c r="G408" s="3"/>
      <c r="H408" s="4"/>
      <c r="I408" s="4"/>
      <c r="J408" s="4"/>
      <c r="K408" s="4"/>
      <c r="L408" s="4"/>
      <c r="M408" s="4"/>
      <c r="N408" s="4"/>
      <c r="O408" s="4"/>
      <c r="P408" s="4"/>
      <c r="Q408" s="4"/>
      <c r="S408" s="4">
        <v>0</v>
      </c>
    </row>
    <row r="409" spans="2:19" x14ac:dyDescent="0.3">
      <c r="B409" s="3"/>
      <c r="C409" s="2" t="str">
        <f t="shared" si="21"/>
        <v/>
      </c>
      <c r="D409" s="2"/>
      <c r="E409" s="2" t="str">
        <f t="shared" si="22"/>
        <v/>
      </c>
      <c r="F409" s="3"/>
      <c r="G409" s="3"/>
      <c r="H409" s="4"/>
      <c r="I409" s="4"/>
      <c r="J409" s="4"/>
      <c r="K409" s="4"/>
      <c r="L409" s="4"/>
      <c r="M409" s="4"/>
      <c r="N409" s="4"/>
      <c r="O409" s="4"/>
      <c r="P409" s="4"/>
      <c r="Q409" s="4"/>
      <c r="S409" s="4">
        <v>0</v>
      </c>
    </row>
    <row r="410" spans="2:19" x14ac:dyDescent="0.3">
      <c r="B410" s="3"/>
      <c r="C410" s="2" t="str">
        <f t="shared" si="21"/>
        <v/>
      </c>
      <c r="D410" s="2"/>
      <c r="E410" s="2" t="str">
        <f t="shared" si="22"/>
        <v/>
      </c>
      <c r="F410" s="3"/>
      <c r="G410" s="3"/>
      <c r="H410" s="4"/>
      <c r="I410" s="4"/>
      <c r="J410" s="4"/>
      <c r="K410" s="4"/>
      <c r="L410" s="4"/>
      <c r="M410" s="4"/>
      <c r="N410" s="4"/>
      <c r="O410" s="4"/>
      <c r="P410" s="4"/>
      <c r="Q410" s="4"/>
      <c r="S410" s="4">
        <v>0</v>
      </c>
    </row>
    <row r="411" spans="2:19" x14ac:dyDescent="0.3">
      <c r="B411" s="3"/>
      <c r="C411" s="2" t="str">
        <f t="shared" si="21"/>
        <v/>
      </c>
      <c r="D411" s="2"/>
      <c r="E411" s="2" t="str">
        <f t="shared" si="22"/>
        <v/>
      </c>
      <c r="F411" s="3"/>
      <c r="G411" s="3"/>
      <c r="H411" s="4"/>
      <c r="I411" s="4"/>
      <c r="J411" s="4"/>
      <c r="K411" s="4"/>
      <c r="L411" s="4"/>
      <c r="M411" s="4"/>
      <c r="N411" s="4"/>
      <c r="O411" s="4"/>
      <c r="P411" s="4"/>
      <c r="Q411" s="4"/>
      <c r="S411" s="4">
        <v>0</v>
      </c>
    </row>
    <row r="412" spans="2:19" x14ac:dyDescent="0.3">
      <c r="B412" s="3"/>
      <c r="C412" s="2" t="str">
        <f t="shared" si="21"/>
        <v/>
      </c>
      <c r="D412" s="2"/>
      <c r="E412" s="2" t="str">
        <f t="shared" si="22"/>
        <v/>
      </c>
      <c r="F412" s="3"/>
      <c r="G412" s="3"/>
      <c r="H412" s="4"/>
      <c r="I412" s="4"/>
      <c r="J412" s="4"/>
      <c r="K412" s="4"/>
      <c r="L412" s="4"/>
      <c r="M412" s="4"/>
      <c r="N412" s="4"/>
      <c r="O412" s="4"/>
      <c r="P412" s="4"/>
      <c r="Q412" s="4"/>
      <c r="S412" s="4">
        <v>0</v>
      </c>
    </row>
    <row r="413" spans="2:19" x14ac:dyDescent="0.3">
      <c r="B413" s="3"/>
      <c r="C413" s="2" t="str">
        <f t="shared" si="21"/>
        <v/>
      </c>
      <c r="D413" s="2"/>
      <c r="E413" s="2" t="str">
        <f t="shared" si="22"/>
        <v/>
      </c>
      <c r="F413" s="3"/>
      <c r="G413" s="3"/>
      <c r="H413" s="4"/>
      <c r="I413" s="4"/>
      <c r="J413" s="4"/>
      <c r="K413" s="4"/>
      <c r="L413" s="4"/>
      <c r="M413" s="4"/>
      <c r="N413" s="4"/>
      <c r="O413" s="4"/>
      <c r="P413" s="4"/>
      <c r="Q413" s="4"/>
      <c r="S413" s="4">
        <v>0</v>
      </c>
    </row>
    <row r="414" spans="2:19" x14ac:dyDescent="0.3">
      <c r="B414" s="3"/>
      <c r="C414" s="2" t="str">
        <f t="shared" si="21"/>
        <v/>
      </c>
      <c r="D414" s="2"/>
      <c r="E414" s="2" t="str">
        <f t="shared" si="22"/>
        <v/>
      </c>
      <c r="F414" s="3"/>
      <c r="G414" s="3"/>
      <c r="H414" s="4"/>
      <c r="I414" s="4"/>
      <c r="J414" s="4"/>
      <c r="K414" s="4"/>
      <c r="L414" s="4"/>
      <c r="M414" s="4"/>
      <c r="N414" s="4"/>
      <c r="O414" s="4"/>
      <c r="P414" s="4"/>
      <c r="Q414" s="4"/>
      <c r="S414" s="4">
        <v>0</v>
      </c>
    </row>
    <row r="415" spans="2:19" x14ac:dyDescent="0.3">
      <c r="B415" s="3"/>
      <c r="C415" s="2" t="str">
        <f t="shared" si="21"/>
        <v/>
      </c>
      <c r="D415" s="2"/>
      <c r="E415" s="2" t="str">
        <f t="shared" si="22"/>
        <v/>
      </c>
      <c r="F415" s="3"/>
      <c r="G415" s="3"/>
      <c r="H415" s="4"/>
      <c r="I415" s="4"/>
      <c r="J415" s="4"/>
      <c r="K415" s="4"/>
      <c r="L415" s="4"/>
      <c r="M415" s="4"/>
      <c r="N415" s="4"/>
      <c r="O415" s="4"/>
      <c r="P415" s="4"/>
      <c r="Q415" s="4"/>
      <c r="S415" s="4">
        <v>0</v>
      </c>
    </row>
    <row r="416" spans="2:19" x14ac:dyDescent="0.3">
      <c r="B416" s="3"/>
      <c r="C416" s="2" t="str">
        <f t="shared" si="21"/>
        <v/>
      </c>
      <c r="D416" s="2"/>
      <c r="E416" s="2" t="str">
        <f t="shared" si="22"/>
        <v/>
      </c>
      <c r="F416" s="3"/>
      <c r="G416" s="3"/>
      <c r="H416" s="4"/>
      <c r="I416" s="4"/>
      <c r="J416" s="4"/>
      <c r="K416" s="4"/>
      <c r="L416" s="4"/>
      <c r="M416" s="4"/>
      <c r="N416" s="4"/>
      <c r="O416" s="4"/>
      <c r="P416" s="4"/>
      <c r="Q416" s="4"/>
      <c r="S416" s="4">
        <v>0</v>
      </c>
    </row>
    <row r="417" spans="2:19" x14ac:dyDescent="0.3">
      <c r="B417" s="3"/>
      <c r="C417" s="2" t="str">
        <f t="shared" si="21"/>
        <v/>
      </c>
      <c r="D417" s="2"/>
      <c r="E417" s="2" t="str">
        <f t="shared" si="22"/>
        <v/>
      </c>
      <c r="F417" s="3"/>
      <c r="G417" s="3"/>
      <c r="H417" s="4"/>
      <c r="I417" s="4"/>
      <c r="J417" s="4"/>
      <c r="K417" s="4"/>
      <c r="L417" s="4"/>
      <c r="M417" s="4"/>
      <c r="N417" s="4"/>
      <c r="O417" s="4"/>
      <c r="P417" s="4"/>
      <c r="Q417" s="4"/>
      <c r="S417" s="4">
        <v>0</v>
      </c>
    </row>
    <row r="418" spans="2:19" x14ac:dyDescent="0.3">
      <c r="B418" s="3"/>
      <c r="C418" s="2" t="str">
        <f t="shared" si="21"/>
        <v/>
      </c>
      <c r="D418" s="2"/>
      <c r="E418" s="2" t="str">
        <f t="shared" si="22"/>
        <v/>
      </c>
      <c r="F418" s="3"/>
      <c r="G418" s="3"/>
      <c r="H418" s="4"/>
      <c r="I418" s="4"/>
      <c r="J418" s="4"/>
      <c r="K418" s="4"/>
      <c r="L418" s="4"/>
      <c r="M418" s="4"/>
      <c r="N418" s="4"/>
      <c r="O418" s="4"/>
      <c r="P418" s="4"/>
      <c r="Q418" s="4"/>
      <c r="S418" s="4">
        <v>0</v>
      </c>
    </row>
    <row r="419" spans="2:19" x14ac:dyDescent="0.3">
      <c r="B419" s="3"/>
      <c r="C419" s="2" t="str">
        <f t="shared" si="21"/>
        <v/>
      </c>
      <c r="D419" s="2"/>
      <c r="E419" s="2" t="str">
        <f t="shared" si="22"/>
        <v/>
      </c>
      <c r="F419" s="3"/>
      <c r="G419" s="3"/>
      <c r="H419" s="4"/>
      <c r="I419" s="4"/>
      <c r="J419" s="4"/>
      <c r="K419" s="4"/>
      <c r="L419" s="4"/>
      <c r="M419" s="4"/>
      <c r="N419" s="4"/>
      <c r="O419" s="4"/>
      <c r="P419" s="4"/>
      <c r="Q419" s="4"/>
      <c r="S419" s="4">
        <v>0</v>
      </c>
    </row>
    <row r="420" spans="2:19" x14ac:dyDescent="0.3">
      <c r="B420" s="3"/>
      <c r="C420" s="2" t="str">
        <f t="shared" si="21"/>
        <v/>
      </c>
      <c r="D420" s="2"/>
      <c r="E420" s="2" t="str">
        <f t="shared" si="22"/>
        <v/>
      </c>
      <c r="F420" s="3"/>
      <c r="G420" s="3"/>
      <c r="H420" s="4"/>
      <c r="I420" s="4"/>
      <c r="J420" s="4"/>
      <c r="K420" s="4"/>
      <c r="L420" s="4"/>
      <c r="M420" s="4"/>
      <c r="N420" s="4"/>
      <c r="O420" s="4"/>
      <c r="P420" s="4"/>
      <c r="Q420" s="4"/>
      <c r="S420" s="4">
        <v>0</v>
      </c>
    </row>
    <row r="421" spans="2:19" x14ac:dyDescent="0.3">
      <c r="B421" s="3"/>
      <c r="C421" s="2" t="str">
        <f t="shared" si="21"/>
        <v/>
      </c>
      <c r="D421" s="2"/>
      <c r="E421" s="2" t="str">
        <f t="shared" si="22"/>
        <v/>
      </c>
      <c r="F421" s="3"/>
      <c r="G421" s="3"/>
      <c r="H421" s="4"/>
      <c r="I421" s="4"/>
      <c r="J421" s="4"/>
      <c r="K421" s="4"/>
      <c r="L421" s="4"/>
      <c r="M421" s="4"/>
      <c r="N421" s="4"/>
      <c r="O421" s="4"/>
      <c r="P421" s="4"/>
      <c r="Q421" s="4"/>
      <c r="S421" s="4">
        <v>0</v>
      </c>
    </row>
    <row r="422" spans="2:19" x14ac:dyDescent="0.3">
      <c r="B422" s="3"/>
      <c r="C422" s="2" t="str">
        <f t="shared" si="21"/>
        <v/>
      </c>
      <c r="D422" s="2"/>
      <c r="E422" s="2" t="str">
        <f t="shared" si="22"/>
        <v/>
      </c>
      <c r="F422" s="3"/>
      <c r="G422" s="3"/>
      <c r="H422" s="4"/>
      <c r="I422" s="4"/>
      <c r="J422" s="4"/>
      <c r="K422" s="4"/>
      <c r="L422" s="4"/>
      <c r="M422" s="4"/>
      <c r="N422" s="4"/>
      <c r="O422" s="4"/>
      <c r="P422" s="4"/>
      <c r="Q422" s="4"/>
      <c r="S422" s="4">
        <v>0</v>
      </c>
    </row>
    <row r="423" spans="2:19" x14ac:dyDescent="0.3">
      <c r="B423" s="3"/>
      <c r="C423" s="2" t="str">
        <f t="shared" si="21"/>
        <v/>
      </c>
      <c r="D423" s="2"/>
      <c r="E423" s="2" t="str">
        <f t="shared" si="22"/>
        <v/>
      </c>
      <c r="F423" s="3"/>
      <c r="G423" s="3"/>
      <c r="H423" s="4"/>
      <c r="I423" s="4"/>
      <c r="J423" s="4"/>
      <c r="K423" s="4"/>
      <c r="L423" s="4"/>
      <c r="M423" s="4"/>
      <c r="N423" s="4"/>
      <c r="O423" s="4"/>
      <c r="P423" s="4"/>
      <c r="Q423" s="4"/>
      <c r="S423" s="4">
        <v>0</v>
      </c>
    </row>
    <row r="424" spans="2:19" x14ac:dyDescent="0.3">
      <c r="B424" s="3"/>
      <c r="C424" s="2" t="str">
        <f t="shared" ref="C424:C487" si="23">IF($F424="","",IF(LEFT($F424,1)*1=1,"A",IF(LEFT($F424,1)*1=2,"P",IF(LEFT($F424,1)*1=3,"C",IF(LEFT($F424,1)*1=4,"C",IF(LEFT($F424,1)*1=5,"R",""))))))</f>
        <v/>
      </c>
      <c r="D424" s="2"/>
      <c r="E424" s="2" t="str">
        <f t="shared" ref="E424:E487" si="24">IF($F424="","",IF(LEN($F424)=1,1,IF(LEN($F424)=3,2,IF(LEN($F424)=6,3,IF(LEN($F424)=9,4,IF(LEN($F424)=12,5,6))))))</f>
        <v/>
      </c>
      <c r="F424" s="3"/>
      <c r="G424" s="3"/>
      <c r="H424" s="4"/>
      <c r="I424" s="4"/>
      <c r="J424" s="4"/>
      <c r="K424" s="4"/>
      <c r="L424" s="4"/>
      <c r="M424" s="4"/>
      <c r="N424" s="4"/>
      <c r="O424" s="4"/>
      <c r="P424" s="4"/>
      <c r="Q424" s="4"/>
      <c r="S424" s="4">
        <v>0</v>
      </c>
    </row>
    <row r="425" spans="2:19" x14ac:dyDescent="0.3">
      <c r="B425" s="3"/>
      <c r="C425" s="2" t="str">
        <f t="shared" si="23"/>
        <v/>
      </c>
      <c r="D425" s="2"/>
      <c r="E425" s="2" t="str">
        <f t="shared" si="24"/>
        <v/>
      </c>
      <c r="F425" s="3"/>
      <c r="G425" s="3"/>
      <c r="H425" s="4"/>
      <c r="I425" s="4"/>
      <c r="J425" s="4"/>
      <c r="K425" s="4"/>
      <c r="L425" s="4"/>
      <c r="M425" s="4"/>
      <c r="N425" s="4"/>
      <c r="O425" s="4"/>
      <c r="P425" s="4"/>
      <c r="Q425" s="4"/>
      <c r="S425" s="4">
        <v>0</v>
      </c>
    </row>
    <row r="426" spans="2:19" x14ac:dyDescent="0.3">
      <c r="B426" s="3"/>
      <c r="C426" s="2" t="str">
        <f t="shared" si="23"/>
        <v/>
      </c>
      <c r="D426" s="2"/>
      <c r="E426" s="2" t="str">
        <f t="shared" si="24"/>
        <v/>
      </c>
      <c r="F426" s="3"/>
      <c r="G426" s="3"/>
      <c r="H426" s="4"/>
      <c r="I426" s="4"/>
      <c r="J426" s="4"/>
      <c r="K426" s="4"/>
      <c r="L426" s="4"/>
      <c r="M426" s="4"/>
      <c r="N426" s="4"/>
      <c r="O426" s="4"/>
      <c r="P426" s="4"/>
      <c r="Q426" s="4"/>
      <c r="S426" s="4">
        <v>0</v>
      </c>
    </row>
    <row r="427" spans="2:19" x14ac:dyDescent="0.3">
      <c r="B427" s="3"/>
      <c r="C427" s="2" t="str">
        <f t="shared" si="23"/>
        <v/>
      </c>
      <c r="D427" s="2"/>
      <c r="E427" s="2" t="str">
        <f t="shared" si="24"/>
        <v/>
      </c>
      <c r="F427" s="3"/>
      <c r="G427" s="3"/>
      <c r="H427" s="4"/>
      <c r="I427" s="4"/>
      <c r="J427" s="4"/>
      <c r="K427" s="4"/>
      <c r="L427" s="4"/>
      <c r="M427" s="4"/>
      <c r="N427" s="4"/>
      <c r="O427" s="4"/>
      <c r="P427" s="4"/>
      <c r="Q427" s="4"/>
      <c r="S427" s="4">
        <v>0</v>
      </c>
    </row>
    <row r="428" spans="2:19" x14ac:dyDescent="0.3">
      <c r="B428" s="3"/>
      <c r="C428" s="2" t="str">
        <f t="shared" si="23"/>
        <v/>
      </c>
      <c r="D428" s="2"/>
      <c r="E428" s="2" t="str">
        <f t="shared" si="24"/>
        <v/>
      </c>
      <c r="F428" s="3"/>
      <c r="G428" s="3"/>
      <c r="H428" s="4"/>
      <c r="I428" s="4"/>
      <c r="J428" s="4"/>
      <c r="K428" s="4"/>
      <c r="L428" s="4"/>
      <c r="M428" s="4"/>
      <c r="N428" s="4"/>
      <c r="O428" s="4"/>
      <c r="P428" s="4"/>
      <c r="Q428" s="4"/>
      <c r="S428" s="4">
        <v>0</v>
      </c>
    </row>
    <row r="429" spans="2:19" x14ac:dyDescent="0.3">
      <c r="B429" s="3"/>
      <c r="C429" s="2" t="str">
        <f t="shared" si="23"/>
        <v/>
      </c>
      <c r="D429" s="2"/>
      <c r="E429" s="2" t="str">
        <f t="shared" si="24"/>
        <v/>
      </c>
      <c r="F429" s="3"/>
      <c r="G429" s="3"/>
      <c r="H429" s="4"/>
      <c r="I429" s="4"/>
      <c r="J429" s="4"/>
      <c r="K429" s="4"/>
      <c r="L429" s="4"/>
      <c r="M429" s="4"/>
      <c r="N429" s="4"/>
      <c r="O429" s="4"/>
      <c r="P429" s="4"/>
      <c r="Q429" s="4"/>
      <c r="S429" s="4">
        <v>0</v>
      </c>
    </row>
    <row r="430" spans="2:19" x14ac:dyDescent="0.3">
      <c r="B430" s="3"/>
      <c r="C430" s="2" t="str">
        <f t="shared" si="23"/>
        <v/>
      </c>
      <c r="D430" s="2"/>
      <c r="E430" s="2" t="str">
        <f t="shared" si="24"/>
        <v/>
      </c>
      <c r="F430" s="3"/>
      <c r="G430" s="3"/>
      <c r="H430" s="4"/>
      <c r="I430" s="4"/>
      <c r="J430" s="4"/>
      <c r="K430" s="4"/>
      <c r="L430" s="4"/>
      <c r="M430" s="4"/>
      <c r="N430" s="4"/>
      <c r="O430" s="4"/>
      <c r="P430" s="4"/>
      <c r="Q430" s="4"/>
      <c r="S430" s="4">
        <v>0</v>
      </c>
    </row>
    <row r="431" spans="2:19" x14ac:dyDescent="0.3">
      <c r="B431" s="3"/>
      <c r="C431" s="2" t="str">
        <f t="shared" si="23"/>
        <v/>
      </c>
      <c r="D431" s="2"/>
      <c r="E431" s="2" t="str">
        <f t="shared" si="24"/>
        <v/>
      </c>
      <c r="F431" s="3"/>
      <c r="G431" s="3"/>
      <c r="H431" s="4"/>
      <c r="I431" s="4"/>
      <c r="J431" s="4"/>
      <c r="K431" s="4"/>
      <c r="L431" s="4"/>
      <c r="M431" s="4"/>
      <c r="N431" s="4"/>
      <c r="O431" s="4"/>
      <c r="P431" s="4"/>
      <c r="Q431" s="4"/>
      <c r="S431" s="4">
        <v>0</v>
      </c>
    </row>
    <row r="432" spans="2:19" x14ac:dyDescent="0.3">
      <c r="B432" s="3"/>
      <c r="C432" s="2" t="str">
        <f t="shared" si="23"/>
        <v/>
      </c>
      <c r="D432" s="2"/>
      <c r="E432" s="2" t="str">
        <f t="shared" si="24"/>
        <v/>
      </c>
      <c r="F432" s="3"/>
      <c r="G432" s="3"/>
      <c r="H432" s="4"/>
      <c r="I432" s="4"/>
      <c r="J432" s="4"/>
      <c r="K432" s="4"/>
      <c r="L432" s="4"/>
      <c r="M432" s="4"/>
      <c r="N432" s="4"/>
      <c r="O432" s="4"/>
      <c r="P432" s="4"/>
      <c r="Q432" s="4"/>
      <c r="S432" s="4">
        <v>0</v>
      </c>
    </row>
    <row r="433" spans="2:19" x14ac:dyDescent="0.3">
      <c r="B433" s="3"/>
      <c r="C433" s="2" t="str">
        <f t="shared" si="23"/>
        <v/>
      </c>
      <c r="D433" s="2"/>
      <c r="E433" s="2" t="str">
        <f t="shared" si="24"/>
        <v/>
      </c>
      <c r="F433" s="3"/>
      <c r="G433" s="3"/>
      <c r="H433" s="4"/>
      <c r="I433" s="4"/>
      <c r="J433" s="4"/>
      <c r="K433" s="4"/>
      <c r="L433" s="4"/>
      <c r="M433" s="4"/>
      <c r="N433" s="4"/>
      <c r="O433" s="4"/>
      <c r="P433" s="4"/>
      <c r="Q433" s="4"/>
      <c r="S433" s="4">
        <v>0</v>
      </c>
    </row>
    <row r="434" spans="2:19" x14ac:dyDescent="0.3">
      <c r="B434" s="3"/>
      <c r="C434" s="2" t="str">
        <f t="shared" si="23"/>
        <v/>
      </c>
      <c r="D434" s="2"/>
      <c r="E434" s="2" t="str">
        <f t="shared" si="24"/>
        <v/>
      </c>
      <c r="F434" s="3"/>
      <c r="G434" s="3"/>
      <c r="H434" s="4"/>
      <c r="I434" s="4"/>
      <c r="J434" s="4"/>
      <c r="K434" s="4"/>
      <c r="L434" s="4"/>
      <c r="M434" s="4"/>
      <c r="N434" s="4"/>
      <c r="O434" s="4"/>
      <c r="P434" s="4"/>
      <c r="Q434" s="4"/>
      <c r="S434" s="4">
        <v>0</v>
      </c>
    </row>
    <row r="435" spans="2:19" x14ac:dyDescent="0.3">
      <c r="B435" s="3"/>
      <c r="C435" s="2" t="str">
        <f t="shared" si="23"/>
        <v/>
      </c>
      <c r="D435" s="2"/>
      <c r="E435" s="2" t="str">
        <f t="shared" si="24"/>
        <v/>
      </c>
      <c r="F435" s="3"/>
      <c r="G435" s="3"/>
      <c r="H435" s="4"/>
      <c r="I435" s="4"/>
      <c r="J435" s="4"/>
      <c r="K435" s="4"/>
      <c r="L435" s="4"/>
      <c r="M435" s="4"/>
      <c r="N435" s="4"/>
      <c r="O435" s="4"/>
      <c r="P435" s="4"/>
      <c r="Q435" s="4"/>
      <c r="S435" s="4">
        <v>0</v>
      </c>
    </row>
    <row r="436" spans="2:19" x14ac:dyDescent="0.3">
      <c r="B436" s="3"/>
      <c r="C436" s="2" t="str">
        <f t="shared" si="23"/>
        <v/>
      </c>
      <c r="D436" s="2"/>
      <c r="E436" s="2" t="str">
        <f t="shared" si="24"/>
        <v/>
      </c>
      <c r="F436" s="3"/>
      <c r="G436" s="3"/>
      <c r="H436" s="4"/>
      <c r="I436" s="4"/>
      <c r="J436" s="4"/>
      <c r="K436" s="4"/>
      <c r="L436" s="4"/>
      <c r="M436" s="4"/>
      <c r="N436" s="4"/>
      <c r="O436" s="4"/>
      <c r="P436" s="4"/>
      <c r="Q436" s="4"/>
      <c r="S436" s="4">
        <v>0</v>
      </c>
    </row>
    <row r="437" spans="2:19" x14ac:dyDescent="0.3">
      <c r="B437" s="3"/>
      <c r="C437" s="2" t="str">
        <f t="shared" si="23"/>
        <v/>
      </c>
      <c r="D437" s="2"/>
      <c r="E437" s="2" t="str">
        <f t="shared" si="24"/>
        <v/>
      </c>
      <c r="F437" s="3"/>
      <c r="G437" s="3"/>
      <c r="H437" s="4"/>
      <c r="I437" s="4"/>
      <c r="J437" s="4"/>
      <c r="K437" s="4"/>
      <c r="L437" s="4"/>
      <c r="M437" s="4"/>
      <c r="N437" s="4"/>
      <c r="O437" s="4"/>
      <c r="P437" s="4"/>
      <c r="Q437" s="4"/>
      <c r="S437" s="4">
        <v>0</v>
      </c>
    </row>
    <row r="438" spans="2:19" x14ac:dyDescent="0.3">
      <c r="B438" s="3"/>
      <c r="C438" s="2" t="str">
        <f t="shared" si="23"/>
        <v/>
      </c>
      <c r="D438" s="2"/>
      <c r="E438" s="2" t="str">
        <f t="shared" si="24"/>
        <v/>
      </c>
      <c r="F438" s="3"/>
      <c r="G438" s="3"/>
      <c r="H438" s="4"/>
      <c r="I438" s="4"/>
      <c r="J438" s="4"/>
      <c r="K438" s="4"/>
      <c r="L438" s="4"/>
      <c r="M438" s="4"/>
      <c r="N438" s="4"/>
      <c r="O438" s="4"/>
      <c r="P438" s="4"/>
      <c r="Q438" s="4"/>
      <c r="S438" s="4">
        <v>0</v>
      </c>
    </row>
    <row r="439" spans="2:19" x14ac:dyDescent="0.3">
      <c r="B439" s="3"/>
      <c r="C439" s="2" t="str">
        <f t="shared" si="23"/>
        <v/>
      </c>
      <c r="D439" s="2"/>
      <c r="E439" s="2" t="str">
        <f t="shared" si="24"/>
        <v/>
      </c>
      <c r="F439" s="3"/>
      <c r="G439" s="3"/>
      <c r="H439" s="4"/>
      <c r="I439" s="4"/>
      <c r="J439" s="4"/>
      <c r="K439" s="4"/>
      <c r="L439" s="4"/>
      <c r="M439" s="4"/>
      <c r="N439" s="4"/>
      <c r="O439" s="4"/>
      <c r="P439" s="4"/>
      <c r="Q439" s="4"/>
      <c r="S439" s="4">
        <v>0</v>
      </c>
    </row>
    <row r="440" spans="2:19" x14ac:dyDescent="0.3">
      <c r="B440" s="3"/>
      <c r="C440" s="2" t="str">
        <f t="shared" si="23"/>
        <v/>
      </c>
      <c r="D440" s="2"/>
      <c r="E440" s="2" t="str">
        <f t="shared" si="24"/>
        <v/>
      </c>
      <c r="F440" s="3"/>
      <c r="G440" s="3"/>
      <c r="H440" s="4"/>
      <c r="I440" s="4"/>
      <c r="J440" s="4"/>
      <c r="K440" s="4"/>
      <c r="L440" s="4"/>
      <c r="M440" s="4"/>
      <c r="N440" s="4"/>
      <c r="O440" s="4"/>
      <c r="P440" s="4"/>
      <c r="Q440" s="4"/>
      <c r="S440" s="4">
        <v>0</v>
      </c>
    </row>
    <row r="441" spans="2:19" x14ac:dyDescent="0.3">
      <c r="B441" s="3"/>
      <c r="C441" s="2" t="str">
        <f t="shared" si="23"/>
        <v/>
      </c>
      <c r="D441" s="2"/>
      <c r="E441" s="2" t="str">
        <f t="shared" si="24"/>
        <v/>
      </c>
      <c r="F441" s="3"/>
      <c r="G441" s="3"/>
      <c r="H441" s="4"/>
      <c r="I441" s="4"/>
      <c r="J441" s="4"/>
      <c r="K441" s="4"/>
      <c r="L441" s="4"/>
      <c r="M441" s="4"/>
      <c r="N441" s="4"/>
      <c r="O441" s="4"/>
      <c r="P441" s="4"/>
      <c r="Q441" s="4"/>
      <c r="S441" s="4">
        <v>0</v>
      </c>
    </row>
    <row r="442" spans="2:19" x14ac:dyDescent="0.3">
      <c r="B442" s="3"/>
      <c r="C442" s="2" t="str">
        <f t="shared" si="23"/>
        <v/>
      </c>
      <c r="D442" s="2"/>
      <c r="E442" s="2" t="str">
        <f t="shared" si="24"/>
        <v/>
      </c>
      <c r="F442" s="3"/>
      <c r="G442" s="3"/>
      <c r="H442" s="4"/>
      <c r="I442" s="4"/>
      <c r="J442" s="4"/>
      <c r="K442" s="4"/>
      <c r="L442" s="4"/>
      <c r="M442" s="4"/>
      <c r="N442" s="4"/>
      <c r="O442" s="4"/>
      <c r="P442" s="4"/>
      <c r="Q442" s="4"/>
      <c r="S442" s="4">
        <v>0</v>
      </c>
    </row>
    <row r="443" spans="2:19" x14ac:dyDescent="0.3">
      <c r="B443" s="3"/>
      <c r="C443" s="2" t="str">
        <f t="shared" si="23"/>
        <v/>
      </c>
      <c r="D443" s="2"/>
      <c r="E443" s="2" t="str">
        <f t="shared" si="24"/>
        <v/>
      </c>
      <c r="F443" s="3"/>
      <c r="G443" s="3"/>
      <c r="H443" s="4"/>
      <c r="I443" s="4"/>
      <c r="J443" s="4"/>
      <c r="K443" s="4"/>
      <c r="L443" s="4"/>
      <c r="M443" s="4"/>
      <c r="N443" s="4"/>
      <c r="O443" s="4"/>
      <c r="P443" s="4"/>
      <c r="Q443" s="4"/>
      <c r="S443" s="4">
        <v>0</v>
      </c>
    </row>
    <row r="444" spans="2:19" x14ac:dyDescent="0.3">
      <c r="B444" s="3"/>
      <c r="C444" s="2" t="str">
        <f t="shared" si="23"/>
        <v/>
      </c>
      <c r="D444" s="2"/>
      <c r="E444" s="2" t="str">
        <f t="shared" si="24"/>
        <v/>
      </c>
      <c r="F444" s="3"/>
      <c r="G444" s="3"/>
      <c r="H444" s="4"/>
      <c r="I444" s="4"/>
      <c r="J444" s="4"/>
      <c r="K444" s="4"/>
      <c r="L444" s="4"/>
      <c r="M444" s="4"/>
      <c r="N444" s="4"/>
      <c r="O444" s="4"/>
      <c r="P444" s="4"/>
      <c r="Q444" s="4"/>
      <c r="S444" s="4">
        <v>0</v>
      </c>
    </row>
    <row r="445" spans="2:19" x14ac:dyDescent="0.3">
      <c r="B445" s="3"/>
      <c r="C445" s="2" t="str">
        <f t="shared" si="23"/>
        <v/>
      </c>
      <c r="D445" s="2"/>
      <c r="E445" s="2" t="str">
        <f t="shared" si="24"/>
        <v/>
      </c>
      <c r="F445" s="3"/>
      <c r="G445" s="3"/>
      <c r="H445" s="4"/>
      <c r="I445" s="4"/>
      <c r="J445" s="4"/>
      <c r="K445" s="4"/>
      <c r="L445" s="4"/>
      <c r="M445" s="4"/>
      <c r="N445" s="4"/>
      <c r="O445" s="4"/>
      <c r="P445" s="4"/>
      <c r="Q445" s="4"/>
      <c r="S445" s="4">
        <v>0</v>
      </c>
    </row>
    <row r="446" spans="2:19" x14ac:dyDescent="0.3">
      <c r="B446" s="3"/>
      <c r="C446" s="2" t="str">
        <f t="shared" si="23"/>
        <v/>
      </c>
      <c r="D446" s="2"/>
      <c r="E446" s="2" t="str">
        <f t="shared" si="24"/>
        <v/>
      </c>
      <c r="F446" s="3"/>
      <c r="G446" s="3"/>
      <c r="H446" s="4"/>
      <c r="I446" s="4"/>
      <c r="J446" s="4"/>
      <c r="K446" s="4"/>
      <c r="L446" s="4"/>
      <c r="M446" s="4"/>
      <c r="N446" s="4"/>
      <c r="O446" s="4"/>
      <c r="P446" s="4"/>
      <c r="Q446" s="4"/>
      <c r="S446" s="4">
        <v>0</v>
      </c>
    </row>
    <row r="447" spans="2:19" x14ac:dyDescent="0.3">
      <c r="B447" s="3"/>
      <c r="C447" s="2" t="str">
        <f t="shared" si="23"/>
        <v/>
      </c>
      <c r="D447" s="2"/>
      <c r="E447" s="2" t="str">
        <f t="shared" si="24"/>
        <v/>
      </c>
      <c r="F447" s="3"/>
      <c r="G447" s="3"/>
      <c r="H447" s="4"/>
      <c r="I447" s="4"/>
      <c r="J447" s="4"/>
      <c r="K447" s="4"/>
      <c r="L447" s="4"/>
      <c r="M447" s="4"/>
      <c r="N447" s="4"/>
      <c r="O447" s="4"/>
      <c r="P447" s="4"/>
      <c r="Q447" s="4"/>
      <c r="S447" s="4">
        <v>0</v>
      </c>
    </row>
    <row r="448" spans="2:19" x14ac:dyDescent="0.3">
      <c r="B448" s="3"/>
      <c r="C448" s="2" t="str">
        <f t="shared" si="23"/>
        <v/>
      </c>
      <c r="D448" s="2"/>
      <c r="E448" s="2" t="str">
        <f t="shared" si="24"/>
        <v/>
      </c>
      <c r="F448" s="3"/>
      <c r="G448" s="3"/>
      <c r="H448" s="4"/>
      <c r="I448" s="4"/>
      <c r="J448" s="4"/>
      <c r="K448" s="4"/>
      <c r="L448" s="4"/>
      <c r="M448" s="4"/>
      <c r="N448" s="4"/>
      <c r="O448" s="4"/>
      <c r="P448" s="4"/>
      <c r="Q448" s="4"/>
      <c r="S448" s="4">
        <v>0</v>
      </c>
    </row>
    <row r="449" spans="2:19" x14ac:dyDescent="0.3">
      <c r="B449" s="3"/>
      <c r="C449" s="2" t="str">
        <f t="shared" si="23"/>
        <v/>
      </c>
      <c r="D449" s="2"/>
      <c r="E449" s="2" t="str">
        <f t="shared" si="24"/>
        <v/>
      </c>
      <c r="F449" s="3"/>
      <c r="G449" s="3"/>
      <c r="H449" s="4"/>
      <c r="I449" s="4"/>
      <c r="J449" s="4"/>
      <c r="K449" s="4"/>
      <c r="L449" s="4"/>
      <c r="M449" s="4"/>
      <c r="N449" s="4"/>
      <c r="O449" s="4"/>
      <c r="P449" s="4"/>
      <c r="Q449" s="4"/>
      <c r="S449" s="4">
        <v>0</v>
      </c>
    </row>
    <row r="450" spans="2:19" x14ac:dyDescent="0.3">
      <c r="B450" s="3"/>
      <c r="C450" s="2" t="str">
        <f t="shared" si="23"/>
        <v/>
      </c>
      <c r="D450" s="2"/>
      <c r="E450" s="2" t="str">
        <f t="shared" si="24"/>
        <v/>
      </c>
      <c r="F450" s="3"/>
      <c r="G450" s="3"/>
      <c r="H450" s="4"/>
      <c r="I450" s="4"/>
      <c r="J450" s="4"/>
      <c r="K450" s="4"/>
      <c r="L450" s="4"/>
      <c r="M450" s="4"/>
      <c r="N450" s="4"/>
      <c r="O450" s="4"/>
      <c r="P450" s="4"/>
      <c r="Q450" s="4"/>
      <c r="S450" s="4">
        <v>0</v>
      </c>
    </row>
    <row r="451" spans="2:19" x14ac:dyDescent="0.3">
      <c r="B451" s="3"/>
      <c r="C451" s="2" t="str">
        <f t="shared" si="23"/>
        <v/>
      </c>
      <c r="D451" s="2"/>
      <c r="E451" s="2" t="str">
        <f t="shared" si="24"/>
        <v/>
      </c>
      <c r="F451" s="3"/>
      <c r="G451" s="3"/>
      <c r="H451" s="4"/>
      <c r="I451" s="4"/>
      <c r="J451" s="4"/>
      <c r="K451" s="4"/>
      <c r="L451" s="4"/>
      <c r="M451" s="4"/>
      <c r="N451" s="4"/>
      <c r="O451" s="4"/>
      <c r="P451" s="4"/>
      <c r="Q451" s="4"/>
      <c r="S451" s="4">
        <v>0</v>
      </c>
    </row>
    <row r="452" spans="2:19" x14ac:dyDescent="0.3">
      <c r="B452" s="3"/>
      <c r="C452" s="2" t="str">
        <f t="shared" si="23"/>
        <v/>
      </c>
      <c r="D452" s="2"/>
      <c r="E452" s="2" t="str">
        <f t="shared" si="24"/>
        <v/>
      </c>
      <c r="F452" s="3"/>
      <c r="G452" s="3"/>
      <c r="H452" s="4"/>
      <c r="I452" s="4"/>
      <c r="J452" s="4"/>
      <c r="K452" s="4"/>
      <c r="L452" s="4"/>
      <c r="M452" s="4"/>
      <c r="N452" s="4"/>
      <c r="O452" s="4"/>
      <c r="P452" s="4"/>
      <c r="Q452" s="4"/>
      <c r="S452" s="4">
        <v>0</v>
      </c>
    </row>
    <row r="453" spans="2:19" x14ac:dyDescent="0.3">
      <c r="B453" s="3"/>
      <c r="C453" s="2" t="str">
        <f t="shared" si="23"/>
        <v/>
      </c>
      <c r="D453" s="2"/>
      <c r="E453" s="2" t="str">
        <f t="shared" si="24"/>
        <v/>
      </c>
      <c r="F453" s="3"/>
      <c r="G453" s="3"/>
      <c r="H453" s="4"/>
      <c r="I453" s="4"/>
      <c r="J453" s="4"/>
      <c r="K453" s="4"/>
      <c r="L453" s="4"/>
      <c r="M453" s="4"/>
      <c r="N453" s="4"/>
      <c r="O453" s="4"/>
      <c r="P453" s="4"/>
      <c r="Q453" s="4"/>
      <c r="S453" s="4">
        <v>0</v>
      </c>
    </row>
    <row r="454" spans="2:19" x14ac:dyDescent="0.3">
      <c r="B454" s="3"/>
      <c r="C454" s="2" t="str">
        <f t="shared" si="23"/>
        <v/>
      </c>
      <c r="D454" s="2"/>
      <c r="E454" s="2" t="str">
        <f t="shared" si="24"/>
        <v/>
      </c>
      <c r="F454" s="3"/>
      <c r="G454" s="3"/>
      <c r="H454" s="4"/>
      <c r="I454" s="4"/>
      <c r="J454" s="4"/>
      <c r="K454" s="4"/>
      <c r="L454" s="4"/>
      <c r="M454" s="4"/>
      <c r="N454" s="4"/>
      <c r="O454" s="4"/>
      <c r="P454" s="4"/>
      <c r="Q454" s="4"/>
      <c r="S454" s="4">
        <v>0</v>
      </c>
    </row>
    <row r="455" spans="2:19" x14ac:dyDescent="0.3">
      <c r="B455" s="3"/>
      <c r="C455" s="2" t="str">
        <f t="shared" si="23"/>
        <v/>
      </c>
      <c r="D455" s="2"/>
      <c r="E455" s="2" t="str">
        <f t="shared" si="24"/>
        <v/>
      </c>
      <c r="F455" s="3"/>
      <c r="G455" s="3"/>
      <c r="H455" s="4"/>
      <c r="I455" s="4"/>
      <c r="J455" s="4"/>
      <c r="K455" s="4"/>
      <c r="L455" s="4"/>
      <c r="M455" s="4"/>
      <c r="N455" s="4"/>
      <c r="O455" s="4"/>
      <c r="P455" s="4"/>
      <c r="Q455" s="4"/>
      <c r="S455" s="4">
        <v>0</v>
      </c>
    </row>
    <row r="456" spans="2:19" x14ac:dyDescent="0.3">
      <c r="B456" s="3"/>
      <c r="C456" s="2" t="str">
        <f t="shared" si="23"/>
        <v/>
      </c>
      <c r="D456" s="2"/>
      <c r="E456" s="2" t="str">
        <f t="shared" si="24"/>
        <v/>
      </c>
      <c r="F456" s="3"/>
      <c r="G456" s="3"/>
      <c r="H456" s="4"/>
      <c r="I456" s="4"/>
      <c r="J456" s="4"/>
      <c r="K456" s="4"/>
      <c r="L456" s="4"/>
      <c r="M456" s="4"/>
      <c r="N456" s="4"/>
      <c r="O456" s="4"/>
      <c r="P456" s="4"/>
      <c r="Q456" s="4"/>
      <c r="S456" s="4">
        <v>0</v>
      </c>
    </row>
    <row r="457" spans="2:19" x14ac:dyDescent="0.3">
      <c r="B457" s="3"/>
      <c r="C457" s="2" t="str">
        <f t="shared" si="23"/>
        <v/>
      </c>
      <c r="D457" s="2"/>
      <c r="E457" s="2" t="str">
        <f t="shared" si="24"/>
        <v/>
      </c>
      <c r="F457" s="3"/>
      <c r="G457" s="3"/>
      <c r="H457" s="4"/>
      <c r="I457" s="4"/>
      <c r="J457" s="4"/>
      <c r="K457" s="4"/>
      <c r="L457" s="4"/>
      <c r="M457" s="4"/>
      <c r="N457" s="4"/>
      <c r="O457" s="4"/>
      <c r="P457" s="4"/>
      <c r="Q457" s="4"/>
      <c r="S457" s="4">
        <v>0</v>
      </c>
    </row>
    <row r="458" spans="2:19" x14ac:dyDescent="0.3">
      <c r="B458" s="3"/>
      <c r="C458" s="2" t="str">
        <f t="shared" si="23"/>
        <v/>
      </c>
      <c r="D458" s="2"/>
      <c r="E458" s="2" t="str">
        <f t="shared" si="24"/>
        <v/>
      </c>
      <c r="F458" s="3"/>
      <c r="G458" s="3"/>
      <c r="H458" s="4"/>
      <c r="I458" s="4"/>
      <c r="J458" s="4"/>
      <c r="K458" s="4"/>
      <c r="L458" s="4"/>
      <c r="M458" s="4"/>
      <c r="N458" s="4"/>
      <c r="O458" s="4"/>
      <c r="P458" s="4"/>
      <c r="Q458" s="4"/>
      <c r="S458" s="4">
        <v>0</v>
      </c>
    </row>
    <row r="459" spans="2:19" x14ac:dyDescent="0.3">
      <c r="B459" s="3"/>
      <c r="C459" s="2" t="str">
        <f t="shared" si="23"/>
        <v/>
      </c>
      <c r="D459" s="2"/>
      <c r="E459" s="2" t="str">
        <f t="shared" si="24"/>
        <v/>
      </c>
      <c r="F459" s="3"/>
      <c r="G459" s="3"/>
      <c r="H459" s="4"/>
      <c r="I459" s="4"/>
      <c r="J459" s="4"/>
      <c r="K459" s="4"/>
      <c r="L459" s="4"/>
      <c r="M459" s="4"/>
      <c r="N459" s="4"/>
      <c r="O459" s="4"/>
      <c r="P459" s="4"/>
      <c r="Q459" s="4"/>
      <c r="S459" s="4">
        <v>0</v>
      </c>
    </row>
    <row r="460" spans="2:19" x14ac:dyDescent="0.3">
      <c r="B460" s="3"/>
      <c r="C460" s="2" t="str">
        <f t="shared" si="23"/>
        <v/>
      </c>
      <c r="D460" s="2"/>
      <c r="E460" s="2" t="str">
        <f t="shared" si="24"/>
        <v/>
      </c>
      <c r="F460" s="3"/>
      <c r="G460" s="3"/>
      <c r="H460" s="4"/>
      <c r="I460" s="4"/>
      <c r="J460" s="4"/>
      <c r="K460" s="4"/>
      <c r="L460" s="4"/>
      <c r="M460" s="4"/>
      <c r="N460" s="4"/>
      <c r="O460" s="4"/>
      <c r="P460" s="4"/>
      <c r="Q460" s="4"/>
      <c r="S460" s="4">
        <v>0</v>
      </c>
    </row>
    <row r="461" spans="2:19" x14ac:dyDescent="0.3">
      <c r="B461" s="3"/>
      <c r="C461" s="2" t="str">
        <f t="shared" si="23"/>
        <v/>
      </c>
      <c r="D461" s="2"/>
      <c r="E461" s="2" t="str">
        <f t="shared" si="24"/>
        <v/>
      </c>
      <c r="F461" s="3"/>
      <c r="G461" s="3"/>
      <c r="H461" s="4"/>
      <c r="I461" s="4"/>
      <c r="J461" s="4"/>
      <c r="K461" s="4"/>
      <c r="L461" s="4"/>
      <c r="M461" s="4"/>
      <c r="N461" s="4"/>
      <c r="O461" s="4"/>
      <c r="P461" s="4"/>
      <c r="Q461" s="4"/>
      <c r="S461" s="4">
        <v>0</v>
      </c>
    </row>
    <row r="462" spans="2:19" x14ac:dyDescent="0.3">
      <c r="B462" s="3"/>
      <c r="C462" s="2" t="str">
        <f t="shared" si="23"/>
        <v/>
      </c>
      <c r="D462" s="2"/>
      <c r="E462" s="2" t="str">
        <f t="shared" si="24"/>
        <v/>
      </c>
      <c r="F462" s="3"/>
      <c r="G462" s="3"/>
      <c r="H462" s="4"/>
      <c r="I462" s="4"/>
      <c r="J462" s="4"/>
      <c r="K462" s="4"/>
      <c r="L462" s="4"/>
      <c r="M462" s="4"/>
      <c r="N462" s="4"/>
      <c r="O462" s="4"/>
      <c r="P462" s="4"/>
      <c r="Q462" s="4"/>
      <c r="S462" s="4">
        <v>0</v>
      </c>
    </row>
    <row r="463" spans="2:19" x14ac:dyDescent="0.3">
      <c r="B463" s="3"/>
      <c r="C463" s="2" t="str">
        <f t="shared" si="23"/>
        <v/>
      </c>
      <c r="D463" s="2"/>
      <c r="E463" s="2" t="str">
        <f t="shared" si="24"/>
        <v/>
      </c>
      <c r="F463" s="3"/>
      <c r="G463" s="3"/>
      <c r="H463" s="4"/>
      <c r="I463" s="4"/>
      <c r="J463" s="4"/>
      <c r="K463" s="4"/>
      <c r="L463" s="4"/>
      <c r="M463" s="4"/>
      <c r="N463" s="4"/>
      <c r="O463" s="4"/>
      <c r="P463" s="4"/>
      <c r="Q463" s="4"/>
      <c r="S463" s="4">
        <v>0</v>
      </c>
    </row>
    <row r="464" spans="2:19" x14ac:dyDescent="0.3">
      <c r="B464" s="3"/>
      <c r="C464" s="2" t="str">
        <f t="shared" si="23"/>
        <v/>
      </c>
      <c r="D464" s="2"/>
      <c r="E464" s="2" t="str">
        <f t="shared" si="24"/>
        <v/>
      </c>
      <c r="F464" s="3"/>
      <c r="G464" s="3"/>
      <c r="H464" s="4"/>
      <c r="I464" s="4"/>
      <c r="J464" s="4"/>
      <c r="K464" s="4"/>
      <c r="L464" s="4"/>
      <c r="M464" s="4"/>
      <c r="N464" s="4"/>
      <c r="O464" s="4"/>
      <c r="P464" s="4"/>
      <c r="Q464" s="4"/>
      <c r="S464" s="4">
        <v>0</v>
      </c>
    </row>
    <row r="465" spans="2:19" x14ac:dyDescent="0.3">
      <c r="B465" s="3"/>
      <c r="C465" s="2" t="str">
        <f t="shared" si="23"/>
        <v/>
      </c>
      <c r="D465" s="2"/>
      <c r="E465" s="2" t="str">
        <f t="shared" si="24"/>
        <v/>
      </c>
      <c r="F465" s="3"/>
      <c r="G465" s="3"/>
      <c r="H465" s="4"/>
      <c r="I465" s="4"/>
      <c r="J465" s="4"/>
      <c r="K465" s="4"/>
      <c r="L465" s="4"/>
      <c r="M465" s="4"/>
      <c r="N465" s="4"/>
      <c r="O465" s="4"/>
      <c r="P465" s="4"/>
      <c r="Q465" s="4"/>
      <c r="S465" s="4">
        <v>0</v>
      </c>
    </row>
    <row r="466" spans="2:19" x14ac:dyDescent="0.3">
      <c r="B466" s="3"/>
      <c r="C466" s="2" t="str">
        <f t="shared" si="23"/>
        <v/>
      </c>
      <c r="D466" s="2"/>
      <c r="E466" s="2" t="str">
        <f t="shared" si="24"/>
        <v/>
      </c>
      <c r="F466" s="3"/>
      <c r="G466" s="3"/>
      <c r="H466" s="4"/>
      <c r="I466" s="4"/>
      <c r="J466" s="4"/>
      <c r="K466" s="4"/>
      <c r="L466" s="4"/>
      <c r="M466" s="4"/>
      <c r="N466" s="4"/>
      <c r="O466" s="4"/>
      <c r="P466" s="4"/>
      <c r="Q466" s="4"/>
      <c r="S466" s="4">
        <v>0</v>
      </c>
    </row>
    <row r="467" spans="2:19" x14ac:dyDescent="0.3">
      <c r="B467" s="3"/>
      <c r="C467" s="2" t="str">
        <f t="shared" si="23"/>
        <v/>
      </c>
      <c r="D467" s="2"/>
      <c r="E467" s="2" t="str">
        <f t="shared" si="24"/>
        <v/>
      </c>
      <c r="F467" s="3"/>
      <c r="G467" s="3"/>
      <c r="H467" s="4"/>
      <c r="I467" s="4"/>
      <c r="J467" s="4"/>
      <c r="K467" s="4"/>
      <c r="L467" s="4"/>
      <c r="M467" s="4"/>
      <c r="N467" s="4"/>
      <c r="O467" s="4"/>
      <c r="P467" s="4"/>
      <c r="Q467" s="4"/>
      <c r="S467" s="4">
        <v>0</v>
      </c>
    </row>
    <row r="468" spans="2:19" x14ac:dyDescent="0.3">
      <c r="B468" s="3"/>
      <c r="C468" s="2" t="str">
        <f t="shared" si="23"/>
        <v/>
      </c>
      <c r="D468" s="2"/>
      <c r="E468" s="2" t="str">
        <f t="shared" si="24"/>
        <v/>
      </c>
      <c r="F468" s="3"/>
      <c r="G468" s="3"/>
      <c r="H468" s="4"/>
      <c r="I468" s="4"/>
      <c r="J468" s="4"/>
      <c r="K468" s="4"/>
      <c r="L468" s="4"/>
      <c r="M468" s="4"/>
      <c r="N468" s="4"/>
      <c r="O468" s="4"/>
      <c r="P468" s="4"/>
      <c r="Q468" s="4"/>
      <c r="S468" s="4">
        <v>0</v>
      </c>
    </row>
    <row r="469" spans="2:19" x14ac:dyDescent="0.3">
      <c r="B469" s="3"/>
      <c r="C469" s="2" t="str">
        <f t="shared" si="23"/>
        <v/>
      </c>
      <c r="D469" s="2"/>
      <c r="E469" s="2" t="str">
        <f t="shared" si="24"/>
        <v/>
      </c>
      <c r="F469" s="3"/>
      <c r="G469" s="3"/>
      <c r="H469" s="4"/>
      <c r="I469" s="4"/>
      <c r="J469" s="4"/>
      <c r="K469" s="4"/>
      <c r="L469" s="4"/>
      <c r="M469" s="4"/>
      <c r="N469" s="4"/>
      <c r="O469" s="4"/>
      <c r="P469" s="4"/>
      <c r="Q469" s="4"/>
      <c r="S469" s="4">
        <v>0</v>
      </c>
    </row>
    <row r="470" spans="2:19" x14ac:dyDescent="0.3">
      <c r="B470" s="3"/>
      <c r="C470" s="2" t="str">
        <f t="shared" si="23"/>
        <v/>
      </c>
      <c r="D470" s="2"/>
      <c r="E470" s="2" t="str">
        <f t="shared" si="24"/>
        <v/>
      </c>
      <c r="F470" s="3"/>
      <c r="G470" s="3"/>
      <c r="H470" s="4"/>
      <c r="I470" s="4"/>
      <c r="J470" s="4"/>
      <c r="K470" s="4"/>
      <c r="L470" s="4"/>
      <c r="M470" s="4"/>
      <c r="N470" s="4"/>
      <c r="O470" s="4"/>
      <c r="P470" s="4"/>
      <c r="Q470" s="4"/>
      <c r="S470" s="4">
        <v>0</v>
      </c>
    </row>
    <row r="471" spans="2:19" x14ac:dyDescent="0.3">
      <c r="B471" s="3"/>
      <c r="C471" s="2" t="str">
        <f t="shared" si="23"/>
        <v/>
      </c>
      <c r="D471" s="2"/>
      <c r="E471" s="2" t="str">
        <f t="shared" si="24"/>
        <v/>
      </c>
      <c r="F471" s="3"/>
      <c r="G471" s="3"/>
      <c r="H471" s="4"/>
      <c r="I471" s="4"/>
      <c r="J471" s="4"/>
      <c r="K471" s="4"/>
      <c r="L471" s="4"/>
      <c r="M471" s="4"/>
      <c r="N471" s="4"/>
      <c r="O471" s="4"/>
      <c r="P471" s="4"/>
      <c r="Q471" s="4"/>
      <c r="S471" s="4">
        <v>0</v>
      </c>
    </row>
    <row r="472" spans="2:19" x14ac:dyDescent="0.3">
      <c r="B472" s="3"/>
      <c r="C472" s="2" t="str">
        <f t="shared" si="23"/>
        <v/>
      </c>
      <c r="D472" s="2"/>
      <c r="E472" s="2" t="str">
        <f t="shared" si="24"/>
        <v/>
      </c>
      <c r="F472" s="3"/>
      <c r="G472" s="3"/>
      <c r="H472" s="4"/>
      <c r="I472" s="4"/>
      <c r="J472" s="4"/>
      <c r="K472" s="4"/>
      <c r="L472" s="4"/>
      <c r="M472" s="4"/>
      <c r="N472" s="4"/>
      <c r="O472" s="4"/>
      <c r="P472" s="4"/>
      <c r="Q472" s="4"/>
      <c r="S472" s="4">
        <v>0</v>
      </c>
    </row>
    <row r="473" spans="2:19" x14ac:dyDescent="0.3">
      <c r="B473" s="3"/>
      <c r="C473" s="2" t="str">
        <f t="shared" si="23"/>
        <v/>
      </c>
      <c r="D473" s="2"/>
      <c r="E473" s="2" t="str">
        <f t="shared" si="24"/>
        <v/>
      </c>
      <c r="F473" s="3"/>
      <c r="G473" s="3"/>
      <c r="H473" s="4"/>
      <c r="I473" s="4"/>
      <c r="J473" s="4"/>
      <c r="K473" s="4"/>
      <c r="L473" s="4"/>
      <c r="M473" s="4"/>
      <c r="N473" s="4"/>
      <c r="O473" s="4"/>
      <c r="P473" s="4"/>
      <c r="Q473" s="4"/>
      <c r="S473" s="4">
        <v>0</v>
      </c>
    </row>
    <row r="474" spans="2:19" x14ac:dyDescent="0.3">
      <c r="B474" s="3"/>
      <c r="C474" s="2" t="str">
        <f t="shared" si="23"/>
        <v/>
      </c>
      <c r="D474" s="2"/>
      <c r="E474" s="2" t="str">
        <f t="shared" si="24"/>
        <v/>
      </c>
      <c r="F474" s="3"/>
      <c r="G474" s="3"/>
      <c r="H474" s="4"/>
      <c r="I474" s="4"/>
      <c r="J474" s="4"/>
      <c r="K474" s="4"/>
      <c r="L474" s="4"/>
      <c r="M474" s="4"/>
      <c r="N474" s="4"/>
      <c r="O474" s="4"/>
      <c r="P474" s="4"/>
      <c r="Q474" s="4"/>
      <c r="S474" s="4">
        <v>0</v>
      </c>
    </row>
    <row r="475" spans="2:19" x14ac:dyDescent="0.3">
      <c r="B475" s="3"/>
      <c r="C475" s="2" t="str">
        <f t="shared" si="23"/>
        <v/>
      </c>
      <c r="D475" s="2"/>
      <c r="E475" s="2" t="str">
        <f t="shared" si="24"/>
        <v/>
      </c>
      <c r="F475" s="3"/>
      <c r="G475" s="3"/>
      <c r="H475" s="4"/>
      <c r="I475" s="4"/>
      <c r="J475" s="4"/>
      <c r="K475" s="4"/>
      <c r="L475" s="4"/>
      <c r="M475" s="4"/>
      <c r="N475" s="4"/>
      <c r="O475" s="4"/>
      <c r="P475" s="4"/>
      <c r="Q475" s="4"/>
    </row>
    <row r="476" spans="2:19" x14ac:dyDescent="0.3">
      <c r="B476" s="3"/>
      <c r="C476" s="2" t="str">
        <f t="shared" si="23"/>
        <v/>
      </c>
      <c r="D476" s="2"/>
      <c r="E476" s="2" t="str">
        <f t="shared" si="24"/>
        <v/>
      </c>
      <c r="F476" s="3"/>
      <c r="G476" s="3"/>
      <c r="H476" s="4"/>
      <c r="I476" s="4"/>
      <c r="J476" s="4"/>
      <c r="K476" s="4"/>
      <c r="L476" s="4"/>
      <c r="M476" s="4"/>
      <c r="N476" s="4"/>
      <c r="O476" s="4"/>
      <c r="P476" s="4"/>
      <c r="Q476" s="4"/>
    </row>
    <row r="477" spans="2:19" x14ac:dyDescent="0.3">
      <c r="B477" s="3"/>
      <c r="C477" s="2" t="str">
        <f t="shared" si="23"/>
        <v/>
      </c>
      <c r="D477" s="2"/>
      <c r="E477" s="2" t="str">
        <f t="shared" si="24"/>
        <v/>
      </c>
      <c r="F477" s="3"/>
      <c r="G477" s="3"/>
      <c r="H477" s="4"/>
      <c r="I477" s="4"/>
      <c r="J477" s="4"/>
      <c r="K477" s="4"/>
      <c r="L477" s="4"/>
      <c r="M477" s="4"/>
      <c r="N477" s="4"/>
      <c r="O477" s="4"/>
      <c r="P477" s="4"/>
      <c r="Q477" s="4"/>
    </row>
    <row r="478" spans="2:19" x14ac:dyDescent="0.3">
      <c r="B478" s="3"/>
      <c r="C478" s="2" t="str">
        <f t="shared" si="23"/>
        <v/>
      </c>
      <c r="D478" s="2"/>
      <c r="E478" s="2" t="str">
        <f t="shared" si="24"/>
        <v/>
      </c>
      <c r="F478" s="3"/>
      <c r="G478" s="3"/>
      <c r="H478" s="4"/>
      <c r="I478" s="4"/>
      <c r="J478" s="4"/>
      <c r="K478" s="4"/>
      <c r="L478" s="4"/>
      <c r="M478" s="4"/>
      <c r="N478" s="4"/>
      <c r="O478" s="4"/>
      <c r="P478" s="4"/>
      <c r="Q478" s="4"/>
    </row>
    <row r="479" spans="2:19" x14ac:dyDescent="0.3">
      <c r="B479" s="3"/>
      <c r="C479" s="2" t="str">
        <f t="shared" si="23"/>
        <v/>
      </c>
      <c r="D479" s="2"/>
      <c r="E479" s="2" t="str">
        <f t="shared" si="24"/>
        <v/>
      </c>
      <c r="F479" s="3"/>
      <c r="G479" s="3"/>
      <c r="H479" s="4"/>
      <c r="I479" s="4"/>
      <c r="J479" s="4"/>
      <c r="K479" s="4"/>
      <c r="L479" s="4"/>
      <c r="M479" s="4"/>
      <c r="N479" s="4"/>
      <c r="O479" s="4"/>
      <c r="P479" s="4"/>
      <c r="Q479" s="4"/>
    </row>
    <row r="480" spans="2:19" x14ac:dyDescent="0.3">
      <c r="B480" s="3"/>
      <c r="C480" s="2" t="str">
        <f t="shared" si="23"/>
        <v/>
      </c>
      <c r="D480" s="2"/>
      <c r="E480" s="2" t="str">
        <f t="shared" si="24"/>
        <v/>
      </c>
      <c r="F480" s="3"/>
      <c r="G480" s="3"/>
      <c r="H480" s="4"/>
      <c r="I480" s="4"/>
      <c r="J480" s="4"/>
      <c r="K480" s="4"/>
      <c r="L480" s="4"/>
      <c r="M480" s="4"/>
      <c r="N480" s="4"/>
      <c r="O480" s="4"/>
      <c r="P480" s="4"/>
      <c r="Q480" s="4"/>
    </row>
    <row r="481" spans="2:17" x14ac:dyDescent="0.3">
      <c r="B481" s="3"/>
      <c r="C481" s="2" t="str">
        <f t="shared" si="23"/>
        <v/>
      </c>
      <c r="D481" s="2"/>
      <c r="E481" s="2" t="str">
        <f t="shared" si="24"/>
        <v/>
      </c>
      <c r="F481" s="3"/>
      <c r="G481" s="3"/>
      <c r="H481" s="4"/>
      <c r="I481" s="4"/>
      <c r="J481" s="4"/>
      <c r="K481" s="4"/>
      <c r="L481" s="4"/>
      <c r="M481" s="4"/>
      <c r="N481" s="4"/>
      <c r="O481" s="4"/>
      <c r="P481" s="4"/>
      <c r="Q481" s="4"/>
    </row>
    <row r="482" spans="2:17" x14ac:dyDescent="0.3">
      <c r="B482" s="3"/>
      <c r="C482" s="2" t="str">
        <f t="shared" si="23"/>
        <v/>
      </c>
      <c r="D482" s="2"/>
      <c r="E482" s="2" t="str">
        <f t="shared" si="24"/>
        <v/>
      </c>
      <c r="F482" s="3"/>
      <c r="G482" s="3"/>
      <c r="H482" s="4"/>
      <c r="I482" s="4"/>
      <c r="J482" s="4"/>
      <c r="K482" s="4"/>
      <c r="L482" s="4"/>
      <c r="M482" s="4"/>
      <c r="N482" s="4"/>
      <c r="O482" s="4"/>
      <c r="P482" s="4"/>
      <c r="Q482" s="4"/>
    </row>
    <row r="483" spans="2:17" x14ac:dyDescent="0.3">
      <c r="B483" s="3"/>
      <c r="C483" s="2" t="str">
        <f t="shared" si="23"/>
        <v/>
      </c>
      <c r="D483" s="2"/>
      <c r="E483" s="2" t="str">
        <f t="shared" si="24"/>
        <v/>
      </c>
      <c r="F483" s="3"/>
      <c r="G483" s="3"/>
      <c r="H483" s="4"/>
      <c r="I483" s="4"/>
      <c r="J483" s="4"/>
      <c r="K483" s="4"/>
      <c r="L483" s="4"/>
      <c r="M483" s="4"/>
      <c r="N483" s="4"/>
      <c r="O483" s="4"/>
      <c r="P483" s="4"/>
      <c r="Q483" s="4"/>
    </row>
    <row r="484" spans="2:17" x14ac:dyDescent="0.3">
      <c r="B484" s="3"/>
      <c r="C484" s="2" t="str">
        <f t="shared" si="23"/>
        <v/>
      </c>
      <c r="D484" s="2"/>
      <c r="E484" s="2" t="str">
        <f t="shared" si="24"/>
        <v/>
      </c>
      <c r="F484" s="3"/>
      <c r="G484" s="3"/>
      <c r="H484" s="4"/>
      <c r="I484" s="4"/>
      <c r="J484" s="4"/>
      <c r="K484" s="4"/>
      <c r="L484" s="4"/>
      <c r="M484" s="4"/>
      <c r="N484" s="4"/>
      <c r="O484" s="4"/>
      <c r="P484" s="4"/>
      <c r="Q484" s="4"/>
    </row>
    <row r="485" spans="2:17" x14ac:dyDescent="0.3">
      <c r="B485" s="3"/>
      <c r="C485" s="2" t="str">
        <f t="shared" si="23"/>
        <v/>
      </c>
      <c r="D485" s="2"/>
      <c r="E485" s="2" t="str">
        <f t="shared" si="24"/>
        <v/>
      </c>
      <c r="F485" s="3"/>
      <c r="G485" s="3"/>
      <c r="H485" s="4"/>
      <c r="I485" s="4"/>
      <c r="J485" s="4"/>
      <c r="K485" s="4"/>
      <c r="L485" s="4"/>
      <c r="M485" s="4"/>
      <c r="N485" s="4"/>
      <c r="O485" s="4"/>
      <c r="P485" s="4"/>
      <c r="Q485" s="4"/>
    </row>
    <row r="486" spans="2:17" x14ac:dyDescent="0.3">
      <c r="B486" s="3"/>
      <c r="C486" s="2" t="str">
        <f t="shared" si="23"/>
        <v/>
      </c>
      <c r="D486" s="2"/>
      <c r="E486" s="2" t="str">
        <f t="shared" si="24"/>
        <v/>
      </c>
      <c r="F486" s="3"/>
      <c r="G486" s="3"/>
      <c r="H486" s="4"/>
      <c r="I486" s="4"/>
      <c r="J486" s="4"/>
      <c r="K486" s="4"/>
      <c r="L486" s="4"/>
      <c r="M486" s="4"/>
      <c r="N486" s="4"/>
      <c r="O486" s="4"/>
      <c r="P486" s="4"/>
      <c r="Q486" s="4"/>
    </row>
    <row r="487" spans="2:17" x14ac:dyDescent="0.3">
      <c r="B487" s="3"/>
      <c r="C487" s="2" t="str">
        <f t="shared" si="23"/>
        <v/>
      </c>
      <c r="D487" s="2"/>
      <c r="E487" s="2" t="str">
        <f t="shared" si="24"/>
        <v/>
      </c>
      <c r="F487" s="3"/>
      <c r="G487" s="3"/>
      <c r="H487" s="4"/>
      <c r="I487" s="4"/>
      <c r="J487" s="4"/>
      <c r="K487" s="4"/>
      <c r="L487" s="4"/>
      <c r="M487" s="4"/>
      <c r="N487" s="4"/>
      <c r="O487" s="4"/>
      <c r="P487" s="4"/>
      <c r="Q487" s="4"/>
    </row>
    <row r="488" spans="2:17" x14ac:dyDescent="0.3">
      <c r="B488" s="3"/>
      <c r="C488" s="2" t="str">
        <f t="shared" ref="C488:C551" si="25">IF($F488="","",IF(LEFT($F488,1)*1=1,"A",IF(LEFT($F488,1)*1=2,"P",IF(LEFT($F488,1)*1=3,"C",IF(LEFT($F488,1)*1=4,"C",IF(LEFT($F488,1)*1=5,"R",""))))))</f>
        <v/>
      </c>
      <c r="D488" s="2"/>
      <c r="E488" s="2" t="str">
        <f t="shared" ref="E488:E551" si="26">IF($F488="","",IF(LEN($F488)=1,1,IF(LEN($F488)=3,2,IF(LEN($F488)=6,3,IF(LEN($F488)=9,4,IF(LEN($F488)=12,5,6))))))</f>
        <v/>
      </c>
      <c r="F488" s="3"/>
      <c r="G488" s="3"/>
      <c r="H488" s="4"/>
      <c r="I488" s="4"/>
      <c r="J488" s="4"/>
      <c r="K488" s="4"/>
      <c r="L488" s="4"/>
      <c r="M488" s="4"/>
      <c r="N488" s="4"/>
      <c r="O488" s="4"/>
      <c r="P488" s="4"/>
      <c r="Q488" s="4"/>
    </row>
    <row r="489" spans="2:17" x14ac:dyDescent="0.3">
      <c r="B489" s="3"/>
      <c r="C489" s="2" t="str">
        <f t="shared" si="25"/>
        <v/>
      </c>
      <c r="D489" s="2"/>
      <c r="E489" s="2" t="str">
        <f t="shared" si="26"/>
        <v/>
      </c>
      <c r="F489" s="3"/>
      <c r="G489" s="3"/>
      <c r="H489" s="4"/>
      <c r="I489" s="4"/>
      <c r="J489" s="4"/>
      <c r="K489" s="4"/>
      <c r="L489" s="4"/>
      <c r="M489" s="4"/>
      <c r="N489" s="4"/>
      <c r="O489" s="4"/>
      <c r="P489" s="4"/>
      <c r="Q489" s="4"/>
    </row>
    <row r="490" spans="2:17" x14ac:dyDescent="0.3">
      <c r="B490" s="3"/>
      <c r="C490" s="2" t="str">
        <f t="shared" si="25"/>
        <v/>
      </c>
      <c r="D490" s="2"/>
      <c r="E490" s="2" t="str">
        <f t="shared" si="26"/>
        <v/>
      </c>
      <c r="F490" s="3"/>
      <c r="G490" s="3"/>
      <c r="H490" s="4"/>
      <c r="I490" s="4"/>
      <c r="J490" s="4"/>
      <c r="K490" s="4"/>
      <c r="L490" s="4"/>
      <c r="M490" s="4"/>
      <c r="N490" s="4"/>
      <c r="O490" s="4"/>
      <c r="P490" s="4"/>
      <c r="Q490" s="4"/>
    </row>
    <row r="491" spans="2:17" x14ac:dyDescent="0.3">
      <c r="B491" s="3"/>
      <c r="C491" s="2" t="str">
        <f t="shared" si="25"/>
        <v/>
      </c>
      <c r="D491" s="2"/>
      <c r="E491" s="2" t="str">
        <f t="shared" si="26"/>
        <v/>
      </c>
      <c r="F491" s="3"/>
      <c r="G491" s="3"/>
      <c r="H491" s="4"/>
      <c r="I491" s="4"/>
      <c r="J491" s="4"/>
      <c r="K491" s="4"/>
      <c r="L491" s="4"/>
      <c r="M491" s="4"/>
      <c r="N491" s="4"/>
      <c r="O491" s="4"/>
      <c r="P491" s="4"/>
      <c r="Q491" s="4"/>
    </row>
    <row r="492" spans="2:17" x14ac:dyDescent="0.3">
      <c r="B492" s="3"/>
      <c r="C492" s="2" t="str">
        <f t="shared" si="25"/>
        <v/>
      </c>
      <c r="D492" s="2"/>
      <c r="E492" s="2" t="str">
        <f t="shared" si="26"/>
        <v/>
      </c>
      <c r="F492" s="3"/>
      <c r="G492" s="3"/>
      <c r="H492" s="4"/>
      <c r="I492" s="4"/>
      <c r="J492" s="4"/>
      <c r="K492" s="4"/>
      <c r="L492" s="4"/>
      <c r="M492" s="4"/>
      <c r="N492" s="4"/>
      <c r="O492" s="4"/>
      <c r="P492" s="4"/>
      <c r="Q492" s="4"/>
    </row>
    <row r="493" spans="2:17" x14ac:dyDescent="0.3">
      <c r="B493" s="3"/>
      <c r="C493" s="2" t="str">
        <f t="shared" si="25"/>
        <v/>
      </c>
      <c r="D493" s="2"/>
      <c r="E493" s="2" t="str">
        <f t="shared" si="26"/>
        <v/>
      </c>
      <c r="F493" s="3"/>
      <c r="G493" s="3"/>
      <c r="H493" s="4"/>
      <c r="I493" s="4"/>
      <c r="J493" s="4"/>
      <c r="K493" s="4"/>
      <c r="L493" s="4"/>
      <c r="M493" s="4"/>
      <c r="N493" s="4"/>
      <c r="O493" s="4"/>
      <c r="P493" s="4"/>
      <c r="Q493" s="4"/>
    </row>
    <row r="494" spans="2:17" x14ac:dyDescent="0.3">
      <c r="B494" s="3"/>
      <c r="C494" s="2" t="str">
        <f t="shared" si="25"/>
        <v/>
      </c>
      <c r="D494" s="2"/>
      <c r="E494" s="2" t="str">
        <f t="shared" si="26"/>
        <v/>
      </c>
      <c r="F494" s="3"/>
      <c r="G494" s="3"/>
      <c r="H494" s="4"/>
      <c r="I494" s="4"/>
      <c r="J494" s="4"/>
      <c r="K494" s="4"/>
      <c r="L494" s="4"/>
      <c r="M494" s="4"/>
      <c r="N494" s="4"/>
      <c r="O494" s="4"/>
      <c r="P494" s="4"/>
      <c r="Q494" s="4"/>
    </row>
    <row r="495" spans="2:17" x14ac:dyDescent="0.3">
      <c r="B495" s="3"/>
      <c r="C495" s="2" t="str">
        <f t="shared" si="25"/>
        <v/>
      </c>
      <c r="D495" s="2"/>
      <c r="E495" s="2" t="str">
        <f t="shared" si="26"/>
        <v/>
      </c>
      <c r="F495" s="3"/>
      <c r="G495" s="3"/>
      <c r="H495" s="4"/>
      <c r="I495" s="4"/>
      <c r="J495" s="4"/>
      <c r="K495" s="4"/>
      <c r="L495" s="4"/>
      <c r="M495" s="4"/>
      <c r="N495" s="4"/>
      <c r="O495" s="4"/>
      <c r="P495" s="4"/>
      <c r="Q495" s="4"/>
    </row>
    <row r="496" spans="2:17" x14ac:dyDescent="0.3">
      <c r="B496" s="3"/>
      <c r="C496" s="2" t="str">
        <f t="shared" si="25"/>
        <v/>
      </c>
      <c r="D496" s="2"/>
      <c r="E496" s="2" t="str">
        <f t="shared" si="26"/>
        <v/>
      </c>
      <c r="F496" s="3"/>
      <c r="G496" s="3"/>
      <c r="H496" s="4"/>
      <c r="I496" s="4"/>
      <c r="J496" s="4"/>
      <c r="K496" s="4"/>
      <c r="L496" s="4"/>
      <c r="M496" s="4"/>
      <c r="N496" s="4"/>
      <c r="O496" s="4"/>
      <c r="P496" s="4"/>
      <c r="Q496" s="4"/>
    </row>
    <row r="497" spans="2:17" x14ac:dyDescent="0.3">
      <c r="B497" s="3"/>
      <c r="C497" s="2" t="str">
        <f t="shared" si="25"/>
        <v/>
      </c>
      <c r="D497" s="2"/>
      <c r="E497" s="2" t="str">
        <f t="shared" si="26"/>
        <v/>
      </c>
      <c r="F497" s="3"/>
      <c r="G497" s="3"/>
      <c r="H497" s="4"/>
      <c r="I497" s="4"/>
      <c r="J497" s="4"/>
      <c r="K497" s="4"/>
      <c r="L497" s="4"/>
      <c r="M497" s="4"/>
      <c r="N497" s="4"/>
      <c r="O497" s="4"/>
      <c r="P497" s="4"/>
      <c r="Q497" s="4"/>
    </row>
    <row r="498" spans="2:17" x14ac:dyDescent="0.3">
      <c r="B498" s="3"/>
      <c r="C498" s="2" t="str">
        <f t="shared" si="25"/>
        <v/>
      </c>
      <c r="D498" s="2"/>
      <c r="E498" s="2" t="str">
        <f t="shared" si="26"/>
        <v/>
      </c>
      <c r="F498" s="3"/>
      <c r="G498" s="3"/>
      <c r="H498" s="4"/>
      <c r="I498" s="4"/>
      <c r="J498" s="4"/>
      <c r="K498" s="4"/>
      <c r="L498" s="4"/>
      <c r="M498" s="4"/>
      <c r="N498" s="4"/>
      <c r="O498" s="4"/>
      <c r="P498" s="4"/>
      <c r="Q498" s="4"/>
    </row>
    <row r="499" spans="2:17" x14ac:dyDescent="0.3">
      <c r="B499" s="3"/>
      <c r="C499" s="2" t="str">
        <f t="shared" si="25"/>
        <v/>
      </c>
      <c r="D499" s="2"/>
      <c r="E499" s="2" t="str">
        <f t="shared" si="26"/>
        <v/>
      </c>
      <c r="F499" s="3"/>
      <c r="G499" s="3"/>
      <c r="H499" s="4"/>
      <c r="I499" s="4"/>
      <c r="J499" s="4"/>
      <c r="K499" s="4"/>
      <c r="L499" s="4"/>
      <c r="M499" s="4"/>
      <c r="N499" s="4"/>
      <c r="O499" s="4"/>
      <c r="P499" s="4"/>
      <c r="Q499" s="4"/>
    </row>
    <row r="500" spans="2:17" x14ac:dyDescent="0.3">
      <c r="B500" s="3"/>
      <c r="C500" s="2" t="str">
        <f t="shared" si="25"/>
        <v/>
      </c>
      <c r="D500" s="2"/>
      <c r="E500" s="2" t="str">
        <f t="shared" si="26"/>
        <v/>
      </c>
      <c r="F500" s="3"/>
      <c r="G500" s="3"/>
      <c r="H500" s="4"/>
      <c r="I500" s="4"/>
      <c r="J500" s="4"/>
      <c r="K500" s="4"/>
      <c r="L500" s="4"/>
      <c r="M500" s="4"/>
      <c r="N500" s="4"/>
      <c r="O500" s="4"/>
      <c r="P500" s="4"/>
      <c r="Q500" s="4"/>
    </row>
    <row r="501" spans="2:17" x14ac:dyDescent="0.3">
      <c r="B501" s="3"/>
      <c r="C501" s="2" t="str">
        <f t="shared" si="25"/>
        <v/>
      </c>
      <c r="D501" s="2"/>
      <c r="E501" s="2" t="str">
        <f t="shared" si="26"/>
        <v/>
      </c>
      <c r="F501" s="3"/>
      <c r="G501" s="3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2:17" x14ac:dyDescent="0.3">
      <c r="B502" s="3"/>
      <c r="C502" s="2" t="str">
        <f t="shared" si="25"/>
        <v/>
      </c>
      <c r="D502" s="2"/>
      <c r="E502" s="2" t="str">
        <f t="shared" si="26"/>
        <v/>
      </c>
      <c r="F502" s="3"/>
      <c r="G502" s="3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2:17" x14ac:dyDescent="0.3">
      <c r="B503" s="3"/>
      <c r="C503" s="2" t="str">
        <f t="shared" si="25"/>
        <v/>
      </c>
      <c r="D503" s="2"/>
      <c r="E503" s="2" t="str">
        <f t="shared" si="26"/>
        <v/>
      </c>
      <c r="F503" s="3"/>
      <c r="G503" s="3"/>
      <c r="H503" s="4"/>
      <c r="I503" s="4"/>
      <c r="J503" s="4"/>
      <c r="K503" s="4"/>
      <c r="L503" s="4"/>
      <c r="M503" s="4"/>
      <c r="N503" s="4"/>
      <c r="O503" s="4"/>
      <c r="P503" s="4"/>
      <c r="Q503" s="4"/>
    </row>
    <row r="504" spans="2:17" x14ac:dyDescent="0.3">
      <c r="B504" s="3"/>
      <c r="C504" s="2" t="str">
        <f t="shared" si="25"/>
        <v/>
      </c>
      <c r="D504" s="2"/>
      <c r="E504" s="2" t="str">
        <f t="shared" si="26"/>
        <v/>
      </c>
      <c r="F504" s="3"/>
      <c r="G504" s="3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2:17" x14ac:dyDescent="0.3">
      <c r="B505" s="3"/>
      <c r="C505" s="2" t="str">
        <f t="shared" si="25"/>
        <v/>
      </c>
      <c r="D505" s="2"/>
      <c r="E505" s="2" t="str">
        <f t="shared" si="26"/>
        <v/>
      </c>
      <c r="F505" s="3"/>
      <c r="G505" s="3"/>
      <c r="H505" s="4"/>
      <c r="I505" s="4"/>
      <c r="J505" s="4"/>
      <c r="K505" s="4"/>
      <c r="L505" s="4"/>
      <c r="M505" s="4"/>
      <c r="N505" s="4"/>
      <c r="O505" s="4"/>
      <c r="P505" s="4"/>
      <c r="Q505" s="4"/>
    </row>
    <row r="506" spans="2:17" x14ac:dyDescent="0.3">
      <c r="B506" s="3"/>
      <c r="C506" s="2" t="str">
        <f t="shared" si="25"/>
        <v/>
      </c>
      <c r="D506" s="2"/>
      <c r="E506" s="2" t="str">
        <f t="shared" si="26"/>
        <v/>
      </c>
      <c r="F506" s="3"/>
      <c r="G506" s="3"/>
      <c r="H506" s="4"/>
      <c r="I506" s="4"/>
      <c r="J506" s="4"/>
      <c r="K506" s="4"/>
      <c r="L506" s="4"/>
      <c r="M506" s="4"/>
      <c r="N506" s="4"/>
      <c r="O506" s="4"/>
      <c r="P506" s="4"/>
      <c r="Q506" s="4"/>
    </row>
    <row r="507" spans="2:17" x14ac:dyDescent="0.3">
      <c r="B507" s="3"/>
      <c r="C507" s="2" t="str">
        <f t="shared" si="25"/>
        <v/>
      </c>
      <c r="D507" s="2"/>
      <c r="E507" s="2" t="str">
        <f t="shared" si="26"/>
        <v/>
      </c>
      <c r="F507" s="3"/>
      <c r="G507" s="3"/>
      <c r="H507" s="4"/>
      <c r="I507" s="4"/>
      <c r="J507" s="4"/>
      <c r="K507" s="4"/>
      <c r="L507" s="4"/>
      <c r="M507" s="4"/>
      <c r="N507" s="4"/>
      <c r="O507" s="4"/>
      <c r="P507" s="4"/>
      <c r="Q507" s="4"/>
    </row>
    <row r="508" spans="2:17" x14ac:dyDescent="0.3">
      <c r="B508" s="3"/>
      <c r="C508" s="2" t="str">
        <f t="shared" si="25"/>
        <v/>
      </c>
      <c r="D508" s="2"/>
      <c r="E508" s="2" t="str">
        <f t="shared" si="26"/>
        <v/>
      </c>
      <c r="F508" s="3"/>
      <c r="G508" s="3"/>
      <c r="H508" s="4"/>
      <c r="I508" s="4"/>
      <c r="J508" s="4"/>
      <c r="K508" s="4"/>
      <c r="L508" s="4"/>
      <c r="M508" s="4"/>
      <c r="N508" s="4"/>
      <c r="O508" s="4"/>
      <c r="P508" s="4"/>
      <c r="Q508" s="4"/>
    </row>
    <row r="509" spans="2:17" x14ac:dyDescent="0.3">
      <c r="B509" s="3"/>
      <c r="C509" s="2" t="str">
        <f t="shared" si="25"/>
        <v/>
      </c>
      <c r="D509" s="2"/>
      <c r="E509" s="2" t="str">
        <f t="shared" si="26"/>
        <v/>
      </c>
      <c r="F509" s="3"/>
      <c r="G509" s="3"/>
      <c r="H509" s="4"/>
      <c r="I509" s="4"/>
      <c r="J509" s="4"/>
      <c r="K509" s="4"/>
      <c r="L509" s="4"/>
      <c r="M509" s="4"/>
      <c r="N509" s="4"/>
      <c r="O509" s="4"/>
      <c r="P509" s="4"/>
      <c r="Q509" s="4"/>
    </row>
    <row r="510" spans="2:17" x14ac:dyDescent="0.3">
      <c r="B510" s="3"/>
      <c r="C510" s="2" t="str">
        <f t="shared" si="25"/>
        <v/>
      </c>
      <c r="D510" s="2"/>
      <c r="E510" s="2" t="str">
        <f t="shared" si="26"/>
        <v/>
      </c>
      <c r="F510" s="3"/>
      <c r="G510" s="3"/>
      <c r="H510" s="4"/>
      <c r="I510" s="4"/>
      <c r="J510" s="4"/>
      <c r="K510" s="4"/>
      <c r="L510" s="4"/>
      <c r="M510" s="4"/>
      <c r="N510" s="4"/>
      <c r="O510" s="4"/>
      <c r="P510" s="4"/>
      <c r="Q510" s="4"/>
    </row>
    <row r="511" spans="2:17" x14ac:dyDescent="0.3">
      <c r="B511" s="3"/>
      <c r="C511" s="2" t="str">
        <f t="shared" si="25"/>
        <v/>
      </c>
      <c r="D511" s="2"/>
      <c r="E511" s="2" t="str">
        <f t="shared" si="26"/>
        <v/>
      </c>
      <c r="F511" s="3"/>
      <c r="G511" s="3"/>
      <c r="H511" s="4"/>
      <c r="I511" s="4"/>
      <c r="J511" s="4"/>
      <c r="K511" s="4"/>
      <c r="L511" s="4"/>
      <c r="M511" s="4"/>
      <c r="N511" s="4"/>
      <c r="O511" s="4"/>
      <c r="P511" s="4"/>
      <c r="Q511" s="4"/>
    </row>
    <row r="512" spans="2:17" x14ac:dyDescent="0.3">
      <c r="B512" s="3"/>
      <c r="C512" s="2" t="str">
        <f t="shared" si="25"/>
        <v/>
      </c>
      <c r="D512" s="2"/>
      <c r="E512" s="2" t="str">
        <f t="shared" si="26"/>
        <v/>
      </c>
      <c r="F512" s="3"/>
      <c r="G512" s="3"/>
      <c r="H512" s="4"/>
      <c r="I512" s="4"/>
      <c r="J512" s="4"/>
      <c r="K512" s="4"/>
      <c r="L512" s="4"/>
      <c r="M512" s="4"/>
      <c r="N512" s="4"/>
      <c r="O512" s="4"/>
      <c r="P512" s="4"/>
      <c r="Q512" s="4"/>
    </row>
    <row r="513" spans="2:17" x14ac:dyDescent="0.3">
      <c r="B513" s="3"/>
      <c r="C513" s="2" t="str">
        <f t="shared" si="25"/>
        <v/>
      </c>
      <c r="D513" s="2"/>
      <c r="E513" s="2" t="str">
        <f t="shared" si="26"/>
        <v/>
      </c>
      <c r="F513" s="3"/>
      <c r="G513" s="3"/>
      <c r="H513" s="4"/>
      <c r="I513" s="4"/>
      <c r="J513" s="4"/>
      <c r="K513" s="4"/>
      <c r="L513" s="4"/>
      <c r="M513" s="4"/>
      <c r="N513" s="4"/>
      <c r="O513" s="4"/>
      <c r="P513" s="4"/>
      <c r="Q513" s="4"/>
    </row>
    <row r="514" spans="2:17" x14ac:dyDescent="0.3">
      <c r="B514" s="3"/>
      <c r="C514" s="2" t="str">
        <f t="shared" si="25"/>
        <v/>
      </c>
      <c r="D514" s="2"/>
      <c r="E514" s="2" t="str">
        <f t="shared" si="26"/>
        <v/>
      </c>
      <c r="F514" s="3"/>
      <c r="G514" s="3"/>
      <c r="H514" s="4"/>
      <c r="I514" s="4"/>
      <c r="J514" s="4"/>
      <c r="K514" s="4"/>
      <c r="L514" s="4"/>
      <c r="M514" s="4"/>
      <c r="N514" s="4"/>
      <c r="O514" s="4"/>
      <c r="P514" s="4"/>
      <c r="Q514" s="4"/>
    </row>
    <row r="515" spans="2:17" x14ac:dyDescent="0.3">
      <c r="B515" s="3"/>
      <c r="C515" s="2" t="str">
        <f t="shared" si="25"/>
        <v/>
      </c>
      <c r="D515" s="2"/>
      <c r="E515" s="2" t="str">
        <f t="shared" si="26"/>
        <v/>
      </c>
      <c r="F515" s="3"/>
      <c r="G515" s="3"/>
      <c r="H515" s="4"/>
      <c r="I515" s="4"/>
      <c r="J515" s="4"/>
      <c r="K515" s="4"/>
      <c r="L515" s="4"/>
      <c r="M515" s="4"/>
      <c r="N515" s="4"/>
      <c r="O515" s="4"/>
      <c r="P515" s="4"/>
      <c r="Q515" s="4"/>
    </row>
    <row r="516" spans="2:17" x14ac:dyDescent="0.3">
      <c r="B516" s="3"/>
      <c r="C516" s="2" t="str">
        <f t="shared" si="25"/>
        <v/>
      </c>
      <c r="D516" s="2"/>
      <c r="E516" s="2" t="str">
        <f t="shared" si="26"/>
        <v/>
      </c>
      <c r="F516" s="3"/>
      <c r="G516" s="3"/>
      <c r="H516" s="4"/>
      <c r="I516" s="4"/>
      <c r="J516" s="4"/>
      <c r="K516" s="4"/>
      <c r="L516" s="4"/>
      <c r="M516" s="4"/>
      <c r="N516" s="4"/>
      <c r="O516" s="4"/>
      <c r="P516" s="4"/>
      <c r="Q516" s="4"/>
    </row>
    <row r="517" spans="2:17" x14ac:dyDescent="0.3">
      <c r="B517" s="3"/>
      <c r="C517" s="2" t="str">
        <f t="shared" si="25"/>
        <v/>
      </c>
      <c r="D517" s="2"/>
      <c r="E517" s="2" t="str">
        <f t="shared" si="26"/>
        <v/>
      </c>
      <c r="F517" s="3"/>
      <c r="G517" s="3"/>
      <c r="H517" s="4"/>
      <c r="I517" s="4"/>
      <c r="J517" s="4"/>
      <c r="K517" s="4"/>
      <c r="L517" s="4"/>
      <c r="M517" s="4"/>
      <c r="N517" s="4"/>
      <c r="O517" s="4"/>
      <c r="P517" s="4"/>
      <c r="Q517" s="4"/>
    </row>
    <row r="518" spans="2:17" x14ac:dyDescent="0.3">
      <c r="B518" s="3"/>
      <c r="C518" s="2" t="str">
        <f t="shared" si="25"/>
        <v/>
      </c>
      <c r="D518" s="2"/>
      <c r="E518" s="2" t="str">
        <f t="shared" si="26"/>
        <v/>
      </c>
      <c r="F518" s="3"/>
      <c r="G518" s="3"/>
      <c r="H518" s="4"/>
      <c r="I518" s="4"/>
      <c r="J518" s="4"/>
      <c r="K518" s="4"/>
      <c r="L518" s="4"/>
      <c r="M518" s="4"/>
      <c r="N518" s="4"/>
      <c r="O518" s="4"/>
      <c r="P518" s="4"/>
      <c r="Q518" s="4"/>
    </row>
    <row r="519" spans="2:17" x14ac:dyDescent="0.3">
      <c r="B519" s="3"/>
      <c r="C519" s="2" t="str">
        <f t="shared" si="25"/>
        <v/>
      </c>
      <c r="D519" s="2"/>
      <c r="E519" s="2" t="str">
        <f t="shared" si="26"/>
        <v/>
      </c>
      <c r="F519" s="3"/>
      <c r="G519" s="3"/>
      <c r="H519" s="4"/>
      <c r="I519" s="4"/>
      <c r="J519" s="4"/>
      <c r="K519" s="4"/>
      <c r="L519" s="4"/>
      <c r="M519" s="4"/>
      <c r="N519" s="4"/>
      <c r="O519" s="4"/>
      <c r="P519" s="4"/>
      <c r="Q519" s="4"/>
    </row>
    <row r="520" spans="2:17" x14ac:dyDescent="0.3">
      <c r="B520" s="3"/>
      <c r="C520" s="2" t="str">
        <f t="shared" si="25"/>
        <v/>
      </c>
      <c r="D520" s="2"/>
      <c r="E520" s="2" t="str">
        <f t="shared" si="26"/>
        <v/>
      </c>
      <c r="F520" s="3"/>
      <c r="G520" s="3"/>
      <c r="H520" s="4"/>
      <c r="I520" s="4"/>
      <c r="J520" s="4"/>
      <c r="K520" s="4"/>
      <c r="L520" s="4"/>
      <c r="M520" s="4"/>
      <c r="N520" s="4"/>
      <c r="O520" s="4"/>
      <c r="P520" s="4"/>
      <c r="Q520" s="4"/>
    </row>
    <row r="521" spans="2:17" x14ac:dyDescent="0.3">
      <c r="B521" s="3"/>
      <c r="C521" s="2" t="str">
        <f t="shared" si="25"/>
        <v/>
      </c>
      <c r="D521" s="2"/>
      <c r="E521" s="2" t="str">
        <f t="shared" si="26"/>
        <v/>
      </c>
      <c r="F521" s="3"/>
      <c r="G521" s="3"/>
      <c r="H521" s="4"/>
      <c r="I521" s="4"/>
      <c r="J521" s="4"/>
      <c r="K521" s="4"/>
      <c r="L521" s="4"/>
      <c r="M521" s="4"/>
      <c r="N521" s="4"/>
      <c r="O521" s="4"/>
      <c r="P521" s="4"/>
      <c r="Q521" s="4"/>
    </row>
    <row r="522" spans="2:17" x14ac:dyDescent="0.3">
      <c r="B522" s="3"/>
      <c r="C522" s="2" t="str">
        <f t="shared" si="25"/>
        <v/>
      </c>
      <c r="D522" s="2"/>
      <c r="E522" s="2" t="str">
        <f t="shared" si="26"/>
        <v/>
      </c>
      <c r="F522" s="3"/>
      <c r="G522" s="3"/>
      <c r="H522" s="4"/>
      <c r="I522" s="4"/>
      <c r="J522" s="4"/>
      <c r="K522" s="4"/>
      <c r="L522" s="4"/>
      <c r="M522" s="4"/>
      <c r="N522" s="4"/>
      <c r="O522" s="4"/>
      <c r="P522" s="4"/>
      <c r="Q522" s="4"/>
    </row>
    <row r="523" spans="2:17" x14ac:dyDescent="0.3">
      <c r="B523" s="3"/>
      <c r="C523" s="2" t="str">
        <f t="shared" si="25"/>
        <v/>
      </c>
      <c r="D523" s="2"/>
      <c r="E523" s="2" t="str">
        <f t="shared" si="26"/>
        <v/>
      </c>
      <c r="F523" s="3"/>
      <c r="G523" s="3"/>
      <c r="H523" s="4"/>
      <c r="I523" s="4"/>
      <c r="J523" s="4"/>
      <c r="K523" s="4"/>
      <c r="L523" s="4"/>
      <c r="M523" s="4"/>
      <c r="N523" s="4"/>
      <c r="O523" s="4"/>
      <c r="P523" s="4"/>
      <c r="Q523" s="4"/>
    </row>
    <row r="524" spans="2:17" x14ac:dyDescent="0.3">
      <c r="B524" s="3"/>
      <c r="C524" s="2" t="str">
        <f t="shared" si="25"/>
        <v/>
      </c>
      <c r="D524" s="2"/>
      <c r="E524" s="2" t="str">
        <f t="shared" si="26"/>
        <v/>
      </c>
      <c r="F524" s="3"/>
      <c r="G524" s="3"/>
      <c r="H524" s="4"/>
      <c r="I524" s="4"/>
      <c r="J524" s="4"/>
      <c r="K524" s="4"/>
      <c r="L524" s="4"/>
      <c r="M524" s="4"/>
      <c r="N524" s="4"/>
      <c r="O524" s="4"/>
      <c r="P524" s="4"/>
      <c r="Q524" s="4"/>
    </row>
    <row r="525" spans="2:17" x14ac:dyDescent="0.3">
      <c r="B525" s="3"/>
      <c r="C525" s="2" t="str">
        <f t="shared" si="25"/>
        <v/>
      </c>
      <c r="D525" s="2"/>
      <c r="E525" s="2" t="str">
        <f t="shared" si="26"/>
        <v/>
      </c>
      <c r="F525" s="3"/>
      <c r="G525" s="3"/>
      <c r="H525" s="4"/>
      <c r="I525" s="4"/>
      <c r="J525" s="4"/>
      <c r="K525" s="4"/>
      <c r="L525" s="4"/>
      <c r="M525" s="4"/>
      <c r="N525" s="4"/>
      <c r="O525" s="4"/>
      <c r="P525" s="4"/>
      <c r="Q525" s="4"/>
    </row>
    <row r="526" spans="2:17" x14ac:dyDescent="0.3">
      <c r="B526" s="3"/>
      <c r="C526" s="2" t="str">
        <f t="shared" si="25"/>
        <v/>
      </c>
      <c r="D526" s="2"/>
      <c r="E526" s="2" t="str">
        <f t="shared" si="26"/>
        <v/>
      </c>
      <c r="F526" s="3"/>
      <c r="G526" s="3"/>
      <c r="H526" s="4"/>
      <c r="I526" s="4"/>
      <c r="J526" s="4"/>
      <c r="K526" s="4"/>
      <c r="L526" s="4"/>
      <c r="M526" s="4"/>
      <c r="N526" s="4"/>
      <c r="O526" s="4"/>
      <c r="P526" s="4"/>
      <c r="Q526" s="4"/>
    </row>
    <row r="527" spans="2:17" x14ac:dyDescent="0.3">
      <c r="B527" s="3"/>
      <c r="C527" s="2" t="str">
        <f t="shared" si="25"/>
        <v/>
      </c>
      <c r="D527" s="2"/>
      <c r="E527" s="2" t="str">
        <f t="shared" si="26"/>
        <v/>
      </c>
      <c r="F527" s="3"/>
      <c r="G527" s="3"/>
      <c r="H527" s="4"/>
      <c r="I527" s="4"/>
      <c r="J527" s="4"/>
      <c r="K527" s="4"/>
      <c r="L527" s="4"/>
      <c r="M527" s="4"/>
      <c r="N527" s="4"/>
      <c r="O527" s="4"/>
      <c r="P527" s="4"/>
      <c r="Q527" s="4"/>
    </row>
    <row r="528" spans="2:17" x14ac:dyDescent="0.3">
      <c r="B528" s="3"/>
      <c r="C528" s="2" t="str">
        <f t="shared" si="25"/>
        <v/>
      </c>
      <c r="D528" s="2"/>
      <c r="E528" s="2" t="str">
        <f t="shared" si="26"/>
        <v/>
      </c>
      <c r="F528" s="3"/>
      <c r="G528" s="3"/>
      <c r="H528" s="4"/>
      <c r="I528" s="4"/>
      <c r="J528" s="4"/>
      <c r="K528" s="4"/>
      <c r="L528" s="4"/>
      <c r="M528" s="4"/>
      <c r="N528" s="4"/>
      <c r="O528" s="4"/>
      <c r="P528" s="4"/>
      <c r="Q528" s="4"/>
    </row>
    <row r="529" spans="2:17" x14ac:dyDescent="0.3">
      <c r="B529" s="3"/>
      <c r="C529" s="2" t="str">
        <f t="shared" si="25"/>
        <v/>
      </c>
      <c r="D529" s="2"/>
      <c r="E529" s="2" t="str">
        <f t="shared" si="26"/>
        <v/>
      </c>
      <c r="F529" s="3"/>
      <c r="G529" s="3"/>
      <c r="H529" s="4"/>
      <c r="I529" s="4"/>
      <c r="J529" s="4"/>
      <c r="K529" s="4"/>
      <c r="L529" s="4"/>
      <c r="M529" s="4"/>
      <c r="N529" s="4"/>
      <c r="O529" s="4"/>
      <c r="P529" s="4"/>
      <c r="Q529" s="4"/>
    </row>
    <row r="530" spans="2:17" x14ac:dyDescent="0.3">
      <c r="B530" s="3"/>
      <c r="C530" s="2" t="str">
        <f t="shared" si="25"/>
        <v/>
      </c>
      <c r="D530" s="2"/>
      <c r="E530" s="2" t="str">
        <f t="shared" si="26"/>
        <v/>
      </c>
      <c r="F530" s="3"/>
      <c r="G530" s="3"/>
      <c r="H530" s="4"/>
      <c r="I530" s="4"/>
      <c r="J530" s="4"/>
      <c r="K530" s="4"/>
      <c r="L530" s="4"/>
      <c r="M530" s="4"/>
      <c r="N530" s="4"/>
      <c r="O530" s="4"/>
      <c r="P530" s="4"/>
      <c r="Q530" s="4"/>
    </row>
    <row r="531" spans="2:17" x14ac:dyDescent="0.3">
      <c r="B531" s="3"/>
      <c r="C531" s="2" t="str">
        <f t="shared" si="25"/>
        <v/>
      </c>
      <c r="D531" s="2"/>
      <c r="E531" s="2" t="str">
        <f t="shared" si="26"/>
        <v/>
      </c>
      <c r="F531" s="3"/>
      <c r="G531" s="3"/>
      <c r="H531" s="4"/>
      <c r="I531" s="4"/>
      <c r="J531" s="4"/>
      <c r="K531" s="4"/>
      <c r="L531" s="4"/>
      <c r="M531" s="4"/>
      <c r="N531" s="4"/>
      <c r="O531" s="4"/>
      <c r="P531" s="4"/>
      <c r="Q531" s="4"/>
    </row>
    <row r="532" spans="2:17" x14ac:dyDescent="0.3">
      <c r="B532" s="3"/>
      <c r="C532" s="2" t="str">
        <f t="shared" si="25"/>
        <v/>
      </c>
      <c r="D532" s="2"/>
      <c r="E532" s="2" t="str">
        <f t="shared" si="26"/>
        <v/>
      </c>
      <c r="F532" s="3"/>
      <c r="G532" s="3"/>
      <c r="H532" s="4"/>
      <c r="I532" s="4"/>
      <c r="J532" s="4"/>
      <c r="K532" s="4"/>
      <c r="L532" s="4"/>
      <c r="M532" s="4"/>
      <c r="N532" s="4"/>
      <c r="O532" s="4"/>
      <c r="P532" s="4"/>
      <c r="Q532" s="4"/>
    </row>
    <row r="533" spans="2:17" x14ac:dyDescent="0.3">
      <c r="B533" s="3"/>
      <c r="C533" s="2" t="str">
        <f t="shared" si="25"/>
        <v/>
      </c>
      <c r="D533" s="2"/>
      <c r="E533" s="2" t="str">
        <f t="shared" si="26"/>
        <v/>
      </c>
      <c r="F533" s="3"/>
      <c r="G533" s="3"/>
      <c r="H533" s="4"/>
      <c r="I533" s="4"/>
      <c r="J533" s="4"/>
      <c r="K533" s="4"/>
      <c r="L533" s="4"/>
      <c r="M533" s="4"/>
      <c r="N533" s="4"/>
      <c r="O533" s="4"/>
      <c r="P533" s="4"/>
      <c r="Q533" s="4"/>
    </row>
    <row r="534" spans="2:17" x14ac:dyDescent="0.3">
      <c r="B534" s="3"/>
      <c r="C534" s="2" t="str">
        <f t="shared" si="25"/>
        <v/>
      </c>
      <c r="D534" s="2"/>
      <c r="E534" s="2" t="str">
        <f t="shared" si="26"/>
        <v/>
      </c>
      <c r="F534" s="3"/>
      <c r="G534" s="3"/>
      <c r="H534" s="4"/>
      <c r="I534" s="4"/>
      <c r="J534" s="4"/>
      <c r="K534" s="4"/>
      <c r="L534" s="4"/>
      <c r="M534" s="4"/>
      <c r="N534" s="4"/>
      <c r="O534" s="4"/>
      <c r="P534" s="4"/>
      <c r="Q534" s="4"/>
    </row>
    <row r="535" spans="2:17" x14ac:dyDescent="0.3">
      <c r="B535" s="3"/>
      <c r="C535" s="2" t="str">
        <f t="shared" si="25"/>
        <v/>
      </c>
      <c r="D535" s="2"/>
      <c r="E535" s="2" t="str">
        <f t="shared" si="26"/>
        <v/>
      </c>
      <c r="F535" s="3"/>
      <c r="G535" s="3"/>
      <c r="H535" s="4"/>
      <c r="I535" s="4"/>
      <c r="J535" s="4"/>
      <c r="K535" s="4"/>
      <c r="L535" s="4"/>
      <c r="M535" s="4"/>
      <c r="N535" s="4"/>
      <c r="O535" s="4"/>
      <c r="P535" s="4"/>
      <c r="Q535" s="4"/>
    </row>
    <row r="536" spans="2:17" x14ac:dyDescent="0.3">
      <c r="B536" s="3"/>
      <c r="C536" s="2" t="str">
        <f t="shared" si="25"/>
        <v/>
      </c>
      <c r="D536" s="2"/>
      <c r="E536" s="2" t="str">
        <f t="shared" si="26"/>
        <v/>
      </c>
      <c r="F536" s="3"/>
      <c r="G536" s="3"/>
      <c r="H536" s="4"/>
      <c r="I536" s="4"/>
      <c r="J536" s="4"/>
      <c r="K536" s="4"/>
      <c r="L536" s="4"/>
      <c r="M536" s="4"/>
      <c r="N536" s="4"/>
      <c r="O536" s="4"/>
      <c r="P536" s="4"/>
      <c r="Q536" s="4"/>
    </row>
    <row r="537" spans="2:17" x14ac:dyDescent="0.3">
      <c r="B537" s="3"/>
      <c r="C537" s="2" t="str">
        <f t="shared" si="25"/>
        <v/>
      </c>
      <c r="D537" s="2"/>
      <c r="E537" s="2" t="str">
        <f t="shared" si="26"/>
        <v/>
      </c>
      <c r="F537" s="3"/>
      <c r="G537" s="3"/>
      <c r="H537" s="4"/>
      <c r="I537" s="4"/>
      <c r="J537" s="4"/>
      <c r="K537" s="4"/>
      <c r="L537" s="4"/>
      <c r="M537" s="4"/>
      <c r="N537" s="4"/>
      <c r="O537" s="4"/>
      <c r="P537" s="4"/>
      <c r="Q537" s="4"/>
    </row>
    <row r="538" spans="2:17" x14ac:dyDescent="0.3">
      <c r="B538" s="3"/>
      <c r="C538" s="2" t="str">
        <f t="shared" si="25"/>
        <v/>
      </c>
      <c r="D538" s="2"/>
      <c r="E538" s="2" t="str">
        <f t="shared" si="26"/>
        <v/>
      </c>
      <c r="F538" s="3"/>
      <c r="G538" s="3"/>
      <c r="H538" s="4"/>
      <c r="I538" s="4"/>
      <c r="J538" s="4"/>
      <c r="K538" s="4"/>
      <c r="L538" s="4"/>
      <c r="M538" s="4"/>
      <c r="N538" s="4"/>
      <c r="O538" s="4"/>
      <c r="P538" s="4"/>
      <c r="Q538" s="4"/>
    </row>
    <row r="539" spans="2:17" x14ac:dyDescent="0.3">
      <c r="B539" s="3"/>
      <c r="C539" s="2" t="str">
        <f t="shared" si="25"/>
        <v/>
      </c>
      <c r="D539" s="2"/>
      <c r="E539" s="2" t="str">
        <f t="shared" si="26"/>
        <v/>
      </c>
      <c r="F539" s="3"/>
      <c r="G539" s="3"/>
      <c r="H539" s="4"/>
      <c r="I539" s="4"/>
      <c r="J539" s="4"/>
      <c r="K539" s="4"/>
      <c r="L539" s="4"/>
      <c r="M539" s="4"/>
      <c r="N539" s="4"/>
      <c r="O539" s="4"/>
      <c r="P539" s="4"/>
      <c r="Q539" s="4"/>
    </row>
    <row r="540" spans="2:17" x14ac:dyDescent="0.3">
      <c r="B540" s="3"/>
      <c r="C540" s="2" t="str">
        <f t="shared" si="25"/>
        <v/>
      </c>
      <c r="D540" s="2"/>
      <c r="E540" s="2" t="str">
        <f t="shared" si="26"/>
        <v/>
      </c>
      <c r="F540" s="3"/>
      <c r="G540" s="3"/>
      <c r="H540" s="4"/>
      <c r="I540" s="4"/>
      <c r="J540" s="4"/>
      <c r="K540" s="4"/>
      <c r="L540" s="4"/>
      <c r="M540" s="4"/>
      <c r="N540" s="4"/>
      <c r="O540" s="4"/>
      <c r="P540" s="4"/>
      <c r="Q540" s="4"/>
    </row>
    <row r="541" spans="2:17" x14ac:dyDescent="0.3">
      <c r="B541" s="3"/>
      <c r="C541" s="2" t="str">
        <f t="shared" si="25"/>
        <v/>
      </c>
      <c r="D541" s="2"/>
      <c r="E541" s="2" t="str">
        <f t="shared" si="26"/>
        <v/>
      </c>
      <c r="F541" s="3"/>
      <c r="G541" s="3"/>
      <c r="H541" s="4"/>
      <c r="I541" s="4"/>
      <c r="J541" s="4"/>
      <c r="K541" s="4"/>
      <c r="L541" s="4"/>
      <c r="M541" s="4"/>
      <c r="N541" s="4"/>
      <c r="O541" s="4"/>
      <c r="P541" s="4"/>
      <c r="Q541" s="4"/>
    </row>
    <row r="542" spans="2:17" x14ac:dyDescent="0.3">
      <c r="B542" s="3"/>
      <c r="C542" s="2" t="str">
        <f t="shared" si="25"/>
        <v/>
      </c>
      <c r="D542" s="2"/>
      <c r="E542" s="2" t="str">
        <f t="shared" si="26"/>
        <v/>
      </c>
      <c r="F542" s="3"/>
      <c r="G542" s="3"/>
      <c r="H542" s="4"/>
      <c r="I542" s="4"/>
      <c r="J542" s="4"/>
      <c r="K542" s="4"/>
      <c r="L542" s="4"/>
      <c r="M542" s="4"/>
      <c r="N542" s="4"/>
      <c r="O542" s="4"/>
      <c r="P542" s="4"/>
      <c r="Q542" s="4"/>
    </row>
    <row r="543" spans="2:17" x14ac:dyDescent="0.3">
      <c r="B543" s="3"/>
      <c r="C543" s="2" t="str">
        <f t="shared" si="25"/>
        <v/>
      </c>
      <c r="D543" s="2"/>
      <c r="E543" s="2" t="str">
        <f t="shared" si="26"/>
        <v/>
      </c>
      <c r="F543" s="3"/>
      <c r="G543" s="3"/>
      <c r="H543" s="4"/>
      <c r="I543" s="4"/>
      <c r="J543" s="4"/>
      <c r="K543" s="4"/>
      <c r="L543" s="4"/>
      <c r="M543" s="4"/>
      <c r="N543" s="4"/>
      <c r="O543" s="4"/>
      <c r="P543" s="4"/>
      <c r="Q543" s="4"/>
    </row>
    <row r="544" spans="2:17" x14ac:dyDescent="0.3">
      <c r="B544" s="3"/>
      <c r="C544" s="2" t="str">
        <f t="shared" si="25"/>
        <v/>
      </c>
      <c r="D544" s="2"/>
      <c r="E544" s="2" t="str">
        <f t="shared" si="26"/>
        <v/>
      </c>
      <c r="F544" s="3"/>
      <c r="G544" s="3"/>
      <c r="H544" s="4"/>
      <c r="I544" s="4"/>
      <c r="J544" s="4"/>
      <c r="K544" s="4"/>
      <c r="L544" s="4"/>
      <c r="M544" s="4"/>
      <c r="N544" s="4"/>
      <c r="O544" s="4"/>
      <c r="P544" s="4"/>
      <c r="Q544" s="4"/>
    </row>
    <row r="545" spans="2:17" x14ac:dyDescent="0.3">
      <c r="B545" s="3"/>
      <c r="C545" s="2" t="str">
        <f t="shared" si="25"/>
        <v/>
      </c>
      <c r="D545" s="2"/>
      <c r="E545" s="2" t="str">
        <f t="shared" si="26"/>
        <v/>
      </c>
      <c r="F545" s="3"/>
      <c r="G545" s="3"/>
      <c r="H545" s="4"/>
      <c r="I545" s="4"/>
      <c r="J545" s="4"/>
      <c r="K545" s="4"/>
      <c r="L545" s="4"/>
      <c r="M545" s="4"/>
      <c r="N545" s="4"/>
      <c r="O545" s="4"/>
      <c r="P545" s="4"/>
      <c r="Q545" s="4"/>
    </row>
    <row r="546" spans="2:17" x14ac:dyDescent="0.3">
      <c r="B546" s="3"/>
      <c r="C546" s="2" t="str">
        <f t="shared" si="25"/>
        <v/>
      </c>
      <c r="D546" s="2"/>
      <c r="E546" s="2" t="str">
        <f t="shared" si="26"/>
        <v/>
      </c>
      <c r="F546" s="3"/>
      <c r="G546" s="3"/>
      <c r="H546" s="4"/>
      <c r="I546" s="4"/>
      <c r="J546" s="4"/>
      <c r="K546" s="4"/>
      <c r="L546" s="4"/>
      <c r="M546" s="4"/>
      <c r="N546" s="4"/>
      <c r="O546" s="4"/>
      <c r="P546" s="4"/>
      <c r="Q546" s="4"/>
    </row>
    <row r="547" spans="2:17" x14ac:dyDescent="0.3">
      <c r="B547" s="3"/>
      <c r="C547" s="2" t="str">
        <f t="shared" si="25"/>
        <v/>
      </c>
      <c r="D547" s="2"/>
      <c r="E547" s="2" t="str">
        <f t="shared" si="26"/>
        <v/>
      </c>
      <c r="F547" s="3"/>
      <c r="G547" s="3"/>
      <c r="H547" s="4"/>
      <c r="I547" s="4"/>
      <c r="J547" s="4"/>
      <c r="K547" s="4"/>
      <c r="L547" s="4"/>
      <c r="M547" s="4"/>
      <c r="N547" s="4"/>
      <c r="O547" s="4"/>
      <c r="P547" s="4"/>
      <c r="Q547" s="4"/>
    </row>
    <row r="548" spans="2:17" x14ac:dyDescent="0.3">
      <c r="B548" s="3"/>
      <c r="C548" s="2" t="str">
        <f t="shared" si="25"/>
        <v/>
      </c>
      <c r="D548" s="2"/>
      <c r="E548" s="2" t="str">
        <f t="shared" si="26"/>
        <v/>
      </c>
      <c r="F548" s="3"/>
      <c r="G548" s="3"/>
      <c r="H548" s="4"/>
      <c r="I548" s="4"/>
      <c r="J548" s="4"/>
      <c r="K548" s="4"/>
      <c r="L548" s="4"/>
      <c r="M548" s="4"/>
      <c r="N548" s="4"/>
      <c r="O548" s="4"/>
      <c r="P548" s="4"/>
      <c r="Q548" s="4"/>
    </row>
    <row r="549" spans="2:17" x14ac:dyDescent="0.3">
      <c r="B549" s="3"/>
      <c r="C549" s="2" t="str">
        <f t="shared" si="25"/>
        <v/>
      </c>
      <c r="D549" s="2"/>
      <c r="E549" s="2" t="str">
        <f t="shared" si="26"/>
        <v/>
      </c>
      <c r="F549" s="3"/>
      <c r="G549" s="3"/>
      <c r="H549" s="4"/>
      <c r="I549" s="4"/>
      <c r="J549" s="4"/>
      <c r="K549" s="4"/>
      <c r="L549" s="4"/>
      <c r="M549" s="4"/>
      <c r="N549" s="4"/>
      <c r="O549" s="4"/>
      <c r="P549" s="4"/>
      <c r="Q549" s="4"/>
    </row>
    <row r="550" spans="2:17" x14ac:dyDescent="0.3">
      <c r="B550" s="3"/>
      <c r="C550" s="2" t="str">
        <f t="shared" si="25"/>
        <v/>
      </c>
      <c r="D550" s="2"/>
      <c r="E550" s="2" t="str">
        <f t="shared" si="26"/>
        <v/>
      </c>
      <c r="F550" s="3"/>
      <c r="G550" s="3"/>
      <c r="H550" s="4"/>
      <c r="I550" s="4"/>
      <c r="J550" s="4"/>
      <c r="K550" s="4"/>
      <c r="L550" s="4"/>
      <c r="M550" s="4"/>
      <c r="N550" s="4"/>
      <c r="O550" s="4"/>
      <c r="P550" s="4"/>
      <c r="Q550" s="4"/>
    </row>
    <row r="551" spans="2:17" x14ac:dyDescent="0.3">
      <c r="B551" s="3"/>
      <c r="C551" s="2" t="str">
        <f t="shared" si="25"/>
        <v/>
      </c>
      <c r="D551" s="2"/>
      <c r="E551" s="2" t="str">
        <f t="shared" si="26"/>
        <v/>
      </c>
      <c r="F551" s="3"/>
      <c r="G551" s="3"/>
      <c r="H551" s="4"/>
      <c r="I551" s="4"/>
      <c r="J551" s="4"/>
      <c r="K551" s="4"/>
      <c r="L551" s="4"/>
      <c r="M551" s="4"/>
      <c r="N551" s="4"/>
      <c r="O551" s="4"/>
      <c r="P551" s="4"/>
      <c r="Q551" s="4"/>
    </row>
    <row r="552" spans="2:17" x14ac:dyDescent="0.3">
      <c r="B552" s="3"/>
      <c r="C552" s="2" t="str">
        <f t="shared" ref="C552:C572" si="27">IF($F552="","",IF(LEFT($F552,1)*1=1,"A",IF(LEFT($F552,1)*1=2,"P",IF(LEFT($F552,1)*1=3,"C",IF(LEFT($F552,1)*1=4,"C",IF(LEFT($F552,1)*1=5,"R",""))))))</f>
        <v/>
      </c>
      <c r="D552" s="2"/>
      <c r="E552" s="2" t="str">
        <f t="shared" ref="E552:E572" si="28">IF($F552="","",IF(LEN($F552)=1,1,IF(LEN($F552)=3,2,IF(LEN($F552)=6,3,IF(LEN($F552)=9,4,IF(LEN($F552)=12,5,6))))))</f>
        <v/>
      </c>
      <c r="F552" s="3"/>
      <c r="G552" s="3"/>
      <c r="H552" s="4"/>
      <c r="I552" s="4"/>
      <c r="J552" s="4"/>
      <c r="K552" s="4"/>
      <c r="L552" s="4"/>
      <c r="M552" s="4"/>
      <c r="N552" s="4"/>
      <c r="O552" s="4"/>
      <c r="P552" s="4"/>
      <c r="Q552" s="4"/>
    </row>
    <row r="553" spans="2:17" x14ac:dyDescent="0.3">
      <c r="B553" s="3"/>
      <c r="C553" s="2" t="str">
        <f t="shared" si="27"/>
        <v/>
      </c>
      <c r="D553" s="2"/>
      <c r="E553" s="2" t="str">
        <f t="shared" si="28"/>
        <v/>
      </c>
      <c r="F553" s="3"/>
      <c r="G553" s="3"/>
      <c r="H553" s="4"/>
      <c r="I553" s="4"/>
      <c r="J553" s="4"/>
      <c r="K553" s="4"/>
      <c r="L553" s="4"/>
      <c r="M553" s="4"/>
      <c r="N553" s="4"/>
      <c r="O553" s="4"/>
      <c r="P553" s="4"/>
      <c r="Q553" s="4"/>
    </row>
    <row r="554" spans="2:17" x14ac:dyDescent="0.3">
      <c r="B554" s="3"/>
      <c r="C554" s="2" t="str">
        <f t="shared" si="27"/>
        <v/>
      </c>
      <c r="D554" s="2"/>
      <c r="E554" s="2" t="str">
        <f t="shared" si="28"/>
        <v/>
      </c>
      <c r="F554" s="3"/>
      <c r="G554" s="3"/>
      <c r="H554" s="4"/>
      <c r="I554" s="4"/>
      <c r="J554" s="4"/>
      <c r="K554" s="4"/>
      <c r="L554" s="4"/>
      <c r="M554" s="4"/>
      <c r="N554" s="4"/>
      <c r="O554" s="4"/>
      <c r="P554" s="4"/>
      <c r="Q554" s="4"/>
    </row>
    <row r="555" spans="2:17" x14ac:dyDescent="0.3">
      <c r="B555" s="3"/>
      <c r="C555" s="2" t="str">
        <f t="shared" si="27"/>
        <v/>
      </c>
      <c r="D555" s="2"/>
      <c r="E555" s="2" t="str">
        <f t="shared" si="28"/>
        <v/>
      </c>
      <c r="F555" s="3"/>
      <c r="G555" s="3"/>
      <c r="H555" s="4"/>
      <c r="I555" s="4"/>
      <c r="J555" s="4"/>
      <c r="K555" s="4"/>
      <c r="L555" s="4"/>
      <c r="M555" s="4"/>
      <c r="N555" s="4"/>
      <c r="O555" s="4"/>
      <c r="P555" s="4"/>
      <c r="Q555" s="4"/>
    </row>
    <row r="556" spans="2:17" x14ac:dyDescent="0.3">
      <c r="B556" s="3"/>
      <c r="C556" s="2" t="str">
        <f t="shared" si="27"/>
        <v/>
      </c>
      <c r="D556" s="2"/>
      <c r="E556" s="2" t="str">
        <f t="shared" si="28"/>
        <v/>
      </c>
      <c r="F556" s="3"/>
      <c r="G556" s="3"/>
      <c r="H556" s="4"/>
      <c r="I556" s="4"/>
      <c r="J556" s="4"/>
      <c r="K556" s="4"/>
      <c r="L556" s="4"/>
      <c r="M556" s="4"/>
      <c r="N556" s="4"/>
      <c r="O556" s="4"/>
      <c r="P556" s="4"/>
      <c r="Q556" s="4"/>
    </row>
    <row r="557" spans="2:17" x14ac:dyDescent="0.3">
      <c r="B557" s="3"/>
      <c r="C557" s="2" t="str">
        <f t="shared" si="27"/>
        <v/>
      </c>
      <c r="D557" s="2"/>
      <c r="E557" s="2" t="str">
        <f t="shared" si="28"/>
        <v/>
      </c>
      <c r="F557" s="3"/>
      <c r="G557" s="3"/>
      <c r="H557" s="4"/>
      <c r="I557" s="4"/>
      <c r="J557" s="4"/>
      <c r="K557" s="4"/>
      <c r="L557" s="4"/>
      <c r="M557" s="4"/>
      <c r="N557" s="4"/>
      <c r="O557" s="4"/>
      <c r="P557" s="4"/>
      <c r="Q557" s="4"/>
    </row>
    <row r="558" spans="2:17" x14ac:dyDescent="0.3">
      <c r="B558" s="3"/>
      <c r="C558" s="2" t="str">
        <f t="shared" si="27"/>
        <v/>
      </c>
      <c r="D558" s="2"/>
      <c r="E558" s="2" t="str">
        <f t="shared" si="28"/>
        <v/>
      </c>
      <c r="F558" s="3"/>
      <c r="G558" s="3"/>
      <c r="H558" s="4"/>
      <c r="I558" s="4"/>
      <c r="J558" s="4"/>
      <c r="K558" s="4"/>
      <c r="L558" s="4"/>
      <c r="M558" s="4"/>
      <c r="N558" s="4"/>
      <c r="O558" s="4"/>
      <c r="P558" s="4"/>
      <c r="Q558" s="4"/>
    </row>
    <row r="559" spans="2:17" x14ac:dyDescent="0.3">
      <c r="B559" s="3"/>
      <c r="C559" s="2" t="str">
        <f t="shared" si="27"/>
        <v/>
      </c>
      <c r="D559" s="2"/>
      <c r="E559" s="2" t="str">
        <f t="shared" si="28"/>
        <v/>
      </c>
      <c r="F559" s="3"/>
      <c r="G559" s="3"/>
      <c r="H559" s="4"/>
      <c r="I559" s="4"/>
      <c r="J559" s="4"/>
      <c r="K559" s="4"/>
      <c r="L559" s="4"/>
      <c r="M559" s="4"/>
      <c r="N559" s="4"/>
      <c r="O559" s="4"/>
      <c r="P559" s="4"/>
      <c r="Q559" s="4"/>
    </row>
    <row r="560" spans="2:17" x14ac:dyDescent="0.3">
      <c r="B560" s="3"/>
      <c r="C560" s="2" t="str">
        <f t="shared" si="27"/>
        <v/>
      </c>
      <c r="D560" s="2"/>
      <c r="E560" s="2" t="str">
        <f t="shared" si="28"/>
        <v/>
      </c>
      <c r="F560" s="3"/>
      <c r="G560" s="3"/>
      <c r="H560" s="4"/>
      <c r="I560" s="4"/>
      <c r="J560" s="4"/>
      <c r="K560" s="4"/>
      <c r="L560" s="4"/>
      <c r="M560" s="4"/>
      <c r="N560" s="4"/>
      <c r="O560" s="4"/>
      <c r="P560" s="4"/>
      <c r="Q560" s="4"/>
    </row>
    <row r="561" spans="2:17" x14ac:dyDescent="0.3">
      <c r="B561" s="3"/>
      <c r="C561" s="2" t="str">
        <f t="shared" si="27"/>
        <v/>
      </c>
      <c r="D561" s="2"/>
      <c r="E561" s="2" t="str">
        <f t="shared" si="28"/>
        <v/>
      </c>
      <c r="F561" s="3"/>
      <c r="G561" s="3"/>
      <c r="H561" s="4"/>
      <c r="I561" s="4"/>
      <c r="J561" s="4"/>
      <c r="K561" s="4"/>
      <c r="L561" s="4"/>
      <c r="M561" s="4"/>
      <c r="N561" s="4"/>
      <c r="O561" s="4"/>
      <c r="P561" s="4"/>
      <c r="Q561" s="4"/>
    </row>
    <row r="562" spans="2:17" x14ac:dyDescent="0.3">
      <c r="B562" s="3"/>
      <c r="C562" s="2" t="str">
        <f t="shared" si="27"/>
        <v/>
      </c>
      <c r="D562" s="2"/>
      <c r="E562" s="2" t="str">
        <f t="shared" si="28"/>
        <v/>
      </c>
      <c r="F562" s="3"/>
      <c r="G562" s="3"/>
      <c r="H562" s="4"/>
      <c r="I562" s="4"/>
      <c r="J562" s="4"/>
      <c r="K562" s="4"/>
      <c r="L562" s="4"/>
      <c r="M562" s="4"/>
      <c r="N562" s="4"/>
      <c r="O562" s="4"/>
      <c r="P562" s="4"/>
      <c r="Q562" s="4"/>
    </row>
    <row r="563" spans="2:17" x14ac:dyDescent="0.3">
      <c r="B563" s="3"/>
      <c r="C563" s="2" t="str">
        <f t="shared" si="27"/>
        <v/>
      </c>
      <c r="D563" s="2"/>
      <c r="E563" s="2" t="str">
        <f t="shared" si="28"/>
        <v/>
      </c>
      <c r="F563" s="3"/>
      <c r="G563" s="3"/>
      <c r="H563" s="4"/>
      <c r="I563" s="4"/>
      <c r="J563" s="4"/>
      <c r="K563" s="4"/>
      <c r="L563" s="4"/>
      <c r="M563" s="4"/>
      <c r="N563" s="4"/>
      <c r="O563" s="4"/>
      <c r="P563" s="4"/>
      <c r="Q563" s="4"/>
    </row>
    <row r="564" spans="2:17" x14ac:dyDescent="0.3">
      <c r="B564" s="3"/>
      <c r="C564" s="2" t="str">
        <f t="shared" si="27"/>
        <v/>
      </c>
      <c r="D564" s="2"/>
      <c r="E564" s="2" t="str">
        <f t="shared" si="28"/>
        <v/>
      </c>
      <c r="F564" s="3"/>
      <c r="G564" s="3"/>
      <c r="H564" s="4"/>
      <c r="I564" s="4"/>
      <c r="J564" s="4"/>
      <c r="K564" s="4"/>
      <c r="L564" s="4"/>
      <c r="M564" s="4"/>
      <c r="N564" s="4"/>
      <c r="O564" s="4"/>
      <c r="P564" s="4"/>
      <c r="Q564" s="4"/>
    </row>
    <row r="565" spans="2:17" x14ac:dyDescent="0.3">
      <c r="B565" s="3"/>
      <c r="C565" s="2" t="str">
        <f t="shared" si="27"/>
        <v/>
      </c>
      <c r="D565" s="2"/>
      <c r="E565" s="2" t="str">
        <f t="shared" si="28"/>
        <v/>
      </c>
      <c r="F565" s="3"/>
      <c r="G565" s="3"/>
      <c r="H565" s="4"/>
      <c r="I565" s="4"/>
      <c r="J565" s="4"/>
      <c r="K565" s="4"/>
      <c r="L565" s="4"/>
      <c r="M565" s="4"/>
      <c r="N565" s="4"/>
      <c r="O565" s="4"/>
      <c r="P565" s="4"/>
      <c r="Q565" s="4"/>
    </row>
    <row r="566" spans="2:17" x14ac:dyDescent="0.3">
      <c r="B566" s="3"/>
      <c r="C566" s="2" t="str">
        <f t="shared" si="27"/>
        <v/>
      </c>
      <c r="D566" s="2"/>
      <c r="E566" s="2" t="str">
        <f t="shared" si="28"/>
        <v/>
      </c>
      <c r="F566" s="3"/>
      <c r="G566" s="3"/>
      <c r="H566" s="4"/>
      <c r="I566" s="4"/>
      <c r="J566" s="4"/>
      <c r="K566" s="4"/>
      <c r="L566" s="4"/>
      <c r="M566" s="4"/>
      <c r="N566" s="4"/>
      <c r="O566" s="4"/>
      <c r="P566" s="4"/>
      <c r="Q566" s="4"/>
    </row>
    <row r="567" spans="2:17" x14ac:dyDescent="0.3">
      <c r="B567" s="3"/>
      <c r="C567" s="2" t="str">
        <f t="shared" si="27"/>
        <v/>
      </c>
      <c r="D567" s="2"/>
      <c r="E567" s="2" t="str">
        <f t="shared" si="28"/>
        <v/>
      </c>
      <c r="F567" s="3"/>
      <c r="G567" s="3"/>
      <c r="H567" s="4"/>
      <c r="I567" s="4"/>
      <c r="J567" s="4"/>
      <c r="K567" s="4"/>
      <c r="L567" s="4"/>
      <c r="M567" s="4"/>
      <c r="N567" s="4"/>
      <c r="O567" s="4"/>
      <c r="P567" s="4"/>
      <c r="Q567" s="4"/>
    </row>
    <row r="568" spans="2:17" x14ac:dyDescent="0.3">
      <c r="B568" s="3"/>
      <c r="C568" s="2" t="str">
        <f t="shared" si="27"/>
        <v/>
      </c>
      <c r="D568" s="2"/>
      <c r="E568" s="2" t="str">
        <f t="shared" si="28"/>
        <v/>
      </c>
      <c r="F568" s="3"/>
      <c r="G568" s="3"/>
      <c r="H568" s="4"/>
      <c r="I568" s="4"/>
      <c r="J568" s="4"/>
      <c r="K568" s="4"/>
      <c r="L568" s="4"/>
      <c r="M568" s="4"/>
      <c r="N568" s="4"/>
      <c r="O568" s="4"/>
      <c r="P568" s="4"/>
      <c r="Q568" s="4"/>
    </row>
    <row r="569" spans="2:17" x14ac:dyDescent="0.3">
      <c r="B569" s="3"/>
      <c r="C569" s="2" t="str">
        <f t="shared" si="27"/>
        <v/>
      </c>
      <c r="D569" s="2"/>
      <c r="E569" s="2" t="str">
        <f t="shared" si="28"/>
        <v/>
      </c>
      <c r="F569" s="3"/>
      <c r="G569" s="3"/>
      <c r="H569" s="4"/>
      <c r="I569" s="4"/>
      <c r="J569" s="4"/>
      <c r="K569" s="4"/>
      <c r="L569" s="4"/>
      <c r="M569" s="4"/>
      <c r="N569" s="4"/>
      <c r="O569" s="4"/>
      <c r="P569" s="4"/>
      <c r="Q569" s="4"/>
    </row>
    <row r="570" spans="2:17" x14ac:dyDescent="0.3">
      <c r="B570" s="3"/>
      <c r="C570" s="2" t="str">
        <f t="shared" si="27"/>
        <v/>
      </c>
      <c r="D570" s="2"/>
      <c r="E570" s="2" t="str">
        <f t="shared" si="28"/>
        <v/>
      </c>
      <c r="F570" s="3"/>
      <c r="G570" s="3"/>
      <c r="H570" s="4"/>
      <c r="I570" s="4"/>
      <c r="J570" s="4"/>
      <c r="K570" s="4"/>
      <c r="L570" s="4"/>
      <c r="M570" s="4"/>
      <c r="N570" s="4"/>
      <c r="O570" s="4"/>
      <c r="P570" s="4"/>
      <c r="Q570" s="4"/>
    </row>
    <row r="571" spans="2:17" x14ac:dyDescent="0.3">
      <c r="B571" s="3"/>
      <c r="C571" s="2" t="str">
        <f t="shared" si="27"/>
        <v/>
      </c>
      <c r="D571" s="2"/>
      <c r="E571" s="2" t="str">
        <f t="shared" si="28"/>
        <v/>
      </c>
      <c r="F571" s="3"/>
      <c r="G571" s="3"/>
      <c r="H571" s="4"/>
      <c r="I571" s="4"/>
      <c r="J571" s="4"/>
      <c r="K571" s="4"/>
      <c r="L571" s="4"/>
      <c r="M571" s="4"/>
      <c r="N571" s="4"/>
      <c r="O571" s="4"/>
      <c r="P571" s="4"/>
      <c r="Q571" s="4"/>
    </row>
    <row r="572" spans="2:17" x14ac:dyDescent="0.3">
      <c r="B572" s="3"/>
      <c r="C572" s="2" t="str">
        <f t="shared" si="27"/>
        <v/>
      </c>
      <c r="D572" s="2"/>
      <c r="E572" s="2" t="str">
        <f t="shared" si="28"/>
        <v/>
      </c>
      <c r="F572" s="3"/>
      <c r="G572" s="3"/>
      <c r="H572" s="4"/>
      <c r="I572" s="4"/>
      <c r="J572" s="4"/>
      <c r="K572" s="4"/>
      <c r="L572" s="4"/>
      <c r="M572" s="4"/>
      <c r="N572" s="4"/>
      <c r="O572" s="4"/>
      <c r="P572" s="4"/>
      <c r="Q572" s="4"/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E01F6-4F7B-4BCF-B91B-E2D20259AE8A}">
  <sheetPr codeName="Planilha10">
    <outlinePr summaryRight="0"/>
  </sheetPr>
  <dimension ref="B1:S353"/>
  <sheetViews>
    <sheetView showGridLines="0" zoomScale="90" zoomScaleNormal="90" workbookViewId="0">
      <pane xSplit="7" ySplit="14" topLeftCell="H172" activePane="bottomRight" state="frozen"/>
      <selection activeCell="L574" sqref="L574"/>
      <selection pane="topRight" activeCell="L574" sqref="L574"/>
      <selection pane="bottomLeft" activeCell="L574" sqref="L574"/>
      <selection pane="bottomRight" activeCell="B175" sqref="B175"/>
    </sheetView>
  </sheetViews>
  <sheetFormatPr defaultColWidth="8.88671875" defaultRowHeight="13.8" outlineLevelRow="1" x14ac:dyDescent="0.3"/>
  <cols>
    <col min="1" max="1" width="2.6640625" style="1" customWidth="1"/>
    <col min="2" max="2" width="8.6640625" customWidth="1"/>
    <col min="3" max="4" width="4.6640625" customWidth="1"/>
    <col min="5" max="5" width="4.6640625" style="2" customWidth="1"/>
    <col min="6" max="6" width="19.6640625" customWidth="1"/>
    <col min="7" max="7" width="80.6640625" style="2" customWidth="1"/>
    <col min="8" max="9" width="16.6640625" style="3" customWidth="1"/>
    <col min="10" max="10" width="16.6640625" style="3" customWidth="1" collapsed="1"/>
    <col min="11" max="15" width="16.6640625" customWidth="1"/>
    <col min="16" max="17" width="16.6640625" style="2" customWidth="1"/>
    <col min="18" max="19" width="16.6640625" style="4" customWidth="1"/>
    <col min="20" max="16384" width="8.88671875" style="1"/>
  </cols>
  <sheetData>
    <row r="1" spans="2:19" x14ac:dyDescent="0.3">
      <c r="B1" s="3"/>
      <c r="C1" s="2"/>
      <c r="D1" s="2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</row>
    <row r="2" spans="2:19" outlineLevel="1" x14ac:dyDescent="0.3">
      <c r="B2" s="3"/>
      <c r="C2" s="2" t="s">
        <v>16</v>
      </c>
      <c r="D2" s="2"/>
      <c r="F2" s="3"/>
      <c r="G2" s="88" t="s">
        <v>15</v>
      </c>
      <c r="H2" s="7">
        <f ca="1">SUMIFS(INDIRECT("Tab_00.Trial["&amp;H$14&amp;"]"),Tab_00.Trial[TP],$C2,Tab_00.Trial[S/A],"A")</f>
        <v>83606494.079999998</v>
      </c>
      <c r="I2" s="7">
        <f ca="1">SUMIFS(INDIRECT("Tab_00.Trial["&amp;I$14&amp;"]"),Tab_00.Trial[TP],$C2,Tab_00.Trial[S/A],"A")</f>
        <v>82845602.060000002</v>
      </c>
      <c r="J2" s="7">
        <f ca="1">SUMIFS(INDIRECT("Tab_00.Trial["&amp;J$14&amp;"]"),Tab_00.Trial[TP],$C2,Tab_00.Trial[S/A],"A")</f>
        <v>83034331.450000003</v>
      </c>
      <c r="K2" s="7">
        <f ca="1">SUMIFS(INDIRECT("Tab_00.Trial["&amp;K$14&amp;"]"),Tab_00.Trial[TP],$C2,Tab_00.Trial[S/A],"A")</f>
        <v>83383806.790000007</v>
      </c>
      <c r="L2" s="7">
        <f ca="1">SUMIFS(INDIRECT("Tab_00.Trial["&amp;L$14&amp;"]"),Tab_00.Trial[TP],$C2,Tab_00.Trial[S/A],"A")</f>
        <v>83718633.680000007</v>
      </c>
      <c r="M2" s="7">
        <f ca="1">SUMIFS(INDIRECT("Tab_00.Trial["&amp;M$14&amp;"]"),Tab_00.Trial[TP],$C2,Tab_00.Trial[S/A],"A")</f>
        <v>84501333.019999996</v>
      </c>
      <c r="N2" s="7">
        <f ca="1">SUMIFS(INDIRECT("Tab_00.Trial["&amp;N$14&amp;"]"),Tab_00.Trial[TP],$C2,Tab_00.Trial[S/A],"A")</f>
        <v>84501333.019999996</v>
      </c>
      <c r="O2" s="7">
        <f ca="1">SUMIFS(INDIRECT("Tab_00.Trial["&amp;O$14&amp;"]"),Tab_00.Trial[TP],$C2,Tab_00.Trial[S/A],"A")</f>
        <v>84501333.019999996</v>
      </c>
      <c r="P2" s="7">
        <f ca="1">SUMIFS(INDIRECT("Tab_00.Trial["&amp;P$14&amp;"]"),Tab_00.Trial[TP],$C2,Tab_00.Trial[S/A],"A")</f>
        <v>84947708.099999994</v>
      </c>
      <c r="Q2" s="7">
        <f ca="1">SUMIFS(INDIRECT("Tab_00.Trial["&amp;Q$14&amp;"]"),Tab_00.Trial[TP],$C2,Tab_00.Trial[S/A],"A")</f>
        <v>85173481.629999995</v>
      </c>
      <c r="R2" s="7">
        <f ca="1">SUMIFS(INDIRECT("Tab_00.Trial["&amp;R$14&amp;"]"),Tab_00.Trial[TP],$C2,Tab_00.Trial[S/A],"A")</f>
        <v>85489707.329999998</v>
      </c>
      <c r="S2" s="7">
        <f ca="1">SUMIFS(INDIRECT("Tab_00.Trial["&amp;S$14&amp;"]"),Tab_00.Trial[TP],$C2,Tab_00.Trial[S/A],"A")</f>
        <v>85383819.079999998</v>
      </c>
    </row>
    <row r="3" spans="2:19" outlineLevel="1" x14ac:dyDescent="0.3">
      <c r="B3" s="3"/>
      <c r="C3" s="2" t="s">
        <v>116</v>
      </c>
      <c r="D3" s="2"/>
      <c r="F3" s="3"/>
      <c r="G3" s="88" t="s">
        <v>110</v>
      </c>
      <c r="H3" s="7">
        <f ca="1">SUMIFS(INDIRECT("Tab_00.Trial["&amp;H$14&amp;"]"),Tab_00.Trial[TP],$C3,Tab_00.Trial[S/A],"A")</f>
        <v>-83717758.840000004</v>
      </c>
      <c r="I3" s="7">
        <f ca="1">SUMIFS(INDIRECT("Tab_00.Trial["&amp;I$14&amp;"]"),Tab_00.Trial[TP],$C3,Tab_00.Trial[S/A],"A")</f>
        <v>-82907150.670000002</v>
      </c>
      <c r="J3" s="7">
        <f ca="1">SUMIFS(INDIRECT("Tab_00.Trial["&amp;J$14&amp;"]"),Tab_00.Trial[TP],$C3,Tab_00.Trial[S/A],"A")</f>
        <v>-83106680.230000004</v>
      </c>
      <c r="K3" s="7">
        <f ca="1">SUMIFS(INDIRECT("Tab_00.Trial["&amp;K$14&amp;"]"),Tab_00.Trial[TP],$C3,Tab_00.Trial[S/A],"A")</f>
        <v>-83453877.370000005</v>
      </c>
      <c r="L3" s="7">
        <f ca="1">SUMIFS(INDIRECT("Tab_00.Trial["&amp;L$14&amp;"]"),Tab_00.Trial[TP],$C3,Tab_00.Trial[S/A],"A")</f>
        <v>-83326198.370000005</v>
      </c>
      <c r="M3" s="7">
        <f ca="1">SUMIFS(INDIRECT("Tab_00.Trial["&amp;M$14&amp;"]"),Tab_00.Trial[TP],$C3,Tab_00.Trial[S/A],"A")</f>
        <v>-83348237.590000004</v>
      </c>
      <c r="N3" s="7">
        <f ca="1">SUMIFS(INDIRECT("Tab_00.Trial["&amp;N$14&amp;"]"),Tab_00.Trial[TP],$C3,Tab_00.Trial[S/A],"A")</f>
        <v>-83348237.590000004</v>
      </c>
      <c r="O3" s="7">
        <f ca="1">SUMIFS(INDIRECT("Tab_00.Trial["&amp;O$14&amp;"]"),Tab_00.Trial[TP],$C3,Tab_00.Trial[S/A],"A")</f>
        <v>-83348237.590000004</v>
      </c>
      <c r="P3" s="7">
        <f ca="1">SUMIFS(INDIRECT("Tab_00.Trial["&amp;P$14&amp;"]"),Tab_00.Trial[TP],$C3,Tab_00.Trial[S/A],"A")</f>
        <v>-83344888.659999996</v>
      </c>
      <c r="Q3" s="7">
        <f ca="1">SUMIFS(INDIRECT("Tab_00.Trial["&amp;Q$14&amp;"]"),Tab_00.Trial[TP],$C3,Tab_00.Trial[S/A],"A")</f>
        <v>-83343714.840000004</v>
      </c>
      <c r="R3" s="7">
        <f ca="1">SUMIFS(INDIRECT("Tab_00.Trial["&amp;R$14&amp;"]"),Tab_00.Trial[TP],$C3,Tab_00.Trial[S/A],"A")</f>
        <v>-83158151.450000003</v>
      </c>
      <c r="S3" s="7">
        <f ca="1">SUMIFS(INDIRECT("Tab_00.Trial["&amp;S$14&amp;"]"),Tab_00.Trial[TP],$C3,Tab_00.Trial[S/A],"A")</f>
        <v>-83543305</v>
      </c>
    </row>
    <row r="4" spans="2:19" outlineLevel="1" x14ac:dyDescent="0.3">
      <c r="B4" s="3"/>
      <c r="C4" s="2"/>
      <c r="D4" s="2"/>
      <c r="F4" s="3"/>
      <c r="G4" s="88"/>
      <c r="H4" s="8">
        <f t="shared" ref="H4:S4" ca="1" si="0">SUM(H$2:H$3)</f>
        <v>-111264.76</v>
      </c>
      <c r="I4" s="8">
        <f t="shared" ca="1" si="0"/>
        <v>-61548.61</v>
      </c>
      <c r="J4" s="8">
        <f t="shared" ca="1" si="0"/>
        <v>-72348.78</v>
      </c>
      <c r="K4" s="8">
        <f t="shared" ca="1" si="0"/>
        <v>-70070.58</v>
      </c>
      <c r="L4" s="8">
        <f t="shared" ca="1" si="0"/>
        <v>392435.31</v>
      </c>
      <c r="M4" s="8">
        <f t="shared" ca="1" si="0"/>
        <v>1153095.43</v>
      </c>
      <c r="N4" s="8">
        <f t="shared" ca="1" si="0"/>
        <v>1153095.43</v>
      </c>
      <c r="O4" s="8">
        <f t="shared" ca="1" si="0"/>
        <v>1153095.43</v>
      </c>
      <c r="P4" s="8">
        <f t="shared" ca="1" si="0"/>
        <v>1602819.44</v>
      </c>
      <c r="Q4" s="8">
        <f t="shared" ca="1" si="0"/>
        <v>1829766.79</v>
      </c>
      <c r="R4" s="8">
        <f t="shared" ca="1" si="0"/>
        <v>2331555.88</v>
      </c>
      <c r="S4" s="8">
        <f t="shared" ca="1" si="0"/>
        <v>1840514.08</v>
      </c>
    </row>
    <row r="5" spans="2:19" ht="5.0999999999999996" customHeight="1" outlineLevel="1" x14ac:dyDescent="0.3">
      <c r="B5" s="3"/>
      <c r="C5" s="2"/>
      <c r="D5" s="2"/>
      <c r="F5" s="3"/>
      <c r="G5" s="89"/>
      <c r="H5" s="4"/>
      <c r="I5" s="4"/>
      <c r="J5" s="4"/>
      <c r="K5" s="4"/>
      <c r="L5" s="4"/>
      <c r="M5" s="4"/>
      <c r="N5" s="4"/>
      <c r="O5" s="4"/>
      <c r="P5" s="4"/>
      <c r="Q5" s="4"/>
    </row>
    <row r="6" spans="2:19" outlineLevel="1" x14ac:dyDescent="0.3">
      <c r="B6" s="3"/>
      <c r="C6" s="2" t="s">
        <v>19</v>
      </c>
      <c r="D6" s="2"/>
      <c r="F6" s="3"/>
      <c r="G6" s="88" t="s">
        <v>18</v>
      </c>
      <c r="H6" s="7">
        <f ca="1">SUMIFS(INDIRECT("Tab_00.Trial["&amp;H$14&amp;"]"),Tab_00.Trial[TP],$C6,Tab_00.Trial[S/A],"A")</f>
        <v>-1136279.73</v>
      </c>
      <c r="I6" s="7">
        <f ca="1">SUMIFS(INDIRECT("Tab_00.Trial["&amp;I$14&amp;"]"),Tab_00.Trial[TP],$C6,Tab_00.Trial[S/A],"A")</f>
        <v>-1660890.59</v>
      </c>
      <c r="J6" s="7">
        <f ca="1">SUMIFS(INDIRECT("Tab_00.Trial["&amp;J$14&amp;"]"),Tab_00.Trial[TP],$C6,Tab_00.Trial[S/A],"A")</f>
        <v>-3663236.38</v>
      </c>
      <c r="K6" s="7">
        <f ca="1">SUMIFS(INDIRECT("Tab_00.Trial["&amp;K$14&amp;"]"),Tab_00.Trial[TP],$C6,Tab_00.Trial[S/A],"A")</f>
        <v>-4729203.16</v>
      </c>
      <c r="L6" s="7">
        <f ca="1">SUMIFS(INDIRECT("Tab_00.Trial["&amp;L$14&amp;"]"),Tab_00.Trial[TP],$C6,Tab_00.Trial[S/A],"A")</f>
        <v>-6256543.8700000001</v>
      </c>
      <c r="M6" s="7">
        <f ca="1">SUMIFS(INDIRECT("Tab_00.Trial["&amp;M$14&amp;"]"),Tab_00.Trial[TP],$C6,Tab_00.Trial[S/A],"A")</f>
        <v>-8945453.5600000005</v>
      </c>
      <c r="N6" s="7">
        <f ca="1">SUMIFS(INDIRECT("Tab_00.Trial["&amp;N$14&amp;"]"),Tab_00.Trial[TP],$C6,Tab_00.Trial[S/A],"A")</f>
        <v>-8945453.5600000005</v>
      </c>
      <c r="O6" s="7">
        <f ca="1">SUMIFS(INDIRECT("Tab_00.Trial["&amp;O$14&amp;"]"),Tab_00.Trial[TP],$C6,Tab_00.Trial[S/A],"A")</f>
        <v>-8945453.5600000005</v>
      </c>
      <c r="P6" s="7">
        <f ca="1">SUMIFS(INDIRECT("Tab_00.Trial["&amp;P$14&amp;"]"),Tab_00.Trial[TP],$C6,Tab_00.Trial[S/A],"A")</f>
        <v>-11464512.699999999</v>
      </c>
      <c r="Q6" s="7">
        <f ca="1">SUMIFS(INDIRECT("Tab_00.Trial["&amp;Q$14&amp;"]"),Tab_00.Trial[TP],$C6,Tab_00.Trial[S/A],"A")</f>
        <v>-12902952.33</v>
      </c>
      <c r="R6" s="7">
        <f ca="1">SUMIFS(INDIRECT("Tab_00.Trial["&amp;R$14&amp;"]"),Tab_00.Trial[TP],$C6,Tab_00.Trial[S/A],"A")</f>
        <v>-14138020.289999999</v>
      </c>
      <c r="S6" s="7">
        <f ca="1">SUMIFS(INDIRECT("Tab_00.Trial["&amp;S$14&amp;"]"),Tab_00.Trial[TP],$C6,Tab_00.Trial[S/A],"A")</f>
        <v>-15518464.57</v>
      </c>
    </row>
    <row r="7" spans="2:19" outlineLevel="1" x14ac:dyDescent="0.3">
      <c r="B7" s="3"/>
      <c r="C7" s="2" t="s">
        <v>20</v>
      </c>
      <c r="D7" s="2"/>
      <c r="F7" s="3"/>
      <c r="G7" s="88" t="s">
        <v>111</v>
      </c>
      <c r="H7" s="7">
        <f ca="1">SUMIFS(INDIRECT("Tab_00.Trial["&amp;H$14&amp;"]"),Tab_00.Trial[TP],$C7,Tab_00.Trial[S/A],"A")</f>
        <v>1247544.49</v>
      </c>
      <c r="I7" s="7">
        <f ca="1">SUMIFS(INDIRECT("Tab_00.Trial["&amp;I$14&amp;"]"),Tab_00.Trial[TP],$C7,Tab_00.Trial[S/A],"A")</f>
        <v>1722439.2</v>
      </c>
      <c r="J7" s="7">
        <f ca="1">SUMIFS(INDIRECT("Tab_00.Trial["&amp;J$14&amp;"]"),Tab_00.Trial[TP],$C7,Tab_00.Trial[S/A],"A")</f>
        <v>3735585.16</v>
      </c>
      <c r="K7" s="7">
        <f ca="1">SUMIFS(INDIRECT("Tab_00.Trial["&amp;K$14&amp;"]"),Tab_00.Trial[TP],$C7,Tab_00.Trial[S/A],"A")</f>
        <v>4799273.74</v>
      </c>
      <c r="L7" s="7">
        <f ca="1">SUMIFS(INDIRECT("Tab_00.Trial["&amp;L$14&amp;"]"),Tab_00.Trial[TP],$C7,Tab_00.Trial[S/A],"A")</f>
        <v>5864108.5599999996</v>
      </c>
      <c r="M7" s="7">
        <f ca="1">SUMIFS(INDIRECT("Tab_00.Trial["&amp;M$14&amp;"]"),Tab_00.Trial[TP],$C7,Tab_00.Trial[S/A],"A")</f>
        <v>7792358.1299999999</v>
      </c>
      <c r="N7" s="7">
        <f ca="1">SUMIFS(INDIRECT("Tab_00.Trial["&amp;N$14&amp;"]"),Tab_00.Trial[TP],$C7,Tab_00.Trial[S/A],"A")</f>
        <v>7792358.1299999999</v>
      </c>
      <c r="O7" s="7">
        <f ca="1">SUMIFS(INDIRECT("Tab_00.Trial["&amp;O$14&amp;"]"),Tab_00.Trial[TP],$C7,Tab_00.Trial[S/A],"A")</f>
        <v>7792358.1299999999</v>
      </c>
      <c r="P7" s="7">
        <f ca="1">SUMIFS(INDIRECT("Tab_00.Trial["&amp;P$14&amp;"]"),Tab_00.Trial[TP],$C7,Tab_00.Trial[S/A],"A")</f>
        <v>9861693.2599999998</v>
      </c>
      <c r="Q7" s="7">
        <f ca="1">SUMIFS(INDIRECT("Tab_00.Trial["&amp;Q$14&amp;"]"),Tab_00.Trial[TP],$C7,Tab_00.Trial[S/A],"A")</f>
        <v>11073185.539999999</v>
      </c>
      <c r="R7" s="7">
        <f ca="1">SUMIFS(INDIRECT("Tab_00.Trial["&amp;R$14&amp;"]"),Tab_00.Trial[TP],$C7,Tab_00.Trial[S/A],"A")</f>
        <v>11806464.41</v>
      </c>
      <c r="S7" s="7">
        <f ca="1">SUMIFS(INDIRECT("Tab_00.Trial["&amp;S$14&amp;"]"),Tab_00.Trial[TP],$C7,Tab_00.Trial[S/A],"A")</f>
        <v>13677950.49</v>
      </c>
    </row>
    <row r="8" spans="2:19" outlineLevel="1" x14ac:dyDescent="0.3">
      <c r="B8" s="3"/>
      <c r="C8" s="2"/>
      <c r="D8" s="2"/>
      <c r="F8" s="3"/>
      <c r="G8" s="88"/>
      <c r="H8" s="8">
        <f ca="1">SUM(H$6:H$7)</f>
        <v>111264.76</v>
      </c>
      <c r="I8" s="8">
        <f t="shared" ref="I8:S8" ca="1" si="1">SUM(I$6:I$7)</f>
        <v>61548.61</v>
      </c>
      <c r="J8" s="8">
        <f t="shared" ca="1" si="1"/>
        <v>72348.78</v>
      </c>
      <c r="K8" s="8">
        <f t="shared" ca="1" si="1"/>
        <v>70070.58</v>
      </c>
      <c r="L8" s="8">
        <f t="shared" ca="1" si="1"/>
        <v>-392435.31</v>
      </c>
      <c r="M8" s="8">
        <f t="shared" ca="1" si="1"/>
        <v>-1153095.43</v>
      </c>
      <c r="N8" s="8">
        <f t="shared" ca="1" si="1"/>
        <v>-1153095.43</v>
      </c>
      <c r="O8" s="8">
        <f t="shared" ca="1" si="1"/>
        <v>-1153095.43</v>
      </c>
      <c r="P8" s="8">
        <f t="shared" ca="1" si="1"/>
        <v>-1602819.44</v>
      </c>
      <c r="Q8" s="8">
        <f t="shared" ca="1" si="1"/>
        <v>-1829766.79</v>
      </c>
      <c r="R8" s="8">
        <f t="shared" ca="1" si="1"/>
        <v>-2331555.88</v>
      </c>
      <c r="S8" s="8">
        <f t="shared" ca="1" si="1"/>
        <v>-1840514.08</v>
      </c>
    </row>
    <row r="9" spans="2:19" ht="5.0999999999999996" customHeight="1" outlineLevel="1" x14ac:dyDescent="0.3">
      <c r="B9" s="3"/>
      <c r="C9" s="2"/>
      <c r="D9" s="2"/>
      <c r="F9" s="3"/>
      <c r="G9" s="89"/>
      <c r="H9" s="4"/>
      <c r="I9" s="4"/>
      <c r="J9" s="4"/>
      <c r="K9" s="4"/>
      <c r="L9" s="4"/>
      <c r="M9" s="4"/>
      <c r="N9" s="4"/>
      <c r="O9" s="4"/>
      <c r="P9" s="4"/>
      <c r="Q9" s="4"/>
    </row>
    <row r="10" spans="2:19" x14ac:dyDescent="0.3">
      <c r="C10" s="2"/>
      <c r="D10" s="2"/>
      <c r="F10" s="94">
        <f>F12-par_Ajuste.Trial</f>
        <v>0</v>
      </c>
      <c r="G10" s="88" t="s">
        <v>22</v>
      </c>
      <c r="H10" s="11">
        <f t="shared" ref="H10:R10" ca="1" si="2">SUM(H$4,H$8)</f>
        <v>0</v>
      </c>
      <c r="I10" s="11">
        <f t="shared" ca="1" si="2"/>
        <v>0</v>
      </c>
      <c r="J10" s="11">
        <f t="shared" ca="1" si="2"/>
        <v>0</v>
      </c>
      <c r="K10" s="11">
        <f t="shared" ca="1" si="2"/>
        <v>0</v>
      </c>
      <c r="L10" s="11">
        <f t="shared" ca="1" si="2"/>
        <v>0</v>
      </c>
      <c r="M10" s="11">
        <f t="shared" ca="1" si="2"/>
        <v>0</v>
      </c>
      <c r="N10" s="11">
        <f t="shared" ca="1" si="2"/>
        <v>0</v>
      </c>
      <c r="O10" s="11">
        <f t="shared" ca="1" si="2"/>
        <v>0</v>
      </c>
      <c r="P10" s="11">
        <f t="shared" ca="1" si="2"/>
        <v>0</v>
      </c>
      <c r="Q10" s="11">
        <f t="shared" ca="1" si="2"/>
        <v>0</v>
      </c>
      <c r="R10" s="11">
        <f t="shared" ca="1" si="2"/>
        <v>0</v>
      </c>
      <c r="S10" s="11">
        <f ca="1">SUM(S$4,S$8)</f>
        <v>0</v>
      </c>
    </row>
    <row r="11" spans="2:19" ht="5.0999999999999996" customHeight="1" x14ac:dyDescent="0.3">
      <c r="B11" s="3"/>
      <c r="C11" s="2"/>
      <c r="D11" s="2"/>
      <c r="G11" s="3"/>
      <c r="H11" s="4"/>
      <c r="I11" s="4"/>
      <c r="J11" s="4"/>
      <c r="K11" s="4"/>
      <c r="L11" s="4"/>
      <c r="M11" s="4"/>
      <c r="N11" s="4"/>
      <c r="O11" s="4"/>
      <c r="P11" s="4"/>
      <c r="Q11" s="4"/>
    </row>
    <row r="12" spans="2:19" x14ac:dyDescent="0.3">
      <c r="B12" s="94">
        <f>COUNTIFS(Tab_00.Trial[DC],"",Tab_00.Trial[S/A],"A")</f>
        <v>0</v>
      </c>
      <c r="C12" s="2"/>
      <c r="D12" s="2"/>
      <c r="F12" s="95">
        <f>COUNTA(Tab_00.Trial[CONTA])</f>
        <v>338</v>
      </c>
      <c r="G12" s="3"/>
      <c r="H12" s="7">
        <f>SUBTOTAL(9,Tab_00.Trial[JANEIRO])</f>
        <v>0</v>
      </c>
      <c r="I12" s="7">
        <f>SUBTOTAL(9,Tab_00.Trial[FEVEREIRO])</f>
        <v>0</v>
      </c>
      <c r="J12" s="7">
        <f>SUBTOTAL(9,Tab_00.Trial[MARÇO])</f>
        <v>0</v>
      </c>
      <c r="K12" s="7">
        <f>SUBTOTAL(9,Tab_00.Trial[ABRIL])</f>
        <v>0</v>
      </c>
      <c r="L12" s="7">
        <f>SUBTOTAL(9,Tab_00.Trial[MAIO])</f>
        <v>0</v>
      </c>
      <c r="M12" s="7">
        <f>SUBTOTAL(9,Tab_00.Trial[JUNHO])</f>
        <v>0</v>
      </c>
      <c r="N12" s="7">
        <f>SUBTOTAL(9,Tab_00.Trial[JULHO])</f>
        <v>0</v>
      </c>
      <c r="O12" s="7">
        <f>SUBTOTAL(9,Tab_00.Trial[AGOSTO])</f>
        <v>0</v>
      </c>
      <c r="P12" s="7">
        <f>SUBTOTAL(9,Tab_00.Trial[SETEMBRO])</f>
        <v>0</v>
      </c>
      <c r="Q12" s="7">
        <f>SUBTOTAL(9,Tab_00.Trial[OUTUBRO])</f>
        <v>0</v>
      </c>
      <c r="R12" s="7">
        <f>SUBTOTAL(9,Tab_00.Trial[NOVEMBRO])</f>
        <v>0</v>
      </c>
      <c r="S12" s="7">
        <f>SUBTOTAL(9,Tab_00.Trial[DEZEMBRO])</f>
        <v>0</v>
      </c>
    </row>
    <row r="13" spans="2:19" ht="5.0999999999999996" customHeight="1" x14ac:dyDescent="0.3">
      <c r="B13" s="3"/>
      <c r="C13" s="2"/>
      <c r="D13" s="2"/>
      <c r="F13" s="3"/>
      <c r="G13" s="3"/>
      <c r="H13" s="4"/>
      <c r="I13" s="4"/>
      <c r="J13" s="4"/>
      <c r="K13" s="4"/>
      <c r="L13" s="4"/>
      <c r="M13" s="4"/>
      <c r="N13" s="4"/>
      <c r="O13" s="4"/>
      <c r="P13" s="4"/>
      <c r="Q13" s="4"/>
    </row>
    <row r="14" spans="2:19" ht="24.9" customHeight="1" x14ac:dyDescent="0.3">
      <c r="B14" s="19" t="s">
        <v>44</v>
      </c>
      <c r="C14" s="5" t="s">
        <v>1</v>
      </c>
      <c r="D14" s="5" t="s">
        <v>81</v>
      </c>
      <c r="E14" s="5" t="s">
        <v>2</v>
      </c>
      <c r="F14" s="5" t="s">
        <v>23</v>
      </c>
      <c r="G14" s="5" t="s">
        <v>0</v>
      </c>
      <c r="H14" s="6" t="s">
        <v>3</v>
      </c>
      <c r="I14" s="6" t="s">
        <v>4</v>
      </c>
      <c r="J14" s="6" t="s">
        <v>5</v>
      </c>
      <c r="K14" s="6" t="s">
        <v>6</v>
      </c>
      <c r="L14" s="6" t="s">
        <v>7</v>
      </c>
      <c r="M14" s="6" t="s">
        <v>8</v>
      </c>
      <c r="N14" s="6" t="s">
        <v>9</v>
      </c>
      <c r="O14" s="6" t="s">
        <v>10</v>
      </c>
      <c r="P14" s="6" t="s">
        <v>11</v>
      </c>
      <c r="Q14" s="6" t="s">
        <v>12</v>
      </c>
      <c r="R14" s="6" t="s">
        <v>13</v>
      </c>
      <c r="S14" s="6" t="s">
        <v>14</v>
      </c>
    </row>
    <row r="15" spans="2:19" x14ac:dyDescent="0.3">
      <c r="B15" s="3"/>
      <c r="C15" s="2" t="str">
        <f t="shared" ref="C15:C88" si="3">IF($F15="","",IF(LEFT($F15,1)*1=1,"A",IF(LEFT($F15,1)*1=2,"P",IF(LEFT($F15,1)*1=3,"R",IF(LEFT($F15,1)*1=4,"C",IF(LEFT($F15,1)*1=5,"C",""))))))</f>
        <v>A</v>
      </c>
      <c r="D15" s="2" t="str">
        <f t="shared" ref="D15:D109" si="4">IF($F15="","",IF(LEN($F15)=13,"A","S"))</f>
        <v>S</v>
      </c>
      <c r="E15" s="2">
        <f t="shared" ref="E15:E109" si="5">IF($F15="","",IF(LEN($F15)=1,1,IF(LEN($F15)=3,2,IF(LEN($F15)=5,3,IF(LEN($F15)=8,4,5)))))</f>
        <v>1</v>
      </c>
      <c r="F15" s="3">
        <v>1</v>
      </c>
      <c r="G15" s="3" t="s">
        <v>637</v>
      </c>
      <c r="H15" s="4">
        <f>SUMIFS(Tab_01.Jan[SALDO
ATUAL],Tab_01.Jan[CONTA],$F15)</f>
        <v>83606494.079999998</v>
      </c>
      <c r="I15" s="4">
        <f>SUMIFS(Tab_02.Fev[SALDO
ATUAL],Tab_02.Fev[CONTA],$F15)</f>
        <v>82845602.060000002</v>
      </c>
      <c r="J15" s="4">
        <f>SUMIFS(Tab_03.Mar[SALDO
ATUAL],Tab_03.Mar[CONTA],$F15)</f>
        <v>83034331.450000003</v>
      </c>
      <c r="K15" s="4">
        <f>SUMIFS(Tab_04.Abr[SALDO
ATUAL],Tab_04.Abr[CONTA],$F15)</f>
        <v>83383806.790000007</v>
      </c>
      <c r="L15" s="4">
        <f>SUMIFS(Tab_05.Mai[SALDO
ATUAL],Tab_05.Mai[CONTA],$F15)</f>
        <v>83718633.680000007</v>
      </c>
      <c r="M15" s="4">
        <f>SUMIFS(Tab_06.Jun[SALDO
ATUAL],Tab_06.Jun[CONTA],$F15)</f>
        <v>84501333.019999996</v>
      </c>
      <c r="N15" s="4">
        <f>SUMIFS(Tab_07.Jul[SALDO
ATUAL],Tab_07.Jul[CONTA],$F15)</f>
        <v>84501333.019999996</v>
      </c>
      <c r="O15" s="4">
        <f>SUMIFS(Tab_08.Ago[SALDO
ATUAL],Tab_08.Ago[CONTA],$F15)</f>
        <v>84501333.019999996</v>
      </c>
      <c r="P15" s="4">
        <f>SUMIFS(Tab_09.Set[SALDO
ATUAL],Tab_09.Set[CONTA],$F15)</f>
        <v>84947708.099999994</v>
      </c>
      <c r="Q15" s="4">
        <f>SUMIFS(Tab_10.Out[SALDO
ATUAL],Tab_10.Out[CONTA],$F15)</f>
        <v>85173481.629999995</v>
      </c>
      <c r="R15" s="4">
        <f>SUMIFS(Tab_11.Nov[SALDO
ATUAL],Tab_11.Nov[CONTA],$F15)</f>
        <v>85489707.329999998</v>
      </c>
      <c r="S15" s="4">
        <f>SUMIFS(Tab_12.Dez[SALDO
ATUAL],Tab_12.Dez[CONTA],$F15)</f>
        <v>85383819.079999998</v>
      </c>
    </row>
    <row r="16" spans="2:19" x14ac:dyDescent="0.3">
      <c r="B16" s="3"/>
      <c r="C16" s="2" t="str">
        <f t="shared" si="3"/>
        <v>A</v>
      </c>
      <c r="D16" s="2" t="str">
        <f t="shared" si="4"/>
        <v>S</v>
      </c>
      <c r="E16" s="2">
        <f t="shared" si="5"/>
        <v>2</v>
      </c>
      <c r="F16" s="3" t="s">
        <v>197</v>
      </c>
      <c r="G16" s="3" t="s">
        <v>247</v>
      </c>
      <c r="H16" s="4">
        <f>SUMIFS(Tab_01.Jan[SALDO
ATUAL],Tab_01.Jan[CONTA],$F16)</f>
        <v>10976795.77</v>
      </c>
      <c r="I16" s="4">
        <f>SUMIFS(Tab_02.Fev[SALDO
ATUAL],Tab_02.Fev[CONTA],$F16)</f>
        <v>10215418.029999999</v>
      </c>
      <c r="J16" s="4">
        <f>SUMIFS(Tab_03.Mar[SALDO
ATUAL],Tab_03.Mar[CONTA],$F16)</f>
        <v>10043210.060000001</v>
      </c>
      <c r="K16" s="4">
        <f>SUMIFS(Tab_04.Abr[SALDO
ATUAL],Tab_04.Abr[CONTA],$F16)</f>
        <v>10490443.23</v>
      </c>
      <c r="L16" s="4">
        <f>SUMIFS(Tab_05.Mai[SALDO
ATUAL],Tab_05.Mai[CONTA],$F16)</f>
        <v>10569422.82</v>
      </c>
      <c r="M16" s="4">
        <f>SUMIFS(Tab_06.Jun[SALDO
ATUAL],Tab_06.Jun[CONTA],$F16)</f>
        <v>10902560.52</v>
      </c>
      <c r="N16" s="4">
        <f>SUMIFS(Tab_07.Jul[SALDO
ATUAL],Tab_07.Jul[CONTA],$F16)</f>
        <v>10902560.52</v>
      </c>
      <c r="O16" s="4">
        <f>SUMIFS(Tab_08.Ago[SALDO
ATUAL],Tab_08.Ago[CONTA],$F16)</f>
        <v>10902560.52</v>
      </c>
      <c r="P16" s="4">
        <f>SUMIFS(Tab_09.Set[SALDO
ATUAL],Tab_09.Set[CONTA],$F16)</f>
        <v>11014313.58</v>
      </c>
      <c r="Q16" s="4">
        <f>SUMIFS(Tab_10.Out[SALDO
ATUAL],Tab_10.Out[CONTA],$F16)</f>
        <v>11133037.449999999</v>
      </c>
      <c r="R16" s="4">
        <f>SUMIFS(Tab_11.Nov[SALDO
ATUAL],Tab_11.Nov[CONTA],$F16)</f>
        <v>11206538.48</v>
      </c>
      <c r="S16" s="4">
        <f>SUMIFS(Tab_12.Dez[SALDO
ATUAL],Tab_12.Dez[CONTA],$F16)</f>
        <v>11238759.699999999</v>
      </c>
    </row>
    <row r="17" spans="2:19" x14ac:dyDescent="0.3">
      <c r="B17" s="3"/>
      <c r="C17" s="2" t="str">
        <f t="shared" si="3"/>
        <v>A</v>
      </c>
      <c r="D17" s="2" t="str">
        <f t="shared" si="4"/>
        <v>S</v>
      </c>
      <c r="E17" s="2">
        <f t="shared" si="5"/>
        <v>5</v>
      </c>
      <c r="F17" s="3" t="s">
        <v>199</v>
      </c>
      <c r="G17" s="3" t="s">
        <v>638</v>
      </c>
      <c r="H17" s="4">
        <f>SUMIFS(Tab_01.Jan[SALDO
ATUAL],Tab_01.Jan[CONTA],$F17)</f>
        <v>10865493.23</v>
      </c>
      <c r="I17" s="4">
        <f>SUMIFS(Tab_02.Fev[SALDO
ATUAL],Tab_02.Fev[CONTA],$F17)</f>
        <v>10099113.550000001</v>
      </c>
      <c r="J17" s="4">
        <f>SUMIFS(Tab_03.Mar[SALDO
ATUAL],Tab_03.Mar[CONTA],$F17)</f>
        <v>9937516.9000000004</v>
      </c>
      <c r="K17" s="4">
        <f>SUMIFS(Tab_04.Abr[SALDO
ATUAL],Tab_04.Abr[CONTA],$F17)</f>
        <v>10295691.26</v>
      </c>
      <c r="L17" s="4">
        <f>SUMIFS(Tab_05.Mai[SALDO
ATUAL],Tab_05.Mai[CONTA],$F17)</f>
        <v>10375003.17</v>
      </c>
      <c r="M17" s="4">
        <f>SUMIFS(Tab_06.Jun[SALDO
ATUAL],Tab_06.Jun[CONTA],$F17)</f>
        <v>10708727.35</v>
      </c>
      <c r="N17" s="4">
        <f>SUMIFS(Tab_07.Jul[SALDO
ATUAL],Tab_07.Jul[CONTA],$F17)</f>
        <v>10708727.35</v>
      </c>
      <c r="O17" s="4">
        <f>SUMIFS(Tab_08.Ago[SALDO
ATUAL],Tab_08.Ago[CONTA],$F17)</f>
        <v>10708727.35</v>
      </c>
      <c r="P17" s="4">
        <f>SUMIFS(Tab_09.Set[SALDO
ATUAL],Tab_09.Set[CONTA],$F17)</f>
        <v>10832760.17</v>
      </c>
      <c r="Q17" s="4">
        <f>SUMIFS(Tab_10.Out[SALDO
ATUAL],Tab_10.Out[CONTA],$F17)</f>
        <v>10941584.48</v>
      </c>
      <c r="R17" s="4">
        <f>SUMIFS(Tab_11.Nov[SALDO
ATUAL],Tab_11.Nov[CONTA],$F17)</f>
        <v>10939967.380000001</v>
      </c>
      <c r="S17" s="4">
        <f>SUMIFS(Tab_12.Dez[SALDO
ATUAL],Tab_12.Dez[CONTA],$F17)</f>
        <v>11149635.24</v>
      </c>
    </row>
    <row r="18" spans="2:19" x14ac:dyDescent="0.3">
      <c r="B18" s="3"/>
      <c r="C18" s="2" t="str">
        <f t="shared" si="3"/>
        <v>A</v>
      </c>
      <c r="D18" s="2" t="str">
        <f t="shared" si="4"/>
        <v>S</v>
      </c>
      <c r="E18" s="2">
        <f t="shared" si="5"/>
        <v>5</v>
      </c>
      <c r="F18" s="3" t="s">
        <v>201</v>
      </c>
      <c r="G18" s="3" t="s">
        <v>639</v>
      </c>
      <c r="H18" s="4">
        <f>SUMIFS(Tab_01.Jan[SALDO
ATUAL],Tab_01.Jan[CONTA],$F18)</f>
        <v>3918.73</v>
      </c>
      <c r="I18" s="4">
        <f>SUMIFS(Tab_02.Fev[SALDO
ATUAL],Tab_02.Fev[CONTA],$F18)</f>
        <v>3855.76</v>
      </c>
      <c r="J18" s="4">
        <f>SUMIFS(Tab_03.Mar[SALDO
ATUAL],Tab_03.Mar[CONTA],$F18)</f>
        <v>3411.67</v>
      </c>
      <c r="K18" s="4">
        <f>SUMIFS(Tab_04.Abr[SALDO
ATUAL],Tab_04.Abr[CONTA],$F18)</f>
        <v>2993.41</v>
      </c>
      <c r="L18" s="4">
        <f>SUMIFS(Tab_05.Mai[SALDO
ATUAL],Tab_05.Mai[CONTA],$F18)</f>
        <v>2541.83</v>
      </c>
      <c r="M18" s="4">
        <f>SUMIFS(Tab_06.Jun[SALDO
ATUAL],Tab_06.Jun[CONTA],$F18)</f>
        <v>1243.94</v>
      </c>
      <c r="N18" s="4">
        <f>SUMIFS(Tab_07.Jul[SALDO
ATUAL],Tab_07.Jul[CONTA],$F18)</f>
        <v>1243.94</v>
      </c>
      <c r="O18" s="4">
        <f>SUMIFS(Tab_08.Ago[SALDO
ATUAL],Tab_08.Ago[CONTA],$F18)</f>
        <v>1243.94</v>
      </c>
      <c r="P18" s="4">
        <f>SUMIFS(Tab_09.Set[SALDO
ATUAL],Tab_09.Set[CONTA],$F18)</f>
        <v>1328.63</v>
      </c>
      <c r="Q18" s="4">
        <f>SUMIFS(Tab_10.Out[SALDO
ATUAL],Tab_10.Out[CONTA],$F18)</f>
        <v>547.73</v>
      </c>
      <c r="R18" s="4">
        <f>SUMIFS(Tab_11.Nov[SALDO
ATUAL],Tab_11.Nov[CONTA],$F18)</f>
        <v>474.45</v>
      </c>
      <c r="S18" s="4">
        <f>SUMIFS(Tab_12.Dez[SALDO
ATUAL],Tab_12.Dez[CONTA],$F18)</f>
        <v>1428.62</v>
      </c>
    </row>
    <row r="19" spans="2:19" x14ac:dyDescent="0.3">
      <c r="B19" s="3" t="s">
        <v>38</v>
      </c>
      <c r="C19" s="2" t="str">
        <f t="shared" si="3"/>
        <v>A</v>
      </c>
      <c r="D19" s="2" t="str">
        <f t="shared" si="4"/>
        <v>A</v>
      </c>
      <c r="E19" s="2">
        <f t="shared" si="5"/>
        <v>5</v>
      </c>
      <c r="F19" s="3" t="s">
        <v>175</v>
      </c>
      <c r="G19" s="3" t="s">
        <v>273</v>
      </c>
      <c r="H19" s="4">
        <f>SUMIFS(Tab_01.Jan[SALDO
ATUAL],Tab_01.Jan[CONTA],$F19)</f>
        <v>0</v>
      </c>
      <c r="I19" s="4">
        <f>SUMIFS(Tab_02.Fev[SALDO
ATUAL],Tab_02.Fev[CONTA],$F19)</f>
        <v>0</v>
      </c>
      <c r="J19" s="4">
        <f>SUMIFS(Tab_03.Mar[SALDO
ATUAL],Tab_03.Mar[CONTA],$F19)</f>
        <v>0</v>
      </c>
      <c r="K19" s="4">
        <f>SUMIFS(Tab_04.Abr[SALDO
ATUAL],Tab_04.Abr[CONTA],$F19)</f>
        <v>0</v>
      </c>
      <c r="L19" s="4">
        <f>SUMIFS(Tab_05.Mai[SALDO
ATUAL],Tab_05.Mai[CONTA],$F19)</f>
        <v>0</v>
      </c>
      <c r="M19" s="4">
        <f>SUMIFS(Tab_06.Jun[SALDO
ATUAL],Tab_06.Jun[CONTA],$F19)</f>
        <v>0</v>
      </c>
      <c r="N19" s="4">
        <f>SUMIFS(Tab_07.Jul[SALDO
ATUAL],Tab_07.Jul[CONTA],$F19)</f>
        <v>0</v>
      </c>
      <c r="O19" s="4">
        <f>SUMIFS(Tab_08.Ago[SALDO
ATUAL],Tab_08.Ago[CONTA],$F19)</f>
        <v>0</v>
      </c>
      <c r="P19" s="4">
        <f>SUMIFS(Tab_09.Set[SALDO
ATUAL],Tab_09.Set[CONTA],$F19)</f>
        <v>0</v>
      </c>
      <c r="Q19" s="4">
        <f>SUMIFS(Tab_10.Out[SALDO
ATUAL],Tab_10.Out[CONTA],$F19)</f>
        <v>0</v>
      </c>
      <c r="R19" s="4">
        <f>SUMIFS(Tab_11.Nov[SALDO
ATUAL],Tab_11.Nov[CONTA],$F19)</f>
        <v>0</v>
      </c>
      <c r="S19" s="4">
        <f>SUMIFS(Tab_12.Dez[SALDO
ATUAL],Tab_12.Dez[CONTA],$F19)</f>
        <v>0</v>
      </c>
    </row>
    <row r="20" spans="2:19" x14ac:dyDescent="0.3">
      <c r="B20" s="3" t="s">
        <v>38</v>
      </c>
      <c r="C20" s="2" t="str">
        <f t="shared" si="3"/>
        <v>A</v>
      </c>
      <c r="D20" s="2" t="str">
        <f t="shared" si="4"/>
        <v>A</v>
      </c>
      <c r="E20" s="2">
        <f t="shared" si="5"/>
        <v>5</v>
      </c>
      <c r="F20" s="3" t="s">
        <v>176</v>
      </c>
      <c r="G20" s="3" t="s">
        <v>274</v>
      </c>
      <c r="H20" s="4">
        <f>SUMIFS(Tab_01.Jan[SALDO
ATUAL],Tab_01.Jan[CONTA],$F20)</f>
        <v>3918.73</v>
      </c>
      <c r="I20" s="4">
        <f>SUMIFS(Tab_02.Fev[SALDO
ATUAL],Tab_02.Fev[CONTA],$F20)</f>
        <v>3855.76</v>
      </c>
      <c r="J20" s="4">
        <f>SUMIFS(Tab_03.Mar[SALDO
ATUAL],Tab_03.Mar[CONTA],$F20)</f>
        <v>3411.67</v>
      </c>
      <c r="K20" s="4">
        <f>SUMIFS(Tab_04.Abr[SALDO
ATUAL],Tab_04.Abr[CONTA],$F20)</f>
        <v>2993.41</v>
      </c>
      <c r="L20" s="4">
        <f>SUMIFS(Tab_05.Mai[SALDO
ATUAL],Tab_05.Mai[CONTA],$F20)</f>
        <v>2541.83</v>
      </c>
      <c r="M20" s="4">
        <f>SUMIFS(Tab_06.Jun[SALDO
ATUAL],Tab_06.Jun[CONTA],$F20)</f>
        <v>1243.94</v>
      </c>
      <c r="N20" s="4">
        <f>SUMIFS(Tab_07.Jul[SALDO
ATUAL],Tab_07.Jul[CONTA],$F20)</f>
        <v>1243.94</v>
      </c>
      <c r="O20" s="4">
        <f>SUMIFS(Tab_08.Ago[SALDO
ATUAL],Tab_08.Ago[CONTA],$F20)</f>
        <v>1243.94</v>
      </c>
      <c r="P20" s="4">
        <f>SUMIFS(Tab_09.Set[SALDO
ATUAL],Tab_09.Set[CONTA],$F20)</f>
        <v>1328.63</v>
      </c>
      <c r="Q20" s="4">
        <f>SUMIFS(Tab_10.Out[SALDO
ATUAL],Tab_10.Out[CONTA],$F20)</f>
        <v>547.73</v>
      </c>
      <c r="R20" s="4">
        <f>SUMIFS(Tab_11.Nov[SALDO
ATUAL],Tab_11.Nov[CONTA],$F20)</f>
        <v>474.45</v>
      </c>
      <c r="S20" s="4">
        <f>SUMIFS(Tab_12.Dez[SALDO
ATUAL],Tab_12.Dez[CONTA],$F20)</f>
        <v>1428.62</v>
      </c>
    </row>
    <row r="21" spans="2:19" x14ac:dyDescent="0.3">
      <c r="B21" s="3" t="s">
        <v>38</v>
      </c>
      <c r="C21" s="2" t="str">
        <f t="shared" si="3"/>
        <v>A</v>
      </c>
      <c r="D21" s="2" t="str">
        <f t="shared" si="4"/>
        <v>A</v>
      </c>
      <c r="E21" s="2">
        <f t="shared" si="5"/>
        <v>5</v>
      </c>
      <c r="F21" s="3" t="s">
        <v>275</v>
      </c>
      <c r="G21" s="3" t="s">
        <v>276</v>
      </c>
      <c r="H21" s="4">
        <f>SUMIFS(Tab_01.Jan[SALDO
ATUAL],Tab_01.Jan[CONTA],$F21)</f>
        <v>0</v>
      </c>
      <c r="I21" s="4">
        <f>SUMIFS(Tab_02.Fev[SALDO
ATUAL],Tab_02.Fev[CONTA],$F21)</f>
        <v>0</v>
      </c>
      <c r="J21" s="4">
        <f>SUMIFS(Tab_03.Mar[SALDO
ATUAL],Tab_03.Mar[CONTA],$F21)</f>
        <v>0</v>
      </c>
      <c r="K21" s="4">
        <f>SUMIFS(Tab_04.Abr[SALDO
ATUAL],Tab_04.Abr[CONTA],$F21)</f>
        <v>0</v>
      </c>
      <c r="L21" s="4">
        <f>SUMIFS(Tab_05.Mai[SALDO
ATUAL],Tab_05.Mai[CONTA],$F21)</f>
        <v>0</v>
      </c>
      <c r="M21" s="4">
        <f>SUMIFS(Tab_06.Jun[SALDO
ATUAL],Tab_06.Jun[CONTA],$F21)</f>
        <v>0</v>
      </c>
      <c r="N21" s="4">
        <f>SUMIFS(Tab_07.Jul[SALDO
ATUAL],Tab_07.Jul[CONTA],$F21)</f>
        <v>0</v>
      </c>
      <c r="O21" s="4">
        <f>SUMIFS(Tab_08.Ago[SALDO
ATUAL],Tab_08.Ago[CONTA],$F21)</f>
        <v>0</v>
      </c>
      <c r="P21" s="4">
        <f>SUMIFS(Tab_09.Set[SALDO
ATUAL],Tab_09.Set[CONTA],$F21)</f>
        <v>0</v>
      </c>
      <c r="Q21" s="4">
        <f>SUMIFS(Tab_10.Out[SALDO
ATUAL],Tab_10.Out[CONTA],$F21)</f>
        <v>0</v>
      </c>
      <c r="R21" s="4">
        <f>SUMIFS(Tab_11.Nov[SALDO
ATUAL],Tab_11.Nov[CONTA],$F21)</f>
        <v>0</v>
      </c>
      <c r="S21" s="4">
        <f>SUMIFS(Tab_12.Dez[SALDO
ATUAL],Tab_12.Dez[CONTA],$F21)</f>
        <v>0</v>
      </c>
    </row>
    <row r="22" spans="2:19" x14ac:dyDescent="0.3">
      <c r="B22" s="3"/>
      <c r="C22" s="2" t="str">
        <f t="shared" si="3"/>
        <v>A</v>
      </c>
      <c r="D22" s="2" t="str">
        <f t="shared" si="4"/>
        <v>S</v>
      </c>
      <c r="E22" s="2">
        <f t="shared" si="5"/>
        <v>5</v>
      </c>
      <c r="F22" s="3" t="s">
        <v>202</v>
      </c>
      <c r="G22" s="3" t="s">
        <v>640</v>
      </c>
      <c r="H22" s="4">
        <f>SUMIFS(Tab_01.Jan[SALDO
ATUAL],Tab_01.Jan[CONTA],$F22)</f>
        <v>26915.9</v>
      </c>
      <c r="I22" s="4">
        <f>SUMIFS(Tab_02.Fev[SALDO
ATUAL],Tab_02.Fev[CONTA],$F22)</f>
        <v>52260.97</v>
      </c>
      <c r="J22" s="4">
        <f>SUMIFS(Tab_03.Mar[SALDO
ATUAL],Tab_03.Mar[CONTA],$F22)</f>
        <v>29629.4</v>
      </c>
      <c r="K22" s="4">
        <f>SUMIFS(Tab_04.Abr[SALDO
ATUAL],Tab_04.Abr[CONTA],$F22)</f>
        <v>16601.48</v>
      </c>
      <c r="L22" s="4">
        <f>SUMIFS(Tab_05.Mai[SALDO
ATUAL],Tab_05.Mai[CONTA],$F22)</f>
        <v>8425.98</v>
      </c>
      <c r="M22" s="4">
        <f>SUMIFS(Tab_06.Jun[SALDO
ATUAL],Tab_06.Jun[CONTA],$F22)</f>
        <v>22507.02</v>
      </c>
      <c r="N22" s="4">
        <f>SUMIFS(Tab_07.Jul[SALDO
ATUAL],Tab_07.Jul[CONTA],$F22)</f>
        <v>22507.02</v>
      </c>
      <c r="O22" s="4">
        <f>SUMIFS(Tab_08.Ago[SALDO
ATUAL],Tab_08.Ago[CONTA],$F22)</f>
        <v>22507.02</v>
      </c>
      <c r="P22" s="4">
        <f>SUMIFS(Tab_09.Set[SALDO
ATUAL],Tab_09.Set[CONTA],$F22)</f>
        <v>46632.77</v>
      </c>
      <c r="Q22" s="4">
        <f>SUMIFS(Tab_10.Out[SALDO
ATUAL],Tab_10.Out[CONTA],$F22)</f>
        <v>28287.49</v>
      </c>
      <c r="R22" s="4">
        <f>SUMIFS(Tab_11.Nov[SALDO
ATUAL],Tab_11.Nov[CONTA],$F22)</f>
        <v>54236.22</v>
      </c>
      <c r="S22" s="4">
        <f>SUMIFS(Tab_12.Dez[SALDO
ATUAL],Tab_12.Dez[CONTA],$F22)</f>
        <v>178386.18</v>
      </c>
    </row>
    <row r="23" spans="2:19" x14ac:dyDescent="0.3">
      <c r="B23" s="3" t="s">
        <v>38</v>
      </c>
      <c r="C23" s="2" t="str">
        <f t="shared" si="3"/>
        <v>A</v>
      </c>
      <c r="D23" s="2" t="str">
        <f t="shared" si="4"/>
        <v>A</v>
      </c>
      <c r="E23" s="2">
        <f t="shared" si="5"/>
        <v>5</v>
      </c>
      <c r="F23" s="3" t="s">
        <v>277</v>
      </c>
      <c r="G23" s="3" t="s">
        <v>278</v>
      </c>
      <c r="H23" s="4">
        <f>SUMIFS(Tab_01.Jan[SALDO
ATUAL],Tab_01.Jan[CONTA],$F23)</f>
        <v>1</v>
      </c>
      <c r="I23" s="4">
        <f>SUMIFS(Tab_02.Fev[SALDO
ATUAL],Tab_02.Fev[CONTA],$F23)</f>
        <v>17523.11</v>
      </c>
      <c r="J23" s="4">
        <f>SUMIFS(Tab_03.Mar[SALDO
ATUAL],Tab_03.Mar[CONTA],$F23)</f>
        <v>0.99</v>
      </c>
      <c r="K23" s="4">
        <f>SUMIFS(Tab_04.Abr[SALDO
ATUAL],Tab_04.Abr[CONTA],$F23)</f>
        <v>1</v>
      </c>
      <c r="L23" s="4">
        <f>SUMIFS(Tab_05.Mai[SALDO
ATUAL],Tab_05.Mai[CONTA],$F23)</f>
        <v>1</v>
      </c>
      <c r="M23" s="4">
        <f>SUMIFS(Tab_06.Jun[SALDO
ATUAL],Tab_06.Jun[CONTA],$F23)</f>
        <v>1.01</v>
      </c>
      <c r="N23" s="4">
        <f>SUMIFS(Tab_07.Jul[SALDO
ATUAL],Tab_07.Jul[CONTA],$F23)</f>
        <v>1.01</v>
      </c>
      <c r="O23" s="4">
        <f>SUMIFS(Tab_08.Ago[SALDO
ATUAL],Tab_08.Ago[CONTA],$F23)</f>
        <v>1.01</v>
      </c>
      <c r="P23" s="4">
        <f>SUMIFS(Tab_09.Set[SALDO
ATUAL],Tab_09.Set[CONTA],$F23)</f>
        <v>1.02</v>
      </c>
      <c r="Q23" s="4">
        <f>SUMIFS(Tab_10.Out[SALDO
ATUAL],Tab_10.Out[CONTA],$F23)</f>
        <v>1.02</v>
      </c>
      <c r="R23" s="4">
        <f>SUMIFS(Tab_11.Nov[SALDO
ATUAL],Tab_11.Nov[CONTA],$F23)</f>
        <v>1.02</v>
      </c>
      <c r="S23" s="4">
        <f>SUMIFS(Tab_12.Dez[SALDO
ATUAL],Tab_12.Dez[CONTA],$F23)</f>
        <v>163718.88</v>
      </c>
    </row>
    <row r="24" spans="2:19" x14ac:dyDescent="0.3">
      <c r="B24" s="3" t="s">
        <v>38</v>
      </c>
      <c r="C24" s="2" t="str">
        <f t="shared" si="3"/>
        <v>A</v>
      </c>
      <c r="D24" s="2" t="str">
        <f t="shared" si="4"/>
        <v>A</v>
      </c>
      <c r="E24" s="2">
        <f t="shared" si="5"/>
        <v>5</v>
      </c>
      <c r="F24" s="3" t="s">
        <v>177</v>
      </c>
      <c r="G24" s="3" t="s">
        <v>279</v>
      </c>
      <c r="H24" s="4">
        <f>SUMIFS(Tab_01.Jan[SALDO
ATUAL],Tab_01.Jan[CONTA],$F24)</f>
        <v>17189.240000000002</v>
      </c>
      <c r="I24" s="4">
        <f>SUMIFS(Tab_02.Fev[SALDO
ATUAL],Tab_02.Fev[CONTA],$F24)</f>
        <v>25420.1</v>
      </c>
      <c r="J24" s="4">
        <f>SUMIFS(Tab_03.Mar[SALDO
ATUAL],Tab_03.Mar[CONTA],$F24)</f>
        <v>20718.55</v>
      </c>
      <c r="K24" s="4">
        <f>SUMIFS(Tab_04.Abr[SALDO
ATUAL],Tab_04.Abr[CONTA],$F24)</f>
        <v>8590.7000000000007</v>
      </c>
      <c r="L24" s="4">
        <f>SUMIFS(Tab_05.Mai[SALDO
ATUAL],Tab_05.Mai[CONTA],$F24)</f>
        <v>681.2</v>
      </c>
      <c r="M24" s="4">
        <f>SUMIFS(Tab_06.Jun[SALDO
ATUAL],Tab_06.Jun[CONTA],$F24)</f>
        <v>18084.73</v>
      </c>
      <c r="N24" s="4">
        <f>SUMIFS(Tab_07.Jul[SALDO
ATUAL],Tab_07.Jul[CONTA],$F24)</f>
        <v>18084.73</v>
      </c>
      <c r="O24" s="4">
        <f>SUMIFS(Tab_08.Ago[SALDO
ATUAL],Tab_08.Ago[CONTA],$F24)</f>
        <v>18084.73</v>
      </c>
      <c r="P24" s="4">
        <f>SUMIFS(Tab_09.Set[SALDO
ATUAL],Tab_09.Set[CONTA],$F24)</f>
        <v>37452.89</v>
      </c>
      <c r="Q24" s="4">
        <f>SUMIFS(Tab_10.Out[SALDO
ATUAL],Tab_10.Out[CONTA],$F24)</f>
        <v>17101.68</v>
      </c>
      <c r="R24" s="4">
        <f>SUMIFS(Tab_11.Nov[SALDO
ATUAL],Tab_11.Nov[CONTA],$F24)</f>
        <v>41613.589999999997</v>
      </c>
      <c r="S24" s="4">
        <f>SUMIFS(Tab_12.Dez[SALDO
ATUAL],Tab_12.Dez[CONTA],$F24)</f>
        <v>2746.84</v>
      </c>
    </row>
    <row r="25" spans="2:19" x14ac:dyDescent="0.3">
      <c r="B25" s="3" t="s">
        <v>38</v>
      </c>
      <c r="C25" s="2" t="str">
        <f t="shared" si="3"/>
        <v>A</v>
      </c>
      <c r="D25" s="2" t="str">
        <f t="shared" si="4"/>
        <v>A</v>
      </c>
      <c r="E25" s="2">
        <f t="shared" si="5"/>
        <v>5</v>
      </c>
      <c r="F25" s="3" t="s">
        <v>280</v>
      </c>
      <c r="G25" s="3" t="s">
        <v>281</v>
      </c>
      <c r="H25" s="4">
        <f>SUMIFS(Tab_01.Jan[SALDO
ATUAL],Tab_01.Jan[CONTA],$F25)</f>
        <v>4246.91</v>
      </c>
      <c r="I25" s="4">
        <f>SUMIFS(Tab_02.Fev[SALDO
ATUAL],Tab_02.Fev[CONTA],$F25)</f>
        <v>4246.91</v>
      </c>
      <c r="J25" s="4">
        <f>SUMIFS(Tab_03.Mar[SALDO
ATUAL],Tab_03.Mar[CONTA],$F25)</f>
        <v>4246.91</v>
      </c>
      <c r="K25" s="4">
        <f>SUMIFS(Tab_04.Abr[SALDO
ATUAL],Tab_04.Abr[CONTA],$F25)</f>
        <v>8009.78</v>
      </c>
      <c r="L25" s="4">
        <f>SUMIFS(Tab_05.Mai[SALDO
ATUAL],Tab_05.Mai[CONTA],$F25)</f>
        <v>7743.78</v>
      </c>
      <c r="M25" s="4">
        <f>SUMIFS(Tab_06.Jun[SALDO
ATUAL],Tab_06.Jun[CONTA],$F25)</f>
        <v>4421.28</v>
      </c>
      <c r="N25" s="4">
        <f>SUMIFS(Tab_07.Jul[SALDO
ATUAL],Tab_07.Jul[CONTA],$F25)</f>
        <v>4421.28</v>
      </c>
      <c r="O25" s="4">
        <f>SUMIFS(Tab_08.Ago[SALDO
ATUAL],Tab_08.Ago[CONTA],$F25)</f>
        <v>4421.28</v>
      </c>
      <c r="P25" s="4">
        <f>SUMIFS(Tab_09.Set[SALDO
ATUAL],Tab_09.Set[CONTA],$F25)</f>
        <v>9178.86</v>
      </c>
      <c r="Q25" s="4">
        <f>SUMIFS(Tab_10.Out[SALDO
ATUAL],Tab_10.Out[CONTA],$F25)</f>
        <v>11184.79</v>
      </c>
      <c r="R25" s="4">
        <f>SUMIFS(Tab_11.Nov[SALDO
ATUAL],Tab_11.Nov[CONTA],$F25)</f>
        <v>12621.61</v>
      </c>
      <c r="S25" s="4">
        <f>SUMIFS(Tab_12.Dez[SALDO
ATUAL],Tab_12.Dez[CONTA],$F25)</f>
        <v>11920.46</v>
      </c>
    </row>
    <row r="26" spans="2:19" x14ac:dyDescent="0.3">
      <c r="B26" s="3" t="s">
        <v>38</v>
      </c>
      <c r="C26" s="2" t="str">
        <f t="shared" si="3"/>
        <v>A</v>
      </c>
      <c r="D26" s="2" t="str">
        <f t="shared" si="4"/>
        <v>A</v>
      </c>
      <c r="E26" s="2">
        <f t="shared" si="5"/>
        <v>5</v>
      </c>
      <c r="F26" s="3" t="s">
        <v>282</v>
      </c>
      <c r="G26" s="3" t="s">
        <v>283</v>
      </c>
      <c r="H26" s="4">
        <f>SUMIFS(Tab_01.Jan[SALDO
ATUAL],Tab_01.Jan[CONTA],$F26)</f>
        <v>5478.75</v>
      </c>
      <c r="I26" s="4">
        <f>SUMIFS(Tab_02.Fev[SALDO
ATUAL],Tab_02.Fev[CONTA],$F26)</f>
        <v>5070.8500000000004</v>
      </c>
      <c r="J26" s="4">
        <f>SUMIFS(Tab_03.Mar[SALDO
ATUAL],Tab_03.Mar[CONTA],$F26)</f>
        <v>4662.95</v>
      </c>
      <c r="K26" s="4">
        <f>SUMIFS(Tab_04.Abr[SALDO
ATUAL],Tab_04.Abr[CONTA],$F26)</f>
        <v>0</v>
      </c>
      <c r="L26" s="4">
        <f>SUMIFS(Tab_05.Mai[SALDO
ATUAL],Tab_05.Mai[CONTA],$F26)</f>
        <v>0</v>
      </c>
      <c r="M26" s="4">
        <f>SUMIFS(Tab_06.Jun[SALDO
ATUAL],Tab_06.Jun[CONTA],$F26)</f>
        <v>0</v>
      </c>
      <c r="N26" s="4">
        <f>SUMIFS(Tab_07.Jul[SALDO
ATUAL],Tab_07.Jul[CONTA],$F26)</f>
        <v>0</v>
      </c>
      <c r="O26" s="4">
        <f>SUMIFS(Tab_08.Ago[SALDO
ATUAL],Tab_08.Ago[CONTA],$F26)</f>
        <v>0</v>
      </c>
      <c r="P26" s="4">
        <f>SUMIFS(Tab_09.Set[SALDO
ATUAL],Tab_09.Set[CONTA],$F26)</f>
        <v>0</v>
      </c>
      <c r="Q26" s="4">
        <f>SUMIFS(Tab_10.Out[SALDO
ATUAL],Tab_10.Out[CONTA],$F26)</f>
        <v>0</v>
      </c>
      <c r="R26" s="4">
        <f>SUMIFS(Tab_11.Nov[SALDO
ATUAL],Tab_11.Nov[CONTA],$F26)</f>
        <v>0</v>
      </c>
      <c r="S26" s="4">
        <f>SUMIFS(Tab_12.Dez[SALDO
ATUAL],Tab_12.Dez[CONTA],$F26)</f>
        <v>0</v>
      </c>
    </row>
    <row r="27" spans="2:19" x14ac:dyDescent="0.3">
      <c r="B27" s="3"/>
      <c r="C27" s="2" t="str">
        <f t="shared" si="3"/>
        <v>A</v>
      </c>
      <c r="D27" s="2" t="str">
        <f t="shared" si="4"/>
        <v>S</v>
      </c>
      <c r="E27" s="2">
        <f t="shared" si="5"/>
        <v>5</v>
      </c>
      <c r="F27" s="3" t="s">
        <v>203</v>
      </c>
      <c r="G27" s="3" t="s">
        <v>641</v>
      </c>
      <c r="H27" s="4">
        <f>SUMIFS(Tab_01.Jan[SALDO
ATUAL],Tab_01.Jan[CONTA],$F27)</f>
        <v>10834658.6</v>
      </c>
      <c r="I27" s="4">
        <f>SUMIFS(Tab_02.Fev[SALDO
ATUAL],Tab_02.Fev[CONTA],$F27)</f>
        <v>10042996.82</v>
      </c>
      <c r="J27" s="4">
        <f>SUMIFS(Tab_03.Mar[SALDO
ATUAL],Tab_03.Mar[CONTA],$F27)</f>
        <v>9904475.8300000001</v>
      </c>
      <c r="K27" s="4">
        <f>SUMIFS(Tab_04.Abr[SALDO
ATUAL],Tab_04.Abr[CONTA],$F27)</f>
        <v>10276096.369999999</v>
      </c>
      <c r="L27" s="4">
        <f>SUMIFS(Tab_05.Mai[SALDO
ATUAL],Tab_05.Mai[CONTA],$F27)</f>
        <v>10364035.359999999</v>
      </c>
      <c r="M27" s="4">
        <f>SUMIFS(Tab_06.Jun[SALDO
ATUAL],Tab_06.Jun[CONTA],$F27)</f>
        <v>10684976.390000001</v>
      </c>
      <c r="N27" s="4">
        <f>SUMIFS(Tab_07.Jul[SALDO
ATUAL],Tab_07.Jul[CONTA],$F27)</f>
        <v>10684976.390000001</v>
      </c>
      <c r="O27" s="4">
        <f>SUMIFS(Tab_08.Ago[SALDO
ATUAL],Tab_08.Ago[CONTA],$F27)</f>
        <v>10684976.390000001</v>
      </c>
      <c r="P27" s="4">
        <f>SUMIFS(Tab_09.Set[SALDO
ATUAL],Tab_09.Set[CONTA],$F27)</f>
        <v>10784798.77</v>
      </c>
      <c r="Q27" s="4">
        <f>SUMIFS(Tab_10.Out[SALDO
ATUAL],Tab_10.Out[CONTA],$F27)</f>
        <v>10912749.26</v>
      </c>
      <c r="R27" s="4">
        <f>SUMIFS(Tab_11.Nov[SALDO
ATUAL],Tab_11.Nov[CONTA],$F27)</f>
        <v>10885256.710000001</v>
      </c>
      <c r="S27" s="4">
        <f>SUMIFS(Tab_12.Dez[SALDO
ATUAL],Tab_12.Dez[CONTA],$F27)</f>
        <v>10969820.439999999</v>
      </c>
    </row>
    <row r="28" spans="2:19" x14ac:dyDescent="0.3">
      <c r="B28" s="3" t="s">
        <v>39</v>
      </c>
      <c r="C28" s="2" t="str">
        <f t="shared" si="3"/>
        <v>A</v>
      </c>
      <c r="D28" s="2" t="str">
        <f t="shared" si="4"/>
        <v>A</v>
      </c>
      <c r="E28" s="2">
        <f t="shared" si="5"/>
        <v>5</v>
      </c>
      <c r="F28" s="3" t="s">
        <v>178</v>
      </c>
      <c r="G28" s="3" t="s">
        <v>284</v>
      </c>
      <c r="H28" s="4">
        <f>SUMIFS(Tab_01.Jan[SALDO
ATUAL],Tab_01.Jan[CONTA],$F28)</f>
        <v>5399871.7999999998</v>
      </c>
      <c r="I28" s="4">
        <f>SUMIFS(Tab_02.Fev[SALDO
ATUAL],Tab_02.Fev[CONTA],$F28)</f>
        <v>4608210.0199999996</v>
      </c>
      <c r="J28" s="4">
        <f>SUMIFS(Tab_03.Mar[SALDO
ATUAL],Tab_03.Mar[CONTA],$F28)</f>
        <v>4381434.88</v>
      </c>
      <c r="K28" s="4">
        <f>SUMIFS(Tab_04.Abr[SALDO
ATUAL],Tab_04.Abr[CONTA],$F28)</f>
        <v>4704925.87</v>
      </c>
      <c r="L28" s="4">
        <f>SUMIFS(Tab_05.Mai[SALDO
ATUAL],Tab_05.Mai[CONTA],$F28)</f>
        <v>4747498.4400000004</v>
      </c>
      <c r="M28" s="4">
        <f>SUMIFS(Tab_06.Jun[SALDO
ATUAL],Tab_06.Jun[CONTA],$F28)</f>
        <v>4933795.4400000004</v>
      </c>
      <c r="N28" s="4">
        <f>SUMIFS(Tab_07.Jul[SALDO
ATUAL],Tab_07.Jul[CONTA],$F28)</f>
        <v>4933795.4400000004</v>
      </c>
      <c r="O28" s="4">
        <f>SUMIFS(Tab_08.Ago[SALDO
ATUAL],Tab_08.Ago[CONTA],$F28)</f>
        <v>4933795.4400000004</v>
      </c>
      <c r="P28" s="4">
        <f>SUMIFS(Tab_09.Set[SALDO
ATUAL],Tab_09.Set[CONTA],$F28)</f>
        <v>4936496.26</v>
      </c>
      <c r="Q28" s="4">
        <f>SUMIFS(Tab_10.Out[SALDO
ATUAL],Tab_10.Out[CONTA],$F28)</f>
        <v>5010937.84</v>
      </c>
      <c r="R28" s="4">
        <f>SUMIFS(Tab_11.Nov[SALDO
ATUAL],Tab_11.Nov[CONTA],$F28)</f>
        <v>5001987.17</v>
      </c>
      <c r="S28" s="4">
        <f>SUMIFS(Tab_12.Dez[SALDO
ATUAL],Tab_12.Dez[CONTA],$F28)</f>
        <v>5042964.2300000004</v>
      </c>
    </row>
    <row r="29" spans="2:19" x14ac:dyDescent="0.3">
      <c r="B29" s="3" t="s">
        <v>39</v>
      </c>
      <c r="C29" s="2" t="str">
        <f t="shared" si="3"/>
        <v>A</v>
      </c>
      <c r="D29" s="2" t="str">
        <f t="shared" si="4"/>
        <v>A</v>
      </c>
      <c r="E29" s="2">
        <f t="shared" si="5"/>
        <v>5</v>
      </c>
      <c r="F29" s="3" t="s">
        <v>285</v>
      </c>
      <c r="G29" s="3" t="s">
        <v>286</v>
      </c>
      <c r="H29" s="4">
        <f>SUMIFS(Tab_01.Jan[SALDO
ATUAL],Tab_01.Jan[CONTA],$F29)</f>
        <v>0</v>
      </c>
      <c r="I29" s="4">
        <f>SUMIFS(Tab_02.Fev[SALDO
ATUAL],Tab_02.Fev[CONTA],$F29)</f>
        <v>0</v>
      </c>
      <c r="J29" s="4">
        <f>SUMIFS(Tab_03.Mar[SALDO
ATUAL],Tab_03.Mar[CONTA],$F29)</f>
        <v>0</v>
      </c>
      <c r="K29" s="4">
        <f>SUMIFS(Tab_04.Abr[SALDO
ATUAL],Tab_04.Abr[CONTA],$F29)</f>
        <v>0</v>
      </c>
      <c r="L29" s="4">
        <f>SUMIFS(Tab_05.Mai[SALDO
ATUAL],Tab_05.Mai[CONTA],$F29)</f>
        <v>0</v>
      </c>
      <c r="M29" s="4">
        <f>SUMIFS(Tab_06.Jun[SALDO
ATUAL],Tab_06.Jun[CONTA],$F29)</f>
        <v>0</v>
      </c>
      <c r="N29" s="4">
        <f>SUMIFS(Tab_07.Jul[SALDO
ATUAL],Tab_07.Jul[CONTA],$F29)</f>
        <v>0</v>
      </c>
      <c r="O29" s="4">
        <f>SUMIFS(Tab_08.Ago[SALDO
ATUAL],Tab_08.Ago[CONTA],$F29)</f>
        <v>0</v>
      </c>
      <c r="P29" s="4">
        <f>SUMIFS(Tab_09.Set[SALDO
ATUAL],Tab_09.Set[CONTA],$F29)</f>
        <v>0</v>
      </c>
      <c r="Q29" s="4">
        <f>SUMIFS(Tab_10.Out[SALDO
ATUAL],Tab_10.Out[CONTA],$F29)</f>
        <v>0</v>
      </c>
      <c r="R29" s="4">
        <f>SUMIFS(Tab_11.Nov[SALDO
ATUAL],Tab_11.Nov[CONTA],$F29)</f>
        <v>0</v>
      </c>
      <c r="S29" s="4">
        <f>SUMIFS(Tab_12.Dez[SALDO
ATUAL],Tab_12.Dez[CONTA],$F29)</f>
        <v>0</v>
      </c>
    </row>
    <row r="30" spans="2:19" x14ac:dyDescent="0.3">
      <c r="B30" s="3" t="s">
        <v>39</v>
      </c>
      <c r="C30" s="2" t="str">
        <f t="shared" si="3"/>
        <v>A</v>
      </c>
      <c r="D30" s="2" t="str">
        <f>IF($F30="","",IF(LEN($F30)=13,"A","S"))</f>
        <v>A</v>
      </c>
      <c r="E30" s="2">
        <f>IF($F30="","",IF(LEN($F30)=1,1,IF(LEN($F30)=3,2,IF(LEN($F30)=5,3,IF(LEN($F30)=8,4,5)))))</f>
        <v>5</v>
      </c>
      <c r="F30" s="3" t="s">
        <v>287</v>
      </c>
      <c r="G30" s="3" t="s">
        <v>288</v>
      </c>
      <c r="H30" s="4">
        <f>SUMIFS(Tab_01.Jan[SALDO
ATUAL],Tab_01.Jan[CONTA],$F30)</f>
        <v>5434786.7999999998</v>
      </c>
      <c r="I30" s="4">
        <f>SUMIFS(Tab_02.Fev[SALDO
ATUAL],Tab_02.Fev[CONTA],$F30)</f>
        <v>5434786.7999999998</v>
      </c>
      <c r="J30" s="4">
        <f>SUMIFS(Tab_03.Mar[SALDO
ATUAL],Tab_03.Mar[CONTA],$F30)</f>
        <v>5523040.9500000002</v>
      </c>
      <c r="K30" s="4">
        <f>SUMIFS(Tab_04.Abr[SALDO
ATUAL],Tab_04.Abr[CONTA],$F30)</f>
        <v>5571170.5</v>
      </c>
      <c r="L30" s="4">
        <f>SUMIFS(Tab_05.Mai[SALDO
ATUAL],Tab_05.Mai[CONTA],$F30)</f>
        <v>5616536.9199999999</v>
      </c>
      <c r="M30" s="4">
        <f>SUMIFS(Tab_06.Jun[SALDO
ATUAL],Tab_06.Jun[CONTA],$F30)</f>
        <v>5751180.9500000002</v>
      </c>
      <c r="N30" s="4">
        <f>SUMIFS(Tab_07.Jul[SALDO
ATUAL],Tab_07.Jul[CONTA],$F30)</f>
        <v>5751180.9500000002</v>
      </c>
      <c r="O30" s="4">
        <f>SUMIFS(Tab_08.Ago[SALDO
ATUAL],Tab_08.Ago[CONTA],$F30)</f>
        <v>5751180.9500000002</v>
      </c>
      <c r="P30" s="4">
        <f>SUMIFS(Tab_09.Set[SALDO
ATUAL],Tab_09.Set[CONTA],$F30)</f>
        <v>5848302.5099999998</v>
      </c>
      <c r="Q30" s="4">
        <f>SUMIFS(Tab_10.Out[SALDO
ATUAL],Tab_10.Out[CONTA],$F30)</f>
        <v>5901811.4199999999</v>
      </c>
      <c r="R30" s="4">
        <f>SUMIFS(Tab_11.Nov[SALDO
ATUAL],Tab_11.Nov[CONTA],$F30)</f>
        <v>5883269.54</v>
      </c>
      <c r="S30" s="4">
        <f>SUMIFS(Tab_12.Dez[SALDO
ATUAL],Tab_12.Dez[CONTA],$F30)</f>
        <v>5588853.7599999998</v>
      </c>
    </row>
    <row r="31" spans="2:19" x14ac:dyDescent="0.3">
      <c r="B31" s="3" t="s">
        <v>39</v>
      </c>
      <c r="C31" s="2" t="str">
        <f t="shared" si="3"/>
        <v>A</v>
      </c>
      <c r="D31" s="2" t="str">
        <f>IF($F31="","",IF(LEN($F31)=13,"A","S"))</f>
        <v>A</v>
      </c>
      <c r="E31" s="2">
        <f>IF($F31="","",IF(LEN($F31)=1,1,IF(LEN($F31)=3,2,IF(LEN($F31)=5,3,IF(LEN($F31)=8,4,5)))))</f>
        <v>5</v>
      </c>
      <c r="F31" s="3" t="s">
        <v>289</v>
      </c>
      <c r="G31" s="3" t="s">
        <v>290</v>
      </c>
      <c r="H31" s="4">
        <f>SUMIFS(Tab_01.Jan[SALDO
ATUAL],Tab_01.Jan[CONTA],$F31)</f>
        <v>0</v>
      </c>
      <c r="I31" s="4">
        <f>SUMIFS(Tab_02.Fev[SALDO
ATUAL],Tab_02.Fev[CONTA],$F31)</f>
        <v>0</v>
      </c>
      <c r="J31" s="4">
        <f>SUMIFS(Tab_03.Mar[SALDO
ATUAL],Tab_03.Mar[CONTA],$F31)</f>
        <v>0</v>
      </c>
      <c r="K31" s="4">
        <f>SUMIFS(Tab_04.Abr[SALDO
ATUAL],Tab_04.Abr[CONTA],$F31)</f>
        <v>0</v>
      </c>
      <c r="L31" s="4">
        <f>SUMIFS(Tab_05.Mai[SALDO
ATUAL],Tab_05.Mai[CONTA],$F31)</f>
        <v>0</v>
      </c>
      <c r="M31" s="4">
        <f>SUMIFS(Tab_06.Jun[SALDO
ATUAL],Tab_06.Jun[CONTA],$F31)</f>
        <v>0</v>
      </c>
      <c r="N31" s="4">
        <f>SUMIFS(Tab_07.Jul[SALDO
ATUAL],Tab_07.Jul[CONTA],$F31)</f>
        <v>0</v>
      </c>
      <c r="O31" s="4">
        <f>SUMIFS(Tab_08.Ago[SALDO
ATUAL],Tab_08.Ago[CONTA],$F31)</f>
        <v>0</v>
      </c>
      <c r="P31" s="4">
        <f>SUMIFS(Tab_09.Set[SALDO
ATUAL],Tab_09.Set[CONTA],$F31)</f>
        <v>0</v>
      </c>
      <c r="Q31" s="4">
        <f>SUMIFS(Tab_10.Out[SALDO
ATUAL],Tab_10.Out[CONTA],$F31)</f>
        <v>0</v>
      </c>
      <c r="R31" s="4">
        <f>SUMIFS(Tab_11.Nov[SALDO
ATUAL],Tab_11.Nov[CONTA],$F31)</f>
        <v>0</v>
      </c>
      <c r="S31" s="4">
        <f>SUMIFS(Tab_12.Dez[SALDO
ATUAL],Tab_12.Dez[CONTA],$F31)</f>
        <v>0</v>
      </c>
    </row>
    <row r="32" spans="2:19" x14ac:dyDescent="0.3">
      <c r="B32" s="3" t="s">
        <v>39</v>
      </c>
      <c r="C32" s="2" t="str">
        <f>IF($F32="","",IF(LEFT($F32,1)*1=1,"A",IF(LEFT($F32,1)*1=2,"P",IF(LEFT($F32,1)*1=3,"R",IF(LEFT($F32,1)*1=4,"C",IF(LEFT($F32,1)*1=5,"C",""))))))</f>
        <v>A</v>
      </c>
      <c r="D32" s="2" t="str">
        <f>IF($F32="","",IF(LEN($F32)=13,"A","S"))</f>
        <v>A</v>
      </c>
      <c r="E32" s="2">
        <f>IF($F32="","",IF(LEN($F32)=1,1,IF(LEN($F32)=3,2,IF(LEN($F32)=5,3,IF(LEN($F32)=8,4,5)))))</f>
        <v>5</v>
      </c>
      <c r="F32" s="186" t="s">
        <v>814</v>
      </c>
      <c r="G32" s="186" t="s">
        <v>815</v>
      </c>
      <c r="H32" s="4">
        <f>SUMIFS(Tab_01.Jan[SALDO
ATUAL],Tab_01.Jan[CONTA],$F32)</f>
        <v>0</v>
      </c>
      <c r="I32" s="4">
        <f>SUMIFS(Tab_02.Fev[SALDO
ATUAL],Tab_02.Fev[CONTA],$F32)</f>
        <v>0</v>
      </c>
      <c r="J32" s="4">
        <f>SUMIFS(Tab_03.Mar[SALDO
ATUAL],Tab_03.Mar[CONTA],$F32)</f>
        <v>0</v>
      </c>
      <c r="K32" s="4">
        <f>SUMIFS(Tab_04.Abr[SALDO
ATUAL],Tab_04.Abr[CONTA],$F32)</f>
        <v>0</v>
      </c>
      <c r="L32" s="4">
        <f>SUMIFS(Tab_05.Mai[SALDO
ATUAL],Tab_05.Mai[CONTA],$F32)</f>
        <v>0</v>
      </c>
      <c r="M32" s="4">
        <f>SUMIFS(Tab_06.Jun[SALDO
ATUAL],Tab_06.Jun[CONTA],$F32)</f>
        <v>0</v>
      </c>
      <c r="N32" s="4">
        <f>SUMIFS(Tab_07.Jul[SALDO
ATUAL],Tab_07.Jul[CONTA],$F32)</f>
        <v>0</v>
      </c>
      <c r="O32" s="4">
        <f>SUMIFS(Tab_08.Ago[SALDO
ATUAL],Tab_08.Ago[CONTA],$F32)</f>
        <v>0</v>
      </c>
      <c r="P32" s="4">
        <f>SUMIFS(Tab_09.Set[SALDO
ATUAL],Tab_09.Set[CONTA],$F32)</f>
        <v>0</v>
      </c>
      <c r="Q32" s="4">
        <f>SUMIFS(Tab_10.Out[SALDO
ATUAL],Tab_10.Out[CONTA],$F32)</f>
        <v>0</v>
      </c>
      <c r="R32" s="4">
        <f>SUMIFS(Tab_11.Nov[SALDO
ATUAL],Tab_11.Nov[CONTA],$F32)</f>
        <v>0</v>
      </c>
      <c r="S32" s="4">
        <f>SUMIFS(Tab_12.Dez[SALDO
ATUAL],Tab_12.Dez[CONTA],$F32)</f>
        <v>338002.45</v>
      </c>
    </row>
    <row r="33" spans="2:19" x14ac:dyDescent="0.3">
      <c r="B33" s="3"/>
      <c r="C33" s="2" t="str">
        <f t="shared" si="3"/>
        <v>A</v>
      </c>
      <c r="D33" s="2" t="str">
        <f t="shared" si="4"/>
        <v>S</v>
      </c>
      <c r="E33" s="2">
        <f t="shared" si="5"/>
        <v>5</v>
      </c>
      <c r="F33" s="3" t="s">
        <v>204</v>
      </c>
      <c r="G33" s="3" t="s">
        <v>642</v>
      </c>
      <c r="H33" s="4">
        <f>SUMIFS(Tab_01.Jan[SALDO
ATUAL],Tab_01.Jan[CONTA],$F33)</f>
        <v>99274.97</v>
      </c>
      <c r="I33" s="4">
        <f>SUMIFS(Tab_02.Fev[SALDO
ATUAL],Tab_02.Fev[CONTA],$F33)</f>
        <v>99274.97</v>
      </c>
      <c r="J33" s="4">
        <f>SUMIFS(Tab_03.Mar[SALDO
ATUAL],Tab_03.Mar[CONTA],$F33)</f>
        <v>99274.97</v>
      </c>
      <c r="K33" s="4">
        <f>SUMIFS(Tab_04.Abr[SALDO
ATUAL],Tab_04.Abr[CONTA],$F33)</f>
        <v>99274.97</v>
      </c>
      <c r="L33" s="4">
        <f>SUMIFS(Tab_05.Mai[SALDO
ATUAL],Tab_05.Mai[CONTA],$F33)</f>
        <v>99274.97</v>
      </c>
      <c r="M33" s="4">
        <f>SUMIFS(Tab_06.Jun[SALDO
ATUAL],Tab_06.Jun[CONTA],$F33)</f>
        <v>99274.97</v>
      </c>
      <c r="N33" s="4">
        <f>SUMIFS(Tab_07.Jul[SALDO
ATUAL],Tab_07.Jul[CONTA],$F33)</f>
        <v>99274.97</v>
      </c>
      <c r="O33" s="4">
        <f>SUMIFS(Tab_08.Ago[SALDO
ATUAL],Tab_08.Ago[CONTA],$F33)</f>
        <v>99274.97</v>
      </c>
      <c r="P33" s="4">
        <f>SUMIFS(Tab_09.Set[SALDO
ATUAL],Tab_09.Set[CONTA],$F33)</f>
        <v>99274.97</v>
      </c>
      <c r="Q33" s="4">
        <f>SUMIFS(Tab_10.Out[SALDO
ATUAL],Tab_10.Out[CONTA],$F33)</f>
        <v>99324.97</v>
      </c>
      <c r="R33" s="4">
        <f>SUMIFS(Tab_11.Nov[SALDO
ATUAL],Tab_11.Nov[CONTA],$F33)</f>
        <v>104030.92</v>
      </c>
      <c r="S33" s="4">
        <f>SUMIFS(Tab_12.Dez[SALDO
ATUAL],Tab_12.Dez[CONTA],$F33)</f>
        <v>4705.95</v>
      </c>
    </row>
    <row r="34" spans="2:19" x14ac:dyDescent="0.3">
      <c r="B34" s="3"/>
      <c r="C34" s="2" t="str">
        <f t="shared" si="3"/>
        <v>A</v>
      </c>
      <c r="D34" s="2" t="str">
        <f t="shared" si="4"/>
        <v>S</v>
      </c>
      <c r="E34" s="2">
        <f t="shared" si="5"/>
        <v>5</v>
      </c>
      <c r="F34" s="3" t="s">
        <v>205</v>
      </c>
      <c r="G34" s="3" t="s">
        <v>643</v>
      </c>
      <c r="H34" s="4">
        <f>SUMIFS(Tab_01.Jan[SALDO
ATUAL],Tab_01.Jan[CONTA],$F34)</f>
        <v>99274.97</v>
      </c>
      <c r="I34" s="4">
        <f>SUMIFS(Tab_02.Fev[SALDO
ATUAL],Tab_02.Fev[CONTA],$F34)</f>
        <v>99274.97</v>
      </c>
      <c r="J34" s="4">
        <f>SUMIFS(Tab_03.Mar[SALDO
ATUAL],Tab_03.Mar[CONTA],$F34)</f>
        <v>99274.97</v>
      </c>
      <c r="K34" s="4">
        <f>SUMIFS(Tab_04.Abr[SALDO
ATUAL],Tab_04.Abr[CONTA],$F34)</f>
        <v>99274.97</v>
      </c>
      <c r="L34" s="4">
        <f>SUMIFS(Tab_05.Mai[SALDO
ATUAL],Tab_05.Mai[CONTA],$F34)</f>
        <v>99274.97</v>
      </c>
      <c r="M34" s="4">
        <f>SUMIFS(Tab_06.Jun[SALDO
ATUAL],Tab_06.Jun[CONTA],$F34)</f>
        <v>99274.97</v>
      </c>
      <c r="N34" s="4">
        <f>SUMIFS(Tab_07.Jul[SALDO
ATUAL],Tab_07.Jul[CONTA],$F34)</f>
        <v>99274.97</v>
      </c>
      <c r="O34" s="4">
        <f>SUMIFS(Tab_08.Ago[SALDO
ATUAL],Tab_08.Ago[CONTA],$F34)</f>
        <v>99274.97</v>
      </c>
      <c r="P34" s="4">
        <f>SUMIFS(Tab_09.Set[SALDO
ATUAL],Tab_09.Set[CONTA],$F34)</f>
        <v>99274.97</v>
      </c>
      <c r="Q34" s="4">
        <f>SUMIFS(Tab_10.Out[SALDO
ATUAL],Tab_10.Out[CONTA],$F34)</f>
        <v>99324.97</v>
      </c>
      <c r="R34" s="4">
        <f>SUMIFS(Tab_11.Nov[SALDO
ATUAL],Tab_11.Nov[CONTA],$F34)</f>
        <v>99324.97</v>
      </c>
      <c r="S34" s="4">
        <f>SUMIFS(Tab_12.Dez[SALDO
ATUAL],Tab_12.Dez[CONTA],$F34)</f>
        <v>0</v>
      </c>
    </row>
    <row r="35" spans="2:19" x14ac:dyDescent="0.3">
      <c r="B35" s="3" t="s">
        <v>40</v>
      </c>
      <c r="C35" s="2" t="str">
        <f t="shared" si="3"/>
        <v>A</v>
      </c>
      <c r="D35" s="2" t="str">
        <f t="shared" si="4"/>
        <v>A</v>
      </c>
      <c r="E35" s="2">
        <f t="shared" si="5"/>
        <v>5</v>
      </c>
      <c r="F35" s="3" t="s">
        <v>291</v>
      </c>
      <c r="G35" s="3" t="s">
        <v>292</v>
      </c>
      <c r="H35" s="4">
        <f>SUMIFS(Tab_01.Jan[SALDO
ATUAL],Tab_01.Jan[CONTA],$F35)</f>
        <v>99274.97</v>
      </c>
      <c r="I35" s="4">
        <f>SUMIFS(Tab_02.Fev[SALDO
ATUAL],Tab_02.Fev[CONTA],$F35)</f>
        <v>99274.97</v>
      </c>
      <c r="J35" s="4">
        <f>SUMIFS(Tab_03.Mar[SALDO
ATUAL],Tab_03.Mar[CONTA],$F35)</f>
        <v>99274.97</v>
      </c>
      <c r="K35" s="4">
        <f>SUMIFS(Tab_04.Abr[SALDO
ATUAL],Tab_04.Abr[CONTA],$F35)</f>
        <v>99274.97</v>
      </c>
      <c r="L35" s="4">
        <f>SUMIFS(Tab_05.Mai[SALDO
ATUAL],Tab_05.Mai[CONTA],$F35)</f>
        <v>99274.97</v>
      </c>
      <c r="M35" s="4">
        <f>SUMIFS(Tab_06.Jun[SALDO
ATUAL],Tab_06.Jun[CONTA],$F35)</f>
        <v>99274.97</v>
      </c>
      <c r="N35" s="4">
        <f>SUMIFS(Tab_07.Jul[SALDO
ATUAL],Tab_07.Jul[CONTA],$F35)</f>
        <v>99274.97</v>
      </c>
      <c r="O35" s="4">
        <f>SUMIFS(Tab_08.Ago[SALDO
ATUAL],Tab_08.Ago[CONTA],$F35)</f>
        <v>99274.97</v>
      </c>
      <c r="P35" s="4">
        <f>SUMIFS(Tab_09.Set[SALDO
ATUAL],Tab_09.Set[CONTA],$F35)</f>
        <v>99274.97</v>
      </c>
      <c r="Q35" s="4">
        <f>SUMIFS(Tab_10.Out[SALDO
ATUAL],Tab_10.Out[CONTA],$F35)</f>
        <v>99324.97</v>
      </c>
      <c r="R35" s="4">
        <f>SUMIFS(Tab_11.Nov[SALDO
ATUAL],Tab_11.Nov[CONTA],$F35)</f>
        <v>99324.97</v>
      </c>
      <c r="S35" s="4">
        <f>SUMIFS(Tab_12.Dez[SALDO
ATUAL],Tab_12.Dez[CONTA],$F35)</f>
        <v>0</v>
      </c>
    </row>
    <row r="36" spans="2:19" x14ac:dyDescent="0.3">
      <c r="B36" s="3"/>
      <c r="C36" s="2" t="str">
        <f>IF($F36="","",IF(LEFT($F36,1)*1=1,"A",IF(LEFT($F36,1)*1=2,"P",IF(LEFT($F36,1)*1=3,"R",IF(LEFT($F36,1)*1=4,"C",IF(LEFT($F36,1)*1=5,"C",""))))))</f>
        <v>A</v>
      </c>
      <c r="D36" s="2" t="str">
        <f>IF($F36="","",IF(LEN($F36)=13,"A","S"))</f>
        <v>S</v>
      </c>
      <c r="E36" s="2">
        <f>IF($F36="","",IF(LEN($F36)=1,1,IF(LEN($F36)=3,2,IF(LEN($F36)=5,3,IF(LEN($F36)=8,4,5)))))</f>
        <v>5</v>
      </c>
      <c r="F36" s="3" t="s">
        <v>841</v>
      </c>
      <c r="G36" s="3" t="s">
        <v>842</v>
      </c>
      <c r="H36" s="4">
        <f>SUMIFS(Tab_01.Jan[SALDO
ATUAL],Tab_01.Jan[CONTA],$F36)</f>
        <v>0</v>
      </c>
      <c r="I36" s="4">
        <f>SUMIFS(Tab_02.Fev[SALDO
ATUAL],Tab_02.Fev[CONTA],$F36)</f>
        <v>0</v>
      </c>
      <c r="J36" s="4">
        <f>SUMIFS(Tab_03.Mar[SALDO
ATUAL],Tab_03.Mar[CONTA],$F36)</f>
        <v>0</v>
      </c>
      <c r="K36" s="4">
        <f>SUMIFS(Tab_04.Abr[SALDO
ATUAL],Tab_04.Abr[CONTA],$F36)</f>
        <v>0</v>
      </c>
      <c r="L36" s="4">
        <f>SUMIFS(Tab_05.Mai[SALDO
ATUAL],Tab_05.Mai[CONTA],$F36)</f>
        <v>0</v>
      </c>
      <c r="M36" s="4">
        <f>SUMIFS(Tab_06.Jun[SALDO
ATUAL],Tab_06.Jun[CONTA],$F36)</f>
        <v>0</v>
      </c>
      <c r="N36" s="4">
        <f>SUMIFS(Tab_07.Jul[SALDO
ATUAL],Tab_07.Jul[CONTA],$F36)</f>
        <v>0</v>
      </c>
      <c r="O36" s="4">
        <f>SUMIFS(Tab_08.Ago[SALDO
ATUAL],Tab_08.Ago[CONTA],$F36)</f>
        <v>0</v>
      </c>
      <c r="P36" s="4">
        <f>SUMIFS(Tab_09.Set[SALDO
ATUAL],Tab_09.Set[CONTA],$F36)</f>
        <v>0</v>
      </c>
      <c r="Q36" s="4">
        <f>SUMIFS(Tab_10.Out[SALDO
ATUAL],Tab_10.Out[CONTA],$F36)</f>
        <v>0</v>
      </c>
      <c r="R36" s="4">
        <f>SUMIFS(Tab_11.Nov[SALDO
ATUAL],Tab_11.Nov[CONTA],$F36)</f>
        <v>4705.95</v>
      </c>
      <c r="S36" s="4">
        <f>SUMIFS(Tab_12.Dez[SALDO
ATUAL],Tab_12.Dez[CONTA],$F36)</f>
        <v>4705.95</v>
      </c>
    </row>
    <row r="37" spans="2:19" x14ac:dyDescent="0.3">
      <c r="B37" s="3" t="s">
        <v>40</v>
      </c>
      <c r="C37" s="2" t="str">
        <f>IF($F37="","",IF(LEFT($F37,1)*1=1,"A",IF(LEFT($F37,1)*1=2,"P",IF(LEFT($F37,1)*1=3,"R",IF(LEFT($F37,1)*1=4,"C",IF(LEFT($F37,1)*1=5,"C",""))))))</f>
        <v>A</v>
      </c>
      <c r="D37" s="2" t="str">
        <f>IF($F37="","",IF(LEN($F37)=13,"A","S"))</f>
        <v>A</v>
      </c>
      <c r="E37" s="2">
        <f>IF($F37="","",IF(LEN($F37)=1,1,IF(LEN($F37)=3,2,IF(LEN($F37)=5,3,IF(LEN($F37)=8,4,5)))))</f>
        <v>5</v>
      </c>
      <c r="F37" s="3" t="s">
        <v>843</v>
      </c>
      <c r="G37" s="3" t="s">
        <v>842</v>
      </c>
      <c r="H37" s="4">
        <f>SUMIFS(Tab_01.Jan[SALDO
ATUAL],Tab_01.Jan[CONTA],$F37)</f>
        <v>0</v>
      </c>
      <c r="I37" s="4">
        <f>SUMIFS(Tab_02.Fev[SALDO
ATUAL],Tab_02.Fev[CONTA],$F37)</f>
        <v>0</v>
      </c>
      <c r="J37" s="4">
        <f>SUMIFS(Tab_03.Mar[SALDO
ATUAL],Tab_03.Mar[CONTA],$F37)</f>
        <v>0</v>
      </c>
      <c r="K37" s="4">
        <f>SUMIFS(Tab_04.Abr[SALDO
ATUAL],Tab_04.Abr[CONTA],$F37)</f>
        <v>0</v>
      </c>
      <c r="L37" s="4">
        <f>SUMIFS(Tab_05.Mai[SALDO
ATUAL],Tab_05.Mai[CONTA],$F37)</f>
        <v>0</v>
      </c>
      <c r="M37" s="4">
        <f>SUMIFS(Tab_06.Jun[SALDO
ATUAL],Tab_06.Jun[CONTA],$F37)</f>
        <v>0</v>
      </c>
      <c r="N37" s="4">
        <f>SUMIFS(Tab_07.Jul[SALDO
ATUAL],Tab_07.Jul[CONTA],$F37)</f>
        <v>0</v>
      </c>
      <c r="O37" s="4">
        <f>SUMIFS(Tab_08.Ago[SALDO
ATUAL],Tab_08.Ago[CONTA],$F37)</f>
        <v>0</v>
      </c>
      <c r="P37" s="4">
        <f>SUMIFS(Tab_09.Set[SALDO
ATUAL],Tab_09.Set[CONTA],$F37)</f>
        <v>0</v>
      </c>
      <c r="Q37" s="4">
        <f>SUMIFS(Tab_10.Out[SALDO
ATUAL],Tab_10.Out[CONTA],$F37)</f>
        <v>0</v>
      </c>
      <c r="R37" s="4">
        <f>SUMIFS(Tab_11.Nov[SALDO
ATUAL],Tab_11.Nov[CONTA],$F37)</f>
        <v>4705.95</v>
      </c>
      <c r="S37" s="4">
        <f>SUMIFS(Tab_12.Dez[SALDO
ATUAL],Tab_12.Dez[CONTA],$F37)</f>
        <v>4705.95</v>
      </c>
    </row>
    <row r="38" spans="2:19" x14ac:dyDescent="0.3">
      <c r="B38" s="3"/>
      <c r="C38" s="2" t="str">
        <f t="shared" si="3"/>
        <v>A</v>
      </c>
      <c r="D38" s="2" t="str">
        <f t="shared" si="4"/>
        <v>S</v>
      </c>
      <c r="E38" s="2">
        <f t="shared" si="5"/>
        <v>5</v>
      </c>
      <c r="F38" s="3" t="s">
        <v>206</v>
      </c>
      <c r="G38" s="3" t="s">
        <v>644</v>
      </c>
      <c r="H38" s="4">
        <f>SUMIFS(Tab_01.Jan[SALDO
ATUAL],Tab_01.Jan[CONTA],$F38)</f>
        <v>9738.24</v>
      </c>
      <c r="I38" s="4">
        <f>SUMIFS(Tab_02.Fev[SALDO
ATUAL],Tab_02.Fev[CONTA],$F38)</f>
        <v>14740.18</v>
      </c>
      <c r="J38" s="4">
        <f>SUMIFS(Tab_03.Mar[SALDO
ATUAL],Tab_03.Mar[CONTA],$F38)</f>
        <v>4704.34</v>
      </c>
      <c r="K38" s="4">
        <f>SUMIFS(Tab_04.Abr[SALDO
ATUAL],Tab_04.Abr[CONTA],$F38)</f>
        <v>15269.35</v>
      </c>
      <c r="L38" s="4">
        <f>SUMIFS(Tab_05.Mai[SALDO
ATUAL],Tab_05.Mai[CONTA],$F38)</f>
        <v>15224.77</v>
      </c>
      <c r="M38" s="4">
        <f>SUMIFS(Tab_06.Jun[SALDO
ATUAL],Tab_06.Jun[CONTA],$F38)</f>
        <v>15213.77</v>
      </c>
      <c r="N38" s="4">
        <f>SUMIFS(Tab_07.Jul[SALDO
ATUAL],Tab_07.Jul[CONTA],$F38)</f>
        <v>15213.77</v>
      </c>
      <c r="O38" s="4">
        <f>SUMIFS(Tab_08.Ago[SALDO
ATUAL],Tab_08.Ago[CONTA],$F38)</f>
        <v>15213.77</v>
      </c>
      <c r="P38" s="4">
        <f>SUMIFS(Tab_09.Set[SALDO
ATUAL],Tab_09.Set[CONTA],$F38)</f>
        <v>8413.06</v>
      </c>
      <c r="Q38" s="4">
        <f>SUMIFS(Tab_10.Out[SALDO
ATUAL],Tab_10.Out[CONTA],$F38)</f>
        <v>15053.24</v>
      </c>
      <c r="R38" s="4">
        <f>SUMIFS(Tab_11.Nov[SALDO
ATUAL],Tab_11.Nov[CONTA],$F38)</f>
        <v>85757.18</v>
      </c>
      <c r="S38" s="4">
        <f>SUMIFS(Tab_12.Dez[SALDO
ATUAL],Tab_12.Dez[CONTA],$F38)</f>
        <v>7927.27</v>
      </c>
    </row>
    <row r="39" spans="2:19" x14ac:dyDescent="0.3">
      <c r="B39" s="3"/>
      <c r="C39" s="2" t="str">
        <f t="shared" si="3"/>
        <v>A</v>
      </c>
      <c r="D39" s="2" t="str">
        <f t="shared" si="4"/>
        <v>S</v>
      </c>
      <c r="E39" s="2">
        <f t="shared" si="5"/>
        <v>5</v>
      </c>
      <c r="F39" s="3" t="s">
        <v>208</v>
      </c>
      <c r="G39" s="3" t="s">
        <v>139</v>
      </c>
      <c r="H39" s="4">
        <f>SUMIFS(Tab_01.Jan[SALDO
ATUAL],Tab_01.Jan[CONTA],$F39)</f>
        <v>5256.5</v>
      </c>
      <c r="I39" s="4">
        <f>SUMIFS(Tab_02.Fev[SALDO
ATUAL],Tab_02.Fev[CONTA],$F39)</f>
        <v>10258.44</v>
      </c>
      <c r="J39" s="4">
        <f>SUMIFS(Tab_03.Mar[SALDO
ATUAL],Tab_03.Mar[CONTA],$F39)</f>
        <v>222.6</v>
      </c>
      <c r="K39" s="4">
        <f>SUMIFS(Tab_04.Abr[SALDO
ATUAL],Tab_04.Abr[CONTA],$F39)</f>
        <v>44.58</v>
      </c>
      <c r="L39" s="4">
        <f>SUMIFS(Tab_05.Mai[SALDO
ATUAL],Tab_05.Mai[CONTA],$F39)</f>
        <v>0</v>
      </c>
      <c r="M39" s="4">
        <f>SUMIFS(Tab_06.Jun[SALDO
ATUAL],Tab_06.Jun[CONTA],$F39)</f>
        <v>0</v>
      </c>
      <c r="N39" s="4">
        <f>SUMIFS(Tab_07.Jul[SALDO
ATUAL],Tab_07.Jul[CONTA],$F39)</f>
        <v>0</v>
      </c>
      <c r="O39" s="4">
        <f>SUMIFS(Tab_08.Ago[SALDO
ATUAL],Tab_08.Ago[CONTA],$F39)</f>
        <v>0</v>
      </c>
      <c r="P39" s="4">
        <f>SUMIFS(Tab_09.Set[SALDO
ATUAL],Tab_09.Set[CONTA],$F39)</f>
        <v>306.7</v>
      </c>
      <c r="Q39" s="4">
        <f>SUMIFS(Tab_10.Out[SALDO
ATUAL],Tab_10.Out[CONTA],$F39)</f>
        <v>6872.45</v>
      </c>
      <c r="R39" s="4">
        <f>SUMIFS(Tab_11.Nov[SALDO
ATUAL],Tab_11.Nov[CONTA],$F39)</f>
        <v>79463.289999999994</v>
      </c>
      <c r="S39" s="4">
        <f>SUMIFS(Tab_12.Dez[SALDO
ATUAL],Tab_12.Dez[CONTA],$F39)</f>
        <v>0</v>
      </c>
    </row>
    <row r="40" spans="2:19" x14ac:dyDescent="0.3">
      <c r="B40" s="3" t="s">
        <v>43</v>
      </c>
      <c r="C40" s="2" t="str">
        <f t="shared" si="3"/>
        <v>A</v>
      </c>
      <c r="D40" s="2" t="str">
        <f t="shared" si="4"/>
        <v>A</v>
      </c>
      <c r="E40" s="2">
        <f t="shared" si="5"/>
        <v>5</v>
      </c>
      <c r="F40" s="3" t="s">
        <v>179</v>
      </c>
      <c r="G40" s="3" t="s">
        <v>293</v>
      </c>
      <c r="H40" s="4">
        <f>SUMIFS(Tab_01.Jan[SALDO
ATUAL],Tab_01.Jan[CONTA],$F40)</f>
        <v>44.58</v>
      </c>
      <c r="I40" s="4">
        <f>SUMIFS(Tab_02.Fev[SALDO
ATUAL],Tab_02.Fev[CONTA],$F40)</f>
        <v>44.58</v>
      </c>
      <c r="J40" s="4">
        <f>SUMIFS(Tab_03.Mar[SALDO
ATUAL],Tab_03.Mar[CONTA],$F40)</f>
        <v>44.58</v>
      </c>
      <c r="K40" s="4">
        <f>SUMIFS(Tab_04.Abr[SALDO
ATUAL],Tab_04.Abr[CONTA],$F40)</f>
        <v>44.58</v>
      </c>
      <c r="L40" s="4">
        <f>SUMIFS(Tab_05.Mai[SALDO
ATUAL],Tab_05.Mai[CONTA],$F40)</f>
        <v>0</v>
      </c>
      <c r="M40" s="4">
        <f>SUMIFS(Tab_06.Jun[SALDO
ATUAL],Tab_06.Jun[CONTA],$F40)</f>
        <v>0</v>
      </c>
      <c r="N40" s="4">
        <f>SUMIFS(Tab_07.Jul[SALDO
ATUAL],Tab_07.Jul[CONTA],$F40)</f>
        <v>0</v>
      </c>
      <c r="O40" s="4">
        <f>SUMIFS(Tab_08.Ago[SALDO
ATUAL],Tab_08.Ago[CONTA],$F40)</f>
        <v>0</v>
      </c>
      <c r="P40" s="4">
        <f>SUMIFS(Tab_09.Set[SALDO
ATUAL],Tab_09.Set[CONTA],$F40)</f>
        <v>0</v>
      </c>
      <c r="Q40" s="4">
        <f>SUMIFS(Tab_10.Out[SALDO
ATUAL],Tab_10.Out[CONTA],$F40)</f>
        <v>0</v>
      </c>
      <c r="R40" s="4">
        <f>SUMIFS(Tab_11.Nov[SALDO
ATUAL],Tab_11.Nov[CONTA],$F40)</f>
        <v>0</v>
      </c>
      <c r="S40" s="4">
        <f>SUMIFS(Tab_12.Dez[SALDO
ATUAL],Tab_12.Dez[CONTA],$F40)</f>
        <v>0</v>
      </c>
    </row>
    <row r="41" spans="2:19" x14ac:dyDescent="0.3">
      <c r="B41" s="3" t="s">
        <v>43</v>
      </c>
      <c r="C41" s="2" t="str">
        <f>IF($F41="","",IF(LEFT($F41,1)*1=1,"A",IF(LEFT($F41,1)*1=2,"P",IF(LEFT($F41,1)*1=3,"R",IF(LEFT($F41,1)*1=4,"C",IF(LEFT($F41,1)*1=5,"C",""))))))</f>
        <v>A</v>
      </c>
      <c r="D41" s="2" t="str">
        <f>IF($F41="","",IF(LEN($F41)=13,"A","S"))</f>
        <v>A</v>
      </c>
      <c r="E41" s="2">
        <f>IF($F41="","",IF(LEN($F41)=1,1,IF(LEN($F41)=3,2,IF(LEN($F41)=5,3,IF(LEN($F41)=8,4,5)))))</f>
        <v>5</v>
      </c>
      <c r="F41" s="3" t="s">
        <v>816</v>
      </c>
      <c r="G41" s="3" t="s">
        <v>817</v>
      </c>
      <c r="H41" s="4">
        <f>SUMIFS(Tab_01.Jan[SALDO
ATUAL],Tab_01.Jan[CONTA],$F41)</f>
        <v>0</v>
      </c>
      <c r="I41" s="4">
        <f>SUMIFS(Tab_02.Fev[SALDO
ATUAL],Tab_02.Fev[CONTA],$F41)</f>
        <v>0</v>
      </c>
      <c r="J41" s="4">
        <f>SUMIFS(Tab_03.Mar[SALDO
ATUAL],Tab_03.Mar[CONTA],$F41)</f>
        <v>0</v>
      </c>
      <c r="K41" s="4">
        <f>SUMIFS(Tab_04.Abr[SALDO
ATUAL],Tab_04.Abr[CONTA],$F41)</f>
        <v>0</v>
      </c>
      <c r="L41" s="4">
        <f>SUMIFS(Tab_05.Mai[SALDO
ATUAL],Tab_05.Mai[CONTA],$F41)</f>
        <v>0</v>
      </c>
      <c r="M41" s="4">
        <f>SUMIFS(Tab_06.Jun[SALDO
ATUAL],Tab_06.Jun[CONTA],$F41)</f>
        <v>0</v>
      </c>
      <c r="N41" s="4">
        <f>SUMIFS(Tab_07.Jul[SALDO
ATUAL],Tab_07.Jul[CONTA],$F41)</f>
        <v>0</v>
      </c>
      <c r="O41" s="4">
        <f>SUMIFS(Tab_08.Ago[SALDO
ATUAL],Tab_08.Ago[CONTA],$F41)</f>
        <v>0</v>
      </c>
      <c r="P41" s="4">
        <f>SUMIFS(Tab_09.Set[SALDO
ATUAL],Tab_09.Set[CONTA],$F41)</f>
        <v>0</v>
      </c>
      <c r="Q41" s="4">
        <f>SUMIFS(Tab_10.Out[SALDO
ATUAL],Tab_10.Out[CONTA],$F41)</f>
        <v>0</v>
      </c>
      <c r="R41" s="4">
        <f>SUMIFS(Tab_11.Nov[SALDO
ATUAL],Tab_11.Nov[CONTA],$F41)</f>
        <v>0</v>
      </c>
      <c r="S41" s="4">
        <f>SUMIFS(Tab_12.Dez[SALDO
ATUAL],Tab_12.Dez[CONTA],$F41)</f>
        <v>0</v>
      </c>
    </row>
    <row r="42" spans="2:19" x14ac:dyDescent="0.3">
      <c r="B42" s="3" t="s">
        <v>43</v>
      </c>
      <c r="C42" s="2" t="str">
        <f>IF($F42="","",IF(LEFT($F42,1)*1=1,"A",IF(LEFT($F42,1)*1=2,"P",IF(LEFT($F42,1)*1=3,"R",IF(LEFT($F42,1)*1=4,"C",IF(LEFT($F42,1)*1=5,"C",""))))))</f>
        <v>A</v>
      </c>
      <c r="D42" s="2" t="str">
        <f>IF($F42="","",IF(LEN($F42)=13,"A","S"))</f>
        <v>A</v>
      </c>
      <c r="E42" s="2">
        <f>IF($F42="","",IF(LEN($F42)=1,1,IF(LEN($F42)=3,2,IF(LEN($F42)=5,3,IF(LEN($F42)=8,4,5)))))</f>
        <v>5</v>
      </c>
      <c r="F42" s="3" t="s">
        <v>818</v>
      </c>
      <c r="G42" s="3" t="s">
        <v>819</v>
      </c>
      <c r="H42" s="4">
        <f>SUMIFS(Tab_01.Jan[SALDO
ATUAL],Tab_01.Jan[CONTA],$F42)</f>
        <v>0</v>
      </c>
      <c r="I42" s="4">
        <f>SUMIFS(Tab_02.Fev[SALDO
ATUAL],Tab_02.Fev[CONTA],$F42)</f>
        <v>0</v>
      </c>
      <c r="J42" s="4">
        <f>SUMIFS(Tab_03.Mar[SALDO
ATUAL],Tab_03.Mar[CONTA],$F42)</f>
        <v>0</v>
      </c>
      <c r="K42" s="4">
        <f>SUMIFS(Tab_04.Abr[SALDO
ATUAL],Tab_04.Abr[CONTA],$F42)</f>
        <v>0</v>
      </c>
      <c r="L42" s="4">
        <f>SUMIFS(Tab_05.Mai[SALDO
ATUAL],Tab_05.Mai[CONTA],$F42)</f>
        <v>0</v>
      </c>
      <c r="M42" s="4">
        <f>SUMIFS(Tab_06.Jun[SALDO
ATUAL],Tab_06.Jun[CONTA],$F42)</f>
        <v>0</v>
      </c>
      <c r="N42" s="4">
        <f>SUMIFS(Tab_07.Jul[SALDO
ATUAL],Tab_07.Jul[CONTA],$F42)</f>
        <v>0</v>
      </c>
      <c r="O42" s="4">
        <f>SUMIFS(Tab_08.Ago[SALDO
ATUAL],Tab_08.Ago[CONTA],$F42)</f>
        <v>0</v>
      </c>
      <c r="P42" s="4">
        <f>SUMIFS(Tab_09.Set[SALDO
ATUAL],Tab_09.Set[CONTA],$F42)</f>
        <v>0</v>
      </c>
      <c r="Q42" s="4">
        <f>SUMIFS(Tab_10.Out[SALDO
ATUAL],Tab_10.Out[CONTA],$F42)</f>
        <v>2779.68</v>
      </c>
      <c r="R42" s="4">
        <f>SUMIFS(Tab_11.Nov[SALDO
ATUAL],Tab_11.Nov[CONTA],$F42)</f>
        <v>78477.31</v>
      </c>
      <c r="S42" s="4">
        <f>SUMIFS(Tab_12.Dez[SALDO
ATUAL],Tab_12.Dez[CONTA],$F42)</f>
        <v>0</v>
      </c>
    </row>
    <row r="43" spans="2:19" x14ac:dyDescent="0.3">
      <c r="B43" s="3" t="s">
        <v>43</v>
      </c>
      <c r="C43" s="2" t="str">
        <f t="shared" si="3"/>
        <v>A</v>
      </c>
      <c r="D43" s="2" t="str">
        <f>IF($F43="","",IF(LEN($F43)=13,"A","S"))</f>
        <v>A</v>
      </c>
      <c r="E43" s="2">
        <f>IF($F43="","",IF(LEN($F43)=1,1,IF(LEN($F43)=3,2,IF(LEN($F43)=5,3,IF(LEN($F43)=8,4,5)))))</f>
        <v>5</v>
      </c>
      <c r="F43" s="3" t="s">
        <v>294</v>
      </c>
      <c r="G43" s="3" t="s">
        <v>295</v>
      </c>
      <c r="H43" s="4">
        <f>SUMIFS(Tab_01.Jan[SALDO
ATUAL],Tab_01.Jan[CONTA],$F43)</f>
        <v>5211.92</v>
      </c>
      <c r="I43" s="4">
        <f>SUMIFS(Tab_02.Fev[SALDO
ATUAL],Tab_02.Fev[CONTA],$F43)</f>
        <v>10213.86</v>
      </c>
      <c r="J43" s="4">
        <f>SUMIFS(Tab_03.Mar[SALDO
ATUAL],Tab_03.Mar[CONTA],$F43)</f>
        <v>178.02</v>
      </c>
      <c r="K43" s="4">
        <f>SUMIFS(Tab_04.Abr[SALDO
ATUAL],Tab_04.Abr[CONTA],$F43)</f>
        <v>0</v>
      </c>
      <c r="L43" s="4">
        <f>SUMIFS(Tab_05.Mai[SALDO
ATUAL],Tab_05.Mai[CONTA],$F43)</f>
        <v>0</v>
      </c>
      <c r="M43" s="4">
        <f>SUMIFS(Tab_06.Jun[SALDO
ATUAL],Tab_06.Jun[CONTA],$F43)</f>
        <v>0</v>
      </c>
      <c r="N43" s="4">
        <f>SUMIFS(Tab_07.Jul[SALDO
ATUAL],Tab_07.Jul[CONTA],$F43)</f>
        <v>0</v>
      </c>
      <c r="O43" s="4">
        <f>SUMIFS(Tab_08.Ago[SALDO
ATUAL],Tab_08.Ago[CONTA],$F43)</f>
        <v>0</v>
      </c>
      <c r="P43" s="4">
        <f>SUMIFS(Tab_09.Set[SALDO
ATUAL],Tab_09.Set[CONTA],$F43)</f>
        <v>306.7</v>
      </c>
      <c r="Q43" s="4">
        <f>SUMIFS(Tab_10.Out[SALDO
ATUAL],Tab_10.Out[CONTA],$F43)</f>
        <v>4092.77</v>
      </c>
      <c r="R43" s="4">
        <f>SUMIFS(Tab_11.Nov[SALDO
ATUAL],Tab_11.Nov[CONTA],$F43)</f>
        <v>985.98</v>
      </c>
      <c r="S43" s="4">
        <f>SUMIFS(Tab_12.Dez[SALDO
ATUAL],Tab_12.Dez[CONTA],$F43)</f>
        <v>0</v>
      </c>
    </row>
    <row r="44" spans="2:19" x14ac:dyDescent="0.3">
      <c r="B44" s="3"/>
      <c r="C44" s="2" t="str">
        <f t="shared" si="3"/>
        <v>A</v>
      </c>
      <c r="D44" s="2" t="str">
        <f t="shared" si="4"/>
        <v>S</v>
      </c>
      <c r="E44" s="2">
        <f t="shared" si="5"/>
        <v>5</v>
      </c>
      <c r="F44" s="3" t="s">
        <v>551</v>
      </c>
      <c r="G44" s="3" t="s">
        <v>645</v>
      </c>
      <c r="H44" s="4">
        <f>SUMIFS(Tab_01.Jan[SALDO
ATUAL],Tab_01.Jan[CONTA],$F44)</f>
        <v>4481.74</v>
      </c>
      <c r="I44" s="4">
        <f>SUMIFS(Tab_02.Fev[SALDO
ATUAL],Tab_02.Fev[CONTA],$F44)</f>
        <v>4481.74</v>
      </c>
      <c r="J44" s="4">
        <f>SUMIFS(Tab_03.Mar[SALDO
ATUAL],Tab_03.Mar[CONTA],$F44)</f>
        <v>4481.74</v>
      </c>
      <c r="K44" s="4">
        <f>SUMIFS(Tab_04.Abr[SALDO
ATUAL],Tab_04.Abr[CONTA],$F44)</f>
        <v>15224.77</v>
      </c>
      <c r="L44" s="4">
        <f>SUMIFS(Tab_05.Mai[SALDO
ATUAL],Tab_05.Mai[CONTA],$F44)</f>
        <v>15224.77</v>
      </c>
      <c r="M44" s="4">
        <f>SUMIFS(Tab_06.Jun[SALDO
ATUAL],Tab_06.Jun[CONTA],$F44)</f>
        <v>15213.77</v>
      </c>
      <c r="N44" s="4">
        <f>SUMIFS(Tab_07.Jul[SALDO
ATUAL],Tab_07.Jul[CONTA],$F44)</f>
        <v>15213.77</v>
      </c>
      <c r="O44" s="4">
        <f>SUMIFS(Tab_08.Ago[SALDO
ATUAL],Tab_08.Ago[CONTA],$F44)</f>
        <v>15213.77</v>
      </c>
      <c r="P44" s="4">
        <f>SUMIFS(Tab_09.Set[SALDO
ATUAL],Tab_09.Set[CONTA],$F44)</f>
        <v>8106.36</v>
      </c>
      <c r="Q44" s="4">
        <f>SUMIFS(Tab_10.Out[SALDO
ATUAL],Tab_10.Out[CONTA],$F44)</f>
        <v>8180.79</v>
      </c>
      <c r="R44" s="4">
        <f>SUMIFS(Tab_11.Nov[SALDO
ATUAL],Tab_11.Nov[CONTA],$F44)</f>
        <v>6293.89</v>
      </c>
      <c r="S44" s="4">
        <f>SUMIFS(Tab_12.Dez[SALDO
ATUAL],Tab_12.Dez[CONTA],$F44)</f>
        <v>7927.27</v>
      </c>
    </row>
    <row r="45" spans="2:19" x14ac:dyDescent="0.3">
      <c r="B45" s="3" t="s">
        <v>42</v>
      </c>
      <c r="C45" s="2" t="str">
        <f>IF($F45="","",IF(LEFT($F45,1)*1=1,"A",IF(LEFT($F45,1)*1=2,"P",IF(LEFT($F45,1)*1=3,"R",IF(LEFT($F45,1)*1=4,"C",IF(LEFT($F45,1)*1=5,"C",""))))))</f>
        <v>A</v>
      </c>
      <c r="D45" s="2" t="str">
        <f>IF($F45="","",IF(LEN($F45)=13,"A","S"))</f>
        <v>A</v>
      </c>
      <c r="E45" s="2">
        <f>IF($F45="","",IF(LEN($F45)=1,1,IF(LEN($F45)=3,2,IF(LEN($F45)=5,3,IF(LEN($F45)=8,4,5)))))</f>
        <v>5</v>
      </c>
      <c r="F45" s="3" t="s">
        <v>844</v>
      </c>
      <c r="G45" s="3" t="s">
        <v>845</v>
      </c>
      <c r="H45" s="4">
        <f>SUMIFS(Tab_01.Jan[SALDO
ATUAL],Tab_01.Jan[CONTA],$F45)</f>
        <v>0</v>
      </c>
      <c r="I45" s="4">
        <f>SUMIFS(Tab_02.Fev[SALDO
ATUAL],Tab_02.Fev[CONTA],$F45)</f>
        <v>0</v>
      </c>
      <c r="J45" s="4">
        <f>SUMIFS(Tab_03.Mar[SALDO
ATUAL],Tab_03.Mar[CONTA],$F45)</f>
        <v>0</v>
      </c>
      <c r="K45" s="4">
        <f>SUMIFS(Tab_04.Abr[SALDO
ATUAL],Tab_04.Abr[CONTA],$F45)</f>
        <v>0</v>
      </c>
      <c r="L45" s="4">
        <f>SUMIFS(Tab_05.Mai[SALDO
ATUAL],Tab_05.Mai[CONTA],$F45)</f>
        <v>0</v>
      </c>
      <c r="M45" s="4">
        <f>SUMIFS(Tab_06.Jun[SALDO
ATUAL],Tab_06.Jun[CONTA],$F45)</f>
        <v>0</v>
      </c>
      <c r="N45" s="4">
        <f>SUMIFS(Tab_07.Jul[SALDO
ATUAL],Tab_07.Jul[CONTA],$F45)</f>
        <v>0</v>
      </c>
      <c r="O45" s="4">
        <f>SUMIFS(Tab_08.Ago[SALDO
ATUAL],Tab_08.Ago[CONTA],$F45)</f>
        <v>0</v>
      </c>
      <c r="P45" s="4">
        <f>SUMIFS(Tab_09.Set[SALDO
ATUAL],Tab_09.Set[CONTA],$F45)</f>
        <v>0</v>
      </c>
      <c r="Q45" s="4">
        <f>SUMIFS(Tab_10.Out[SALDO
ATUAL],Tab_10.Out[CONTA],$F45)</f>
        <v>86.53</v>
      </c>
      <c r="R45" s="4">
        <f>SUMIFS(Tab_11.Nov[SALDO
ATUAL],Tab_11.Nov[CONTA],$F45)</f>
        <v>98.63</v>
      </c>
      <c r="S45" s="4">
        <f>SUMIFS(Tab_12.Dez[SALDO
ATUAL],Tab_12.Dez[CONTA],$F45)</f>
        <v>1997.63</v>
      </c>
    </row>
    <row r="46" spans="2:19" x14ac:dyDescent="0.3">
      <c r="B46" s="3" t="s">
        <v>42</v>
      </c>
      <c r="C46" s="2" t="str">
        <f t="shared" si="3"/>
        <v>A</v>
      </c>
      <c r="D46" s="2" t="str">
        <f t="shared" si="4"/>
        <v>A</v>
      </c>
      <c r="E46" s="2">
        <f t="shared" si="5"/>
        <v>5</v>
      </c>
      <c r="F46" s="3" t="s">
        <v>296</v>
      </c>
      <c r="G46" s="3" t="s">
        <v>297</v>
      </c>
      <c r="H46" s="4">
        <f>SUMIFS(Tab_01.Jan[SALDO
ATUAL],Tab_01.Jan[CONTA],$F46)</f>
        <v>0</v>
      </c>
      <c r="I46" s="4">
        <f>SUMIFS(Tab_02.Fev[SALDO
ATUAL],Tab_02.Fev[CONTA],$F46)</f>
        <v>0</v>
      </c>
      <c r="J46" s="4">
        <f>SUMIFS(Tab_03.Mar[SALDO
ATUAL],Tab_03.Mar[CONTA],$F46)</f>
        <v>0</v>
      </c>
      <c r="K46" s="4">
        <f>SUMIFS(Tab_04.Abr[SALDO
ATUAL],Tab_04.Abr[CONTA],$F46)</f>
        <v>0</v>
      </c>
      <c r="L46" s="4">
        <f>SUMIFS(Tab_05.Mai[SALDO
ATUAL],Tab_05.Mai[CONTA],$F46)</f>
        <v>0</v>
      </c>
      <c r="M46" s="4">
        <f>SUMIFS(Tab_06.Jun[SALDO
ATUAL],Tab_06.Jun[CONTA],$F46)</f>
        <v>0</v>
      </c>
      <c r="N46" s="4">
        <f>SUMIFS(Tab_07.Jul[SALDO
ATUAL],Tab_07.Jul[CONTA],$F46)</f>
        <v>0</v>
      </c>
      <c r="O46" s="4">
        <f>SUMIFS(Tab_08.Ago[SALDO
ATUAL],Tab_08.Ago[CONTA],$F46)</f>
        <v>0</v>
      </c>
      <c r="P46" s="4">
        <f>SUMIFS(Tab_09.Set[SALDO
ATUAL],Tab_09.Set[CONTA],$F46)</f>
        <v>0</v>
      </c>
      <c r="Q46" s="4">
        <f>SUMIFS(Tab_10.Out[SALDO
ATUAL],Tab_10.Out[CONTA],$F46)</f>
        <v>0</v>
      </c>
      <c r="R46" s="4">
        <f>SUMIFS(Tab_11.Nov[SALDO
ATUAL],Tab_11.Nov[CONTA],$F46)</f>
        <v>0</v>
      </c>
      <c r="S46" s="4">
        <f>SUMIFS(Tab_12.Dez[SALDO
ATUAL],Tab_12.Dez[CONTA],$F46)</f>
        <v>0</v>
      </c>
    </row>
    <row r="47" spans="2:19" x14ac:dyDescent="0.3">
      <c r="B47" s="3" t="s">
        <v>42</v>
      </c>
      <c r="C47" s="2" t="str">
        <f>IF($F47="","",IF(LEFT($F47,1)*1=1,"A",IF(LEFT($F47,1)*1=2,"P",IF(LEFT($F47,1)*1=3,"R",IF(LEFT($F47,1)*1=4,"C",IF(LEFT($F47,1)*1=5,"C",""))))))</f>
        <v>A</v>
      </c>
      <c r="D47" s="2" t="str">
        <f>IF($F47="","",IF(LEN($F47)=13,"A","S"))</f>
        <v>A</v>
      </c>
      <c r="E47" s="2">
        <f>IF($F47="","",IF(LEN($F47)=1,1,IF(LEN($F47)=3,2,IF(LEN($F47)=5,3,IF(LEN($F47)=8,4,5)))))</f>
        <v>5</v>
      </c>
      <c r="F47" s="3" t="s">
        <v>837</v>
      </c>
      <c r="G47" s="3" t="s">
        <v>838</v>
      </c>
      <c r="H47" s="4">
        <f>SUMIFS(Tab_01.Jan[SALDO
ATUAL],Tab_01.Jan[CONTA],$F47)</f>
        <v>4481.74</v>
      </c>
      <c r="I47" s="4">
        <f>SUMIFS(Tab_02.Fev[SALDO
ATUAL],Tab_02.Fev[CONTA],$F47)</f>
        <v>4481.74</v>
      </c>
      <c r="J47" s="4">
        <f>SUMIFS(Tab_03.Mar[SALDO
ATUAL],Tab_03.Mar[CONTA],$F47)</f>
        <v>4481.74</v>
      </c>
      <c r="K47" s="4">
        <f>SUMIFS(Tab_04.Abr[SALDO
ATUAL],Tab_04.Abr[CONTA],$F47)</f>
        <v>15224.77</v>
      </c>
      <c r="L47" s="4">
        <f>SUMIFS(Tab_05.Mai[SALDO
ATUAL],Tab_05.Mai[CONTA],$F47)</f>
        <v>15224.77</v>
      </c>
      <c r="M47" s="4">
        <f>SUMIFS(Tab_06.Jun[SALDO
ATUAL],Tab_06.Jun[CONTA],$F47)</f>
        <v>15213.77</v>
      </c>
      <c r="N47" s="4">
        <f>SUMIFS(Tab_07.Jul[SALDO
ATUAL],Tab_07.Jul[CONTA],$F47)</f>
        <v>15213.77</v>
      </c>
      <c r="O47" s="4">
        <f>SUMIFS(Tab_08.Ago[SALDO
ATUAL],Tab_08.Ago[CONTA],$F47)</f>
        <v>15213.77</v>
      </c>
      <c r="P47" s="4">
        <f>SUMIFS(Tab_09.Set[SALDO
ATUAL],Tab_09.Set[CONTA],$F47)</f>
        <v>8106.36</v>
      </c>
      <c r="Q47" s="4">
        <f>SUMIFS(Tab_10.Out[SALDO
ATUAL],Tab_10.Out[CONTA],$F47)</f>
        <v>8094.26</v>
      </c>
      <c r="R47" s="4">
        <f>SUMIFS(Tab_11.Nov[SALDO
ATUAL],Tab_11.Nov[CONTA],$F47)</f>
        <v>6195.26</v>
      </c>
      <c r="S47" s="4">
        <f>SUMIFS(Tab_12.Dez[SALDO
ATUAL],Tab_12.Dez[CONTA],$F47)</f>
        <v>5929.64</v>
      </c>
    </row>
    <row r="48" spans="2:19" x14ac:dyDescent="0.3">
      <c r="B48" s="3"/>
      <c r="C48" s="2" t="str">
        <f>IF($F48="","",IF(LEFT($F48,1)*1=1,"A",IF(LEFT($F48,1)*1=2,"P",IF(LEFT($F48,1)*1=3,"R",IF(LEFT($F48,1)*1=4,"C",IF(LEFT($F48,1)*1=5,"C",""))))))</f>
        <v>A</v>
      </c>
      <c r="D48" s="2" t="str">
        <f>IF($F48="","",IF(LEN($F48)=13,"A","S"))</f>
        <v>S</v>
      </c>
      <c r="E48" s="2">
        <f>IF($F48="","",IF(LEN($F48)=1,1,IF(LEN($F48)=3,2,IF(LEN($F48)=5,3,IF(LEN($F48)=8,4,5)))))</f>
        <v>5</v>
      </c>
      <c r="F48" s="3" t="s">
        <v>846</v>
      </c>
      <c r="G48" s="3" t="s">
        <v>847</v>
      </c>
      <c r="H48" s="4">
        <f>SUMIFS(Tab_01.Jan[SALDO
ATUAL],Tab_01.Jan[CONTA],$F48)</f>
        <v>0</v>
      </c>
      <c r="I48" s="4">
        <f>SUMIFS(Tab_02.Fev[SALDO
ATUAL],Tab_02.Fev[CONTA],$F48)</f>
        <v>0</v>
      </c>
      <c r="J48" s="4">
        <f>SUMIFS(Tab_03.Mar[SALDO
ATUAL],Tab_03.Mar[CONTA],$F48)</f>
        <v>0</v>
      </c>
      <c r="K48" s="4">
        <f>SUMIFS(Tab_04.Abr[SALDO
ATUAL],Tab_04.Abr[CONTA],$F48)</f>
        <v>78781.539999999994</v>
      </c>
      <c r="L48" s="4">
        <f>SUMIFS(Tab_05.Mai[SALDO
ATUAL],Tab_05.Mai[CONTA],$F48)</f>
        <v>78781.539999999994</v>
      </c>
      <c r="M48" s="4">
        <f>SUMIFS(Tab_06.Jun[SALDO
ATUAL],Tab_06.Jun[CONTA],$F48)</f>
        <v>78781.539999999994</v>
      </c>
      <c r="N48" s="4">
        <f>SUMIFS(Tab_07.Jul[SALDO
ATUAL],Tab_07.Jul[CONTA],$F48)</f>
        <v>78781.539999999994</v>
      </c>
      <c r="O48" s="4">
        <f>SUMIFS(Tab_08.Ago[SALDO
ATUAL],Tab_08.Ago[CONTA],$F48)</f>
        <v>78781.539999999994</v>
      </c>
      <c r="P48" s="4">
        <f>SUMIFS(Tab_09.Set[SALDO
ATUAL],Tab_09.Set[CONTA],$F48)</f>
        <v>73865.38</v>
      </c>
      <c r="Q48" s="4">
        <f>SUMIFS(Tab_10.Out[SALDO
ATUAL],Tab_10.Out[CONTA],$F48)</f>
        <v>73865.38</v>
      </c>
      <c r="R48" s="4">
        <f>SUMIFS(Tab_11.Nov[SALDO
ATUAL],Tab_11.Nov[CONTA],$F48)</f>
        <v>73865.38</v>
      </c>
      <c r="S48" s="4">
        <f>SUMIFS(Tab_12.Dez[SALDO
ATUAL],Tab_12.Dez[CONTA],$F48)</f>
        <v>73865.38</v>
      </c>
    </row>
    <row r="49" spans="2:19" x14ac:dyDescent="0.3">
      <c r="B49" s="3"/>
      <c r="C49" s="2" t="str">
        <f>IF($F49="","",IF(LEFT($F49,1)*1=1,"A",IF(LEFT($F49,1)*1=2,"P",IF(LEFT($F49,1)*1=3,"R",IF(LEFT($F49,1)*1=4,"C",IF(LEFT($F49,1)*1=5,"C",""))))))</f>
        <v>A</v>
      </c>
      <c r="D49" s="2" t="str">
        <f>IF($F49="","",IF(LEN($F49)=13,"A","S"))</f>
        <v>S</v>
      </c>
      <c r="E49" s="2">
        <f>IF($F49="","",IF(LEN($F49)=1,1,IF(LEN($F49)=3,2,IF(LEN($F49)=5,3,IF(LEN($F49)=8,4,5)))))</f>
        <v>5</v>
      </c>
      <c r="F49" s="3" t="s">
        <v>848</v>
      </c>
      <c r="G49" s="3" t="s">
        <v>849</v>
      </c>
      <c r="H49" s="4">
        <f>SUMIFS(Tab_01.Jan[SALDO
ATUAL],Tab_01.Jan[CONTA],$F49)</f>
        <v>0</v>
      </c>
      <c r="I49" s="4">
        <f>SUMIFS(Tab_02.Fev[SALDO
ATUAL],Tab_02.Fev[CONTA],$F49)</f>
        <v>0</v>
      </c>
      <c r="J49" s="4">
        <f>SUMIFS(Tab_03.Mar[SALDO
ATUAL],Tab_03.Mar[CONTA],$F49)</f>
        <v>0</v>
      </c>
      <c r="K49" s="4">
        <f>SUMIFS(Tab_04.Abr[SALDO
ATUAL],Tab_04.Abr[CONTA],$F49)</f>
        <v>78781.539999999994</v>
      </c>
      <c r="L49" s="4">
        <f>SUMIFS(Tab_05.Mai[SALDO
ATUAL],Tab_05.Mai[CONTA],$F49)</f>
        <v>78781.539999999994</v>
      </c>
      <c r="M49" s="4">
        <f>SUMIFS(Tab_06.Jun[SALDO
ATUAL],Tab_06.Jun[CONTA],$F49)</f>
        <v>78781.539999999994</v>
      </c>
      <c r="N49" s="4">
        <f>SUMIFS(Tab_07.Jul[SALDO
ATUAL],Tab_07.Jul[CONTA],$F49)</f>
        <v>78781.539999999994</v>
      </c>
      <c r="O49" s="4">
        <f>SUMIFS(Tab_08.Ago[SALDO
ATUAL],Tab_08.Ago[CONTA],$F49)</f>
        <v>78781.539999999994</v>
      </c>
      <c r="P49" s="4">
        <f>SUMIFS(Tab_09.Set[SALDO
ATUAL],Tab_09.Set[CONTA],$F49)</f>
        <v>73865.38</v>
      </c>
      <c r="Q49" s="4">
        <f>SUMIFS(Tab_10.Out[SALDO
ATUAL],Tab_10.Out[CONTA],$F49)</f>
        <v>73865.38</v>
      </c>
      <c r="R49" s="4">
        <f>SUMIFS(Tab_11.Nov[SALDO
ATUAL],Tab_11.Nov[CONTA],$F49)</f>
        <v>73865.38</v>
      </c>
      <c r="S49" s="4">
        <f>SUMIFS(Tab_12.Dez[SALDO
ATUAL],Tab_12.Dez[CONTA],$F49)</f>
        <v>73865.38</v>
      </c>
    </row>
    <row r="50" spans="2:19" x14ac:dyDescent="0.3">
      <c r="B50" s="186" t="s">
        <v>41</v>
      </c>
      <c r="C50" s="2" t="str">
        <f>IF($F50="","",IF(LEFT($F50,1)*1=1,"A",IF(LEFT($F50,1)*1=2,"P",IF(LEFT($F50,1)*1=3,"R",IF(LEFT($F50,1)*1=4,"C",IF(LEFT($F50,1)*1=5,"C",""))))))</f>
        <v>A</v>
      </c>
      <c r="D50" s="2" t="str">
        <f>IF($F50="","",IF(LEN($F50)=13,"A","S"))</f>
        <v>A</v>
      </c>
      <c r="E50" s="2">
        <f>IF($F50="","",IF(LEN($F50)=1,1,IF(LEN($F50)=3,2,IF(LEN($F50)=5,3,IF(LEN($F50)=8,4,5)))))</f>
        <v>5</v>
      </c>
      <c r="F50" s="3" t="s">
        <v>850</v>
      </c>
      <c r="G50" s="3" t="s">
        <v>849</v>
      </c>
      <c r="H50" s="4">
        <f>SUMIFS(Tab_01.Jan[SALDO
ATUAL],Tab_01.Jan[CONTA],$F50)</f>
        <v>0</v>
      </c>
      <c r="I50" s="4">
        <f>SUMIFS(Tab_02.Fev[SALDO
ATUAL],Tab_02.Fev[CONTA],$F50)</f>
        <v>0</v>
      </c>
      <c r="J50" s="4">
        <f>SUMIFS(Tab_03.Mar[SALDO
ATUAL],Tab_03.Mar[CONTA],$F50)</f>
        <v>0</v>
      </c>
      <c r="K50" s="4">
        <f>SUMIFS(Tab_04.Abr[SALDO
ATUAL],Tab_04.Abr[CONTA],$F50)</f>
        <v>78781.539999999994</v>
      </c>
      <c r="L50" s="4">
        <f>SUMIFS(Tab_05.Mai[SALDO
ATUAL],Tab_05.Mai[CONTA],$F50)</f>
        <v>78781.539999999994</v>
      </c>
      <c r="M50" s="4">
        <f>SUMIFS(Tab_06.Jun[SALDO
ATUAL],Tab_06.Jun[CONTA],$F50)</f>
        <v>78781.539999999994</v>
      </c>
      <c r="N50" s="4">
        <f>SUMIFS(Tab_07.Jul[SALDO
ATUAL],Tab_07.Jul[CONTA],$F50)</f>
        <v>78781.539999999994</v>
      </c>
      <c r="O50" s="4">
        <f>SUMIFS(Tab_08.Ago[SALDO
ATUAL],Tab_08.Ago[CONTA],$F50)</f>
        <v>78781.539999999994</v>
      </c>
      <c r="P50" s="4">
        <f>SUMIFS(Tab_09.Set[SALDO
ATUAL],Tab_09.Set[CONTA],$F50)</f>
        <v>73865.38</v>
      </c>
      <c r="Q50" s="4">
        <f>SUMIFS(Tab_10.Out[SALDO
ATUAL],Tab_10.Out[CONTA],$F50)</f>
        <v>73865.38</v>
      </c>
      <c r="R50" s="4">
        <f>SUMIFS(Tab_11.Nov[SALDO
ATUAL],Tab_11.Nov[CONTA],$F50)</f>
        <v>73865.38</v>
      </c>
      <c r="S50" s="4">
        <f>SUMIFS(Tab_12.Dez[SALDO
ATUAL],Tab_12.Dez[CONTA],$F50)</f>
        <v>73865.38</v>
      </c>
    </row>
    <row r="51" spans="2:19" x14ac:dyDescent="0.3">
      <c r="B51" s="3"/>
      <c r="C51" s="2" t="str">
        <f t="shared" si="3"/>
        <v>A</v>
      </c>
      <c r="D51" s="2" t="str">
        <f t="shared" si="4"/>
        <v>S</v>
      </c>
      <c r="E51" s="2">
        <f t="shared" si="5"/>
        <v>5</v>
      </c>
      <c r="F51" s="3" t="s">
        <v>209</v>
      </c>
      <c r="G51" s="3" t="s">
        <v>646</v>
      </c>
      <c r="H51" s="4">
        <f>SUMIFS(Tab_01.Jan[SALDO
ATUAL],Tab_01.Jan[CONTA],$F51)</f>
        <v>2289.33</v>
      </c>
      <c r="I51" s="4">
        <f>SUMIFS(Tab_02.Fev[SALDO
ATUAL],Tab_02.Fev[CONTA],$F51)</f>
        <v>2289.33</v>
      </c>
      <c r="J51" s="4">
        <f>SUMIFS(Tab_03.Mar[SALDO
ATUAL],Tab_03.Mar[CONTA],$F51)</f>
        <v>1713.85</v>
      </c>
      <c r="K51" s="4">
        <f>SUMIFS(Tab_04.Abr[SALDO
ATUAL],Tab_04.Abr[CONTA],$F51)</f>
        <v>1426.11</v>
      </c>
      <c r="L51" s="4">
        <f>SUMIFS(Tab_05.Mai[SALDO
ATUAL],Tab_05.Mai[CONTA],$F51)</f>
        <v>1138.3699999999999</v>
      </c>
      <c r="M51" s="4">
        <f>SUMIFS(Tab_06.Jun[SALDO
ATUAL],Tab_06.Jun[CONTA],$F51)</f>
        <v>562.89</v>
      </c>
      <c r="N51" s="4">
        <f>SUMIFS(Tab_07.Jul[SALDO
ATUAL],Tab_07.Jul[CONTA],$F51)</f>
        <v>562.89</v>
      </c>
      <c r="O51" s="4">
        <f>SUMIFS(Tab_08.Ago[SALDO
ATUAL],Tab_08.Ago[CONTA],$F51)</f>
        <v>562.89</v>
      </c>
      <c r="P51" s="4">
        <f>SUMIFS(Tab_09.Set[SALDO
ATUAL],Tab_09.Set[CONTA],$F51)</f>
        <v>0</v>
      </c>
      <c r="Q51" s="4">
        <f>SUMIFS(Tab_10.Out[SALDO
ATUAL],Tab_10.Out[CONTA],$F51)</f>
        <v>3209.38</v>
      </c>
      <c r="R51" s="4">
        <f>SUMIFS(Tab_11.Nov[SALDO
ATUAL],Tab_11.Nov[CONTA],$F51)</f>
        <v>2917.62</v>
      </c>
      <c r="S51" s="4">
        <f>SUMIFS(Tab_12.Dez[SALDO
ATUAL],Tab_12.Dez[CONTA],$F51)</f>
        <v>2625.86</v>
      </c>
    </row>
    <row r="52" spans="2:19" x14ac:dyDescent="0.3">
      <c r="B52" s="3"/>
      <c r="C52" s="2" t="str">
        <f t="shared" si="3"/>
        <v>A</v>
      </c>
      <c r="D52" s="2" t="str">
        <f t="shared" si="4"/>
        <v>S</v>
      </c>
      <c r="E52" s="2">
        <f t="shared" si="5"/>
        <v>5</v>
      </c>
      <c r="F52" s="3" t="s">
        <v>210</v>
      </c>
      <c r="G52" s="3" t="s">
        <v>646</v>
      </c>
      <c r="H52" s="4">
        <f>SUMIFS(Tab_01.Jan[SALDO
ATUAL],Tab_01.Jan[CONTA],$F52)</f>
        <v>2289.33</v>
      </c>
      <c r="I52" s="4">
        <f>SUMIFS(Tab_02.Fev[SALDO
ATUAL],Tab_02.Fev[CONTA],$F52)</f>
        <v>2289.33</v>
      </c>
      <c r="J52" s="4">
        <f>SUMIFS(Tab_03.Mar[SALDO
ATUAL],Tab_03.Mar[CONTA],$F52)</f>
        <v>1713.85</v>
      </c>
      <c r="K52" s="4">
        <f>SUMIFS(Tab_04.Abr[SALDO
ATUAL],Tab_04.Abr[CONTA],$F52)</f>
        <v>1426.11</v>
      </c>
      <c r="L52" s="4">
        <f>SUMIFS(Tab_05.Mai[SALDO
ATUAL],Tab_05.Mai[CONTA],$F52)</f>
        <v>1138.3699999999999</v>
      </c>
      <c r="M52" s="4">
        <f>SUMIFS(Tab_06.Jun[SALDO
ATUAL],Tab_06.Jun[CONTA],$F52)</f>
        <v>562.89</v>
      </c>
      <c r="N52" s="4">
        <f>SUMIFS(Tab_07.Jul[SALDO
ATUAL],Tab_07.Jul[CONTA],$F52)</f>
        <v>562.89</v>
      </c>
      <c r="O52" s="4">
        <f>SUMIFS(Tab_08.Ago[SALDO
ATUAL],Tab_08.Ago[CONTA],$F52)</f>
        <v>562.89</v>
      </c>
      <c r="P52" s="4">
        <f>SUMIFS(Tab_09.Set[SALDO
ATUAL],Tab_09.Set[CONTA],$F52)</f>
        <v>0</v>
      </c>
      <c r="Q52" s="4">
        <f>SUMIFS(Tab_10.Out[SALDO
ATUAL],Tab_10.Out[CONTA],$F52)</f>
        <v>3209.38</v>
      </c>
      <c r="R52" s="4">
        <f>SUMIFS(Tab_11.Nov[SALDO
ATUAL],Tab_11.Nov[CONTA],$F52)</f>
        <v>2917.62</v>
      </c>
      <c r="S52" s="4">
        <f>SUMIFS(Tab_12.Dez[SALDO
ATUAL],Tab_12.Dez[CONTA],$F52)</f>
        <v>2625.86</v>
      </c>
    </row>
    <row r="53" spans="2:19" x14ac:dyDescent="0.3">
      <c r="B53" s="3" t="s">
        <v>141</v>
      </c>
      <c r="C53" s="2" t="str">
        <f t="shared" si="3"/>
        <v>A</v>
      </c>
      <c r="D53" s="2" t="str">
        <f t="shared" si="4"/>
        <v>A</v>
      </c>
      <c r="E53" s="2">
        <f t="shared" si="5"/>
        <v>5</v>
      </c>
      <c r="F53" s="3" t="s">
        <v>298</v>
      </c>
      <c r="G53" s="3" t="s">
        <v>299</v>
      </c>
      <c r="H53" s="4">
        <f>SUMIFS(Tab_01.Jan[SALDO
ATUAL],Tab_01.Jan[CONTA],$F53)</f>
        <v>2289.33</v>
      </c>
      <c r="I53" s="4">
        <f>SUMIFS(Tab_02.Fev[SALDO
ATUAL],Tab_02.Fev[CONTA],$F53)</f>
        <v>2289.33</v>
      </c>
      <c r="J53" s="4">
        <f>SUMIFS(Tab_03.Mar[SALDO
ATUAL],Tab_03.Mar[CONTA],$F53)</f>
        <v>1713.85</v>
      </c>
      <c r="K53" s="4">
        <f>SUMIFS(Tab_04.Abr[SALDO
ATUAL],Tab_04.Abr[CONTA],$F53)</f>
        <v>1426.11</v>
      </c>
      <c r="L53" s="4">
        <f>SUMIFS(Tab_05.Mai[SALDO
ATUAL],Tab_05.Mai[CONTA],$F53)</f>
        <v>1138.3699999999999</v>
      </c>
      <c r="M53" s="4">
        <f>SUMIFS(Tab_06.Jun[SALDO
ATUAL],Tab_06.Jun[CONTA],$F53)</f>
        <v>562.89</v>
      </c>
      <c r="N53" s="4">
        <f>SUMIFS(Tab_07.Jul[SALDO
ATUAL],Tab_07.Jul[CONTA],$F53)</f>
        <v>562.89</v>
      </c>
      <c r="O53" s="4">
        <f>SUMIFS(Tab_08.Ago[SALDO
ATUAL],Tab_08.Ago[CONTA],$F53)</f>
        <v>562.89</v>
      </c>
      <c r="P53" s="4">
        <f>SUMIFS(Tab_09.Set[SALDO
ATUAL],Tab_09.Set[CONTA],$F53)</f>
        <v>0</v>
      </c>
      <c r="Q53" s="4">
        <f>SUMIFS(Tab_10.Out[SALDO
ATUAL],Tab_10.Out[CONTA],$F53)</f>
        <v>3209.38</v>
      </c>
      <c r="R53" s="4">
        <f>SUMIFS(Tab_11.Nov[SALDO
ATUAL],Tab_11.Nov[CONTA],$F53)</f>
        <v>2917.62</v>
      </c>
      <c r="S53" s="4">
        <f>SUMIFS(Tab_12.Dez[SALDO
ATUAL],Tab_12.Dez[CONTA],$F53)</f>
        <v>2625.86</v>
      </c>
    </row>
    <row r="54" spans="2:19" x14ac:dyDescent="0.3">
      <c r="B54" s="3"/>
      <c r="C54" s="2" t="str">
        <f t="shared" si="3"/>
        <v>A</v>
      </c>
      <c r="D54" s="2" t="str">
        <f>IF($F54="","",IF(LEN($F54)=13,"A","S"))</f>
        <v>S</v>
      </c>
      <c r="E54" s="2">
        <f>IF($F54="","",IF(LEN($F54)=1,1,IF(LEN($F54)=3,2,IF(LEN($F54)=5,3,IF(LEN($F54)=8,4,5)))))</f>
        <v>2</v>
      </c>
      <c r="F54" s="3" t="s">
        <v>211</v>
      </c>
      <c r="G54" s="3" t="s">
        <v>76</v>
      </c>
      <c r="H54" s="4">
        <f>SUMIFS(Tab_01.Jan[SALDO
ATUAL],Tab_01.Jan[CONTA],$F54)</f>
        <v>72629698.310000002</v>
      </c>
      <c r="I54" s="4">
        <f>SUMIFS(Tab_02.Fev[SALDO
ATUAL],Tab_02.Fev[CONTA],$F54)</f>
        <v>72630184.030000001</v>
      </c>
      <c r="J54" s="4">
        <f>SUMIFS(Tab_03.Mar[SALDO
ATUAL],Tab_03.Mar[CONTA],$F54)</f>
        <v>72991121.390000001</v>
      </c>
      <c r="K54" s="4">
        <f>SUMIFS(Tab_04.Abr[SALDO
ATUAL],Tab_04.Abr[CONTA],$F54)</f>
        <v>72893363.560000002</v>
      </c>
      <c r="L54" s="4">
        <f>SUMIFS(Tab_05.Mai[SALDO
ATUAL],Tab_05.Mai[CONTA],$F54)</f>
        <v>73149210.859999999</v>
      </c>
      <c r="M54" s="4">
        <f>SUMIFS(Tab_06.Jun[SALDO
ATUAL],Tab_06.Jun[CONTA],$F54)</f>
        <v>73598772.5</v>
      </c>
      <c r="N54" s="4">
        <f>SUMIFS(Tab_07.Jul[SALDO
ATUAL],Tab_07.Jul[CONTA],$F54)</f>
        <v>73598772.5</v>
      </c>
      <c r="O54" s="4">
        <f>SUMIFS(Tab_08.Ago[SALDO
ATUAL],Tab_08.Ago[CONTA],$F54)</f>
        <v>73598772.5</v>
      </c>
      <c r="P54" s="4">
        <f>SUMIFS(Tab_09.Set[SALDO
ATUAL],Tab_09.Set[CONTA],$F54)</f>
        <v>73933394.519999996</v>
      </c>
      <c r="Q54" s="4">
        <f>SUMIFS(Tab_10.Out[SALDO
ATUAL],Tab_10.Out[CONTA],$F54)</f>
        <v>74040444.180000007</v>
      </c>
      <c r="R54" s="4">
        <f>SUMIFS(Tab_11.Nov[SALDO
ATUAL],Tab_11.Nov[CONTA],$F54)</f>
        <v>74283168.849999994</v>
      </c>
      <c r="S54" s="4">
        <f>SUMIFS(Tab_12.Dez[SALDO
ATUAL],Tab_12.Dez[CONTA],$F54)</f>
        <v>74145059.379999995</v>
      </c>
    </row>
    <row r="55" spans="2:19" x14ac:dyDescent="0.3">
      <c r="B55" s="3"/>
      <c r="C55" s="2" t="str">
        <f t="shared" si="3"/>
        <v>A</v>
      </c>
      <c r="D55" s="2" t="str">
        <f t="shared" si="4"/>
        <v>S</v>
      </c>
      <c r="E55" s="2">
        <f t="shared" si="5"/>
        <v>5</v>
      </c>
      <c r="F55" s="3" t="s">
        <v>552</v>
      </c>
      <c r="G55" s="3" t="s">
        <v>647</v>
      </c>
      <c r="H55" s="4">
        <f>SUMIFS(Tab_01.Jan[SALDO
ATUAL],Tab_01.Jan[CONTA],$F55)</f>
        <v>252090.79</v>
      </c>
      <c r="I55" s="4">
        <f>SUMIFS(Tab_02.Fev[SALDO
ATUAL],Tab_02.Fev[CONTA],$F55)</f>
        <v>252576.51</v>
      </c>
      <c r="J55" s="4">
        <f>SUMIFS(Tab_03.Mar[SALDO
ATUAL],Tab_03.Mar[CONTA],$F55)</f>
        <v>253487.9</v>
      </c>
      <c r="K55" s="4">
        <f>SUMIFS(Tab_04.Abr[SALDO
ATUAL],Tab_04.Abr[CONTA],$F55)</f>
        <v>254045.35</v>
      </c>
      <c r="L55" s="4">
        <f>SUMIFS(Tab_05.Mai[SALDO
ATUAL],Tab_05.Mai[CONTA],$F55)</f>
        <v>254457.27</v>
      </c>
      <c r="M55" s="4">
        <f>SUMIFS(Tab_06.Jun[SALDO
ATUAL],Tab_06.Jun[CONTA],$F55)</f>
        <v>255285.62</v>
      </c>
      <c r="N55" s="4">
        <f>SUMIFS(Tab_07.Jul[SALDO
ATUAL],Tab_07.Jul[CONTA],$F55)</f>
        <v>255285.62</v>
      </c>
      <c r="O55" s="4">
        <f>SUMIFS(Tab_08.Ago[SALDO
ATUAL],Tab_08.Ago[CONTA],$F55)</f>
        <v>255285.62</v>
      </c>
      <c r="P55" s="4">
        <f>SUMIFS(Tab_09.Set[SALDO
ATUAL],Tab_09.Set[CONTA],$F55)</f>
        <v>255855.14</v>
      </c>
      <c r="Q55" s="4">
        <f>SUMIFS(Tab_10.Out[SALDO
ATUAL],Tab_10.Out[CONTA],$F55)</f>
        <v>256169.55</v>
      </c>
      <c r="R55" s="4">
        <f>SUMIFS(Tab_11.Nov[SALDO
ATUAL],Tab_11.Nov[CONTA],$F55)</f>
        <v>256983.97</v>
      </c>
      <c r="S55" s="4">
        <f>SUMIFS(Tab_12.Dez[SALDO
ATUAL],Tab_12.Dez[CONTA],$F55)</f>
        <v>256983.97</v>
      </c>
    </row>
    <row r="56" spans="2:19" x14ac:dyDescent="0.3">
      <c r="B56" s="3"/>
      <c r="C56" s="2" t="str">
        <f t="shared" si="3"/>
        <v>A</v>
      </c>
      <c r="D56" s="2" t="str">
        <f>IF($F56="","",IF(LEN($F56)=13,"A","S"))</f>
        <v>S</v>
      </c>
      <c r="E56" s="2">
        <f>IF($F56="","",IF(LEN($F56)=1,1,IF(LEN($F56)=3,2,IF(LEN($F56)=5,3,IF(LEN($F56)=8,4,5)))))</f>
        <v>5</v>
      </c>
      <c r="F56" s="3" t="s">
        <v>553</v>
      </c>
      <c r="G56" s="3" t="s">
        <v>301</v>
      </c>
      <c r="H56" s="4">
        <f>SUMIFS(Tab_01.Jan[SALDO
ATUAL],Tab_01.Jan[CONTA],$F56)</f>
        <v>252090.79</v>
      </c>
      <c r="I56" s="4">
        <f>SUMIFS(Tab_02.Fev[SALDO
ATUAL],Tab_02.Fev[CONTA],$F56)</f>
        <v>252576.51</v>
      </c>
      <c r="J56" s="4">
        <f>SUMIFS(Tab_03.Mar[SALDO
ATUAL],Tab_03.Mar[CONTA],$F56)</f>
        <v>253487.9</v>
      </c>
      <c r="K56" s="4">
        <f>SUMIFS(Tab_04.Abr[SALDO
ATUAL],Tab_04.Abr[CONTA],$F56)</f>
        <v>254045.35</v>
      </c>
      <c r="L56" s="4">
        <f>SUMIFS(Tab_05.Mai[SALDO
ATUAL],Tab_05.Mai[CONTA],$F56)</f>
        <v>254457.27</v>
      </c>
      <c r="M56" s="4">
        <f>SUMIFS(Tab_06.Jun[SALDO
ATUAL],Tab_06.Jun[CONTA],$F56)</f>
        <v>255285.62</v>
      </c>
      <c r="N56" s="4">
        <f>SUMIFS(Tab_07.Jul[SALDO
ATUAL],Tab_07.Jul[CONTA],$F56)</f>
        <v>255285.62</v>
      </c>
      <c r="O56" s="4">
        <f>SUMIFS(Tab_08.Ago[SALDO
ATUAL],Tab_08.Ago[CONTA],$F56)</f>
        <v>255285.62</v>
      </c>
      <c r="P56" s="4">
        <f>SUMIFS(Tab_09.Set[SALDO
ATUAL],Tab_09.Set[CONTA],$F56)</f>
        <v>255855.14</v>
      </c>
      <c r="Q56" s="4">
        <f>SUMIFS(Tab_10.Out[SALDO
ATUAL],Tab_10.Out[CONTA],$F56)</f>
        <v>256169.55</v>
      </c>
      <c r="R56" s="4">
        <f>SUMIFS(Tab_11.Nov[SALDO
ATUAL],Tab_11.Nov[CONTA],$F56)</f>
        <v>256983.97</v>
      </c>
      <c r="S56" s="4">
        <f>SUMIFS(Tab_12.Dez[SALDO
ATUAL],Tab_12.Dez[CONTA],$F56)</f>
        <v>256983.97</v>
      </c>
    </row>
    <row r="57" spans="2:19" x14ac:dyDescent="0.3">
      <c r="B57" s="3" t="s">
        <v>93</v>
      </c>
      <c r="C57" s="2" t="str">
        <f t="shared" si="3"/>
        <v>A</v>
      </c>
      <c r="D57" s="2" t="str">
        <f t="shared" si="4"/>
        <v>A</v>
      </c>
      <c r="E57" s="2">
        <f t="shared" si="5"/>
        <v>5</v>
      </c>
      <c r="F57" s="3" t="s">
        <v>300</v>
      </c>
      <c r="G57" s="3" t="s">
        <v>301</v>
      </c>
      <c r="H57" s="4">
        <f>SUMIFS(Tab_01.Jan[SALDO
ATUAL],Tab_01.Jan[CONTA],$F57)</f>
        <v>252090.79</v>
      </c>
      <c r="I57" s="4">
        <f>SUMIFS(Tab_02.Fev[SALDO
ATUAL],Tab_02.Fev[CONTA],$F57)</f>
        <v>252576.51</v>
      </c>
      <c r="J57" s="4">
        <f>SUMIFS(Tab_03.Mar[SALDO
ATUAL],Tab_03.Mar[CONTA],$F57)</f>
        <v>253487.9</v>
      </c>
      <c r="K57" s="4">
        <f>SUMIFS(Tab_04.Abr[SALDO
ATUAL],Tab_04.Abr[CONTA],$F57)</f>
        <v>254045.35</v>
      </c>
      <c r="L57" s="4">
        <f>SUMIFS(Tab_05.Mai[SALDO
ATUAL],Tab_05.Mai[CONTA],$F57)</f>
        <v>254457.27</v>
      </c>
      <c r="M57" s="4">
        <f>SUMIFS(Tab_06.Jun[SALDO
ATUAL],Tab_06.Jun[CONTA],$F57)</f>
        <v>255285.62</v>
      </c>
      <c r="N57" s="4">
        <f>SUMIFS(Tab_07.Jul[SALDO
ATUAL],Tab_07.Jul[CONTA],$F57)</f>
        <v>255285.62</v>
      </c>
      <c r="O57" s="4">
        <f>SUMIFS(Tab_08.Ago[SALDO
ATUAL],Tab_08.Ago[CONTA],$F57)</f>
        <v>255285.62</v>
      </c>
      <c r="P57" s="4">
        <f>SUMIFS(Tab_09.Set[SALDO
ATUAL],Tab_09.Set[CONTA],$F57)</f>
        <v>255855.14</v>
      </c>
      <c r="Q57" s="4">
        <f>SUMIFS(Tab_10.Out[SALDO
ATUAL],Tab_10.Out[CONTA],$F57)</f>
        <v>256169.55</v>
      </c>
      <c r="R57" s="4">
        <f>SUMIFS(Tab_11.Nov[SALDO
ATUAL],Tab_11.Nov[CONTA],$F57)</f>
        <v>256983.97</v>
      </c>
      <c r="S57" s="4">
        <f>SUMIFS(Tab_12.Dez[SALDO
ATUAL],Tab_12.Dez[CONTA],$F57)</f>
        <v>256983.97</v>
      </c>
    </row>
    <row r="58" spans="2:19" x14ac:dyDescent="0.3">
      <c r="B58" s="3"/>
      <c r="C58" s="2" t="str">
        <f t="shared" si="3"/>
        <v>A</v>
      </c>
      <c r="D58" s="2" t="str">
        <f t="shared" si="4"/>
        <v>S</v>
      </c>
      <c r="E58" s="2">
        <f t="shared" si="5"/>
        <v>5</v>
      </c>
      <c r="F58" s="3" t="s">
        <v>554</v>
      </c>
      <c r="G58" s="3" t="s">
        <v>648</v>
      </c>
      <c r="H58" s="4">
        <f>SUMIFS(Tab_01.Jan[SALDO
ATUAL],Tab_01.Jan[CONTA],$F58)</f>
        <v>70047290.069999993</v>
      </c>
      <c r="I58" s="4">
        <f>SUMIFS(Tab_02.Fev[SALDO
ATUAL],Tab_02.Fev[CONTA],$F58)</f>
        <v>70047290.069999993</v>
      </c>
      <c r="J58" s="4">
        <f>SUMIFS(Tab_03.Mar[SALDO
ATUAL],Tab_03.Mar[CONTA],$F58)</f>
        <v>70397643.939999998</v>
      </c>
      <c r="K58" s="4">
        <f>SUMIFS(Tab_04.Abr[SALDO
ATUAL],Tab_04.Abr[CONTA],$F58)</f>
        <v>70282824.340000004</v>
      </c>
      <c r="L58" s="4">
        <f>SUMIFS(Tab_05.Mai[SALDO
ATUAL],Tab_05.Mai[CONTA],$F58)</f>
        <v>70522520.680000007</v>
      </c>
      <c r="M58" s="4">
        <f>SUMIFS(Tab_06.Jun[SALDO
ATUAL],Tab_06.Jun[CONTA],$F58)</f>
        <v>70977841.069999993</v>
      </c>
      <c r="N58" s="4">
        <f>SUMIFS(Tab_07.Jul[SALDO
ATUAL],Tab_07.Jul[CONTA],$F58)</f>
        <v>70977841.069999993</v>
      </c>
      <c r="O58" s="4">
        <f>SUMIFS(Tab_08.Ago[SALDO
ATUAL],Tab_08.Ago[CONTA],$F58)</f>
        <v>70977841.069999993</v>
      </c>
      <c r="P58" s="4">
        <f>SUMIFS(Tab_09.Set[SALDO
ATUAL],Tab_09.Set[CONTA],$F58)</f>
        <v>71316996.069999993</v>
      </c>
      <c r="Q58" s="4">
        <f>SUMIFS(Tab_10.Out[SALDO
ATUAL],Tab_10.Out[CONTA],$F58)</f>
        <v>71427398.069999993</v>
      </c>
      <c r="R58" s="4">
        <f>SUMIFS(Tab_11.Nov[SALDO
ATUAL],Tab_11.Nov[CONTA],$F58)</f>
        <v>71671635.069999993</v>
      </c>
      <c r="S58" s="4">
        <f>SUMIFS(Tab_12.Dez[SALDO
ATUAL],Tab_12.Dez[CONTA],$F58)</f>
        <v>71532186.069999993</v>
      </c>
    </row>
    <row r="59" spans="2:19" x14ac:dyDescent="0.3">
      <c r="B59" s="3"/>
      <c r="C59" s="2" t="str">
        <f t="shared" si="3"/>
        <v>A</v>
      </c>
      <c r="D59" s="2" t="str">
        <f t="shared" si="4"/>
        <v>S</v>
      </c>
      <c r="E59" s="2">
        <f t="shared" si="5"/>
        <v>5</v>
      </c>
      <c r="F59" s="3" t="s">
        <v>555</v>
      </c>
      <c r="G59" s="3" t="s">
        <v>649</v>
      </c>
      <c r="H59" s="4">
        <f>SUMIFS(Tab_01.Jan[SALDO
ATUAL],Tab_01.Jan[CONTA],$F59)</f>
        <v>45344232.229999997</v>
      </c>
      <c r="I59" s="4">
        <f>SUMIFS(Tab_02.Fev[SALDO
ATUAL],Tab_02.Fev[CONTA],$F59)</f>
        <v>45344232.229999997</v>
      </c>
      <c r="J59" s="4">
        <f>SUMIFS(Tab_03.Mar[SALDO
ATUAL],Tab_03.Mar[CONTA],$F59)</f>
        <v>45344232.229999997</v>
      </c>
      <c r="K59" s="4">
        <f>SUMIFS(Tab_04.Abr[SALDO
ATUAL],Tab_04.Abr[CONTA],$F59)</f>
        <v>45344232.229999997</v>
      </c>
      <c r="L59" s="4">
        <f>SUMIFS(Tab_05.Mai[SALDO
ATUAL],Tab_05.Mai[CONTA],$F59)</f>
        <v>45344232.229999997</v>
      </c>
      <c r="M59" s="4">
        <f>SUMIFS(Tab_06.Jun[SALDO
ATUAL],Tab_06.Jun[CONTA],$F59)</f>
        <v>45344232.229999997</v>
      </c>
      <c r="N59" s="4">
        <f>SUMIFS(Tab_07.Jul[SALDO
ATUAL],Tab_07.Jul[CONTA],$F59)</f>
        <v>45344232.229999997</v>
      </c>
      <c r="O59" s="4">
        <f>SUMIFS(Tab_08.Ago[SALDO
ATUAL],Tab_08.Ago[CONTA],$F59)</f>
        <v>45344232.229999997</v>
      </c>
      <c r="P59" s="4">
        <f>SUMIFS(Tab_09.Set[SALDO
ATUAL],Tab_09.Set[CONTA],$F59)</f>
        <v>45344232.229999997</v>
      </c>
      <c r="Q59" s="4">
        <f>SUMIFS(Tab_10.Out[SALDO
ATUAL],Tab_10.Out[CONTA],$F59)</f>
        <v>45344232.229999997</v>
      </c>
      <c r="R59" s="4">
        <f>SUMIFS(Tab_11.Nov[SALDO
ATUAL],Tab_11.Nov[CONTA],$F59)</f>
        <v>45344232.229999997</v>
      </c>
      <c r="S59" s="4">
        <f>SUMIFS(Tab_12.Dez[SALDO
ATUAL],Tab_12.Dez[CONTA],$F59)</f>
        <v>45344232.229999997</v>
      </c>
    </row>
    <row r="60" spans="2:19" x14ac:dyDescent="0.3">
      <c r="B60" s="3" t="s">
        <v>117</v>
      </c>
      <c r="C60" s="2" t="str">
        <f t="shared" si="3"/>
        <v>A</v>
      </c>
      <c r="D60" s="2" t="str">
        <f t="shared" si="4"/>
        <v>A</v>
      </c>
      <c r="E60" s="2">
        <f t="shared" si="5"/>
        <v>5</v>
      </c>
      <c r="F60" s="3" t="s">
        <v>302</v>
      </c>
      <c r="G60" s="3" t="s">
        <v>303</v>
      </c>
      <c r="H60" s="4">
        <f>SUMIFS(Tab_01.Jan[SALDO
ATUAL],Tab_01.Jan[CONTA],$F60)</f>
        <v>42477392.43</v>
      </c>
      <c r="I60" s="4">
        <f>SUMIFS(Tab_02.Fev[SALDO
ATUAL],Tab_02.Fev[CONTA],$F60)</f>
        <v>42477392.43</v>
      </c>
      <c r="J60" s="4">
        <f>SUMIFS(Tab_03.Mar[SALDO
ATUAL],Tab_03.Mar[CONTA],$F60)</f>
        <v>42477392.43</v>
      </c>
      <c r="K60" s="4">
        <f>SUMIFS(Tab_04.Abr[SALDO
ATUAL],Tab_04.Abr[CONTA],$F60)</f>
        <v>42477392.43</v>
      </c>
      <c r="L60" s="4">
        <f>SUMIFS(Tab_05.Mai[SALDO
ATUAL],Tab_05.Mai[CONTA],$F60)</f>
        <v>42477392.43</v>
      </c>
      <c r="M60" s="4">
        <f>SUMIFS(Tab_06.Jun[SALDO
ATUAL],Tab_06.Jun[CONTA],$F60)</f>
        <v>42477392.43</v>
      </c>
      <c r="N60" s="4">
        <f>SUMIFS(Tab_07.Jul[SALDO
ATUAL],Tab_07.Jul[CONTA],$F60)</f>
        <v>42477392.43</v>
      </c>
      <c r="O60" s="4">
        <f>SUMIFS(Tab_08.Ago[SALDO
ATUAL],Tab_08.Ago[CONTA],$F60)</f>
        <v>42477392.43</v>
      </c>
      <c r="P60" s="4">
        <f>SUMIFS(Tab_09.Set[SALDO
ATUAL],Tab_09.Set[CONTA],$F60)</f>
        <v>42477392.43</v>
      </c>
      <c r="Q60" s="4">
        <f>SUMIFS(Tab_10.Out[SALDO
ATUAL],Tab_10.Out[CONTA],$F60)</f>
        <v>42477392.43</v>
      </c>
      <c r="R60" s="4">
        <f>SUMIFS(Tab_11.Nov[SALDO
ATUAL],Tab_11.Nov[CONTA],$F60)</f>
        <v>42477392.43</v>
      </c>
      <c r="S60" s="4">
        <f>SUMIFS(Tab_12.Dez[SALDO
ATUAL],Tab_12.Dez[CONTA],$F60)</f>
        <v>42477392.43</v>
      </c>
    </row>
    <row r="61" spans="2:19" x14ac:dyDescent="0.3">
      <c r="B61" s="3" t="s">
        <v>117</v>
      </c>
      <c r="C61" s="2" t="str">
        <f t="shared" si="3"/>
        <v>A</v>
      </c>
      <c r="D61" s="2" t="str">
        <f t="shared" si="4"/>
        <v>A</v>
      </c>
      <c r="E61" s="2">
        <f t="shared" si="5"/>
        <v>5</v>
      </c>
      <c r="F61" s="3" t="s">
        <v>304</v>
      </c>
      <c r="G61" s="3" t="s">
        <v>305</v>
      </c>
      <c r="H61" s="4">
        <f>SUMIFS(Tab_01.Jan[SALDO
ATUAL],Tab_01.Jan[CONTA],$F61)</f>
        <v>2866839.8</v>
      </c>
      <c r="I61" s="4">
        <f>SUMIFS(Tab_02.Fev[SALDO
ATUAL],Tab_02.Fev[CONTA],$F61)</f>
        <v>2866839.8</v>
      </c>
      <c r="J61" s="4">
        <f>SUMIFS(Tab_03.Mar[SALDO
ATUAL],Tab_03.Mar[CONTA],$F61)</f>
        <v>2866839.8</v>
      </c>
      <c r="K61" s="4">
        <f>SUMIFS(Tab_04.Abr[SALDO
ATUAL],Tab_04.Abr[CONTA],$F61)</f>
        <v>2866839.8</v>
      </c>
      <c r="L61" s="4">
        <f>SUMIFS(Tab_05.Mai[SALDO
ATUAL],Tab_05.Mai[CONTA],$F61)</f>
        <v>2866839.8</v>
      </c>
      <c r="M61" s="4">
        <f>SUMIFS(Tab_06.Jun[SALDO
ATUAL],Tab_06.Jun[CONTA],$F61)</f>
        <v>2866839.8</v>
      </c>
      <c r="N61" s="4">
        <f>SUMIFS(Tab_07.Jul[SALDO
ATUAL],Tab_07.Jul[CONTA],$F61)</f>
        <v>2866839.8</v>
      </c>
      <c r="O61" s="4">
        <f>SUMIFS(Tab_08.Ago[SALDO
ATUAL],Tab_08.Ago[CONTA],$F61)</f>
        <v>2866839.8</v>
      </c>
      <c r="P61" s="4">
        <f>SUMIFS(Tab_09.Set[SALDO
ATUAL],Tab_09.Set[CONTA],$F61)</f>
        <v>2866839.8</v>
      </c>
      <c r="Q61" s="4">
        <f>SUMIFS(Tab_10.Out[SALDO
ATUAL],Tab_10.Out[CONTA],$F61)</f>
        <v>2866839.8</v>
      </c>
      <c r="R61" s="4">
        <f>SUMIFS(Tab_11.Nov[SALDO
ATUAL],Tab_11.Nov[CONTA],$F61)</f>
        <v>2866839.8</v>
      </c>
      <c r="S61" s="4">
        <f>SUMIFS(Tab_12.Dez[SALDO
ATUAL],Tab_12.Dez[CONTA],$F61)</f>
        <v>2866839.8</v>
      </c>
    </row>
    <row r="62" spans="2:19" x14ac:dyDescent="0.3">
      <c r="B62" s="3"/>
      <c r="C62" s="2" t="str">
        <f t="shared" si="3"/>
        <v>A</v>
      </c>
      <c r="D62" s="2" t="str">
        <f>IF($F62="","",IF(LEN($F62)=13,"A","S"))</f>
        <v>S</v>
      </c>
      <c r="E62" s="2">
        <f>IF($F62="","",IF(LEN($F62)=1,1,IF(LEN($F62)=3,2,IF(LEN($F62)=5,3,IF(LEN($F62)=8,4,5)))))</f>
        <v>5</v>
      </c>
      <c r="F62" s="3" t="s">
        <v>556</v>
      </c>
      <c r="G62" s="3" t="s">
        <v>650</v>
      </c>
      <c r="H62" s="4">
        <f>SUMIFS(Tab_01.Jan[SALDO
ATUAL],Tab_01.Jan[CONTA],$F62)</f>
        <v>4760.84</v>
      </c>
      <c r="I62" s="4">
        <f>SUMIFS(Tab_02.Fev[SALDO
ATUAL],Tab_02.Fev[CONTA],$F62)</f>
        <v>4760.84</v>
      </c>
      <c r="J62" s="4">
        <f>SUMIFS(Tab_03.Mar[SALDO
ATUAL],Tab_03.Mar[CONTA],$F62)</f>
        <v>4760.84</v>
      </c>
      <c r="K62" s="4">
        <f>SUMIFS(Tab_04.Abr[SALDO
ATUAL],Tab_04.Abr[CONTA],$F62)</f>
        <v>4760.84</v>
      </c>
      <c r="L62" s="4">
        <f>SUMIFS(Tab_05.Mai[SALDO
ATUAL],Tab_05.Mai[CONTA],$F62)</f>
        <v>4760.84</v>
      </c>
      <c r="M62" s="4">
        <f>SUMIFS(Tab_06.Jun[SALDO
ATUAL],Tab_06.Jun[CONTA],$F62)</f>
        <v>4760.84</v>
      </c>
      <c r="N62" s="4">
        <f>SUMIFS(Tab_07.Jul[SALDO
ATUAL],Tab_07.Jul[CONTA],$F62)</f>
        <v>4760.84</v>
      </c>
      <c r="O62" s="4">
        <f>SUMIFS(Tab_08.Ago[SALDO
ATUAL],Tab_08.Ago[CONTA],$F62)</f>
        <v>4760.84</v>
      </c>
      <c r="P62" s="4">
        <f>SUMIFS(Tab_09.Set[SALDO
ATUAL],Tab_09.Set[CONTA],$F62)</f>
        <v>4760.84</v>
      </c>
      <c r="Q62" s="4">
        <f>SUMIFS(Tab_10.Out[SALDO
ATUAL],Tab_10.Out[CONTA],$F62)</f>
        <v>4760.84</v>
      </c>
      <c r="R62" s="4">
        <f>SUMIFS(Tab_11.Nov[SALDO
ATUAL],Tab_11.Nov[CONTA],$F62)</f>
        <v>4760.84</v>
      </c>
      <c r="S62" s="4">
        <f>SUMIFS(Tab_12.Dez[SALDO
ATUAL],Tab_12.Dez[CONTA],$F62)</f>
        <v>4760.84</v>
      </c>
    </row>
    <row r="63" spans="2:19" x14ac:dyDescent="0.3">
      <c r="B63" s="3" t="s">
        <v>117</v>
      </c>
      <c r="C63" s="2" t="str">
        <f t="shared" si="3"/>
        <v>A</v>
      </c>
      <c r="D63" s="2" t="str">
        <f t="shared" si="4"/>
        <v>A</v>
      </c>
      <c r="E63" s="2">
        <f t="shared" si="5"/>
        <v>5</v>
      </c>
      <c r="F63" s="3" t="s">
        <v>306</v>
      </c>
      <c r="G63" s="3" t="s">
        <v>307</v>
      </c>
      <c r="H63" s="4">
        <f>SUMIFS(Tab_01.Jan[SALDO
ATUAL],Tab_01.Jan[CONTA],$F63)</f>
        <v>4760.84</v>
      </c>
      <c r="I63" s="4">
        <f>SUMIFS(Tab_02.Fev[SALDO
ATUAL],Tab_02.Fev[CONTA],$F63)</f>
        <v>4760.84</v>
      </c>
      <c r="J63" s="4">
        <f>SUMIFS(Tab_03.Mar[SALDO
ATUAL],Tab_03.Mar[CONTA],$F63)</f>
        <v>4760.84</v>
      </c>
      <c r="K63" s="4">
        <f>SUMIFS(Tab_04.Abr[SALDO
ATUAL],Tab_04.Abr[CONTA],$F63)</f>
        <v>4760.84</v>
      </c>
      <c r="L63" s="4">
        <f>SUMIFS(Tab_05.Mai[SALDO
ATUAL],Tab_05.Mai[CONTA],$F63)</f>
        <v>4760.84</v>
      </c>
      <c r="M63" s="4">
        <f>SUMIFS(Tab_06.Jun[SALDO
ATUAL],Tab_06.Jun[CONTA],$F63)</f>
        <v>4760.84</v>
      </c>
      <c r="N63" s="4">
        <f>SUMIFS(Tab_07.Jul[SALDO
ATUAL],Tab_07.Jul[CONTA],$F63)</f>
        <v>4760.84</v>
      </c>
      <c r="O63" s="4">
        <f>SUMIFS(Tab_08.Ago[SALDO
ATUAL],Tab_08.Ago[CONTA],$F63)</f>
        <v>4760.84</v>
      </c>
      <c r="P63" s="4">
        <f>SUMIFS(Tab_09.Set[SALDO
ATUAL],Tab_09.Set[CONTA],$F63)</f>
        <v>4760.84</v>
      </c>
      <c r="Q63" s="4">
        <f>SUMIFS(Tab_10.Out[SALDO
ATUAL],Tab_10.Out[CONTA],$F63)</f>
        <v>4760.84</v>
      </c>
      <c r="R63" s="4">
        <f>SUMIFS(Tab_11.Nov[SALDO
ATUAL],Tab_11.Nov[CONTA],$F63)</f>
        <v>4760.84</v>
      </c>
      <c r="S63" s="4">
        <f>SUMIFS(Tab_12.Dez[SALDO
ATUAL],Tab_12.Dez[CONTA],$F63)</f>
        <v>4760.84</v>
      </c>
    </row>
    <row r="64" spans="2:19" x14ac:dyDescent="0.3">
      <c r="B64" s="3"/>
      <c r="C64" s="2" t="str">
        <f t="shared" si="3"/>
        <v>A</v>
      </c>
      <c r="D64" s="2" t="str">
        <f t="shared" si="4"/>
        <v>S</v>
      </c>
      <c r="E64" s="2">
        <f t="shared" si="5"/>
        <v>5</v>
      </c>
      <c r="F64" s="3" t="s">
        <v>557</v>
      </c>
      <c r="G64" s="3" t="s">
        <v>309</v>
      </c>
      <c r="H64" s="4">
        <f>SUMIFS(Tab_01.Jan[SALDO
ATUAL],Tab_01.Jan[CONTA],$F64)</f>
        <v>24698297</v>
      </c>
      <c r="I64" s="4">
        <f>SUMIFS(Tab_02.Fev[SALDO
ATUAL],Tab_02.Fev[CONTA],$F64)</f>
        <v>24698297</v>
      </c>
      <c r="J64" s="4">
        <f>SUMIFS(Tab_03.Mar[SALDO
ATUAL],Tab_03.Mar[CONTA],$F64)</f>
        <v>25048650.870000001</v>
      </c>
      <c r="K64" s="4">
        <f>SUMIFS(Tab_04.Abr[SALDO
ATUAL],Tab_04.Abr[CONTA],$F64)</f>
        <v>24933831.27</v>
      </c>
      <c r="L64" s="4">
        <f>SUMIFS(Tab_05.Mai[SALDO
ATUAL],Tab_05.Mai[CONTA],$F64)</f>
        <v>25173527.609999999</v>
      </c>
      <c r="M64" s="4">
        <f>SUMIFS(Tab_06.Jun[SALDO
ATUAL],Tab_06.Jun[CONTA],$F64)</f>
        <v>25628848</v>
      </c>
      <c r="N64" s="4">
        <f>SUMIFS(Tab_07.Jul[SALDO
ATUAL],Tab_07.Jul[CONTA],$F64)</f>
        <v>25628848</v>
      </c>
      <c r="O64" s="4">
        <f>SUMIFS(Tab_08.Ago[SALDO
ATUAL],Tab_08.Ago[CONTA],$F64)</f>
        <v>25628848</v>
      </c>
      <c r="P64" s="4">
        <f>SUMIFS(Tab_09.Set[SALDO
ATUAL],Tab_09.Set[CONTA],$F64)</f>
        <v>25968003</v>
      </c>
      <c r="Q64" s="4">
        <f>SUMIFS(Tab_10.Out[SALDO
ATUAL],Tab_10.Out[CONTA],$F64)</f>
        <v>26078405</v>
      </c>
      <c r="R64" s="4">
        <f>SUMIFS(Tab_11.Nov[SALDO
ATUAL],Tab_11.Nov[CONTA],$F64)</f>
        <v>26322642</v>
      </c>
      <c r="S64" s="4">
        <f>SUMIFS(Tab_12.Dez[SALDO
ATUAL],Tab_12.Dez[CONTA],$F64)</f>
        <v>26183193</v>
      </c>
    </row>
    <row r="65" spans="2:19" x14ac:dyDescent="0.3">
      <c r="B65" s="3" t="s">
        <v>92</v>
      </c>
      <c r="C65" s="2" t="str">
        <f t="shared" si="3"/>
        <v>A</v>
      </c>
      <c r="D65" s="2" t="str">
        <f t="shared" si="4"/>
        <v>A</v>
      </c>
      <c r="E65" s="2">
        <f t="shared" si="5"/>
        <v>5</v>
      </c>
      <c r="F65" s="3" t="s">
        <v>308</v>
      </c>
      <c r="G65" s="3" t="s">
        <v>309</v>
      </c>
      <c r="H65" s="4">
        <f>SUMIFS(Tab_01.Jan[SALDO
ATUAL],Tab_01.Jan[CONTA],$F65)</f>
        <v>24698297</v>
      </c>
      <c r="I65" s="4">
        <f>SUMIFS(Tab_02.Fev[SALDO
ATUAL],Tab_02.Fev[CONTA],$F65)</f>
        <v>24698297</v>
      </c>
      <c r="J65" s="4">
        <f>SUMIFS(Tab_03.Mar[SALDO
ATUAL],Tab_03.Mar[CONTA],$F65)</f>
        <v>25048650.870000001</v>
      </c>
      <c r="K65" s="4">
        <f>SUMIFS(Tab_04.Abr[SALDO
ATUAL],Tab_04.Abr[CONTA],$F65)</f>
        <v>24933831.27</v>
      </c>
      <c r="L65" s="4">
        <f>SUMIFS(Tab_05.Mai[SALDO
ATUAL],Tab_05.Mai[CONTA],$F65)</f>
        <v>25173527.609999999</v>
      </c>
      <c r="M65" s="4">
        <f>SUMIFS(Tab_06.Jun[SALDO
ATUAL],Tab_06.Jun[CONTA],$F65)</f>
        <v>25628848</v>
      </c>
      <c r="N65" s="4">
        <f>SUMIFS(Tab_07.Jul[SALDO
ATUAL],Tab_07.Jul[CONTA],$F65)</f>
        <v>25628848</v>
      </c>
      <c r="O65" s="4">
        <f>SUMIFS(Tab_08.Ago[SALDO
ATUAL],Tab_08.Ago[CONTA],$F65)</f>
        <v>25628848</v>
      </c>
      <c r="P65" s="4">
        <f>SUMIFS(Tab_09.Set[SALDO
ATUAL],Tab_09.Set[CONTA],$F65)</f>
        <v>25968003</v>
      </c>
      <c r="Q65" s="4">
        <f>SUMIFS(Tab_10.Out[SALDO
ATUAL],Tab_10.Out[CONTA],$F65)</f>
        <v>26078405</v>
      </c>
      <c r="R65" s="4">
        <f>SUMIFS(Tab_11.Nov[SALDO
ATUAL],Tab_11.Nov[CONTA],$F65)</f>
        <v>26322642</v>
      </c>
      <c r="S65" s="4">
        <f>SUMIFS(Tab_12.Dez[SALDO
ATUAL],Tab_12.Dez[CONTA],$F65)</f>
        <v>26183193</v>
      </c>
    </row>
    <row r="66" spans="2:19" x14ac:dyDescent="0.3">
      <c r="B66" s="3"/>
      <c r="C66" s="2" t="str">
        <f t="shared" si="3"/>
        <v>A</v>
      </c>
      <c r="D66" s="2" t="str">
        <f t="shared" si="4"/>
        <v>S</v>
      </c>
      <c r="E66" s="2">
        <f t="shared" si="5"/>
        <v>5</v>
      </c>
      <c r="F66" s="3" t="s">
        <v>213</v>
      </c>
      <c r="G66" s="3" t="s">
        <v>35</v>
      </c>
      <c r="H66" s="4">
        <f>SUMIFS(Tab_01.Jan[SALDO
ATUAL],Tab_01.Jan[CONTA],$F66)</f>
        <v>2330317.4500000002</v>
      </c>
      <c r="I66" s="4">
        <f>SUMIFS(Tab_02.Fev[SALDO
ATUAL],Tab_02.Fev[CONTA],$F66)</f>
        <v>2330317.4500000002</v>
      </c>
      <c r="J66" s="4">
        <f>SUMIFS(Tab_03.Mar[SALDO
ATUAL],Tab_03.Mar[CONTA],$F66)</f>
        <v>2339989.5499999998</v>
      </c>
      <c r="K66" s="4">
        <f>SUMIFS(Tab_04.Abr[SALDO
ATUAL],Tab_04.Abr[CONTA],$F66)</f>
        <v>2356493.87</v>
      </c>
      <c r="L66" s="4">
        <f>SUMIFS(Tab_05.Mai[SALDO
ATUAL],Tab_05.Mai[CONTA],$F66)</f>
        <v>2372232.91</v>
      </c>
      <c r="M66" s="4">
        <f>SUMIFS(Tab_06.Jun[SALDO
ATUAL],Tab_06.Jun[CONTA],$F66)</f>
        <v>2365645.81</v>
      </c>
      <c r="N66" s="4">
        <f>SUMIFS(Tab_07.Jul[SALDO
ATUAL],Tab_07.Jul[CONTA],$F66)</f>
        <v>2365645.81</v>
      </c>
      <c r="O66" s="4">
        <f>SUMIFS(Tab_08.Ago[SALDO
ATUAL],Tab_08.Ago[CONTA],$F66)</f>
        <v>2365645.81</v>
      </c>
      <c r="P66" s="4">
        <f>SUMIFS(Tab_09.Set[SALDO
ATUAL],Tab_09.Set[CONTA],$F66)</f>
        <v>2360543.31</v>
      </c>
      <c r="Q66" s="4">
        <f>SUMIFS(Tab_10.Out[SALDO
ATUAL],Tab_10.Out[CONTA],$F66)</f>
        <v>2356876.56</v>
      </c>
      <c r="R66" s="4">
        <f>SUMIFS(Tab_11.Nov[SALDO
ATUAL],Tab_11.Nov[CONTA],$F66)</f>
        <v>2354549.81</v>
      </c>
      <c r="S66" s="4">
        <f>SUMIFS(Tab_12.Dez[SALDO
ATUAL],Tab_12.Dez[CONTA],$F66)</f>
        <v>2355889.34</v>
      </c>
    </row>
    <row r="67" spans="2:19" x14ac:dyDescent="0.3">
      <c r="B67" s="3"/>
      <c r="C67" s="2" t="str">
        <f t="shared" si="3"/>
        <v>A</v>
      </c>
      <c r="D67" s="2" t="str">
        <f t="shared" si="4"/>
        <v>S</v>
      </c>
      <c r="E67" s="2">
        <f t="shared" si="5"/>
        <v>5</v>
      </c>
      <c r="F67" s="3" t="s">
        <v>214</v>
      </c>
      <c r="G67" s="3" t="s">
        <v>651</v>
      </c>
      <c r="H67" s="4">
        <f>SUMIFS(Tab_01.Jan[SALDO
ATUAL],Tab_01.Jan[CONTA],$F67)</f>
        <v>3487455.56</v>
      </c>
      <c r="I67" s="4">
        <f>SUMIFS(Tab_02.Fev[SALDO
ATUAL],Tab_02.Fev[CONTA],$F67)</f>
        <v>3487455.56</v>
      </c>
      <c r="J67" s="4">
        <f>SUMIFS(Tab_03.Mar[SALDO
ATUAL],Tab_03.Mar[CONTA],$F67)</f>
        <v>3506044.45</v>
      </c>
      <c r="K67" s="4">
        <f>SUMIFS(Tab_04.Abr[SALDO
ATUAL],Tab_04.Abr[CONTA],$F67)</f>
        <v>3526215.82</v>
      </c>
      <c r="L67" s="4">
        <f>SUMIFS(Tab_05.Mai[SALDO
ATUAL],Tab_05.Mai[CONTA],$F67)</f>
        <v>3545621.91</v>
      </c>
      <c r="M67" s="4">
        <f>SUMIFS(Tab_06.Jun[SALDO
ATUAL],Tab_06.Jun[CONTA],$F67)</f>
        <v>3546368.31</v>
      </c>
      <c r="N67" s="4">
        <f>SUMIFS(Tab_07.Jul[SALDO
ATUAL],Tab_07.Jul[CONTA],$F67)</f>
        <v>3546368.31</v>
      </c>
      <c r="O67" s="4">
        <f>SUMIFS(Tab_08.Ago[SALDO
ATUAL],Tab_08.Ago[CONTA],$F67)</f>
        <v>3546368.31</v>
      </c>
      <c r="P67" s="4">
        <f>SUMIFS(Tab_09.Set[SALDO
ATUAL],Tab_09.Set[CONTA],$F67)</f>
        <v>3548599.31</v>
      </c>
      <c r="Q67" s="4">
        <f>SUMIFS(Tab_10.Out[SALDO
ATUAL],Tab_10.Out[CONTA],$F67)</f>
        <v>3548599.31</v>
      </c>
      <c r="R67" s="4">
        <f>SUMIFS(Tab_11.Nov[SALDO
ATUAL],Tab_11.Nov[CONTA],$F67)</f>
        <v>3549939.31</v>
      </c>
      <c r="S67" s="4">
        <f>SUMIFS(Tab_12.Dez[SALDO
ATUAL],Tab_12.Dez[CONTA],$F67)</f>
        <v>3554945.59</v>
      </c>
    </row>
    <row r="68" spans="2:19" x14ac:dyDescent="0.3">
      <c r="B68" s="3" t="s">
        <v>118</v>
      </c>
      <c r="C68" s="2" t="str">
        <f t="shared" si="3"/>
        <v>A</v>
      </c>
      <c r="D68" s="2" t="str">
        <f>IF($F68="","",IF(LEN($F68)=13,"A","S"))</f>
        <v>A</v>
      </c>
      <c r="E68" s="2">
        <f>IF($F68="","",IF(LEN($F68)=1,1,IF(LEN($F68)=3,2,IF(LEN($F68)=5,3,IF(LEN($F68)=8,4,5)))))</f>
        <v>5</v>
      </c>
      <c r="F68" s="3" t="s">
        <v>310</v>
      </c>
      <c r="G68" s="3" t="s">
        <v>311</v>
      </c>
      <c r="H68" s="4">
        <f>SUMIFS(Tab_01.Jan[SALDO
ATUAL],Tab_01.Jan[CONTA],$F68)</f>
        <v>1379260.84</v>
      </c>
      <c r="I68" s="4">
        <f>SUMIFS(Tab_02.Fev[SALDO
ATUAL],Tab_02.Fev[CONTA],$F68)</f>
        <v>1379260.84</v>
      </c>
      <c r="J68" s="4">
        <f>SUMIFS(Tab_03.Mar[SALDO
ATUAL],Tab_03.Mar[CONTA],$F68)</f>
        <v>1379260.84</v>
      </c>
      <c r="K68" s="4">
        <f>SUMIFS(Tab_04.Abr[SALDO
ATUAL],Tab_04.Abr[CONTA],$F68)</f>
        <v>1379260.84</v>
      </c>
      <c r="L68" s="4">
        <f>SUMIFS(Tab_05.Mai[SALDO
ATUAL],Tab_05.Mai[CONTA],$F68)</f>
        <v>1379260.84</v>
      </c>
      <c r="M68" s="4">
        <f>SUMIFS(Tab_06.Jun[SALDO
ATUAL],Tab_06.Jun[CONTA],$F68)</f>
        <v>1379260.84</v>
      </c>
      <c r="N68" s="4">
        <f>SUMIFS(Tab_07.Jul[SALDO
ATUAL],Tab_07.Jul[CONTA],$F68)</f>
        <v>1379260.84</v>
      </c>
      <c r="O68" s="4">
        <f>SUMIFS(Tab_08.Ago[SALDO
ATUAL],Tab_08.Ago[CONTA],$F68)</f>
        <v>1379260.84</v>
      </c>
      <c r="P68" s="4">
        <f>SUMIFS(Tab_09.Set[SALDO
ATUAL],Tab_09.Set[CONTA],$F68)</f>
        <v>1379260.84</v>
      </c>
      <c r="Q68" s="4">
        <f>SUMIFS(Tab_10.Out[SALDO
ATUAL],Tab_10.Out[CONTA],$F68)</f>
        <v>1379260.84</v>
      </c>
      <c r="R68" s="4">
        <f>SUMIFS(Tab_11.Nov[SALDO
ATUAL],Tab_11.Nov[CONTA],$F68)</f>
        <v>1379260.84</v>
      </c>
      <c r="S68" s="4">
        <f>SUMIFS(Tab_12.Dez[SALDO
ATUAL],Tab_12.Dez[CONTA],$F68)</f>
        <v>1379260.84</v>
      </c>
    </row>
    <row r="69" spans="2:19" x14ac:dyDescent="0.3">
      <c r="B69" s="3" t="s">
        <v>118</v>
      </c>
      <c r="C69" s="2" t="str">
        <f t="shared" si="3"/>
        <v>A</v>
      </c>
      <c r="D69" s="2" t="str">
        <f t="shared" si="4"/>
        <v>A</v>
      </c>
      <c r="E69" s="2">
        <f t="shared" si="5"/>
        <v>5</v>
      </c>
      <c r="F69" s="3" t="s">
        <v>312</v>
      </c>
      <c r="G69" s="3" t="s">
        <v>313</v>
      </c>
      <c r="H69" s="4">
        <f>SUMIFS(Tab_01.Jan[SALDO
ATUAL],Tab_01.Jan[CONTA],$F69)</f>
        <v>1233996.98</v>
      </c>
      <c r="I69" s="4">
        <f>SUMIFS(Tab_02.Fev[SALDO
ATUAL],Tab_02.Fev[CONTA],$F69)</f>
        <v>1233996.98</v>
      </c>
      <c r="J69" s="4">
        <f>SUMIFS(Tab_03.Mar[SALDO
ATUAL],Tab_03.Mar[CONTA],$F69)</f>
        <v>1252585.8700000001</v>
      </c>
      <c r="K69" s="4">
        <f>SUMIFS(Tab_04.Abr[SALDO
ATUAL],Tab_04.Abr[CONTA],$F69)</f>
        <v>1271804.96</v>
      </c>
      <c r="L69" s="4">
        <f>SUMIFS(Tab_05.Mai[SALDO
ATUAL],Tab_05.Mai[CONTA],$F69)</f>
        <v>1290393.8500000001</v>
      </c>
      <c r="M69" s="4">
        <f>SUMIFS(Tab_06.Jun[SALDO
ATUAL],Tab_06.Jun[CONTA],$F69)</f>
        <v>1291140.25</v>
      </c>
      <c r="N69" s="4">
        <f>SUMIFS(Tab_07.Jul[SALDO
ATUAL],Tab_07.Jul[CONTA],$F69)</f>
        <v>1291140.25</v>
      </c>
      <c r="O69" s="4">
        <f>SUMIFS(Tab_08.Ago[SALDO
ATUAL],Tab_08.Ago[CONTA],$F69)</f>
        <v>1291140.25</v>
      </c>
      <c r="P69" s="4">
        <f>SUMIFS(Tab_09.Set[SALDO
ATUAL],Tab_09.Set[CONTA],$F69)</f>
        <v>1293371.25</v>
      </c>
      <c r="Q69" s="4">
        <f>SUMIFS(Tab_10.Out[SALDO
ATUAL],Tab_10.Out[CONTA],$F69)</f>
        <v>1293371.25</v>
      </c>
      <c r="R69" s="4">
        <f>SUMIFS(Tab_11.Nov[SALDO
ATUAL],Tab_11.Nov[CONTA],$F69)</f>
        <v>1293371.25</v>
      </c>
      <c r="S69" s="4">
        <f>SUMIFS(Tab_12.Dez[SALDO
ATUAL],Tab_12.Dez[CONTA],$F69)</f>
        <v>1296704.5900000001</v>
      </c>
    </row>
    <row r="70" spans="2:19" x14ac:dyDescent="0.3">
      <c r="B70" s="3" t="s">
        <v>118</v>
      </c>
      <c r="C70" s="2" t="str">
        <f t="shared" si="3"/>
        <v>A</v>
      </c>
      <c r="D70" s="2" t="str">
        <f>IF($F70="","",IF(LEN($F70)=13,"A","S"))</f>
        <v>A</v>
      </c>
      <c r="E70" s="2">
        <f>IF($F70="","",IF(LEN($F70)=1,1,IF(LEN($F70)=3,2,IF(LEN($F70)=5,3,IF(LEN($F70)=8,4,5)))))</f>
        <v>5</v>
      </c>
      <c r="F70" s="3" t="s">
        <v>181</v>
      </c>
      <c r="G70" s="3" t="s">
        <v>314</v>
      </c>
      <c r="H70" s="4">
        <f>SUMIFS(Tab_01.Jan[SALDO
ATUAL],Tab_01.Jan[CONTA],$F70)</f>
        <v>23000</v>
      </c>
      <c r="I70" s="4">
        <f>SUMIFS(Tab_02.Fev[SALDO
ATUAL],Tab_02.Fev[CONTA],$F70)</f>
        <v>23000</v>
      </c>
      <c r="J70" s="4">
        <f>SUMIFS(Tab_03.Mar[SALDO
ATUAL],Tab_03.Mar[CONTA],$F70)</f>
        <v>23000</v>
      </c>
      <c r="K70" s="4">
        <f>SUMIFS(Tab_04.Abr[SALDO
ATUAL],Tab_04.Abr[CONTA],$F70)</f>
        <v>23000</v>
      </c>
      <c r="L70" s="4">
        <f>SUMIFS(Tab_05.Mai[SALDO
ATUAL],Tab_05.Mai[CONTA],$F70)</f>
        <v>23000</v>
      </c>
      <c r="M70" s="4">
        <f>SUMIFS(Tab_06.Jun[SALDO
ATUAL],Tab_06.Jun[CONTA],$F70)</f>
        <v>23000</v>
      </c>
      <c r="N70" s="4">
        <f>SUMIFS(Tab_07.Jul[SALDO
ATUAL],Tab_07.Jul[CONTA],$F70)</f>
        <v>23000</v>
      </c>
      <c r="O70" s="4">
        <f>SUMIFS(Tab_08.Ago[SALDO
ATUAL],Tab_08.Ago[CONTA],$F70)</f>
        <v>23000</v>
      </c>
      <c r="P70" s="4">
        <f>SUMIFS(Tab_09.Set[SALDO
ATUAL],Tab_09.Set[CONTA],$F70)</f>
        <v>23000</v>
      </c>
      <c r="Q70" s="4">
        <f>SUMIFS(Tab_10.Out[SALDO
ATUAL],Tab_10.Out[CONTA],$F70)</f>
        <v>23000</v>
      </c>
      <c r="R70" s="4">
        <f>SUMIFS(Tab_11.Nov[SALDO
ATUAL],Tab_11.Nov[CONTA],$F70)</f>
        <v>23000</v>
      </c>
      <c r="S70" s="4">
        <f>SUMIFS(Tab_12.Dez[SALDO
ATUAL],Tab_12.Dez[CONTA],$F70)</f>
        <v>23000</v>
      </c>
    </row>
    <row r="71" spans="2:19" x14ac:dyDescent="0.3">
      <c r="B71" s="3" t="s">
        <v>118</v>
      </c>
      <c r="C71" s="2" t="str">
        <f t="shared" si="3"/>
        <v>A</v>
      </c>
      <c r="D71" s="2" t="str">
        <f>IF($F71="","",IF(LEN($F71)=13,"A","S"))</f>
        <v>A</v>
      </c>
      <c r="E71" s="2">
        <f>IF($F71="","",IF(LEN($F71)=1,1,IF(LEN($F71)=3,2,IF(LEN($F71)=5,3,IF(LEN($F71)=8,4,5)))))</f>
        <v>5</v>
      </c>
      <c r="F71" s="3" t="s">
        <v>182</v>
      </c>
      <c r="G71" s="3" t="s">
        <v>315</v>
      </c>
      <c r="H71" s="4">
        <f>SUMIFS(Tab_01.Jan[SALDO
ATUAL],Tab_01.Jan[CONTA],$F71)</f>
        <v>12594</v>
      </c>
      <c r="I71" s="4">
        <f>SUMIFS(Tab_02.Fev[SALDO
ATUAL],Tab_02.Fev[CONTA],$F71)</f>
        <v>12594</v>
      </c>
      <c r="J71" s="4">
        <f>SUMIFS(Tab_03.Mar[SALDO
ATUAL],Tab_03.Mar[CONTA],$F71)</f>
        <v>12594</v>
      </c>
      <c r="K71" s="4">
        <f>SUMIFS(Tab_04.Abr[SALDO
ATUAL],Tab_04.Abr[CONTA],$F71)</f>
        <v>12594</v>
      </c>
      <c r="L71" s="4">
        <f>SUMIFS(Tab_05.Mai[SALDO
ATUAL],Tab_05.Mai[CONTA],$F71)</f>
        <v>12594</v>
      </c>
      <c r="M71" s="4">
        <f>SUMIFS(Tab_06.Jun[SALDO
ATUAL],Tab_06.Jun[CONTA],$F71)</f>
        <v>12594</v>
      </c>
      <c r="N71" s="4">
        <f>SUMIFS(Tab_07.Jul[SALDO
ATUAL],Tab_07.Jul[CONTA],$F71)</f>
        <v>12594</v>
      </c>
      <c r="O71" s="4">
        <f>SUMIFS(Tab_08.Ago[SALDO
ATUAL],Tab_08.Ago[CONTA],$F71)</f>
        <v>12594</v>
      </c>
      <c r="P71" s="4">
        <f>SUMIFS(Tab_09.Set[SALDO
ATUAL],Tab_09.Set[CONTA],$F71)</f>
        <v>12594</v>
      </c>
      <c r="Q71" s="4">
        <f>SUMIFS(Tab_10.Out[SALDO
ATUAL],Tab_10.Out[CONTA],$F71)</f>
        <v>12594</v>
      </c>
      <c r="R71" s="4">
        <f>SUMIFS(Tab_11.Nov[SALDO
ATUAL],Tab_11.Nov[CONTA],$F71)</f>
        <v>12594</v>
      </c>
      <c r="S71" s="4">
        <f>SUMIFS(Tab_12.Dez[SALDO
ATUAL],Tab_12.Dez[CONTA],$F71)</f>
        <v>12594</v>
      </c>
    </row>
    <row r="72" spans="2:19" x14ac:dyDescent="0.3">
      <c r="B72" s="3" t="s">
        <v>118</v>
      </c>
      <c r="C72" s="2" t="str">
        <f t="shared" si="3"/>
        <v>A</v>
      </c>
      <c r="D72" s="2" t="str">
        <f>IF($F72="","",IF(LEN($F72)=13,"A","S"))</f>
        <v>A</v>
      </c>
      <c r="E72" s="2">
        <f>IF($F72="","",IF(LEN($F72)=1,1,IF(LEN($F72)=3,2,IF(LEN($F72)=5,3,IF(LEN($F72)=8,4,5)))))</f>
        <v>5</v>
      </c>
      <c r="F72" s="3" t="s">
        <v>183</v>
      </c>
      <c r="G72" s="3" t="s">
        <v>316</v>
      </c>
      <c r="H72" s="4">
        <f>SUMIFS(Tab_01.Jan[SALDO
ATUAL],Tab_01.Jan[CONTA],$F72)</f>
        <v>223690.57</v>
      </c>
      <c r="I72" s="4">
        <f>SUMIFS(Tab_02.Fev[SALDO
ATUAL],Tab_02.Fev[CONTA],$F72)</f>
        <v>223690.57</v>
      </c>
      <c r="J72" s="4">
        <f>SUMIFS(Tab_03.Mar[SALDO
ATUAL],Tab_03.Mar[CONTA],$F72)</f>
        <v>223690.57</v>
      </c>
      <c r="K72" s="4">
        <f>SUMIFS(Tab_04.Abr[SALDO
ATUAL],Tab_04.Abr[CONTA],$F72)</f>
        <v>224642.85</v>
      </c>
      <c r="L72" s="4">
        <f>SUMIFS(Tab_05.Mai[SALDO
ATUAL],Tab_05.Mai[CONTA],$F72)</f>
        <v>224642.85</v>
      </c>
      <c r="M72" s="4">
        <f>SUMIFS(Tab_06.Jun[SALDO
ATUAL],Tab_06.Jun[CONTA],$F72)</f>
        <v>224642.85</v>
      </c>
      <c r="N72" s="4">
        <f>SUMIFS(Tab_07.Jul[SALDO
ATUAL],Tab_07.Jul[CONTA],$F72)</f>
        <v>224642.85</v>
      </c>
      <c r="O72" s="4">
        <f>SUMIFS(Tab_08.Ago[SALDO
ATUAL],Tab_08.Ago[CONTA],$F72)</f>
        <v>224642.85</v>
      </c>
      <c r="P72" s="4">
        <f>SUMIFS(Tab_09.Set[SALDO
ATUAL],Tab_09.Set[CONTA],$F72)</f>
        <v>224642.85</v>
      </c>
      <c r="Q72" s="4">
        <f>SUMIFS(Tab_10.Out[SALDO
ATUAL],Tab_10.Out[CONTA],$F72)</f>
        <v>224642.85</v>
      </c>
      <c r="R72" s="4">
        <f>SUMIFS(Tab_11.Nov[SALDO
ATUAL],Tab_11.Nov[CONTA],$F72)</f>
        <v>224642.85</v>
      </c>
      <c r="S72" s="4">
        <f>SUMIFS(Tab_12.Dez[SALDO
ATUAL],Tab_12.Dez[CONTA],$F72)</f>
        <v>226315.79</v>
      </c>
    </row>
    <row r="73" spans="2:19" x14ac:dyDescent="0.3">
      <c r="B73" s="3" t="s">
        <v>118</v>
      </c>
      <c r="C73" s="2" t="str">
        <f t="shared" si="3"/>
        <v>A</v>
      </c>
      <c r="D73" s="2" t="str">
        <f t="shared" si="4"/>
        <v>A</v>
      </c>
      <c r="E73" s="2">
        <f t="shared" si="5"/>
        <v>5</v>
      </c>
      <c r="F73" s="3" t="s">
        <v>317</v>
      </c>
      <c r="G73" s="3" t="s">
        <v>318</v>
      </c>
      <c r="H73" s="4">
        <f>SUMIFS(Tab_01.Jan[SALDO
ATUAL],Tab_01.Jan[CONTA],$F73)</f>
        <v>7349.9</v>
      </c>
      <c r="I73" s="4">
        <f>SUMIFS(Tab_02.Fev[SALDO
ATUAL],Tab_02.Fev[CONTA],$F73)</f>
        <v>7349.9</v>
      </c>
      <c r="J73" s="4">
        <f>SUMIFS(Tab_03.Mar[SALDO
ATUAL],Tab_03.Mar[CONTA],$F73)</f>
        <v>7349.9</v>
      </c>
      <c r="K73" s="4">
        <f>SUMIFS(Tab_04.Abr[SALDO
ATUAL],Tab_04.Abr[CONTA],$F73)</f>
        <v>7349.9</v>
      </c>
      <c r="L73" s="4">
        <f>SUMIFS(Tab_05.Mai[SALDO
ATUAL],Tab_05.Mai[CONTA],$F73)</f>
        <v>7349.9</v>
      </c>
      <c r="M73" s="4">
        <f>SUMIFS(Tab_06.Jun[SALDO
ATUAL],Tab_06.Jun[CONTA],$F73)</f>
        <v>7349.9</v>
      </c>
      <c r="N73" s="4">
        <f>SUMIFS(Tab_07.Jul[SALDO
ATUAL],Tab_07.Jul[CONTA],$F73)</f>
        <v>7349.9</v>
      </c>
      <c r="O73" s="4">
        <f>SUMIFS(Tab_08.Ago[SALDO
ATUAL],Tab_08.Ago[CONTA],$F73)</f>
        <v>7349.9</v>
      </c>
      <c r="P73" s="4">
        <f>SUMIFS(Tab_09.Set[SALDO
ATUAL],Tab_09.Set[CONTA],$F73)</f>
        <v>7349.9</v>
      </c>
      <c r="Q73" s="4">
        <f>SUMIFS(Tab_10.Out[SALDO
ATUAL],Tab_10.Out[CONTA],$F73)</f>
        <v>7349.9</v>
      </c>
      <c r="R73" s="4">
        <f>SUMIFS(Tab_11.Nov[SALDO
ATUAL],Tab_11.Nov[CONTA],$F73)</f>
        <v>8689.9</v>
      </c>
      <c r="S73" s="4">
        <f>SUMIFS(Tab_12.Dez[SALDO
ATUAL],Tab_12.Dez[CONTA],$F73)</f>
        <v>8689.9</v>
      </c>
    </row>
    <row r="74" spans="2:19" x14ac:dyDescent="0.3">
      <c r="B74" s="3" t="s">
        <v>118</v>
      </c>
      <c r="C74" s="2" t="str">
        <f t="shared" si="3"/>
        <v>A</v>
      </c>
      <c r="D74" s="2" t="str">
        <f t="shared" si="4"/>
        <v>A</v>
      </c>
      <c r="E74" s="2">
        <f t="shared" si="5"/>
        <v>5</v>
      </c>
      <c r="F74" s="3" t="s">
        <v>184</v>
      </c>
      <c r="G74" s="3" t="s">
        <v>319</v>
      </c>
      <c r="H74" s="4">
        <f>SUMIFS(Tab_01.Jan[SALDO
ATUAL],Tab_01.Jan[CONTA],$F74)</f>
        <v>128697.03</v>
      </c>
      <c r="I74" s="4">
        <f>SUMIFS(Tab_02.Fev[SALDO
ATUAL],Tab_02.Fev[CONTA],$F74)</f>
        <v>128697.03</v>
      </c>
      <c r="J74" s="4">
        <f>SUMIFS(Tab_03.Mar[SALDO
ATUAL],Tab_03.Mar[CONTA],$F74)</f>
        <v>128697.03</v>
      </c>
      <c r="K74" s="4">
        <f>SUMIFS(Tab_04.Abr[SALDO
ATUAL],Tab_04.Abr[CONTA],$F74)</f>
        <v>128697.03</v>
      </c>
      <c r="L74" s="4">
        <f>SUMIFS(Tab_05.Mai[SALDO
ATUAL],Tab_05.Mai[CONTA],$F74)</f>
        <v>128697.03</v>
      </c>
      <c r="M74" s="4">
        <f>SUMIFS(Tab_06.Jun[SALDO
ATUAL],Tab_06.Jun[CONTA],$F74)</f>
        <v>128697.03</v>
      </c>
      <c r="N74" s="4">
        <f>SUMIFS(Tab_07.Jul[SALDO
ATUAL],Tab_07.Jul[CONTA],$F74)</f>
        <v>128697.03</v>
      </c>
      <c r="O74" s="4">
        <f>SUMIFS(Tab_08.Ago[SALDO
ATUAL],Tab_08.Ago[CONTA],$F74)</f>
        <v>128697.03</v>
      </c>
      <c r="P74" s="4">
        <f>SUMIFS(Tab_09.Set[SALDO
ATUAL],Tab_09.Set[CONTA],$F74)</f>
        <v>128697.03</v>
      </c>
      <c r="Q74" s="4">
        <f>SUMIFS(Tab_10.Out[SALDO
ATUAL],Tab_10.Out[CONTA],$F74)</f>
        <v>128697.03</v>
      </c>
      <c r="R74" s="4">
        <f>SUMIFS(Tab_11.Nov[SALDO
ATUAL],Tab_11.Nov[CONTA],$F74)</f>
        <v>128697.03</v>
      </c>
      <c r="S74" s="4">
        <f>SUMIFS(Tab_12.Dez[SALDO
ATUAL],Tab_12.Dez[CONTA],$F74)</f>
        <v>128697.03</v>
      </c>
    </row>
    <row r="75" spans="2:19" x14ac:dyDescent="0.3">
      <c r="B75" s="3" t="s">
        <v>118</v>
      </c>
      <c r="C75" s="2" t="str">
        <f t="shared" si="3"/>
        <v>A</v>
      </c>
      <c r="D75" s="2" t="str">
        <f>IF($F75="","",IF(LEN($F75)=13,"A","S"))</f>
        <v>A</v>
      </c>
      <c r="E75" s="2">
        <f>IF($F75="","",IF(LEN($F75)=1,1,IF(LEN($F75)=3,2,IF(LEN($F75)=5,3,IF(LEN($F75)=8,4,5)))))</f>
        <v>5</v>
      </c>
      <c r="F75" s="3" t="s">
        <v>185</v>
      </c>
      <c r="G75" s="3" t="s">
        <v>320</v>
      </c>
      <c r="H75" s="4">
        <f>SUMIFS(Tab_01.Jan[SALDO
ATUAL],Tab_01.Jan[CONTA],$F75)</f>
        <v>15029.74</v>
      </c>
      <c r="I75" s="4">
        <f>SUMIFS(Tab_02.Fev[SALDO
ATUAL],Tab_02.Fev[CONTA],$F75)</f>
        <v>15029.74</v>
      </c>
      <c r="J75" s="4">
        <f>SUMIFS(Tab_03.Mar[SALDO
ATUAL],Tab_03.Mar[CONTA],$F75)</f>
        <v>15029.74</v>
      </c>
      <c r="K75" s="4">
        <f>SUMIFS(Tab_04.Abr[SALDO
ATUAL],Tab_04.Abr[CONTA],$F75)</f>
        <v>15029.74</v>
      </c>
      <c r="L75" s="4">
        <f>SUMIFS(Tab_05.Mai[SALDO
ATUAL],Tab_05.Mai[CONTA],$F75)</f>
        <v>15029.74</v>
      </c>
      <c r="M75" s="4">
        <f>SUMIFS(Tab_06.Jun[SALDO
ATUAL],Tab_06.Jun[CONTA],$F75)</f>
        <v>15029.74</v>
      </c>
      <c r="N75" s="4">
        <f>SUMIFS(Tab_07.Jul[SALDO
ATUAL],Tab_07.Jul[CONTA],$F75)</f>
        <v>15029.74</v>
      </c>
      <c r="O75" s="4">
        <f>SUMIFS(Tab_08.Ago[SALDO
ATUAL],Tab_08.Ago[CONTA],$F75)</f>
        <v>15029.74</v>
      </c>
      <c r="P75" s="4">
        <f>SUMIFS(Tab_09.Set[SALDO
ATUAL],Tab_09.Set[CONTA],$F75)</f>
        <v>15029.74</v>
      </c>
      <c r="Q75" s="4">
        <f>SUMIFS(Tab_10.Out[SALDO
ATUAL],Tab_10.Out[CONTA],$F75)</f>
        <v>15029.74</v>
      </c>
      <c r="R75" s="4">
        <f>SUMIFS(Tab_11.Nov[SALDO
ATUAL],Tab_11.Nov[CONTA],$F75)</f>
        <v>15029.74</v>
      </c>
      <c r="S75" s="4">
        <f>SUMIFS(Tab_12.Dez[SALDO
ATUAL],Tab_12.Dez[CONTA],$F75)</f>
        <v>15029.74</v>
      </c>
    </row>
    <row r="76" spans="2:19" x14ac:dyDescent="0.3">
      <c r="B76" s="3" t="s">
        <v>118</v>
      </c>
      <c r="C76" s="2" t="str">
        <f t="shared" si="3"/>
        <v>A</v>
      </c>
      <c r="D76" s="2" t="str">
        <f>IF($F76="","",IF(LEN($F76)=13,"A","S"))</f>
        <v>A</v>
      </c>
      <c r="E76" s="2">
        <f>IF($F76="","",IF(LEN($F76)=1,1,IF(LEN($F76)=3,2,IF(LEN($F76)=5,3,IF(LEN($F76)=8,4,5)))))</f>
        <v>5</v>
      </c>
      <c r="F76" s="3" t="s">
        <v>321</v>
      </c>
      <c r="G76" s="3" t="s">
        <v>322</v>
      </c>
      <c r="H76" s="4">
        <f>SUMIFS(Tab_01.Jan[SALDO
ATUAL],Tab_01.Jan[CONTA],$F76)</f>
        <v>463836.5</v>
      </c>
      <c r="I76" s="4">
        <f>SUMIFS(Tab_02.Fev[SALDO
ATUAL],Tab_02.Fev[CONTA],$F76)</f>
        <v>463836.5</v>
      </c>
      <c r="J76" s="4">
        <f>SUMIFS(Tab_03.Mar[SALDO
ATUAL],Tab_03.Mar[CONTA],$F76)</f>
        <v>463836.5</v>
      </c>
      <c r="K76" s="4">
        <f>SUMIFS(Tab_04.Abr[SALDO
ATUAL],Tab_04.Abr[CONTA],$F76)</f>
        <v>463836.5</v>
      </c>
      <c r="L76" s="4">
        <f>SUMIFS(Tab_05.Mai[SALDO
ATUAL],Tab_05.Mai[CONTA],$F76)</f>
        <v>464653.7</v>
      </c>
      <c r="M76" s="4">
        <f>SUMIFS(Tab_06.Jun[SALDO
ATUAL],Tab_06.Jun[CONTA],$F76)</f>
        <v>464653.7</v>
      </c>
      <c r="N76" s="4">
        <f>SUMIFS(Tab_07.Jul[SALDO
ATUAL],Tab_07.Jul[CONTA],$F76)</f>
        <v>464653.7</v>
      </c>
      <c r="O76" s="4">
        <f>SUMIFS(Tab_08.Ago[SALDO
ATUAL],Tab_08.Ago[CONTA],$F76)</f>
        <v>464653.7</v>
      </c>
      <c r="P76" s="4">
        <f>SUMIFS(Tab_09.Set[SALDO
ATUAL],Tab_09.Set[CONTA],$F76)</f>
        <v>464653.7</v>
      </c>
      <c r="Q76" s="4">
        <f>SUMIFS(Tab_10.Out[SALDO
ATUAL],Tab_10.Out[CONTA],$F76)</f>
        <v>464653.7</v>
      </c>
      <c r="R76" s="4">
        <f>SUMIFS(Tab_11.Nov[SALDO
ATUAL],Tab_11.Nov[CONTA],$F76)</f>
        <v>464653.7</v>
      </c>
      <c r="S76" s="4">
        <f>SUMIFS(Tab_12.Dez[SALDO
ATUAL],Tab_12.Dez[CONTA],$F76)</f>
        <v>464653.7</v>
      </c>
    </row>
    <row r="77" spans="2:19" x14ac:dyDescent="0.3">
      <c r="B77" s="3"/>
      <c r="C77" s="2" t="str">
        <f t="shared" si="3"/>
        <v>A</v>
      </c>
      <c r="D77" s="2" t="str">
        <f t="shared" si="4"/>
        <v>S</v>
      </c>
      <c r="E77" s="2">
        <f t="shared" si="5"/>
        <v>5</v>
      </c>
      <c r="F77" s="3" t="s">
        <v>215</v>
      </c>
      <c r="G77" s="3" t="s">
        <v>652</v>
      </c>
      <c r="H77" s="4">
        <f>SUMIFS(Tab_01.Jan[SALDO
ATUAL],Tab_01.Jan[CONTA],$F77)</f>
        <v>-1157138.1100000001</v>
      </c>
      <c r="I77" s="4">
        <f>SUMIFS(Tab_02.Fev[SALDO
ATUAL],Tab_02.Fev[CONTA],$F77)</f>
        <v>-1157138.1100000001</v>
      </c>
      <c r="J77" s="4">
        <f>SUMIFS(Tab_03.Mar[SALDO
ATUAL],Tab_03.Mar[CONTA],$F77)</f>
        <v>-1166054.8999999999</v>
      </c>
      <c r="K77" s="4">
        <f>SUMIFS(Tab_04.Abr[SALDO
ATUAL],Tab_04.Abr[CONTA],$F77)</f>
        <v>-1169721.95</v>
      </c>
      <c r="L77" s="4">
        <f>SUMIFS(Tab_05.Mai[SALDO
ATUAL],Tab_05.Mai[CONTA],$F77)</f>
        <v>-1173389</v>
      </c>
      <c r="M77" s="4">
        <f>SUMIFS(Tab_06.Jun[SALDO
ATUAL],Tab_06.Jun[CONTA],$F77)</f>
        <v>-1180722.5</v>
      </c>
      <c r="N77" s="4">
        <f>SUMIFS(Tab_07.Jul[SALDO
ATUAL],Tab_07.Jul[CONTA],$F77)</f>
        <v>-1180722.5</v>
      </c>
      <c r="O77" s="4">
        <f>SUMIFS(Tab_08.Ago[SALDO
ATUAL],Tab_08.Ago[CONTA],$F77)</f>
        <v>-1180722.5</v>
      </c>
      <c r="P77" s="4">
        <f>SUMIFS(Tab_09.Set[SALDO
ATUAL],Tab_09.Set[CONTA],$F77)</f>
        <v>-1188056</v>
      </c>
      <c r="Q77" s="4">
        <f>SUMIFS(Tab_10.Out[SALDO
ATUAL],Tab_10.Out[CONTA],$F77)</f>
        <v>-1191722.75</v>
      </c>
      <c r="R77" s="4">
        <f>SUMIFS(Tab_11.Nov[SALDO
ATUAL],Tab_11.Nov[CONTA],$F77)</f>
        <v>-1195389.5</v>
      </c>
      <c r="S77" s="4">
        <f>SUMIFS(Tab_12.Dez[SALDO
ATUAL],Tab_12.Dez[CONTA],$F77)</f>
        <v>-1199056.25</v>
      </c>
    </row>
    <row r="78" spans="2:19" x14ac:dyDescent="0.3">
      <c r="B78" s="3" t="s">
        <v>118</v>
      </c>
      <c r="C78" s="2" t="str">
        <f t="shared" si="3"/>
        <v>A</v>
      </c>
      <c r="D78" s="2" t="str">
        <f t="shared" si="4"/>
        <v>A</v>
      </c>
      <c r="E78" s="2">
        <f t="shared" si="5"/>
        <v>5</v>
      </c>
      <c r="F78" s="3" t="s">
        <v>186</v>
      </c>
      <c r="G78" s="3" t="s">
        <v>313</v>
      </c>
      <c r="H78" s="4">
        <f>SUMIFS(Tab_01.Jan[SALDO
ATUAL],Tab_01.Jan[CONTA],$F78)</f>
        <v>-649876.97</v>
      </c>
      <c r="I78" s="4">
        <f>SUMIFS(Tab_02.Fev[SALDO
ATUAL],Tab_02.Fev[CONTA],$F78)</f>
        <v>-649876.97</v>
      </c>
      <c r="J78" s="4">
        <f>SUMIFS(Tab_03.Mar[SALDO
ATUAL],Tab_03.Mar[CONTA],$F78)</f>
        <v>-655872.82999999996</v>
      </c>
      <c r="K78" s="4">
        <f>SUMIFS(Tab_04.Abr[SALDO
ATUAL],Tab_04.Abr[CONTA],$F78)</f>
        <v>-658870.76</v>
      </c>
      <c r="L78" s="4">
        <f>SUMIFS(Tab_05.Mai[SALDO
ATUAL],Tab_05.Mai[CONTA],$F78)</f>
        <v>-661868.68999999994</v>
      </c>
      <c r="M78" s="4">
        <f>SUMIFS(Tab_06.Jun[SALDO
ATUAL],Tab_06.Jun[CONTA],$F78)</f>
        <v>-667864.55000000005</v>
      </c>
      <c r="N78" s="4">
        <f>SUMIFS(Tab_07.Jul[SALDO
ATUAL],Tab_07.Jul[CONTA],$F78)</f>
        <v>-667864.55000000005</v>
      </c>
      <c r="O78" s="4">
        <f>SUMIFS(Tab_08.Ago[SALDO
ATUAL],Tab_08.Ago[CONTA],$F78)</f>
        <v>-667864.55000000005</v>
      </c>
      <c r="P78" s="4">
        <f>SUMIFS(Tab_09.Set[SALDO
ATUAL],Tab_09.Set[CONTA],$F78)</f>
        <v>-670862.48</v>
      </c>
      <c r="Q78" s="4">
        <f>SUMIFS(Tab_10.Out[SALDO
ATUAL],Tab_10.Out[CONTA],$F78)</f>
        <v>-673860.41</v>
      </c>
      <c r="R78" s="4">
        <f>SUMIFS(Tab_11.Nov[SALDO
ATUAL],Tab_11.Nov[CONTA],$F78)</f>
        <v>-676858.34</v>
      </c>
      <c r="S78" s="4">
        <f>SUMIFS(Tab_12.Dez[SALDO
ATUAL],Tab_12.Dez[CONTA],$F78)</f>
        <v>-679856.27</v>
      </c>
    </row>
    <row r="79" spans="2:19" x14ac:dyDescent="0.3">
      <c r="B79" s="3" t="s">
        <v>118</v>
      </c>
      <c r="C79" s="2" t="str">
        <f t="shared" si="3"/>
        <v>A</v>
      </c>
      <c r="D79" s="2" t="str">
        <f t="shared" si="4"/>
        <v>A</v>
      </c>
      <c r="E79" s="2">
        <f t="shared" si="5"/>
        <v>5</v>
      </c>
      <c r="F79" s="3" t="s">
        <v>187</v>
      </c>
      <c r="G79" s="3" t="s">
        <v>314</v>
      </c>
      <c r="H79" s="4">
        <f>SUMIFS(Tab_01.Jan[SALDO
ATUAL],Tab_01.Jan[CONTA],$F79)</f>
        <v>-17058.599999999999</v>
      </c>
      <c r="I79" s="4">
        <f>SUMIFS(Tab_02.Fev[SALDO
ATUAL],Tab_02.Fev[CONTA],$F79)</f>
        <v>-17058.599999999999</v>
      </c>
      <c r="J79" s="4">
        <f>SUMIFS(Tab_03.Mar[SALDO
ATUAL],Tab_03.Mar[CONTA],$F79)</f>
        <v>-17441.939999999999</v>
      </c>
      <c r="K79" s="4">
        <f>SUMIFS(Tab_04.Abr[SALDO
ATUAL],Tab_04.Abr[CONTA],$F79)</f>
        <v>-17633.61</v>
      </c>
      <c r="L79" s="4">
        <f>SUMIFS(Tab_05.Mai[SALDO
ATUAL],Tab_05.Mai[CONTA],$F79)</f>
        <v>-17825.28</v>
      </c>
      <c r="M79" s="4">
        <f>SUMIFS(Tab_06.Jun[SALDO
ATUAL],Tab_06.Jun[CONTA],$F79)</f>
        <v>-18208.62</v>
      </c>
      <c r="N79" s="4">
        <f>SUMIFS(Tab_07.Jul[SALDO
ATUAL],Tab_07.Jul[CONTA],$F79)</f>
        <v>-18208.62</v>
      </c>
      <c r="O79" s="4">
        <f>SUMIFS(Tab_08.Ago[SALDO
ATUAL],Tab_08.Ago[CONTA],$F79)</f>
        <v>-18208.62</v>
      </c>
      <c r="P79" s="4">
        <f>SUMIFS(Tab_09.Set[SALDO
ATUAL],Tab_09.Set[CONTA],$F79)</f>
        <v>-21589.89</v>
      </c>
      <c r="Q79" s="4">
        <f>SUMIFS(Tab_10.Out[SALDO
ATUAL],Tab_10.Out[CONTA],$F79)</f>
        <v>-21781.56</v>
      </c>
      <c r="R79" s="4">
        <f>SUMIFS(Tab_11.Nov[SALDO
ATUAL],Tab_11.Nov[CONTA],$F79)</f>
        <v>-21973.23</v>
      </c>
      <c r="S79" s="4">
        <f>SUMIFS(Tab_12.Dez[SALDO
ATUAL],Tab_12.Dez[CONTA],$F79)</f>
        <v>-22164.9</v>
      </c>
    </row>
    <row r="80" spans="2:19" x14ac:dyDescent="0.3">
      <c r="B80" s="3" t="s">
        <v>118</v>
      </c>
      <c r="C80" s="2" t="str">
        <f t="shared" si="3"/>
        <v>A</v>
      </c>
      <c r="D80" s="2" t="str">
        <f t="shared" si="4"/>
        <v>A</v>
      </c>
      <c r="E80" s="2">
        <f t="shared" si="5"/>
        <v>5</v>
      </c>
      <c r="F80" s="3" t="s">
        <v>188</v>
      </c>
      <c r="G80" s="3" t="s">
        <v>315</v>
      </c>
      <c r="H80" s="4">
        <f>SUMIFS(Tab_01.Jan[SALDO
ATUAL],Tab_01.Jan[CONTA],$F80)</f>
        <v>-6159.06</v>
      </c>
      <c r="I80" s="4">
        <f>SUMIFS(Tab_02.Fev[SALDO
ATUAL],Tab_02.Fev[CONTA],$F80)</f>
        <v>-6159.06</v>
      </c>
      <c r="J80" s="4">
        <f>SUMIFS(Tab_03.Mar[SALDO
ATUAL],Tab_03.Mar[CONTA],$F80)</f>
        <v>-6368.96</v>
      </c>
      <c r="K80" s="4">
        <f>SUMIFS(Tab_04.Abr[SALDO
ATUAL],Tab_04.Abr[CONTA],$F80)</f>
        <v>-6473.91</v>
      </c>
      <c r="L80" s="4">
        <f>SUMIFS(Tab_05.Mai[SALDO
ATUAL],Tab_05.Mai[CONTA],$F80)</f>
        <v>-6578.86</v>
      </c>
      <c r="M80" s="4">
        <f>SUMIFS(Tab_06.Jun[SALDO
ATUAL],Tab_06.Jun[CONTA],$F80)</f>
        <v>-6788.76</v>
      </c>
      <c r="N80" s="4">
        <f>SUMIFS(Tab_07.Jul[SALDO
ATUAL],Tab_07.Jul[CONTA],$F80)</f>
        <v>-6788.76</v>
      </c>
      <c r="O80" s="4">
        <f>SUMIFS(Tab_08.Ago[SALDO
ATUAL],Tab_08.Ago[CONTA],$F80)</f>
        <v>-6788.76</v>
      </c>
      <c r="P80" s="4">
        <f>SUMIFS(Tab_09.Set[SALDO
ATUAL],Tab_09.Set[CONTA],$F80)</f>
        <v>-6998.66</v>
      </c>
      <c r="Q80" s="4">
        <f>SUMIFS(Tab_10.Out[SALDO
ATUAL],Tab_10.Out[CONTA],$F80)</f>
        <v>-7103.61</v>
      </c>
      <c r="R80" s="4">
        <f>SUMIFS(Tab_11.Nov[SALDO
ATUAL],Tab_11.Nov[CONTA],$F80)</f>
        <v>-7208.56</v>
      </c>
      <c r="S80" s="4">
        <f>SUMIFS(Tab_12.Dez[SALDO
ATUAL],Tab_12.Dez[CONTA],$F80)</f>
        <v>-7313.51</v>
      </c>
    </row>
    <row r="81" spans="2:19" x14ac:dyDescent="0.3">
      <c r="B81" s="3" t="s">
        <v>118</v>
      </c>
      <c r="C81" s="2" t="str">
        <f t="shared" si="3"/>
        <v>A</v>
      </c>
      <c r="D81" s="2" t="str">
        <f t="shared" si="4"/>
        <v>A</v>
      </c>
      <c r="E81" s="2">
        <f t="shared" si="5"/>
        <v>5</v>
      </c>
      <c r="F81" s="3" t="s">
        <v>189</v>
      </c>
      <c r="G81" s="3" t="s">
        <v>316</v>
      </c>
      <c r="H81" s="4">
        <f>SUMIFS(Tab_01.Jan[SALDO
ATUAL],Tab_01.Jan[CONTA],$F81)</f>
        <v>-223060.16</v>
      </c>
      <c r="I81" s="4">
        <f>SUMIFS(Tab_02.Fev[SALDO
ATUAL],Tab_02.Fev[CONTA],$F81)</f>
        <v>-223060.16</v>
      </c>
      <c r="J81" s="4">
        <f>SUMIFS(Tab_03.Mar[SALDO
ATUAL],Tab_03.Mar[CONTA],$F81)</f>
        <v>-224642.85</v>
      </c>
      <c r="K81" s="4">
        <f>SUMIFS(Tab_04.Abr[SALDO
ATUAL],Tab_04.Abr[CONTA],$F81)</f>
        <v>-224642.85</v>
      </c>
      <c r="L81" s="4">
        <f>SUMIFS(Tab_05.Mai[SALDO
ATUAL],Tab_05.Mai[CONTA],$F81)</f>
        <v>-224642.85</v>
      </c>
      <c r="M81" s="4">
        <f>SUMIFS(Tab_06.Jun[SALDO
ATUAL],Tab_06.Jun[CONTA],$F81)</f>
        <v>-224642.85</v>
      </c>
      <c r="N81" s="4">
        <f>SUMIFS(Tab_07.Jul[SALDO
ATUAL],Tab_07.Jul[CONTA],$F81)</f>
        <v>-224642.85</v>
      </c>
      <c r="O81" s="4">
        <f>SUMIFS(Tab_08.Ago[SALDO
ATUAL],Tab_08.Ago[CONTA],$F81)</f>
        <v>-224642.85</v>
      </c>
      <c r="P81" s="4">
        <f>SUMIFS(Tab_09.Set[SALDO
ATUAL],Tab_09.Set[CONTA],$F81)</f>
        <v>-224642.85</v>
      </c>
      <c r="Q81" s="4">
        <f>SUMIFS(Tab_10.Out[SALDO
ATUAL],Tab_10.Out[CONTA],$F81)</f>
        <v>-224642.85</v>
      </c>
      <c r="R81" s="4">
        <f>SUMIFS(Tab_11.Nov[SALDO
ATUAL],Tab_11.Nov[CONTA],$F81)</f>
        <v>-224642.85</v>
      </c>
      <c r="S81" s="4">
        <f>SUMIFS(Tab_12.Dez[SALDO
ATUAL],Tab_12.Dez[CONTA],$F81)</f>
        <v>-224642.85</v>
      </c>
    </row>
    <row r="82" spans="2:19" x14ac:dyDescent="0.3">
      <c r="B82" s="3" t="s">
        <v>118</v>
      </c>
      <c r="C82" s="2" t="str">
        <f t="shared" si="3"/>
        <v>A</v>
      </c>
      <c r="D82" s="2" t="str">
        <f t="shared" si="4"/>
        <v>A</v>
      </c>
      <c r="E82" s="2">
        <f t="shared" si="5"/>
        <v>5</v>
      </c>
      <c r="F82" s="3" t="s">
        <v>190</v>
      </c>
      <c r="G82" s="3" t="s">
        <v>318</v>
      </c>
      <c r="H82" s="4">
        <f>SUMIFS(Tab_01.Jan[SALDO
ATUAL],Tab_01.Jan[CONTA],$F82)</f>
        <v>-3574.84</v>
      </c>
      <c r="I82" s="4">
        <f>SUMIFS(Tab_02.Fev[SALDO
ATUAL],Tab_02.Fev[CONTA],$F82)</f>
        <v>-3574.84</v>
      </c>
      <c r="J82" s="4">
        <f>SUMIFS(Tab_03.Mar[SALDO
ATUAL],Tab_03.Mar[CONTA],$F82)</f>
        <v>-3819.84</v>
      </c>
      <c r="K82" s="4">
        <f>SUMIFS(Tab_04.Abr[SALDO
ATUAL],Tab_04.Abr[CONTA],$F82)</f>
        <v>-3942.34</v>
      </c>
      <c r="L82" s="4">
        <f>SUMIFS(Tab_05.Mai[SALDO
ATUAL],Tab_05.Mai[CONTA],$F82)</f>
        <v>-4064.84</v>
      </c>
      <c r="M82" s="4">
        <f>SUMIFS(Tab_06.Jun[SALDO
ATUAL],Tab_06.Jun[CONTA],$F82)</f>
        <v>-4309.24</v>
      </c>
      <c r="N82" s="4">
        <f>SUMIFS(Tab_07.Jul[SALDO
ATUAL],Tab_07.Jul[CONTA],$F82)</f>
        <v>-4309.24</v>
      </c>
      <c r="O82" s="4">
        <f>SUMIFS(Tab_08.Ago[SALDO
ATUAL],Tab_08.Ago[CONTA],$F82)</f>
        <v>-4309.24</v>
      </c>
      <c r="P82" s="4">
        <f>SUMIFS(Tab_09.Set[SALDO
ATUAL],Tab_09.Set[CONTA],$F82)</f>
        <v>-4553.6400000000003</v>
      </c>
      <c r="Q82" s="4">
        <f>SUMIFS(Tab_10.Out[SALDO
ATUAL],Tab_10.Out[CONTA],$F82)</f>
        <v>-4675.84</v>
      </c>
      <c r="R82" s="4">
        <f>SUMIFS(Tab_11.Nov[SALDO
ATUAL],Tab_11.Nov[CONTA],$F82)</f>
        <v>-4675.84</v>
      </c>
      <c r="S82" s="4">
        <f>SUMIFS(Tab_12.Dez[SALDO
ATUAL],Tab_12.Dez[CONTA],$F82)</f>
        <v>-4675.84</v>
      </c>
    </row>
    <row r="83" spans="2:19" x14ac:dyDescent="0.3">
      <c r="B83" s="3" t="s">
        <v>118</v>
      </c>
      <c r="C83" s="2" t="str">
        <f t="shared" si="3"/>
        <v>A</v>
      </c>
      <c r="D83" s="2" t="str">
        <f t="shared" si="4"/>
        <v>A</v>
      </c>
      <c r="E83" s="2">
        <f t="shared" si="5"/>
        <v>5</v>
      </c>
      <c r="F83" s="3" t="s">
        <v>323</v>
      </c>
      <c r="G83" s="3" t="s">
        <v>319</v>
      </c>
      <c r="H83" s="4">
        <f>SUMIFS(Tab_01.Jan[SALDO
ATUAL],Tab_01.Jan[CONTA],$F83)</f>
        <v>-128697.03</v>
      </c>
      <c r="I83" s="4">
        <f>SUMIFS(Tab_02.Fev[SALDO
ATUAL],Tab_02.Fev[CONTA],$F83)</f>
        <v>-128697.03</v>
      </c>
      <c r="J83" s="4">
        <f>SUMIFS(Tab_03.Mar[SALDO
ATUAL],Tab_03.Mar[CONTA],$F83)</f>
        <v>-128697.03</v>
      </c>
      <c r="K83" s="4">
        <f>SUMIFS(Tab_04.Abr[SALDO
ATUAL],Tab_04.Abr[CONTA],$F83)</f>
        <v>-128697.03</v>
      </c>
      <c r="L83" s="4">
        <f>SUMIFS(Tab_05.Mai[SALDO
ATUAL],Tab_05.Mai[CONTA],$F83)</f>
        <v>-128697.03</v>
      </c>
      <c r="M83" s="4">
        <f>SUMIFS(Tab_06.Jun[SALDO
ATUAL],Tab_06.Jun[CONTA],$F83)</f>
        <v>-128697.03</v>
      </c>
      <c r="N83" s="4">
        <f>SUMIFS(Tab_07.Jul[SALDO
ATUAL],Tab_07.Jul[CONTA],$F83)</f>
        <v>-128697.03</v>
      </c>
      <c r="O83" s="4">
        <f>SUMIFS(Tab_08.Ago[SALDO
ATUAL],Tab_08.Ago[CONTA],$F83)</f>
        <v>-128697.03</v>
      </c>
      <c r="P83" s="4">
        <f>SUMIFS(Tab_09.Set[SALDO
ATUAL],Tab_09.Set[CONTA],$F83)</f>
        <v>-128697.03</v>
      </c>
      <c r="Q83" s="4">
        <f>SUMIFS(Tab_10.Out[SALDO
ATUAL],Tab_10.Out[CONTA],$F83)</f>
        <v>-128697.03</v>
      </c>
      <c r="R83" s="4">
        <f>SUMIFS(Tab_11.Nov[SALDO
ATUAL],Tab_11.Nov[CONTA],$F83)</f>
        <v>-128819.23</v>
      </c>
      <c r="S83" s="4">
        <f>SUMIFS(Tab_12.Dez[SALDO
ATUAL],Tab_12.Dez[CONTA],$F83)</f>
        <v>-128941.43</v>
      </c>
    </row>
    <row r="84" spans="2:19" x14ac:dyDescent="0.3">
      <c r="B84" s="3" t="s">
        <v>118</v>
      </c>
      <c r="C84" s="2" t="str">
        <f t="shared" si="3"/>
        <v>A</v>
      </c>
      <c r="D84" s="2" t="str">
        <f t="shared" si="4"/>
        <v>A</v>
      </c>
      <c r="E84" s="2">
        <f t="shared" si="5"/>
        <v>5</v>
      </c>
      <c r="F84" s="3" t="s">
        <v>324</v>
      </c>
      <c r="G84" s="3" t="s">
        <v>320</v>
      </c>
      <c r="H84" s="4">
        <f>SUMIFS(Tab_01.Jan[SALDO
ATUAL],Tab_01.Jan[CONTA],$F84)</f>
        <v>-15029.74</v>
      </c>
      <c r="I84" s="4">
        <f>SUMIFS(Tab_02.Fev[SALDO
ATUAL],Tab_02.Fev[CONTA],$F84)</f>
        <v>-15029.74</v>
      </c>
      <c r="J84" s="4">
        <f>SUMIFS(Tab_03.Mar[SALDO
ATUAL],Tab_03.Mar[CONTA],$F84)</f>
        <v>-15029.74</v>
      </c>
      <c r="K84" s="4">
        <f>SUMIFS(Tab_04.Abr[SALDO
ATUAL],Tab_04.Abr[CONTA],$F84)</f>
        <v>-15029.74</v>
      </c>
      <c r="L84" s="4">
        <f>SUMIFS(Tab_05.Mai[SALDO
ATUAL],Tab_05.Mai[CONTA],$F84)</f>
        <v>-15029.74</v>
      </c>
      <c r="M84" s="4">
        <f>SUMIFS(Tab_06.Jun[SALDO
ATUAL],Tab_06.Jun[CONTA],$F84)</f>
        <v>-15029.74</v>
      </c>
      <c r="N84" s="4">
        <f>SUMIFS(Tab_07.Jul[SALDO
ATUAL],Tab_07.Jul[CONTA],$F84)</f>
        <v>-15029.74</v>
      </c>
      <c r="O84" s="4">
        <f>SUMIFS(Tab_08.Ago[SALDO
ATUAL],Tab_08.Ago[CONTA],$F84)</f>
        <v>-15029.74</v>
      </c>
      <c r="P84" s="4">
        <f>SUMIFS(Tab_09.Set[SALDO
ATUAL],Tab_09.Set[CONTA],$F84)</f>
        <v>-15029.74</v>
      </c>
      <c r="Q84" s="4">
        <f>SUMIFS(Tab_10.Out[SALDO
ATUAL],Tab_10.Out[CONTA],$F84)</f>
        <v>-15029.74</v>
      </c>
      <c r="R84" s="4">
        <f>SUMIFS(Tab_11.Nov[SALDO
ATUAL],Tab_11.Nov[CONTA],$F84)</f>
        <v>-15029.74</v>
      </c>
      <c r="S84" s="4">
        <f>SUMIFS(Tab_12.Dez[SALDO
ATUAL],Tab_12.Dez[CONTA],$F84)</f>
        <v>-15029.74</v>
      </c>
    </row>
    <row r="85" spans="2:19" x14ac:dyDescent="0.3">
      <c r="B85" s="3" t="s">
        <v>118</v>
      </c>
      <c r="C85" s="2" t="str">
        <f t="shared" si="3"/>
        <v>A</v>
      </c>
      <c r="D85" s="2" t="str">
        <f t="shared" si="4"/>
        <v>A</v>
      </c>
      <c r="E85" s="2">
        <f t="shared" si="5"/>
        <v>5</v>
      </c>
      <c r="F85" s="3" t="s">
        <v>325</v>
      </c>
      <c r="G85" s="3" t="s">
        <v>322</v>
      </c>
      <c r="H85" s="4">
        <f>SUMIFS(Tab_01.Jan[SALDO
ATUAL],Tab_01.Jan[CONTA],$F85)</f>
        <v>-113681.71</v>
      </c>
      <c r="I85" s="4">
        <f>SUMIFS(Tab_02.Fev[SALDO
ATUAL],Tab_02.Fev[CONTA],$F85)</f>
        <v>-113681.71</v>
      </c>
      <c r="J85" s="4">
        <f>SUMIFS(Tab_03.Mar[SALDO
ATUAL],Tab_03.Mar[CONTA],$F85)</f>
        <v>-114181.71</v>
      </c>
      <c r="K85" s="4">
        <f>SUMIFS(Tab_04.Abr[SALDO
ATUAL],Tab_04.Abr[CONTA],$F85)</f>
        <v>-114431.71</v>
      </c>
      <c r="L85" s="4">
        <f>SUMIFS(Tab_05.Mai[SALDO
ATUAL],Tab_05.Mai[CONTA],$F85)</f>
        <v>-114681.71</v>
      </c>
      <c r="M85" s="4">
        <f>SUMIFS(Tab_06.Jun[SALDO
ATUAL],Tab_06.Jun[CONTA],$F85)</f>
        <v>-115181.71</v>
      </c>
      <c r="N85" s="4">
        <f>SUMIFS(Tab_07.Jul[SALDO
ATUAL],Tab_07.Jul[CONTA],$F85)</f>
        <v>-115181.71</v>
      </c>
      <c r="O85" s="4">
        <f>SUMIFS(Tab_08.Ago[SALDO
ATUAL],Tab_08.Ago[CONTA],$F85)</f>
        <v>-115181.71</v>
      </c>
      <c r="P85" s="4">
        <f>SUMIFS(Tab_09.Set[SALDO
ATUAL],Tab_09.Set[CONTA],$F85)</f>
        <v>-115681.71</v>
      </c>
      <c r="Q85" s="4">
        <f>SUMIFS(Tab_10.Out[SALDO
ATUAL],Tab_10.Out[CONTA],$F85)</f>
        <v>-115931.71</v>
      </c>
      <c r="R85" s="4">
        <f>SUMIFS(Tab_11.Nov[SALDO
ATUAL],Tab_11.Nov[CONTA],$F85)</f>
        <v>-116181.71</v>
      </c>
      <c r="S85" s="4">
        <f>SUMIFS(Tab_12.Dez[SALDO
ATUAL],Tab_12.Dez[CONTA],$F85)</f>
        <v>-116431.71</v>
      </c>
    </row>
    <row r="86" spans="2:19" x14ac:dyDescent="0.3">
      <c r="B86" s="3"/>
      <c r="C86" s="2" t="str">
        <f t="shared" si="3"/>
        <v>P</v>
      </c>
      <c r="D86" s="2" t="str">
        <f t="shared" si="4"/>
        <v>S</v>
      </c>
      <c r="E86" s="2">
        <f t="shared" si="5"/>
        <v>1</v>
      </c>
      <c r="F86" s="3">
        <v>2</v>
      </c>
      <c r="G86" s="3" t="s">
        <v>653</v>
      </c>
      <c r="H86" s="4">
        <f>SUMIFS(Tab_01.Jan[SALDO
ATUAL],Tab_01.Jan[CONTA],$F86)</f>
        <v>-83717758.840000004</v>
      </c>
      <c r="I86" s="4">
        <f>SUMIFS(Tab_02.Fev[SALDO
ATUAL],Tab_02.Fev[CONTA],$F86)</f>
        <v>-82907150.670000002</v>
      </c>
      <c r="J86" s="4">
        <f>SUMIFS(Tab_03.Mar[SALDO
ATUAL],Tab_03.Mar[CONTA],$F86)</f>
        <v>-83106680.230000004</v>
      </c>
      <c r="K86" s="4">
        <f>SUMIFS(Tab_04.Abr[SALDO
ATUAL],Tab_04.Abr[CONTA],$F86)</f>
        <v>-83453877.370000005</v>
      </c>
      <c r="L86" s="4">
        <f>SUMIFS(Tab_05.Mai[SALDO
ATUAL],Tab_05.Mai[CONTA],$F86)</f>
        <v>-83326198.370000005</v>
      </c>
      <c r="M86" s="4">
        <f>SUMIFS(Tab_06.Jun[SALDO
ATUAL],Tab_06.Jun[CONTA],$F86)</f>
        <v>-83348237.590000004</v>
      </c>
      <c r="N86" s="4">
        <f>SUMIFS(Tab_07.Jul[SALDO
ATUAL],Tab_07.Jul[CONTA],$F86)</f>
        <v>-83348237.590000004</v>
      </c>
      <c r="O86" s="4">
        <f>SUMIFS(Tab_08.Ago[SALDO
ATUAL],Tab_08.Ago[CONTA],$F86)</f>
        <v>-83348237.590000004</v>
      </c>
      <c r="P86" s="4">
        <f>SUMIFS(Tab_09.Set[SALDO
ATUAL],Tab_09.Set[CONTA],$F86)</f>
        <v>-83344888.659999996</v>
      </c>
      <c r="Q86" s="4">
        <f>SUMIFS(Tab_10.Out[SALDO
ATUAL],Tab_10.Out[CONTA],$F86)</f>
        <v>-83343714.840000004</v>
      </c>
      <c r="R86" s="4">
        <f>SUMIFS(Tab_11.Nov[SALDO
ATUAL],Tab_11.Nov[CONTA],$F86)</f>
        <v>-83158151.450000003</v>
      </c>
      <c r="S86" s="4">
        <f>SUMIFS(Tab_12.Dez[SALDO
ATUAL],Tab_12.Dez[CONTA],$F86)</f>
        <v>-83543305</v>
      </c>
    </row>
    <row r="87" spans="2:19" x14ac:dyDescent="0.3">
      <c r="B87" s="3"/>
      <c r="C87" s="2" t="str">
        <f t="shared" si="3"/>
        <v>P</v>
      </c>
      <c r="D87" s="2" t="str">
        <f t="shared" si="4"/>
        <v>S</v>
      </c>
      <c r="E87" s="2">
        <f t="shared" si="5"/>
        <v>2</v>
      </c>
      <c r="F87" s="3" t="s">
        <v>216</v>
      </c>
      <c r="G87" s="3" t="s">
        <v>31</v>
      </c>
      <c r="H87" s="4">
        <f>SUMIFS(Tab_01.Jan[SALDO
ATUAL],Tab_01.Jan[CONTA],$F87)</f>
        <v>-1815294.31</v>
      </c>
      <c r="I87" s="4">
        <f>SUMIFS(Tab_02.Fev[SALDO
ATUAL],Tab_02.Fev[CONTA],$F87)</f>
        <v>-1004686.14</v>
      </c>
      <c r="J87" s="4">
        <f>SUMIFS(Tab_03.Mar[SALDO
ATUAL],Tab_03.Mar[CONTA],$F87)</f>
        <v>-1204215.7</v>
      </c>
      <c r="K87" s="4">
        <f>SUMIFS(Tab_04.Abr[SALDO
ATUAL],Tab_04.Abr[CONTA],$F87)</f>
        <v>-1551412.84</v>
      </c>
      <c r="L87" s="4">
        <f>SUMIFS(Tab_05.Mai[SALDO
ATUAL],Tab_05.Mai[CONTA],$F87)</f>
        <v>-1423733.84</v>
      </c>
      <c r="M87" s="4">
        <f>SUMIFS(Tab_06.Jun[SALDO
ATUAL],Tab_06.Jun[CONTA],$F87)</f>
        <v>-1445773.06</v>
      </c>
      <c r="N87" s="4">
        <f>SUMIFS(Tab_07.Jul[SALDO
ATUAL],Tab_07.Jul[CONTA],$F87)</f>
        <v>-1445773.06</v>
      </c>
      <c r="O87" s="4">
        <f>SUMIFS(Tab_08.Ago[SALDO
ATUAL],Tab_08.Ago[CONTA],$F87)</f>
        <v>-1445773.06</v>
      </c>
      <c r="P87" s="4">
        <f>SUMIFS(Tab_09.Set[SALDO
ATUAL],Tab_09.Set[CONTA],$F87)</f>
        <v>-1442424.13</v>
      </c>
      <c r="Q87" s="4">
        <f>SUMIFS(Tab_10.Out[SALDO
ATUAL],Tab_10.Out[CONTA],$F87)</f>
        <v>-1441250.31</v>
      </c>
      <c r="R87" s="4">
        <f>SUMIFS(Tab_11.Nov[SALDO
ATUAL],Tab_11.Nov[CONTA],$F87)</f>
        <v>-1255686.92</v>
      </c>
      <c r="S87" s="4">
        <f>SUMIFS(Tab_12.Dez[SALDO
ATUAL],Tab_12.Dez[CONTA],$F87)</f>
        <v>-649943.27</v>
      </c>
    </row>
    <row r="88" spans="2:19" x14ac:dyDescent="0.3">
      <c r="B88" s="3"/>
      <c r="C88" s="2" t="str">
        <f t="shared" si="3"/>
        <v>P</v>
      </c>
      <c r="D88" s="2" t="str">
        <f t="shared" si="4"/>
        <v>S</v>
      </c>
      <c r="E88" s="2">
        <f t="shared" si="5"/>
        <v>5</v>
      </c>
      <c r="F88" s="3" t="s">
        <v>558</v>
      </c>
      <c r="G88" s="3" t="s">
        <v>654</v>
      </c>
      <c r="H88" s="4">
        <f>SUMIFS(Tab_01.Jan[SALDO
ATUAL],Tab_01.Jan[CONTA],$F88)</f>
        <v>-368637.38</v>
      </c>
      <c r="I88" s="4">
        <f>SUMIFS(Tab_02.Fev[SALDO
ATUAL],Tab_02.Fev[CONTA],$F88)</f>
        <v>-124543.41</v>
      </c>
      <c r="J88" s="4">
        <f>SUMIFS(Tab_03.Mar[SALDO
ATUAL],Tab_03.Mar[CONTA],$F88)</f>
        <v>-293923.14</v>
      </c>
      <c r="K88" s="4">
        <f>SUMIFS(Tab_04.Abr[SALDO
ATUAL],Tab_04.Abr[CONTA],$F88)</f>
        <v>-313316.90000000002</v>
      </c>
      <c r="L88" s="4">
        <f>SUMIFS(Tab_05.Mai[SALDO
ATUAL],Tab_05.Mai[CONTA],$F88)</f>
        <v>-339194.97</v>
      </c>
      <c r="M88" s="4">
        <f>SUMIFS(Tab_06.Jun[SALDO
ATUAL],Tab_06.Jun[CONTA],$F88)</f>
        <v>-349578.4</v>
      </c>
      <c r="N88" s="4">
        <f>SUMIFS(Tab_07.Jul[SALDO
ATUAL],Tab_07.Jul[CONTA],$F88)</f>
        <v>-349578.4</v>
      </c>
      <c r="O88" s="4">
        <f>SUMIFS(Tab_08.Ago[SALDO
ATUAL],Tab_08.Ago[CONTA],$F88)</f>
        <v>-349578.4</v>
      </c>
      <c r="P88" s="4">
        <f>SUMIFS(Tab_09.Set[SALDO
ATUAL],Tab_09.Set[CONTA],$F88)</f>
        <v>-351606.58</v>
      </c>
      <c r="Q88" s="4">
        <f>SUMIFS(Tab_10.Out[SALDO
ATUAL],Tab_10.Out[CONTA],$F88)</f>
        <v>-353257.04</v>
      </c>
      <c r="R88" s="4">
        <f>SUMIFS(Tab_11.Nov[SALDO
ATUAL],Tab_11.Nov[CONTA],$F88)</f>
        <v>-372008.81</v>
      </c>
      <c r="S88" s="4">
        <f>SUMIFS(Tab_12.Dez[SALDO
ATUAL],Tab_12.Dez[CONTA],$F88)</f>
        <v>-268783.73</v>
      </c>
    </row>
    <row r="89" spans="2:19" x14ac:dyDescent="0.3">
      <c r="B89" s="3"/>
      <c r="C89" s="2" t="str">
        <f t="shared" ref="C89:C164" si="6">IF($F89="","",IF(LEFT($F89,1)*1=1,"A",IF(LEFT($F89,1)*1=2,"P",IF(LEFT($F89,1)*1=3,"R",IF(LEFT($F89,1)*1=4,"C",IF(LEFT($F89,1)*1=5,"C",""))))))</f>
        <v>P</v>
      </c>
      <c r="D89" s="2" t="str">
        <f t="shared" si="4"/>
        <v>S</v>
      </c>
      <c r="E89" s="2">
        <f t="shared" si="5"/>
        <v>5</v>
      </c>
      <c r="F89" s="3" t="s">
        <v>559</v>
      </c>
      <c r="G89" s="3" t="s">
        <v>655</v>
      </c>
      <c r="H89" s="4">
        <f>SUMIFS(Tab_01.Jan[SALDO
ATUAL],Tab_01.Jan[CONTA],$F89)</f>
        <v>0</v>
      </c>
      <c r="I89" s="4">
        <f>SUMIFS(Tab_02.Fev[SALDO
ATUAL],Tab_02.Fev[CONTA],$F89)</f>
        <v>183790.11</v>
      </c>
      <c r="J89" s="4">
        <f>SUMIFS(Tab_03.Mar[SALDO
ATUAL],Tab_03.Mar[CONTA],$F89)</f>
        <v>0</v>
      </c>
      <c r="K89" s="4">
        <f>SUMIFS(Tab_04.Abr[SALDO
ATUAL],Tab_04.Abr[CONTA],$F89)</f>
        <v>0</v>
      </c>
      <c r="L89" s="4">
        <f>SUMIFS(Tab_05.Mai[SALDO
ATUAL],Tab_05.Mai[CONTA],$F89)</f>
        <v>0</v>
      </c>
      <c r="M89" s="4">
        <f>SUMIFS(Tab_06.Jun[SALDO
ATUAL],Tab_06.Jun[CONTA],$F89)</f>
        <v>0</v>
      </c>
      <c r="N89" s="4">
        <f>SUMIFS(Tab_07.Jul[SALDO
ATUAL],Tab_07.Jul[CONTA],$F89)</f>
        <v>0</v>
      </c>
      <c r="O89" s="4">
        <f>SUMIFS(Tab_08.Ago[SALDO
ATUAL],Tab_08.Ago[CONTA],$F89)</f>
        <v>0</v>
      </c>
      <c r="P89" s="4">
        <f>SUMIFS(Tab_09.Set[SALDO
ATUAL],Tab_09.Set[CONTA],$F89)</f>
        <v>0</v>
      </c>
      <c r="Q89" s="4">
        <f>SUMIFS(Tab_10.Out[SALDO
ATUAL],Tab_10.Out[CONTA],$F89)</f>
        <v>0</v>
      </c>
      <c r="R89" s="4">
        <f>SUMIFS(Tab_11.Nov[SALDO
ATUAL],Tab_11.Nov[CONTA],$F89)</f>
        <v>0</v>
      </c>
      <c r="S89" s="4">
        <f>SUMIFS(Tab_12.Dez[SALDO
ATUAL],Tab_12.Dez[CONTA],$F89)</f>
        <v>0</v>
      </c>
    </row>
    <row r="90" spans="2:19" x14ac:dyDescent="0.3">
      <c r="B90" s="3" t="s">
        <v>52</v>
      </c>
      <c r="C90" s="2" t="str">
        <f t="shared" si="6"/>
        <v>P</v>
      </c>
      <c r="D90" s="2" t="str">
        <f t="shared" si="4"/>
        <v>A</v>
      </c>
      <c r="E90" s="2">
        <f t="shared" si="5"/>
        <v>5</v>
      </c>
      <c r="F90" s="3" t="s">
        <v>326</v>
      </c>
      <c r="G90" s="3" t="s">
        <v>327</v>
      </c>
      <c r="H90" s="4">
        <f>SUMIFS(Tab_01.Jan[SALDO
ATUAL],Tab_01.Jan[CONTA],$F90)</f>
        <v>0</v>
      </c>
      <c r="I90" s="4">
        <f>SUMIFS(Tab_02.Fev[SALDO
ATUAL],Tab_02.Fev[CONTA],$F90)</f>
        <v>0</v>
      </c>
      <c r="J90" s="4">
        <f>SUMIFS(Tab_03.Mar[SALDO
ATUAL],Tab_03.Mar[CONTA],$F90)</f>
        <v>0</v>
      </c>
      <c r="K90" s="4">
        <f>SUMIFS(Tab_04.Abr[SALDO
ATUAL],Tab_04.Abr[CONTA],$F90)</f>
        <v>0</v>
      </c>
      <c r="L90" s="4">
        <f>SUMIFS(Tab_05.Mai[SALDO
ATUAL],Tab_05.Mai[CONTA],$F90)</f>
        <v>0</v>
      </c>
      <c r="M90" s="4">
        <f>SUMIFS(Tab_06.Jun[SALDO
ATUAL],Tab_06.Jun[CONTA],$F90)</f>
        <v>0</v>
      </c>
      <c r="N90" s="4">
        <f>SUMIFS(Tab_07.Jul[SALDO
ATUAL],Tab_07.Jul[CONTA],$F90)</f>
        <v>0</v>
      </c>
      <c r="O90" s="4">
        <f>SUMIFS(Tab_08.Ago[SALDO
ATUAL],Tab_08.Ago[CONTA],$F90)</f>
        <v>0</v>
      </c>
      <c r="P90" s="4">
        <f>SUMIFS(Tab_09.Set[SALDO
ATUAL],Tab_09.Set[CONTA],$F90)</f>
        <v>0</v>
      </c>
      <c r="Q90" s="4">
        <f>SUMIFS(Tab_10.Out[SALDO
ATUAL],Tab_10.Out[CONTA],$F90)</f>
        <v>0</v>
      </c>
      <c r="R90" s="4">
        <f>SUMIFS(Tab_11.Nov[SALDO
ATUAL],Tab_11.Nov[CONTA],$F90)</f>
        <v>0</v>
      </c>
      <c r="S90" s="4">
        <f>SUMIFS(Tab_12.Dez[SALDO
ATUAL],Tab_12.Dez[CONTA],$F90)</f>
        <v>0</v>
      </c>
    </row>
    <row r="91" spans="2:19" x14ac:dyDescent="0.3">
      <c r="B91" s="3" t="s">
        <v>52</v>
      </c>
      <c r="C91" s="2" t="str">
        <f t="shared" si="6"/>
        <v>P</v>
      </c>
      <c r="D91" s="2" t="str">
        <f t="shared" si="4"/>
        <v>A</v>
      </c>
      <c r="E91" s="2">
        <f t="shared" si="5"/>
        <v>5</v>
      </c>
      <c r="F91" s="3" t="s">
        <v>328</v>
      </c>
      <c r="G91" s="3" t="s">
        <v>329</v>
      </c>
      <c r="H91" s="4">
        <f>SUMIFS(Tab_01.Jan[SALDO
ATUAL],Tab_01.Jan[CONTA],$F91)</f>
        <v>0</v>
      </c>
      <c r="I91" s="4">
        <f>SUMIFS(Tab_02.Fev[SALDO
ATUAL],Tab_02.Fev[CONTA],$F91)</f>
        <v>183790.11</v>
      </c>
      <c r="J91" s="4">
        <f>SUMIFS(Tab_03.Mar[SALDO
ATUAL],Tab_03.Mar[CONTA],$F91)</f>
        <v>0</v>
      </c>
      <c r="K91" s="4">
        <f>SUMIFS(Tab_04.Abr[SALDO
ATUAL],Tab_04.Abr[CONTA],$F91)</f>
        <v>0</v>
      </c>
      <c r="L91" s="4">
        <f>SUMIFS(Tab_05.Mai[SALDO
ATUAL],Tab_05.Mai[CONTA],$F91)</f>
        <v>0</v>
      </c>
      <c r="M91" s="4">
        <f>SUMIFS(Tab_06.Jun[SALDO
ATUAL],Tab_06.Jun[CONTA],$F91)</f>
        <v>0</v>
      </c>
      <c r="N91" s="4">
        <f>SUMIFS(Tab_07.Jul[SALDO
ATUAL],Tab_07.Jul[CONTA],$F91)</f>
        <v>0</v>
      </c>
      <c r="O91" s="4">
        <f>SUMIFS(Tab_08.Ago[SALDO
ATUAL],Tab_08.Ago[CONTA],$F91)</f>
        <v>0</v>
      </c>
      <c r="P91" s="4">
        <f>SUMIFS(Tab_09.Set[SALDO
ATUAL],Tab_09.Set[CONTA],$F91)</f>
        <v>0</v>
      </c>
      <c r="Q91" s="4">
        <f>SUMIFS(Tab_10.Out[SALDO
ATUAL],Tab_10.Out[CONTA],$F91)</f>
        <v>0</v>
      </c>
      <c r="R91" s="4">
        <f>SUMIFS(Tab_11.Nov[SALDO
ATUAL],Tab_11.Nov[CONTA],$F91)</f>
        <v>0</v>
      </c>
      <c r="S91" s="4">
        <f>SUMIFS(Tab_12.Dez[SALDO
ATUAL],Tab_12.Dez[CONTA],$F91)</f>
        <v>0</v>
      </c>
    </row>
    <row r="92" spans="2:19" x14ac:dyDescent="0.3">
      <c r="B92" s="3" t="s">
        <v>52</v>
      </c>
      <c r="C92" s="2" t="str">
        <f t="shared" si="6"/>
        <v>P</v>
      </c>
      <c r="D92" s="2" t="str">
        <f t="shared" si="4"/>
        <v>A</v>
      </c>
      <c r="E92" s="2">
        <f t="shared" si="5"/>
        <v>5</v>
      </c>
      <c r="F92" s="3" t="s">
        <v>330</v>
      </c>
      <c r="G92" s="3" t="s">
        <v>331</v>
      </c>
      <c r="H92" s="4">
        <f>SUMIFS(Tab_01.Jan[SALDO
ATUAL],Tab_01.Jan[CONTA],$F92)</f>
        <v>0</v>
      </c>
      <c r="I92" s="4">
        <f>SUMIFS(Tab_02.Fev[SALDO
ATUAL],Tab_02.Fev[CONTA],$F92)</f>
        <v>0</v>
      </c>
      <c r="J92" s="4">
        <f>SUMIFS(Tab_03.Mar[SALDO
ATUAL],Tab_03.Mar[CONTA],$F92)</f>
        <v>0</v>
      </c>
      <c r="K92" s="4">
        <f>SUMIFS(Tab_04.Abr[SALDO
ATUAL],Tab_04.Abr[CONTA],$F92)</f>
        <v>0</v>
      </c>
      <c r="L92" s="4">
        <f>SUMIFS(Tab_05.Mai[SALDO
ATUAL],Tab_05.Mai[CONTA],$F92)</f>
        <v>0</v>
      </c>
      <c r="M92" s="4">
        <f>SUMIFS(Tab_06.Jun[SALDO
ATUAL],Tab_06.Jun[CONTA],$F92)</f>
        <v>0</v>
      </c>
      <c r="N92" s="4">
        <f>SUMIFS(Tab_07.Jul[SALDO
ATUAL],Tab_07.Jul[CONTA],$F92)</f>
        <v>0</v>
      </c>
      <c r="O92" s="4">
        <f>SUMIFS(Tab_08.Ago[SALDO
ATUAL],Tab_08.Ago[CONTA],$F92)</f>
        <v>0</v>
      </c>
      <c r="P92" s="4">
        <f>SUMIFS(Tab_09.Set[SALDO
ATUAL],Tab_09.Set[CONTA],$F92)</f>
        <v>0</v>
      </c>
      <c r="Q92" s="4">
        <f>SUMIFS(Tab_10.Out[SALDO
ATUAL],Tab_10.Out[CONTA],$F92)</f>
        <v>0</v>
      </c>
      <c r="R92" s="4">
        <f>SUMIFS(Tab_11.Nov[SALDO
ATUAL],Tab_11.Nov[CONTA],$F92)</f>
        <v>0</v>
      </c>
      <c r="S92" s="4">
        <f>SUMIFS(Tab_12.Dez[SALDO
ATUAL],Tab_12.Dez[CONTA],$F92)</f>
        <v>0</v>
      </c>
    </row>
    <row r="93" spans="2:19" x14ac:dyDescent="0.3">
      <c r="B93" s="3"/>
      <c r="C93" s="2" t="str">
        <f t="shared" si="6"/>
        <v>P</v>
      </c>
      <c r="D93" s="2" t="str">
        <f t="shared" si="4"/>
        <v>S</v>
      </c>
      <c r="E93" s="2">
        <f t="shared" si="5"/>
        <v>5</v>
      </c>
      <c r="F93" s="3" t="s">
        <v>560</v>
      </c>
      <c r="G93" s="3" t="s">
        <v>656</v>
      </c>
      <c r="H93" s="4">
        <f>SUMIFS(Tab_01.Jan[SALDO
ATUAL],Tab_01.Jan[CONTA],$F93)</f>
        <v>-15301.97</v>
      </c>
      <c r="I93" s="4">
        <f>SUMIFS(Tab_02.Fev[SALDO
ATUAL],Tab_02.Fev[CONTA],$F93)</f>
        <v>-15301.97</v>
      </c>
      <c r="J93" s="4">
        <f>SUMIFS(Tab_03.Mar[SALDO
ATUAL],Tab_03.Mar[CONTA],$F93)</f>
        <v>-33746.449999999997</v>
      </c>
      <c r="K93" s="4">
        <f>SUMIFS(Tab_04.Abr[SALDO
ATUAL],Tab_04.Abr[CONTA],$F93)</f>
        <v>-44995.19</v>
      </c>
      <c r="L93" s="4">
        <f>SUMIFS(Tab_05.Mai[SALDO
ATUAL],Tab_05.Mai[CONTA],$F93)</f>
        <v>-56606.17</v>
      </c>
      <c r="M93" s="4">
        <f>SUMIFS(Tab_06.Jun[SALDO
ATUAL],Tab_06.Jun[CONTA],$F93)</f>
        <v>-79827.03</v>
      </c>
      <c r="N93" s="4">
        <f>SUMIFS(Tab_07.Jul[SALDO
ATUAL],Tab_07.Jul[CONTA],$F93)</f>
        <v>-79827.03</v>
      </c>
      <c r="O93" s="4">
        <f>SUMIFS(Tab_08.Ago[SALDO
ATUAL],Tab_08.Ago[CONTA],$F93)</f>
        <v>-79827.03</v>
      </c>
      <c r="P93" s="4">
        <f>SUMIFS(Tab_09.Set[SALDO
ATUAL],Tab_09.Set[CONTA],$F93)</f>
        <v>-103619.32</v>
      </c>
      <c r="Q93" s="4">
        <f>SUMIFS(Tab_10.Out[SALDO
ATUAL],Tab_10.Out[CONTA],$F93)</f>
        <v>-115366.05</v>
      </c>
      <c r="R93" s="4">
        <f>SUMIFS(Tab_11.Nov[SALDO
ATUAL],Tab_11.Nov[CONTA],$F93)</f>
        <v>-127113.01</v>
      </c>
      <c r="S93" s="4">
        <f>SUMIFS(Tab_12.Dez[SALDO
ATUAL],Tab_12.Dez[CONTA],$F93)</f>
        <v>0</v>
      </c>
    </row>
    <row r="94" spans="2:19" x14ac:dyDescent="0.3">
      <c r="B94" s="3" t="s">
        <v>52</v>
      </c>
      <c r="C94" s="2" t="str">
        <f t="shared" si="6"/>
        <v>P</v>
      </c>
      <c r="D94" s="2" t="str">
        <f t="shared" si="4"/>
        <v>A</v>
      </c>
      <c r="E94" s="2">
        <f t="shared" si="5"/>
        <v>5</v>
      </c>
      <c r="F94" s="3" t="s">
        <v>332</v>
      </c>
      <c r="G94" s="3" t="s">
        <v>333</v>
      </c>
      <c r="H94" s="4">
        <f>SUMIFS(Tab_01.Jan[SALDO
ATUAL],Tab_01.Jan[CONTA],$F94)</f>
        <v>-11268.08</v>
      </c>
      <c r="I94" s="4">
        <f>SUMIFS(Tab_02.Fev[SALDO
ATUAL],Tab_02.Fev[CONTA],$F94)</f>
        <v>-11268.08</v>
      </c>
      <c r="J94" s="4">
        <f>SUMIFS(Tab_03.Mar[SALDO
ATUAL],Tab_03.Mar[CONTA],$F94)</f>
        <v>-24850.13</v>
      </c>
      <c r="K94" s="4">
        <f>SUMIFS(Tab_04.Abr[SALDO
ATUAL],Tab_04.Abr[CONTA],$F94)</f>
        <v>-33133.46</v>
      </c>
      <c r="L94" s="4">
        <f>SUMIFS(Tab_05.Mai[SALDO
ATUAL],Tab_05.Mai[CONTA],$F94)</f>
        <v>-41683.519999999997</v>
      </c>
      <c r="M94" s="4">
        <f>SUMIFS(Tab_06.Jun[SALDO
ATUAL],Tab_06.Jun[CONTA],$F94)</f>
        <v>-58783.59</v>
      </c>
      <c r="N94" s="4">
        <f>SUMIFS(Tab_07.Jul[SALDO
ATUAL],Tab_07.Jul[CONTA],$F94)</f>
        <v>-58783.59</v>
      </c>
      <c r="O94" s="4">
        <f>SUMIFS(Tab_08.Ago[SALDO
ATUAL],Tab_08.Ago[CONTA],$F94)</f>
        <v>-58783.59</v>
      </c>
      <c r="P94" s="4">
        <f>SUMIFS(Tab_09.Set[SALDO
ATUAL],Tab_09.Set[CONTA],$F94)</f>
        <v>-76170.19</v>
      </c>
      <c r="Q94" s="4">
        <f>SUMIFS(Tab_10.Out[SALDO
ATUAL],Tab_10.Out[CONTA],$F94)</f>
        <v>-84821.79</v>
      </c>
      <c r="R94" s="4">
        <f>SUMIFS(Tab_11.Nov[SALDO
ATUAL],Tab_11.Nov[CONTA],$F94)</f>
        <v>-93473.41</v>
      </c>
      <c r="S94" s="4">
        <f>SUMIFS(Tab_12.Dez[SALDO
ATUAL],Tab_12.Dez[CONTA],$F94)</f>
        <v>0</v>
      </c>
    </row>
    <row r="95" spans="2:19" x14ac:dyDescent="0.3">
      <c r="B95" s="3" t="s">
        <v>52</v>
      </c>
      <c r="C95" s="2" t="str">
        <f>IF($F95="","",IF(LEFT($F95,1)*1=1,"A",IF(LEFT($F95,1)*1=2,"P",IF(LEFT($F95,1)*1=3,"R",IF(LEFT($F95,1)*1=4,"C",IF(LEFT($F95,1)*1=5,"C",""))))))</f>
        <v>P</v>
      </c>
      <c r="D95" s="2" t="str">
        <f>IF($F95="","",IF(LEN($F95)=13,"A","S"))</f>
        <v>A</v>
      </c>
      <c r="E95" s="2">
        <f>IF($F95="","",IF(LEN($F95)=1,1,IF(LEN($F95)=3,2,IF(LEN($F95)=5,3,IF(LEN($F95)=8,4,5)))))</f>
        <v>5</v>
      </c>
      <c r="F95" s="3" t="s">
        <v>784</v>
      </c>
      <c r="G95" s="3" t="s">
        <v>785</v>
      </c>
      <c r="H95" s="4">
        <f>SUMIFS(Tab_01.Jan[SALDO
ATUAL],Tab_01.Jan[CONTA],$F95)</f>
        <v>-901.38</v>
      </c>
      <c r="I95" s="4">
        <f>SUMIFS(Tab_02.Fev[SALDO
ATUAL],Tab_02.Fev[CONTA],$F95)</f>
        <v>-901.38</v>
      </c>
      <c r="J95" s="4">
        <f>SUMIFS(Tab_03.Mar[SALDO
ATUAL],Tab_03.Mar[CONTA],$F95)</f>
        <v>-1987.97</v>
      </c>
      <c r="K95" s="4">
        <f>SUMIFS(Tab_04.Abr[SALDO
ATUAL],Tab_04.Abr[CONTA],$F95)</f>
        <v>-2650.62</v>
      </c>
      <c r="L95" s="4">
        <f>SUMIFS(Tab_05.Mai[SALDO
ATUAL],Tab_05.Mai[CONTA],$F95)</f>
        <v>-3334.64</v>
      </c>
      <c r="M95" s="4">
        <f>SUMIFS(Tab_06.Jun[SALDO
ATUAL],Tab_06.Jun[CONTA],$F95)</f>
        <v>-4702.63</v>
      </c>
      <c r="N95" s="4">
        <f>SUMIFS(Tab_07.Jul[SALDO
ATUAL],Tab_07.Jul[CONTA],$F95)</f>
        <v>-4702.63</v>
      </c>
      <c r="O95" s="4">
        <f>SUMIFS(Tab_08.Ago[SALDO
ATUAL],Tab_08.Ago[CONTA],$F95)</f>
        <v>-4702.63</v>
      </c>
      <c r="P95" s="4">
        <f>SUMIFS(Tab_09.Set[SALDO
ATUAL],Tab_09.Set[CONTA],$F95)</f>
        <v>-6093.55</v>
      </c>
      <c r="Q95" s="4">
        <f>SUMIFS(Tab_10.Out[SALDO
ATUAL],Tab_10.Out[CONTA],$F95)</f>
        <v>-6785.69</v>
      </c>
      <c r="R95" s="4">
        <f>SUMIFS(Tab_11.Nov[SALDO
ATUAL],Tab_11.Nov[CONTA],$F95)</f>
        <v>-7477.8</v>
      </c>
      <c r="S95" s="4">
        <f>SUMIFS(Tab_12.Dez[SALDO
ATUAL],Tab_12.Dez[CONTA],$F95)</f>
        <v>0</v>
      </c>
    </row>
    <row r="96" spans="2:19" x14ac:dyDescent="0.3">
      <c r="B96" s="3" t="s">
        <v>52</v>
      </c>
      <c r="C96" s="2" t="str">
        <f>IF($F96="","",IF(LEFT($F96,1)*1=1,"A",IF(LEFT($F96,1)*1=2,"P",IF(LEFT($F96,1)*1=3,"R",IF(LEFT($F96,1)*1=4,"C",IF(LEFT($F96,1)*1=5,"C",""))))))</f>
        <v>P</v>
      </c>
      <c r="D96" s="2" t="str">
        <f>IF($F96="","",IF(LEN($F96)=13,"A","S"))</f>
        <v>A</v>
      </c>
      <c r="E96" s="2">
        <f>IF($F96="","",IF(LEN($F96)=1,1,IF(LEN($F96)=3,2,IF(LEN($F96)=5,3,IF(LEN($F96)=8,4,5)))))</f>
        <v>5</v>
      </c>
      <c r="F96" s="3" t="s">
        <v>786</v>
      </c>
      <c r="G96" s="3" t="s">
        <v>787</v>
      </c>
      <c r="H96" s="4">
        <f>SUMIFS(Tab_01.Jan[SALDO
ATUAL],Tab_01.Jan[CONTA],$F96)</f>
        <v>-112.67</v>
      </c>
      <c r="I96" s="4">
        <f>SUMIFS(Tab_02.Fev[SALDO
ATUAL],Tab_02.Fev[CONTA],$F96)</f>
        <v>-112.67</v>
      </c>
      <c r="J96" s="4">
        <f>SUMIFS(Tab_03.Mar[SALDO
ATUAL],Tab_03.Mar[CONTA],$F96)</f>
        <v>-248.5</v>
      </c>
      <c r="K96" s="4">
        <f>SUMIFS(Tab_04.Abr[SALDO
ATUAL],Tab_04.Abr[CONTA],$F96)</f>
        <v>-331.34</v>
      </c>
      <c r="L96" s="4">
        <f>SUMIFS(Tab_05.Mai[SALDO
ATUAL],Tab_05.Mai[CONTA],$F96)</f>
        <v>-416.83</v>
      </c>
      <c r="M96" s="4">
        <f>SUMIFS(Tab_06.Jun[SALDO
ATUAL],Tab_06.Jun[CONTA],$F96)</f>
        <v>-587.80999999999995</v>
      </c>
      <c r="N96" s="4">
        <f>SUMIFS(Tab_07.Jul[SALDO
ATUAL],Tab_07.Jul[CONTA],$F96)</f>
        <v>-587.80999999999995</v>
      </c>
      <c r="O96" s="4">
        <f>SUMIFS(Tab_08.Ago[SALDO
ATUAL],Tab_08.Ago[CONTA],$F96)</f>
        <v>-587.80999999999995</v>
      </c>
      <c r="P96" s="4">
        <f>SUMIFS(Tab_09.Set[SALDO
ATUAL],Tab_09.Set[CONTA],$F96)</f>
        <v>-768.18</v>
      </c>
      <c r="Q96" s="4">
        <f>SUMIFS(Tab_10.Out[SALDO
ATUAL],Tab_10.Out[CONTA],$F96)</f>
        <v>-854.63</v>
      </c>
      <c r="R96" s="4">
        <f>SUMIFS(Tab_11.Nov[SALDO
ATUAL],Tab_11.Nov[CONTA],$F96)</f>
        <v>-941.08</v>
      </c>
      <c r="S96" s="4">
        <f>SUMIFS(Tab_12.Dez[SALDO
ATUAL],Tab_12.Dez[CONTA],$F96)</f>
        <v>0</v>
      </c>
    </row>
    <row r="97" spans="2:19" x14ac:dyDescent="0.3">
      <c r="B97" s="3" t="s">
        <v>52</v>
      </c>
      <c r="C97" s="2" t="str">
        <f>IF($F97="","",IF(LEFT($F97,1)*1=1,"A",IF(LEFT($F97,1)*1=2,"P",IF(LEFT($F97,1)*1=3,"R",IF(LEFT($F97,1)*1=4,"C",IF(LEFT($F97,1)*1=5,"C",""))))))</f>
        <v>P</v>
      </c>
      <c r="D97" s="2" t="str">
        <f>IF($F97="","",IF(LEN($F97)=13,"A","S"))</f>
        <v>A</v>
      </c>
      <c r="E97" s="2">
        <f>IF($F97="","",IF(LEN($F97)=1,1,IF(LEN($F97)=3,2,IF(LEN($F97)=5,3,IF(LEN($F97)=8,4,5)))))</f>
        <v>5</v>
      </c>
      <c r="F97" s="3" t="s">
        <v>788</v>
      </c>
      <c r="G97" s="3" t="s">
        <v>789</v>
      </c>
      <c r="H97" s="4">
        <f>SUMIFS(Tab_01.Jan[SALDO
ATUAL],Tab_01.Jan[CONTA],$F97)</f>
        <v>-3019.84</v>
      </c>
      <c r="I97" s="4">
        <f>SUMIFS(Tab_02.Fev[SALDO
ATUAL],Tab_02.Fev[CONTA],$F97)</f>
        <v>-3019.84</v>
      </c>
      <c r="J97" s="4">
        <f>SUMIFS(Tab_03.Mar[SALDO
ATUAL],Tab_03.Mar[CONTA],$F97)</f>
        <v>-6659.85</v>
      </c>
      <c r="K97" s="4">
        <f>SUMIFS(Tab_04.Abr[SALDO
ATUAL],Tab_04.Abr[CONTA],$F97)</f>
        <v>-8879.77</v>
      </c>
      <c r="L97" s="4">
        <f>SUMIFS(Tab_05.Mai[SALDO
ATUAL],Tab_05.Mai[CONTA],$F97)</f>
        <v>-11171.18</v>
      </c>
      <c r="M97" s="4">
        <f>SUMIFS(Tab_06.Jun[SALDO
ATUAL],Tab_06.Jun[CONTA],$F97)</f>
        <v>-15753</v>
      </c>
      <c r="N97" s="4">
        <f>SUMIFS(Tab_07.Jul[SALDO
ATUAL],Tab_07.Jul[CONTA],$F97)</f>
        <v>-15753</v>
      </c>
      <c r="O97" s="4">
        <f>SUMIFS(Tab_08.Ago[SALDO
ATUAL],Tab_08.Ago[CONTA],$F97)</f>
        <v>-15753</v>
      </c>
      <c r="P97" s="4">
        <f>SUMIFS(Tab_09.Set[SALDO
ATUAL],Tab_09.Set[CONTA],$F97)</f>
        <v>-20587.400000000001</v>
      </c>
      <c r="Q97" s="4">
        <f>SUMIFS(Tab_10.Out[SALDO
ATUAL],Tab_10.Out[CONTA],$F97)</f>
        <v>-22903.94</v>
      </c>
      <c r="R97" s="4">
        <f>SUMIFS(Tab_11.Nov[SALDO
ATUAL],Tab_11.Nov[CONTA],$F97)</f>
        <v>-25220.720000000001</v>
      </c>
      <c r="S97" s="4">
        <f>SUMIFS(Tab_12.Dez[SALDO
ATUAL],Tab_12.Dez[CONTA],$F97)</f>
        <v>0</v>
      </c>
    </row>
    <row r="98" spans="2:19" x14ac:dyDescent="0.3">
      <c r="B98" s="3"/>
      <c r="C98" s="2" t="str">
        <f t="shared" si="6"/>
        <v>P</v>
      </c>
      <c r="D98" s="2" t="str">
        <f t="shared" si="4"/>
        <v>S</v>
      </c>
      <c r="E98" s="2">
        <f t="shared" si="5"/>
        <v>5</v>
      </c>
      <c r="F98" s="3" t="s">
        <v>561</v>
      </c>
      <c r="G98" s="3" t="s">
        <v>657</v>
      </c>
      <c r="H98" s="4">
        <f>SUMIFS(Tab_01.Jan[SALDO
ATUAL],Tab_01.Jan[CONTA],$F98)</f>
        <v>-281798.96000000002</v>
      </c>
      <c r="I98" s="4">
        <f>SUMIFS(Tab_02.Fev[SALDO
ATUAL],Tab_02.Fev[CONTA],$F98)</f>
        <v>-281798.96000000002</v>
      </c>
      <c r="J98" s="4">
        <f>SUMIFS(Tab_03.Mar[SALDO
ATUAL],Tab_03.Mar[CONTA],$F98)</f>
        <v>-207025.53</v>
      </c>
      <c r="K98" s="4">
        <f>SUMIFS(Tab_04.Abr[SALDO
ATUAL],Tab_04.Abr[CONTA],$F98)</f>
        <v>-221867.95</v>
      </c>
      <c r="L98" s="4">
        <f>SUMIFS(Tab_05.Mai[SALDO
ATUAL],Tab_05.Mai[CONTA],$F98)</f>
        <v>-236606.97</v>
      </c>
      <c r="M98" s="4">
        <f>SUMIFS(Tab_06.Jun[SALDO
ATUAL],Tab_06.Jun[CONTA],$F98)</f>
        <v>-226256.29</v>
      </c>
      <c r="N98" s="4">
        <f>SUMIFS(Tab_07.Jul[SALDO
ATUAL],Tab_07.Jul[CONTA],$F98)</f>
        <v>-226256.29</v>
      </c>
      <c r="O98" s="4">
        <f>SUMIFS(Tab_08.Ago[SALDO
ATUAL],Tab_08.Ago[CONTA],$F98)</f>
        <v>-226256.29</v>
      </c>
      <c r="P98" s="4">
        <f>SUMIFS(Tab_09.Set[SALDO
ATUAL],Tab_09.Set[CONTA],$F98)</f>
        <v>-202152.4</v>
      </c>
      <c r="Q98" s="4">
        <f>SUMIFS(Tab_10.Out[SALDO
ATUAL],Tab_10.Out[CONTA],$F98)</f>
        <v>-191368.78</v>
      </c>
      <c r="R98" s="4">
        <f>SUMIFS(Tab_11.Nov[SALDO
ATUAL],Tab_11.Nov[CONTA],$F98)</f>
        <v>-199706.11</v>
      </c>
      <c r="S98" s="4">
        <f>SUMIFS(Tab_12.Dez[SALDO
ATUAL],Tab_12.Dez[CONTA],$F98)</f>
        <v>-216136.46</v>
      </c>
    </row>
    <row r="99" spans="2:19" x14ac:dyDescent="0.3">
      <c r="B99" s="3" t="s">
        <v>52</v>
      </c>
      <c r="C99" s="2" t="str">
        <f t="shared" si="6"/>
        <v>P</v>
      </c>
      <c r="D99" s="2" t="str">
        <f t="shared" si="4"/>
        <v>A</v>
      </c>
      <c r="E99" s="2">
        <f t="shared" si="5"/>
        <v>5</v>
      </c>
      <c r="F99" s="3" t="s">
        <v>334</v>
      </c>
      <c r="G99" s="3" t="s">
        <v>335</v>
      </c>
      <c r="H99" s="4">
        <f>SUMIFS(Tab_01.Jan[SALDO
ATUAL],Tab_01.Jan[CONTA],$F99)</f>
        <v>-207351.84</v>
      </c>
      <c r="I99" s="4">
        <f>SUMIFS(Tab_02.Fev[SALDO
ATUAL],Tab_02.Fev[CONTA],$F99)</f>
        <v>-207351.84</v>
      </c>
      <c r="J99" s="4">
        <f>SUMIFS(Tab_03.Mar[SALDO
ATUAL],Tab_03.Mar[CONTA],$F99)</f>
        <v>-152419.89000000001</v>
      </c>
      <c r="K99" s="4">
        <f>SUMIFS(Tab_04.Abr[SALDO
ATUAL],Tab_04.Abr[CONTA],$F99)</f>
        <v>-163377.99</v>
      </c>
      <c r="L99" s="4">
        <f>SUMIFS(Tab_05.Mai[SALDO
ATUAL],Tab_05.Mai[CONTA],$F99)</f>
        <v>-174044.7</v>
      </c>
      <c r="M99" s="4">
        <f>SUMIFS(Tab_06.Jun[SALDO
ATUAL],Tab_06.Jun[CONTA],$F99)</f>
        <v>-166422.66</v>
      </c>
      <c r="N99" s="4">
        <f>SUMIFS(Tab_07.Jul[SALDO
ATUAL],Tab_07.Jul[CONTA],$F99)</f>
        <v>-166422.66</v>
      </c>
      <c r="O99" s="4">
        <f>SUMIFS(Tab_08.Ago[SALDO
ATUAL],Tab_08.Ago[CONTA],$F99)</f>
        <v>-166422.66</v>
      </c>
      <c r="P99" s="4">
        <f>SUMIFS(Tab_09.Set[SALDO
ATUAL],Tab_09.Set[CONTA],$F99)</f>
        <v>-148671.13</v>
      </c>
      <c r="Q99" s="4">
        <f>SUMIFS(Tab_10.Out[SALDO
ATUAL],Tab_10.Out[CONTA],$F99)</f>
        <v>-140847.38</v>
      </c>
      <c r="R99" s="4">
        <f>SUMIFS(Tab_11.Nov[SALDO
ATUAL],Tab_11.Nov[CONTA],$F99)</f>
        <v>-147005.94</v>
      </c>
      <c r="S99" s="4">
        <f>SUMIFS(Tab_12.Dez[SALDO
ATUAL],Tab_12.Dez[CONTA],$F99)</f>
        <v>-158957.4</v>
      </c>
    </row>
    <row r="100" spans="2:19" x14ac:dyDescent="0.3">
      <c r="B100" s="3" t="s">
        <v>52</v>
      </c>
      <c r="C100" s="2" t="str">
        <f>IF($F100="","",IF(LEFT($F100,1)*1=1,"A",IF(LEFT($F100,1)*1=2,"P",IF(LEFT($F100,1)*1=3,"R",IF(LEFT($F100,1)*1=4,"C",IF(LEFT($F100,1)*1=5,"C",""))))))</f>
        <v>P</v>
      </c>
      <c r="D100" s="2" t="str">
        <f t="shared" ref="D100:D105" si="7">IF($F100="","",IF(LEN($F100)=13,"A","S"))</f>
        <v>A</v>
      </c>
      <c r="E100" s="2">
        <f t="shared" ref="E100:E105" si="8">IF($F100="","",IF(LEN($F100)=1,1,IF(LEN($F100)=3,2,IF(LEN($F100)=5,3,IF(LEN($F100)=8,4,5)))))</f>
        <v>5</v>
      </c>
      <c r="F100" s="3" t="s">
        <v>790</v>
      </c>
      <c r="G100" s="3" t="s">
        <v>791</v>
      </c>
      <c r="H100" s="4">
        <f>SUMIFS(Tab_01.Jan[SALDO
ATUAL],Tab_01.Jan[CONTA],$F100)</f>
        <v>-16551.36</v>
      </c>
      <c r="I100" s="4">
        <f>SUMIFS(Tab_02.Fev[SALDO
ATUAL],Tab_02.Fev[CONTA],$F100)</f>
        <v>-16551.36</v>
      </c>
      <c r="J100" s="4">
        <f>SUMIFS(Tab_03.Mar[SALDO
ATUAL],Tab_03.Mar[CONTA],$F100)</f>
        <v>-12142.12</v>
      </c>
      <c r="K100" s="4">
        <f>SUMIFS(Tab_04.Abr[SALDO
ATUAL],Tab_04.Abr[CONTA],$F100)</f>
        <v>-13011.43</v>
      </c>
      <c r="L100" s="4">
        <f>SUMIFS(Tab_05.Mai[SALDO
ATUAL],Tab_05.Mai[CONTA],$F100)</f>
        <v>-13923.42</v>
      </c>
      <c r="M100" s="4">
        <f>SUMIFS(Tab_06.Jun[SALDO
ATUAL],Tab_06.Jun[CONTA],$F100)</f>
        <v>-13313.66</v>
      </c>
      <c r="N100" s="4">
        <f>SUMIFS(Tab_07.Jul[SALDO
ATUAL],Tab_07.Jul[CONTA],$F100)</f>
        <v>-13313.66</v>
      </c>
      <c r="O100" s="4">
        <f>SUMIFS(Tab_08.Ago[SALDO
ATUAL],Tab_08.Ago[CONTA],$F100)</f>
        <v>-13313.66</v>
      </c>
      <c r="P100" s="4">
        <f>SUMIFS(Tab_09.Set[SALDO
ATUAL],Tab_09.Set[CONTA],$F100)</f>
        <v>-11878.87</v>
      </c>
      <c r="Q100" s="4">
        <f>SUMIFS(Tab_10.Out[SALDO
ATUAL],Tab_10.Out[CONTA],$F100)</f>
        <v>-11245.64</v>
      </c>
      <c r="R100" s="4">
        <f>SUMIFS(Tab_11.Nov[SALDO
ATUAL],Tab_11.Nov[CONTA],$F100)</f>
        <v>-11730.99</v>
      </c>
      <c r="S100" s="4">
        <f>SUMIFS(Tab_12.Dez[SALDO
ATUAL],Tab_12.Dez[CONTA],$F100)</f>
        <v>-12734.09</v>
      </c>
    </row>
    <row r="101" spans="2:19" x14ac:dyDescent="0.3">
      <c r="B101" s="3" t="s">
        <v>52</v>
      </c>
      <c r="C101" s="2" t="str">
        <f>IF($F101="","",IF(LEFT($F101,1)*1=1,"A",IF(LEFT($F101,1)*1=2,"P",IF(LEFT($F101,1)*1=3,"R",IF(LEFT($F101,1)*1=4,"C",IF(LEFT($F101,1)*1=5,"C",""))))))</f>
        <v>P</v>
      </c>
      <c r="D101" s="2" t="str">
        <f t="shared" si="7"/>
        <v>A</v>
      </c>
      <c r="E101" s="2">
        <f t="shared" si="8"/>
        <v>5</v>
      </c>
      <c r="F101" s="3" t="s">
        <v>792</v>
      </c>
      <c r="G101" s="3" t="s">
        <v>793</v>
      </c>
      <c r="H101" s="4">
        <f>SUMIFS(Tab_01.Jan[SALDO
ATUAL],Tab_01.Jan[CONTA],$F101)</f>
        <v>-2448.34</v>
      </c>
      <c r="I101" s="4">
        <f>SUMIFS(Tab_02.Fev[SALDO
ATUAL],Tab_02.Fev[CONTA],$F101)</f>
        <v>-2448.34</v>
      </c>
      <c r="J101" s="4">
        <f>SUMIFS(Tab_03.Mar[SALDO
ATUAL],Tab_03.Mar[CONTA],$F101)</f>
        <v>-1786.86</v>
      </c>
      <c r="K101" s="4">
        <f>SUMIFS(Tab_04.Abr[SALDO
ATUAL],Tab_04.Abr[CONTA],$F101)</f>
        <v>-1889.75</v>
      </c>
      <c r="L101" s="4">
        <f>SUMIFS(Tab_05.Mai[SALDO
ATUAL],Tab_05.Mai[CONTA],$F101)</f>
        <v>-1994.85</v>
      </c>
      <c r="M101" s="4">
        <f>SUMIFS(Tab_06.Jun[SALDO
ATUAL],Tab_06.Jun[CONTA],$F101)</f>
        <v>-1918.65</v>
      </c>
      <c r="N101" s="4">
        <f>SUMIFS(Tab_07.Jul[SALDO
ATUAL],Tab_07.Jul[CONTA],$F101)</f>
        <v>-1918.65</v>
      </c>
      <c r="O101" s="4">
        <f>SUMIFS(Tab_08.Ago[SALDO
ATUAL],Tab_08.Ago[CONTA],$F101)</f>
        <v>-1918.65</v>
      </c>
      <c r="P101" s="4">
        <f>SUMIFS(Tab_09.Set[SALDO
ATUAL],Tab_09.Set[CONTA],$F101)</f>
        <v>-1807.67</v>
      </c>
      <c r="Q101" s="4">
        <f>SUMIFS(Tab_10.Out[SALDO
ATUAL],Tab_10.Out[CONTA],$F101)</f>
        <v>-1602.33</v>
      </c>
      <c r="R101" s="4">
        <f>SUMIFS(Tab_11.Nov[SALDO
ATUAL],Tab_11.Nov[CONTA],$F101)</f>
        <v>-1669.81</v>
      </c>
      <c r="S101" s="4">
        <f>SUMIFS(Tab_12.Dez[SALDO
ATUAL],Tab_12.Dez[CONTA],$F101)</f>
        <v>-1785.18</v>
      </c>
    </row>
    <row r="102" spans="2:19" x14ac:dyDescent="0.3">
      <c r="B102" s="3" t="s">
        <v>52</v>
      </c>
      <c r="C102" s="2" t="str">
        <f>IF($F102="","",IF(LEFT($F102,1)*1=1,"A",IF(LEFT($F102,1)*1=2,"P",IF(LEFT($F102,1)*1=3,"R",IF(LEFT($F102,1)*1=4,"C",IF(LEFT($F102,1)*1=5,"C",""))))))</f>
        <v>P</v>
      </c>
      <c r="D102" s="2" t="str">
        <f t="shared" si="7"/>
        <v>A</v>
      </c>
      <c r="E102" s="2">
        <f t="shared" si="8"/>
        <v>5</v>
      </c>
      <c r="F102" s="3" t="s">
        <v>794</v>
      </c>
      <c r="G102" s="3" t="s">
        <v>795</v>
      </c>
      <c r="H102" s="4">
        <f>SUMIFS(Tab_01.Jan[SALDO
ATUAL],Tab_01.Jan[CONTA],$F102)</f>
        <v>-55447.42</v>
      </c>
      <c r="I102" s="4">
        <f>SUMIFS(Tab_02.Fev[SALDO
ATUAL],Tab_02.Fev[CONTA],$F102)</f>
        <v>-55447.42</v>
      </c>
      <c r="J102" s="4">
        <f>SUMIFS(Tab_03.Mar[SALDO
ATUAL],Tab_03.Mar[CONTA],$F102)</f>
        <v>-40676.660000000003</v>
      </c>
      <c r="K102" s="4">
        <f>SUMIFS(Tab_04.Abr[SALDO
ATUAL],Tab_04.Abr[CONTA],$F102)</f>
        <v>-43588.78</v>
      </c>
      <c r="L102" s="4">
        <f>SUMIFS(Tab_05.Mai[SALDO
ATUAL],Tab_05.Mai[CONTA],$F102)</f>
        <v>-46644</v>
      </c>
      <c r="M102" s="4">
        <f>SUMIFS(Tab_06.Jun[SALDO
ATUAL],Tab_06.Jun[CONTA],$F102)</f>
        <v>-44601.32</v>
      </c>
      <c r="N102" s="4">
        <f>SUMIFS(Tab_07.Jul[SALDO
ATUAL],Tab_07.Jul[CONTA],$F102)</f>
        <v>-44601.32</v>
      </c>
      <c r="O102" s="4">
        <f>SUMIFS(Tab_08.Ago[SALDO
ATUAL],Tab_08.Ago[CONTA],$F102)</f>
        <v>-44601.32</v>
      </c>
      <c r="P102" s="4">
        <f>SUMIFS(Tab_09.Set[SALDO
ATUAL],Tab_09.Set[CONTA],$F102)</f>
        <v>-39794.730000000003</v>
      </c>
      <c r="Q102" s="4">
        <f>SUMIFS(Tab_10.Out[SALDO
ATUAL],Tab_10.Out[CONTA],$F102)</f>
        <v>-37673.43</v>
      </c>
      <c r="R102" s="4">
        <f>SUMIFS(Tab_11.Nov[SALDO
ATUAL],Tab_11.Nov[CONTA],$F102)</f>
        <v>-39299.370000000003</v>
      </c>
      <c r="S102" s="4">
        <f>SUMIFS(Tab_12.Dez[SALDO
ATUAL],Tab_12.Dez[CONTA],$F102)</f>
        <v>-42659.79</v>
      </c>
    </row>
    <row r="103" spans="2:19" x14ac:dyDescent="0.3">
      <c r="B103" s="3"/>
      <c r="C103" s="2" t="str">
        <f t="shared" si="6"/>
        <v>P</v>
      </c>
      <c r="D103" s="2" t="str">
        <f t="shared" si="7"/>
        <v>S</v>
      </c>
      <c r="E103" s="2">
        <f t="shared" si="8"/>
        <v>5</v>
      </c>
      <c r="F103" s="3" t="s">
        <v>562</v>
      </c>
      <c r="G103" s="3" t="s">
        <v>658</v>
      </c>
      <c r="H103" s="4">
        <f>SUMIFS(Tab_01.Jan[SALDO
ATUAL],Tab_01.Jan[CONTA],$F103)</f>
        <v>-48287.58</v>
      </c>
      <c r="I103" s="4">
        <f>SUMIFS(Tab_02.Fev[SALDO
ATUAL],Tab_02.Fev[CONTA],$F103)</f>
        <v>-1025.94</v>
      </c>
      <c r="J103" s="4">
        <f>SUMIFS(Tab_03.Mar[SALDO
ATUAL],Tab_03.Mar[CONTA],$F103)</f>
        <v>-36645.54</v>
      </c>
      <c r="K103" s="4">
        <f>SUMIFS(Tab_04.Abr[SALDO
ATUAL],Tab_04.Abr[CONTA],$F103)</f>
        <v>-31551.8</v>
      </c>
      <c r="L103" s="4">
        <f>SUMIFS(Tab_05.Mai[SALDO
ATUAL],Tab_05.Mai[CONTA],$F103)</f>
        <v>-32380.61</v>
      </c>
      <c r="M103" s="4">
        <f>SUMIFS(Tab_06.Jun[SALDO
ATUAL],Tab_06.Jun[CONTA],$F103)</f>
        <v>-33202.51</v>
      </c>
      <c r="N103" s="4">
        <f>SUMIFS(Tab_07.Jul[SALDO
ATUAL],Tab_07.Jul[CONTA],$F103)</f>
        <v>-33202.51</v>
      </c>
      <c r="O103" s="4">
        <f>SUMIFS(Tab_08.Ago[SALDO
ATUAL],Tab_08.Ago[CONTA],$F103)</f>
        <v>-33202.51</v>
      </c>
      <c r="P103" s="4">
        <f>SUMIFS(Tab_09.Set[SALDO
ATUAL],Tab_09.Set[CONTA],$F103)</f>
        <v>-35995.78</v>
      </c>
      <c r="Q103" s="4">
        <f>SUMIFS(Tab_10.Out[SALDO
ATUAL],Tab_10.Out[CONTA],$F103)</f>
        <v>-36634.31</v>
      </c>
      <c r="R103" s="4">
        <f>SUMIFS(Tab_11.Nov[SALDO
ATUAL],Tab_11.Nov[CONTA],$F103)</f>
        <v>-35631.67</v>
      </c>
      <c r="S103" s="4">
        <f>SUMIFS(Tab_12.Dez[SALDO
ATUAL],Tab_12.Dez[CONTA],$F103)</f>
        <v>-35223.25</v>
      </c>
    </row>
    <row r="104" spans="2:19" x14ac:dyDescent="0.3">
      <c r="B104" s="3" t="s">
        <v>52</v>
      </c>
      <c r="C104" s="2" t="str">
        <f t="shared" si="6"/>
        <v>P</v>
      </c>
      <c r="D104" s="2" t="str">
        <f t="shared" si="7"/>
        <v>A</v>
      </c>
      <c r="E104" s="2">
        <f t="shared" si="8"/>
        <v>5</v>
      </c>
      <c r="F104" s="3" t="s">
        <v>336</v>
      </c>
      <c r="G104" s="3" t="s">
        <v>337</v>
      </c>
      <c r="H104" s="4">
        <f>SUMIFS(Tab_01.Jan[SALDO
ATUAL],Tab_01.Jan[CONTA],$F104)</f>
        <v>-47261.64</v>
      </c>
      <c r="I104" s="4">
        <f>SUMIFS(Tab_02.Fev[SALDO
ATUAL],Tab_02.Fev[CONTA],$F104)</f>
        <v>0</v>
      </c>
      <c r="J104" s="4">
        <f>SUMIFS(Tab_03.Mar[SALDO
ATUAL],Tab_03.Mar[CONTA],$F104)</f>
        <v>-36132.559999999998</v>
      </c>
      <c r="K104" s="4">
        <f>SUMIFS(Tab_04.Abr[SALDO
ATUAL],Tab_04.Abr[CONTA],$F104)</f>
        <v>-30763.82</v>
      </c>
      <c r="L104" s="4">
        <f>SUMIFS(Tab_05.Mai[SALDO
ATUAL],Tab_05.Mai[CONTA],$F104)</f>
        <v>-31867.63</v>
      </c>
      <c r="M104" s="4">
        <f>SUMIFS(Tab_06.Jun[SALDO
ATUAL],Tab_06.Jun[CONTA],$F104)</f>
        <v>-32618.43</v>
      </c>
      <c r="N104" s="4">
        <f>SUMIFS(Tab_07.Jul[SALDO
ATUAL],Tab_07.Jul[CONTA],$F104)</f>
        <v>-32618.43</v>
      </c>
      <c r="O104" s="4">
        <f>SUMIFS(Tab_08.Ago[SALDO
ATUAL],Tab_08.Ago[CONTA],$F104)</f>
        <v>-32618.43</v>
      </c>
      <c r="P104" s="4">
        <f>SUMIFS(Tab_09.Set[SALDO
ATUAL],Tab_09.Set[CONTA],$F104)</f>
        <v>-35995.78</v>
      </c>
      <c r="Q104" s="4">
        <f>SUMIFS(Tab_10.Out[SALDO
ATUAL],Tab_10.Out[CONTA],$F104)</f>
        <v>-36050.230000000003</v>
      </c>
      <c r="R104" s="4">
        <f>SUMIFS(Tab_11.Nov[SALDO
ATUAL],Tab_11.Nov[CONTA],$F104)</f>
        <v>-35088.22</v>
      </c>
      <c r="S104" s="4">
        <f>SUMIFS(Tab_12.Dez[SALDO
ATUAL],Tab_12.Dez[CONTA],$F104)</f>
        <v>-34679.800000000003</v>
      </c>
    </row>
    <row r="105" spans="2:19" x14ac:dyDescent="0.3">
      <c r="B105" s="3" t="s">
        <v>52</v>
      </c>
      <c r="C105" s="2" t="str">
        <f t="shared" si="6"/>
        <v>P</v>
      </c>
      <c r="D105" s="2" t="str">
        <f t="shared" si="7"/>
        <v>A</v>
      </c>
      <c r="E105" s="2">
        <f t="shared" si="8"/>
        <v>5</v>
      </c>
      <c r="F105" s="3" t="s">
        <v>338</v>
      </c>
      <c r="G105" s="3" t="s">
        <v>339</v>
      </c>
      <c r="H105" s="4">
        <f>SUMIFS(Tab_01.Jan[SALDO
ATUAL],Tab_01.Jan[CONTA],$F105)</f>
        <v>-1025.94</v>
      </c>
      <c r="I105" s="4">
        <f>SUMIFS(Tab_02.Fev[SALDO
ATUAL],Tab_02.Fev[CONTA],$F105)</f>
        <v>-1025.94</v>
      </c>
      <c r="J105" s="4">
        <f>SUMIFS(Tab_03.Mar[SALDO
ATUAL],Tab_03.Mar[CONTA],$F105)</f>
        <v>-512.98</v>
      </c>
      <c r="K105" s="4">
        <f>SUMIFS(Tab_04.Abr[SALDO
ATUAL],Tab_04.Abr[CONTA],$F105)</f>
        <v>-787.98</v>
      </c>
      <c r="L105" s="4">
        <f>SUMIFS(Tab_05.Mai[SALDO
ATUAL],Tab_05.Mai[CONTA],$F105)</f>
        <v>-512.98</v>
      </c>
      <c r="M105" s="4">
        <f>SUMIFS(Tab_06.Jun[SALDO
ATUAL],Tab_06.Jun[CONTA],$F105)</f>
        <v>-584.08000000000004</v>
      </c>
      <c r="N105" s="4">
        <f>SUMIFS(Tab_07.Jul[SALDO
ATUAL],Tab_07.Jul[CONTA],$F105)</f>
        <v>-584.08000000000004</v>
      </c>
      <c r="O105" s="4">
        <f>SUMIFS(Tab_08.Ago[SALDO
ATUAL],Tab_08.Ago[CONTA],$F105)</f>
        <v>-584.08000000000004</v>
      </c>
      <c r="P105" s="4">
        <f>SUMIFS(Tab_09.Set[SALDO
ATUAL],Tab_09.Set[CONTA],$F105)</f>
        <v>0</v>
      </c>
      <c r="Q105" s="4">
        <f>SUMIFS(Tab_10.Out[SALDO
ATUAL],Tab_10.Out[CONTA],$F105)</f>
        <v>-584.08000000000004</v>
      </c>
      <c r="R105" s="4">
        <f>SUMIFS(Tab_11.Nov[SALDO
ATUAL],Tab_11.Nov[CONTA],$F105)</f>
        <v>-543.45000000000005</v>
      </c>
      <c r="S105" s="4">
        <f>SUMIFS(Tab_12.Dez[SALDO
ATUAL],Tab_12.Dez[CONTA],$F105)</f>
        <v>-543.45000000000005</v>
      </c>
    </row>
    <row r="106" spans="2:19" x14ac:dyDescent="0.3">
      <c r="B106" s="3"/>
      <c r="C106" s="2" t="str">
        <f t="shared" si="6"/>
        <v>P</v>
      </c>
      <c r="D106" s="2" t="str">
        <f t="shared" si="4"/>
        <v>S</v>
      </c>
      <c r="E106" s="2">
        <f t="shared" si="5"/>
        <v>5</v>
      </c>
      <c r="F106" s="3" t="s">
        <v>563</v>
      </c>
      <c r="G106" s="3" t="s">
        <v>659</v>
      </c>
      <c r="H106" s="4">
        <f>SUMIFS(Tab_01.Jan[SALDO
ATUAL],Tab_01.Jan[CONTA],$F106)</f>
        <v>-23248.87</v>
      </c>
      <c r="I106" s="4">
        <f>SUMIFS(Tab_02.Fev[SALDO
ATUAL],Tab_02.Fev[CONTA],$F106)</f>
        <v>-10206.65</v>
      </c>
      <c r="J106" s="4">
        <f>SUMIFS(Tab_03.Mar[SALDO
ATUAL],Tab_03.Mar[CONTA],$F106)</f>
        <v>-16505.62</v>
      </c>
      <c r="K106" s="4">
        <f>SUMIFS(Tab_04.Abr[SALDO
ATUAL],Tab_04.Abr[CONTA],$F106)</f>
        <v>-14901.96</v>
      </c>
      <c r="L106" s="4">
        <f>SUMIFS(Tab_05.Mai[SALDO
ATUAL],Tab_05.Mai[CONTA],$F106)</f>
        <v>-13601.22</v>
      </c>
      <c r="M106" s="4">
        <f>SUMIFS(Tab_06.Jun[SALDO
ATUAL],Tab_06.Jun[CONTA],$F106)</f>
        <v>-10292.57</v>
      </c>
      <c r="N106" s="4">
        <f>SUMIFS(Tab_07.Jul[SALDO
ATUAL],Tab_07.Jul[CONTA],$F106)</f>
        <v>-10292.57</v>
      </c>
      <c r="O106" s="4">
        <f>SUMIFS(Tab_08.Ago[SALDO
ATUAL],Tab_08.Ago[CONTA],$F106)</f>
        <v>-10292.57</v>
      </c>
      <c r="P106" s="4">
        <f>SUMIFS(Tab_09.Set[SALDO
ATUAL],Tab_09.Set[CONTA],$F106)</f>
        <v>-9839.08</v>
      </c>
      <c r="Q106" s="4">
        <f>SUMIFS(Tab_10.Out[SALDO
ATUAL],Tab_10.Out[CONTA],$F106)</f>
        <v>-9887.9</v>
      </c>
      <c r="R106" s="4">
        <f>SUMIFS(Tab_11.Nov[SALDO
ATUAL],Tab_11.Nov[CONTA],$F106)</f>
        <v>-9558.02</v>
      </c>
      <c r="S106" s="4">
        <f>SUMIFS(Tab_12.Dez[SALDO
ATUAL],Tab_12.Dez[CONTA],$F106)</f>
        <v>-17424.02</v>
      </c>
    </row>
    <row r="107" spans="2:19" x14ac:dyDescent="0.3">
      <c r="B107" s="3" t="s">
        <v>52</v>
      </c>
      <c r="C107" s="2" t="str">
        <f t="shared" si="6"/>
        <v>P</v>
      </c>
      <c r="D107" s="2" t="str">
        <f t="shared" si="4"/>
        <v>A</v>
      </c>
      <c r="E107" s="2">
        <f t="shared" si="5"/>
        <v>5</v>
      </c>
      <c r="F107" s="3" t="s">
        <v>340</v>
      </c>
      <c r="G107" s="3" t="s">
        <v>341</v>
      </c>
      <c r="H107" s="4">
        <f>SUMIFS(Tab_01.Jan[SALDO
ATUAL],Tab_01.Jan[CONTA],$F107)</f>
        <v>-21799.74</v>
      </c>
      <c r="I107" s="4">
        <f>SUMIFS(Tab_02.Fev[SALDO
ATUAL],Tab_02.Fev[CONTA],$F107)</f>
        <v>-10206.65</v>
      </c>
      <c r="J107" s="4">
        <f>SUMIFS(Tab_03.Mar[SALDO
ATUAL],Tab_03.Mar[CONTA],$F107)</f>
        <v>-15520.52</v>
      </c>
      <c r="K107" s="4">
        <f>SUMIFS(Tab_04.Abr[SALDO
ATUAL],Tab_04.Abr[CONTA],$F107)</f>
        <v>-13962.75</v>
      </c>
      <c r="L107" s="4">
        <f>SUMIFS(Tab_05.Mai[SALDO
ATUAL],Tab_05.Mai[CONTA],$F107)</f>
        <v>-12585.64</v>
      </c>
      <c r="M107" s="4">
        <f>SUMIFS(Tab_06.Jun[SALDO
ATUAL],Tab_06.Jun[CONTA],$F107)</f>
        <v>-9187.0499999999993</v>
      </c>
      <c r="N107" s="4">
        <f>SUMIFS(Tab_07.Jul[SALDO
ATUAL],Tab_07.Jul[CONTA],$F107)</f>
        <v>-9187.0499999999993</v>
      </c>
      <c r="O107" s="4">
        <f>SUMIFS(Tab_08.Ago[SALDO
ATUAL],Tab_08.Ago[CONTA],$F107)</f>
        <v>-9187.0499999999993</v>
      </c>
      <c r="P107" s="4">
        <f>SUMIFS(Tab_09.Set[SALDO
ATUAL],Tab_09.Set[CONTA],$F107)</f>
        <v>-8680.81</v>
      </c>
      <c r="Q107" s="4">
        <f>SUMIFS(Tab_10.Out[SALDO
ATUAL],Tab_10.Out[CONTA],$F107)</f>
        <v>-8724.19</v>
      </c>
      <c r="R107" s="4">
        <f>SUMIFS(Tab_11.Nov[SALDO
ATUAL],Tab_11.Nov[CONTA],$F107)</f>
        <v>-8430.9500000000007</v>
      </c>
      <c r="S107" s="4">
        <f>SUMIFS(Tab_12.Dez[SALDO
ATUAL],Tab_12.Dez[CONTA],$F107)</f>
        <v>-16384.63</v>
      </c>
    </row>
    <row r="108" spans="2:19" x14ac:dyDescent="0.3">
      <c r="B108" s="3" t="s">
        <v>52</v>
      </c>
      <c r="C108" s="2" t="str">
        <f t="shared" si="6"/>
        <v>P</v>
      </c>
      <c r="D108" s="2" t="str">
        <f t="shared" si="4"/>
        <v>A</v>
      </c>
      <c r="E108" s="2">
        <f t="shared" si="5"/>
        <v>5</v>
      </c>
      <c r="F108" s="3" t="s">
        <v>342</v>
      </c>
      <c r="G108" s="3" t="s">
        <v>343</v>
      </c>
      <c r="H108" s="4">
        <f>SUMIFS(Tab_01.Jan[SALDO
ATUAL],Tab_01.Jan[CONTA],$F108)</f>
        <v>-1449.13</v>
      </c>
      <c r="I108" s="4">
        <f>SUMIFS(Tab_02.Fev[SALDO
ATUAL],Tab_02.Fev[CONTA],$F108)</f>
        <v>0</v>
      </c>
      <c r="J108" s="4">
        <f>SUMIFS(Tab_03.Mar[SALDO
ATUAL],Tab_03.Mar[CONTA],$F108)</f>
        <v>-985.1</v>
      </c>
      <c r="K108" s="4">
        <f>SUMIFS(Tab_04.Abr[SALDO
ATUAL],Tab_04.Abr[CONTA],$F108)</f>
        <v>-939.21</v>
      </c>
      <c r="L108" s="4">
        <f>SUMIFS(Tab_05.Mai[SALDO
ATUAL],Tab_05.Mai[CONTA],$F108)</f>
        <v>-1015.58</v>
      </c>
      <c r="M108" s="4">
        <f>SUMIFS(Tab_06.Jun[SALDO
ATUAL],Tab_06.Jun[CONTA],$F108)</f>
        <v>-1105.52</v>
      </c>
      <c r="N108" s="4">
        <f>SUMIFS(Tab_07.Jul[SALDO
ATUAL],Tab_07.Jul[CONTA],$F108)</f>
        <v>-1105.52</v>
      </c>
      <c r="O108" s="4">
        <f>SUMIFS(Tab_08.Ago[SALDO
ATUAL],Tab_08.Ago[CONTA],$F108)</f>
        <v>-1105.52</v>
      </c>
      <c r="P108" s="4">
        <f>SUMIFS(Tab_09.Set[SALDO
ATUAL],Tab_09.Set[CONTA],$F108)</f>
        <v>-1158.27</v>
      </c>
      <c r="Q108" s="4">
        <f>SUMIFS(Tab_10.Out[SALDO
ATUAL],Tab_10.Out[CONTA],$F108)</f>
        <v>-1163.71</v>
      </c>
      <c r="R108" s="4">
        <f>SUMIFS(Tab_11.Nov[SALDO
ATUAL],Tab_11.Nov[CONTA],$F108)</f>
        <v>-1127.07</v>
      </c>
      <c r="S108" s="4">
        <f>SUMIFS(Tab_12.Dez[SALDO
ATUAL],Tab_12.Dez[CONTA],$F108)</f>
        <v>-1039.3900000000001</v>
      </c>
    </row>
    <row r="109" spans="2:19" x14ac:dyDescent="0.3">
      <c r="B109" s="3"/>
      <c r="C109" s="2" t="str">
        <f t="shared" si="6"/>
        <v>P</v>
      </c>
      <c r="D109" s="2" t="str">
        <f t="shared" si="4"/>
        <v>S</v>
      </c>
      <c r="E109" s="2">
        <f t="shared" si="5"/>
        <v>5</v>
      </c>
      <c r="F109" s="3" t="s">
        <v>218</v>
      </c>
      <c r="G109" s="3" t="s">
        <v>660</v>
      </c>
      <c r="H109" s="4">
        <f>SUMIFS(Tab_01.Jan[SALDO
ATUAL],Tab_01.Jan[CONTA],$F109)</f>
        <v>-1396034.98</v>
      </c>
      <c r="I109" s="4">
        <f>SUMIFS(Tab_02.Fev[SALDO
ATUAL],Tab_02.Fev[CONTA],$F109)</f>
        <v>-851816</v>
      </c>
      <c r="J109" s="4">
        <f>SUMIFS(Tab_03.Mar[SALDO
ATUAL],Tab_03.Mar[CONTA],$F109)</f>
        <v>-866291.35</v>
      </c>
      <c r="K109" s="4">
        <f>SUMIFS(Tab_04.Abr[SALDO
ATUAL],Tab_04.Abr[CONTA],$F109)</f>
        <v>-1193079.8400000001</v>
      </c>
      <c r="L109" s="4">
        <f>SUMIFS(Tab_05.Mai[SALDO
ATUAL],Tab_05.Mai[CONTA],$F109)</f>
        <v>-1040827.89</v>
      </c>
      <c r="M109" s="4">
        <f>SUMIFS(Tab_06.Jun[SALDO
ATUAL],Tab_06.Jun[CONTA],$F109)</f>
        <v>-1054727.3500000001</v>
      </c>
      <c r="N109" s="4">
        <f>SUMIFS(Tab_07.Jul[SALDO
ATUAL],Tab_07.Jul[CONTA],$F109)</f>
        <v>-1054727.3500000001</v>
      </c>
      <c r="O109" s="4">
        <f>SUMIFS(Tab_08.Ago[SALDO
ATUAL],Tab_08.Ago[CONTA],$F109)</f>
        <v>-1054727.3500000001</v>
      </c>
      <c r="P109" s="4">
        <f>SUMIFS(Tab_09.Set[SALDO
ATUAL],Tab_09.Set[CONTA],$F109)</f>
        <v>-1049200.8</v>
      </c>
      <c r="Q109" s="4">
        <f>SUMIFS(Tab_10.Out[SALDO
ATUAL],Tab_10.Out[CONTA],$F109)</f>
        <v>-1037217.56</v>
      </c>
      <c r="R109" s="4">
        <f>SUMIFS(Tab_11.Nov[SALDO
ATUAL],Tab_11.Nov[CONTA],$F109)</f>
        <v>-833406.21</v>
      </c>
      <c r="S109" s="4">
        <f>SUMIFS(Tab_12.Dez[SALDO
ATUAL],Tab_12.Dez[CONTA],$F109)</f>
        <v>-350148.93</v>
      </c>
    </row>
    <row r="110" spans="2:19" x14ac:dyDescent="0.3">
      <c r="B110" s="3"/>
      <c r="C110" s="2" t="str">
        <f t="shared" si="6"/>
        <v>P</v>
      </c>
      <c r="D110" s="2" t="str">
        <f t="shared" ref="D110:D184" si="9">IF($F110="","",IF(LEN($F110)=13,"A","S"))</f>
        <v>S</v>
      </c>
      <c r="E110" s="2">
        <f t="shared" ref="E110:E184" si="10">IF($F110="","",IF(LEN($F110)=1,1,IF(LEN($F110)=3,2,IF(LEN($F110)=5,3,IF(LEN($F110)=8,4,5)))))</f>
        <v>5</v>
      </c>
      <c r="F110" s="3" t="s">
        <v>219</v>
      </c>
      <c r="G110" s="3" t="s">
        <v>56</v>
      </c>
      <c r="H110" s="4">
        <f>SUMIFS(Tab_01.Jan[SALDO
ATUAL],Tab_01.Jan[CONTA],$F110)</f>
        <v>-646686.39</v>
      </c>
      <c r="I110" s="4">
        <f>SUMIFS(Tab_02.Fev[SALDO
ATUAL],Tab_02.Fev[CONTA],$F110)</f>
        <v>-102467.41</v>
      </c>
      <c r="J110" s="4">
        <f>SUMIFS(Tab_03.Mar[SALDO
ATUAL],Tab_03.Mar[CONTA],$F110)</f>
        <v>-116942.76</v>
      </c>
      <c r="K110" s="4">
        <f>SUMIFS(Tab_04.Abr[SALDO
ATUAL],Tab_04.Abr[CONTA],$F110)</f>
        <v>-443731.25</v>
      </c>
      <c r="L110" s="4">
        <f>SUMIFS(Tab_05.Mai[SALDO
ATUAL],Tab_05.Mai[CONTA],$F110)</f>
        <v>-84531.28</v>
      </c>
      <c r="M110" s="4">
        <f>SUMIFS(Tab_06.Jun[SALDO
ATUAL],Tab_06.Jun[CONTA],$F110)</f>
        <v>-60413.4</v>
      </c>
      <c r="N110" s="4">
        <f>SUMIFS(Tab_07.Jul[SALDO
ATUAL],Tab_07.Jul[CONTA],$F110)</f>
        <v>-60413.4</v>
      </c>
      <c r="O110" s="4">
        <f>SUMIFS(Tab_08.Ago[SALDO
ATUAL],Tab_08.Ago[CONTA],$F110)</f>
        <v>-60413.4</v>
      </c>
      <c r="P110" s="4">
        <f>SUMIFS(Tab_09.Set[SALDO
ATUAL],Tab_09.Set[CONTA],$F110)</f>
        <v>-55466.22</v>
      </c>
      <c r="Q110" s="4">
        <f>SUMIFS(Tab_10.Out[SALDO
ATUAL],Tab_10.Out[CONTA],$F110)</f>
        <v>-287868.96999999997</v>
      </c>
      <c r="R110" s="4">
        <f>SUMIFS(Tab_11.Nov[SALDO
ATUAL],Tab_11.Nov[CONTA],$F110)</f>
        <v>-84057.62</v>
      </c>
      <c r="S110" s="4">
        <f>SUMIFS(Tab_12.Dez[SALDO
ATUAL],Tab_12.Dez[CONTA],$F110)</f>
        <v>-41942.61</v>
      </c>
    </row>
    <row r="111" spans="2:19" x14ac:dyDescent="0.3">
      <c r="B111" s="3" t="s">
        <v>50</v>
      </c>
      <c r="C111" s="2" t="str">
        <f t="shared" si="6"/>
        <v>P</v>
      </c>
      <c r="D111" s="2" t="str">
        <f t="shared" si="9"/>
        <v>A</v>
      </c>
      <c r="E111" s="2">
        <f t="shared" si="10"/>
        <v>5</v>
      </c>
      <c r="F111" s="3" t="s">
        <v>344</v>
      </c>
      <c r="G111" s="3" t="s">
        <v>56</v>
      </c>
      <c r="H111" s="4">
        <f>SUMIFS(Tab_01.Jan[SALDO
ATUAL],Tab_01.Jan[CONTA],$F111)</f>
        <v>-646686.39</v>
      </c>
      <c r="I111" s="4">
        <f>SUMIFS(Tab_02.Fev[SALDO
ATUAL],Tab_02.Fev[CONTA],$F111)</f>
        <v>-102467.41</v>
      </c>
      <c r="J111" s="4">
        <f>SUMIFS(Tab_03.Mar[SALDO
ATUAL],Tab_03.Mar[CONTA],$F111)</f>
        <v>-116942.76</v>
      </c>
      <c r="K111" s="4">
        <f>SUMIFS(Tab_04.Abr[SALDO
ATUAL],Tab_04.Abr[CONTA],$F111)</f>
        <v>-443731.25</v>
      </c>
      <c r="L111" s="4">
        <f>SUMIFS(Tab_05.Mai[SALDO
ATUAL],Tab_05.Mai[CONTA],$F111)</f>
        <v>-84531.28</v>
      </c>
      <c r="M111" s="4">
        <f>SUMIFS(Tab_06.Jun[SALDO
ATUAL],Tab_06.Jun[CONTA],$F111)</f>
        <v>-60413.4</v>
      </c>
      <c r="N111" s="4">
        <f>SUMIFS(Tab_07.Jul[SALDO
ATUAL],Tab_07.Jul[CONTA],$F111)</f>
        <v>-60413.4</v>
      </c>
      <c r="O111" s="4">
        <f>SUMIFS(Tab_08.Ago[SALDO
ATUAL],Tab_08.Ago[CONTA],$F111)</f>
        <v>-60413.4</v>
      </c>
      <c r="P111" s="4">
        <f>SUMIFS(Tab_09.Set[SALDO
ATUAL],Tab_09.Set[CONTA],$F111)</f>
        <v>-55466.22</v>
      </c>
      <c r="Q111" s="4">
        <f>SUMIFS(Tab_10.Out[SALDO
ATUAL],Tab_10.Out[CONTA],$F111)</f>
        <v>-287868.96999999997</v>
      </c>
      <c r="R111" s="4">
        <f>SUMIFS(Tab_11.Nov[SALDO
ATUAL],Tab_11.Nov[CONTA],$F111)</f>
        <v>-84057.62</v>
      </c>
      <c r="S111" s="4">
        <f>SUMIFS(Tab_12.Dez[SALDO
ATUAL],Tab_12.Dez[CONTA],$F111)</f>
        <v>-41942.61</v>
      </c>
    </row>
    <row r="112" spans="2:19" x14ac:dyDescent="0.3">
      <c r="B112" s="3"/>
      <c r="C112" s="2" t="str">
        <f t="shared" si="6"/>
        <v>P</v>
      </c>
      <c r="D112" s="2" t="str">
        <f t="shared" si="9"/>
        <v>S</v>
      </c>
      <c r="E112" s="2">
        <f t="shared" si="10"/>
        <v>5</v>
      </c>
      <c r="F112" s="3" t="s">
        <v>220</v>
      </c>
      <c r="G112" s="3" t="s">
        <v>346</v>
      </c>
      <c r="H112" s="4">
        <f>SUMIFS(Tab_01.Jan[SALDO
ATUAL],Tab_01.Jan[CONTA],$F112)</f>
        <v>-749348.59</v>
      </c>
      <c r="I112" s="4">
        <f>SUMIFS(Tab_02.Fev[SALDO
ATUAL],Tab_02.Fev[CONTA],$F112)</f>
        <v>-749348.59</v>
      </c>
      <c r="J112" s="4">
        <f>SUMIFS(Tab_03.Mar[SALDO
ATUAL],Tab_03.Mar[CONTA],$F112)</f>
        <v>-749348.59</v>
      </c>
      <c r="K112" s="4">
        <f>SUMIFS(Tab_04.Abr[SALDO
ATUAL],Tab_04.Abr[CONTA],$F112)</f>
        <v>-749348.59</v>
      </c>
      <c r="L112" s="4">
        <f>SUMIFS(Tab_05.Mai[SALDO
ATUAL],Tab_05.Mai[CONTA],$F112)</f>
        <v>-956296.61</v>
      </c>
      <c r="M112" s="4">
        <f>SUMIFS(Tab_06.Jun[SALDO
ATUAL],Tab_06.Jun[CONTA],$F112)</f>
        <v>-994313.95</v>
      </c>
      <c r="N112" s="4">
        <f>SUMIFS(Tab_07.Jul[SALDO
ATUAL],Tab_07.Jul[CONTA],$F112)</f>
        <v>-994313.95</v>
      </c>
      <c r="O112" s="4">
        <f>SUMIFS(Tab_08.Ago[SALDO
ATUAL],Tab_08.Ago[CONTA],$F112)</f>
        <v>-994313.95</v>
      </c>
      <c r="P112" s="4">
        <f>SUMIFS(Tab_09.Set[SALDO
ATUAL],Tab_09.Set[CONTA],$F112)</f>
        <v>-993734.58</v>
      </c>
      <c r="Q112" s="4">
        <f>SUMIFS(Tab_10.Out[SALDO
ATUAL],Tab_10.Out[CONTA],$F112)</f>
        <v>-749348.59</v>
      </c>
      <c r="R112" s="4">
        <f>SUMIFS(Tab_11.Nov[SALDO
ATUAL],Tab_11.Nov[CONTA],$F112)</f>
        <v>-749348.59</v>
      </c>
      <c r="S112" s="4">
        <f>SUMIFS(Tab_12.Dez[SALDO
ATUAL],Tab_12.Dez[CONTA],$F112)</f>
        <v>-308206.32</v>
      </c>
    </row>
    <row r="113" spans="2:19" x14ac:dyDescent="0.3">
      <c r="B113" s="3" t="s">
        <v>50</v>
      </c>
      <c r="C113" s="2" t="str">
        <f t="shared" si="6"/>
        <v>P</v>
      </c>
      <c r="D113" s="2" t="str">
        <f t="shared" si="9"/>
        <v>A</v>
      </c>
      <c r="E113" s="2">
        <f t="shared" si="10"/>
        <v>5</v>
      </c>
      <c r="F113" s="3" t="s">
        <v>345</v>
      </c>
      <c r="G113" s="3" t="s">
        <v>346</v>
      </c>
      <c r="H113" s="4">
        <f>SUMIFS(Tab_01.Jan[SALDO
ATUAL],Tab_01.Jan[CONTA],$F113)</f>
        <v>-749348.59</v>
      </c>
      <c r="I113" s="4">
        <f>SUMIFS(Tab_02.Fev[SALDO
ATUAL],Tab_02.Fev[CONTA],$F113)</f>
        <v>-749348.59</v>
      </c>
      <c r="J113" s="4">
        <f>SUMIFS(Tab_03.Mar[SALDO
ATUAL],Tab_03.Mar[CONTA],$F113)</f>
        <v>-749348.59</v>
      </c>
      <c r="K113" s="4">
        <f>SUMIFS(Tab_04.Abr[SALDO
ATUAL],Tab_04.Abr[CONTA],$F113)</f>
        <v>-749348.59</v>
      </c>
      <c r="L113" s="4">
        <f>SUMIFS(Tab_05.Mai[SALDO
ATUAL],Tab_05.Mai[CONTA],$F113)</f>
        <v>-956296.61</v>
      </c>
      <c r="M113" s="4">
        <f>SUMIFS(Tab_06.Jun[SALDO
ATUAL],Tab_06.Jun[CONTA],$F113)</f>
        <v>-994313.95</v>
      </c>
      <c r="N113" s="4">
        <f>SUMIFS(Tab_07.Jul[SALDO
ATUAL],Tab_07.Jul[CONTA],$F113)</f>
        <v>-994313.95</v>
      </c>
      <c r="O113" s="4">
        <f>SUMIFS(Tab_08.Ago[SALDO
ATUAL],Tab_08.Ago[CONTA],$F113)</f>
        <v>-994313.95</v>
      </c>
      <c r="P113" s="4">
        <f>SUMIFS(Tab_09.Set[SALDO
ATUAL],Tab_09.Set[CONTA],$F113)</f>
        <v>-993734.58</v>
      </c>
      <c r="Q113" s="4">
        <f>SUMIFS(Tab_10.Out[SALDO
ATUAL],Tab_10.Out[CONTA],$F113)</f>
        <v>-749348.59</v>
      </c>
      <c r="R113" s="4">
        <f>SUMIFS(Tab_11.Nov[SALDO
ATUAL],Tab_11.Nov[CONTA],$F113)</f>
        <v>-749348.59</v>
      </c>
      <c r="S113" s="4">
        <f>SUMIFS(Tab_12.Dez[SALDO
ATUAL],Tab_12.Dez[CONTA],$F113)</f>
        <v>-308206.32</v>
      </c>
    </row>
    <row r="114" spans="2:19" x14ac:dyDescent="0.3">
      <c r="B114" s="3"/>
      <c r="C114" s="2" t="str">
        <f t="shared" si="6"/>
        <v>P</v>
      </c>
      <c r="D114" s="2" t="str">
        <f t="shared" si="9"/>
        <v>S</v>
      </c>
      <c r="E114" s="2">
        <f t="shared" si="10"/>
        <v>5</v>
      </c>
      <c r="F114" s="3" t="s">
        <v>221</v>
      </c>
      <c r="G114" s="3" t="s">
        <v>661</v>
      </c>
      <c r="H114" s="4">
        <f>SUMIFS(Tab_01.Jan[SALDO
ATUAL],Tab_01.Jan[CONTA],$F114)</f>
        <v>-24303.84</v>
      </c>
      <c r="I114" s="4">
        <f>SUMIFS(Tab_02.Fev[SALDO
ATUAL],Tab_02.Fev[CONTA],$F114)</f>
        <v>-1970.84</v>
      </c>
      <c r="J114" s="4">
        <f>SUMIFS(Tab_03.Mar[SALDO
ATUAL],Tab_03.Mar[CONTA],$F114)</f>
        <v>-17663.900000000001</v>
      </c>
      <c r="K114" s="4">
        <f>SUMIFS(Tab_04.Abr[SALDO
ATUAL],Tab_04.Abr[CONTA],$F114)</f>
        <v>-18439.41</v>
      </c>
      <c r="L114" s="4">
        <f>SUMIFS(Tab_05.Mai[SALDO
ATUAL],Tab_05.Mai[CONTA],$F114)</f>
        <v>-17388.27</v>
      </c>
      <c r="M114" s="4">
        <f>SUMIFS(Tab_06.Jun[SALDO
ATUAL],Tab_06.Jun[CONTA],$F114)</f>
        <v>-15262.55</v>
      </c>
      <c r="N114" s="4">
        <f>SUMIFS(Tab_07.Jul[SALDO
ATUAL],Tab_07.Jul[CONTA],$F114)</f>
        <v>-15262.55</v>
      </c>
      <c r="O114" s="4">
        <f>SUMIFS(Tab_08.Ago[SALDO
ATUAL],Tab_08.Ago[CONTA],$F114)</f>
        <v>-15262.55</v>
      </c>
      <c r="P114" s="4">
        <f>SUMIFS(Tab_09.Set[SALDO
ATUAL],Tab_09.Set[CONTA],$F114)</f>
        <v>-15319.84</v>
      </c>
      <c r="Q114" s="4">
        <f>SUMIFS(Tab_10.Out[SALDO
ATUAL],Tab_10.Out[CONTA],$F114)</f>
        <v>-23868.31</v>
      </c>
      <c r="R114" s="4">
        <f>SUMIFS(Tab_11.Nov[SALDO
ATUAL],Tab_11.Nov[CONTA],$F114)</f>
        <v>-23349.07</v>
      </c>
      <c r="S114" s="4">
        <f>SUMIFS(Tab_12.Dez[SALDO
ATUAL],Tab_12.Dez[CONTA],$F114)</f>
        <v>-23962.47</v>
      </c>
    </row>
    <row r="115" spans="2:19" x14ac:dyDescent="0.3">
      <c r="B115" s="3"/>
      <c r="C115" s="2" t="str">
        <f t="shared" si="6"/>
        <v>P</v>
      </c>
      <c r="D115" s="2" t="str">
        <f>IF($F115="","",IF(LEN($F115)=13,"A","S"))</f>
        <v>S</v>
      </c>
      <c r="E115" s="2">
        <f>IF($F115="","",IF(LEN($F115)=1,1,IF(LEN($F115)=3,2,IF(LEN($F115)=5,3,IF(LEN($F115)=8,4,5)))))</f>
        <v>5</v>
      </c>
      <c r="F115" s="3" t="s">
        <v>222</v>
      </c>
      <c r="G115" s="3" t="s">
        <v>662</v>
      </c>
      <c r="H115" s="4">
        <f>SUMIFS(Tab_01.Jan[SALDO
ATUAL],Tab_01.Jan[CONTA],$F115)</f>
        <v>-23819.66</v>
      </c>
      <c r="I115" s="4">
        <f>SUMIFS(Tab_02.Fev[SALDO
ATUAL],Tab_02.Fev[CONTA],$F115)</f>
        <v>-1486.66</v>
      </c>
      <c r="J115" s="4">
        <f>SUMIFS(Tab_03.Mar[SALDO
ATUAL],Tab_03.Mar[CONTA],$F115)</f>
        <v>-17179.72</v>
      </c>
      <c r="K115" s="4">
        <f>SUMIFS(Tab_04.Abr[SALDO
ATUAL],Tab_04.Abr[CONTA],$F115)</f>
        <v>-18439.41</v>
      </c>
      <c r="L115" s="4">
        <f>SUMIFS(Tab_05.Mai[SALDO
ATUAL],Tab_05.Mai[CONTA],$F115)</f>
        <v>-17388.27</v>
      </c>
      <c r="M115" s="4">
        <f>SUMIFS(Tab_06.Jun[SALDO
ATUAL],Tab_06.Jun[CONTA],$F115)</f>
        <v>-15262.55</v>
      </c>
      <c r="N115" s="4">
        <f>SUMIFS(Tab_07.Jul[SALDO
ATUAL],Tab_07.Jul[CONTA],$F115)</f>
        <v>-15262.55</v>
      </c>
      <c r="O115" s="4">
        <f>SUMIFS(Tab_08.Ago[SALDO
ATUAL],Tab_08.Ago[CONTA],$F115)</f>
        <v>-15262.55</v>
      </c>
      <c r="P115" s="4">
        <f>SUMIFS(Tab_09.Set[SALDO
ATUAL],Tab_09.Set[CONTA],$F115)</f>
        <v>-15319.84</v>
      </c>
      <c r="Q115" s="4">
        <f>SUMIFS(Tab_10.Out[SALDO
ATUAL],Tab_10.Out[CONTA],$F115)</f>
        <v>-23868.31</v>
      </c>
      <c r="R115" s="4">
        <f>SUMIFS(Tab_11.Nov[SALDO
ATUAL],Tab_11.Nov[CONTA],$F115)</f>
        <v>-23349.07</v>
      </c>
      <c r="S115" s="4">
        <f>SUMIFS(Tab_12.Dez[SALDO
ATUAL],Tab_12.Dez[CONTA],$F115)</f>
        <v>-23962.47</v>
      </c>
    </row>
    <row r="116" spans="2:19" x14ac:dyDescent="0.3">
      <c r="B116" s="3" t="s">
        <v>53</v>
      </c>
      <c r="C116" s="2" t="str">
        <f t="shared" si="6"/>
        <v>P</v>
      </c>
      <c r="D116" s="2" t="str">
        <f t="shared" si="9"/>
        <v>A</v>
      </c>
      <c r="E116" s="2">
        <f t="shared" si="10"/>
        <v>5</v>
      </c>
      <c r="F116" s="3" t="s">
        <v>191</v>
      </c>
      <c r="G116" s="3" t="s">
        <v>347</v>
      </c>
      <c r="H116" s="4">
        <f>SUMIFS(Tab_01.Jan[SALDO
ATUAL],Tab_01.Jan[CONTA],$F116)</f>
        <v>-409</v>
      </c>
      <c r="I116" s="4">
        <f>SUMIFS(Tab_02.Fev[SALDO
ATUAL],Tab_02.Fev[CONTA],$F116)</f>
        <v>-418.31</v>
      </c>
      <c r="J116" s="4">
        <f>SUMIFS(Tab_03.Mar[SALDO
ATUAL],Tab_03.Mar[CONTA],$F116)</f>
        <v>-404.18</v>
      </c>
      <c r="K116" s="4">
        <f>SUMIFS(Tab_04.Abr[SALDO
ATUAL],Tab_04.Abr[CONTA],$F116)</f>
        <v>-555.79999999999995</v>
      </c>
      <c r="L116" s="4">
        <f>SUMIFS(Tab_05.Mai[SALDO
ATUAL],Tab_05.Mai[CONTA],$F116)</f>
        <v>-417.28</v>
      </c>
      <c r="M116" s="4">
        <f>SUMIFS(Tab_06.Jun[SALDO
ATUAL],Tab_06.Jun[CONTA],$F116)</f>
        <v>-884.23</v>
      </c>
      <c r="N116" s="4">
        <f>SUMIFS(Tab_07.Jul[SALDO
ATUAL],Tab_07.Jul[CONTA],$F116)</f>
        <v>-884.23</v>
      </c>
      <c r="O116" s="4">
        <f>SUMIFS(Tab_08.Ago[SALDO
ATUAL],Tab_08.Ago[CONTA],$F116)</f>
        <v>-884.23</v>
      </c>
      <c r="P116" s="4">
        <f>SUMIFS(Tab_09.Set[SALDO
ATUAL],Tab_09.Set[CONTA],$F116)</f>
        <v>-834.01</v>
      </c>
      <c r="Q116" s="4">
        <f>SUMIFS(Tab_10.Out[SALDO
ATUAL],Tab_10.Out[CONTA],$F116)</f>
        <v>-1890.47</v>
      </c>
      <c r="R116" s="4">
        <f>SUMIFS(Tab_11.Nov[SALDO
ATUAL],Tab_11.Nov[CONTA],$F116)</f>
        <v>-2182.15</v>
      </c>
      <c r="S116" s="4">
        <f>SUMIFS(Tab_12.Dez[SALDO
ATUAL],Tab_12.Dez[CONTA],$F116)</f>
        <v>-1846.28</v>
      </c>
    </row>
    <row r="117" spans="2:19" x14ac:dyDescent="0.3">
      <c r="B117" s="3" t="s">
        <v>52</v>
      </c>
      <c r="C117" s="2" t="str">
        <f t="shared" si="6"/>
        <v>P</v>
      </c>
      <c r="D117" s="2" t="str">
        <f t="shared" si="9"/>
        <v>A</v>
      </c>
      <c r="E117" s="2">
        <f t="shared" si="10"/>
        <v>5</v>
      </c>
      <c r="F117" s="3" t="s">
        <v>192</v>
      </c>
      <c r="G117" s="3" t="s">
        <v>348</v>
      </c>
      <c r="H117" s="4">
        <f>SUMIFS(Tab_01.Jan[SALDO
ATUAL],Tab_01.Jan[CONTA],$F117)</f>
        <v>-21686.36</v>
      </c>
      <c r="I117" s="4">
        <f>SUMIFS(Tab_02.Fev[SALDO
ATUAL],Tab_02.Fev[CONTA],$F117)</f>
        <v>0</v>
      </c>
      <c r="J117" s="4">
        <f>SUMIFS(Tab_03.Mar[SALDO
ATUAL],Tab_03.Mar[CONTA],$F117)</f>
        <v>-15479.24</v>
      </c>
      <c r="K117" s="4">
        <f>SUMIFS(Tab_04.Abr[SALDO
ATUAL],Tab_04.Abr[CONTA],$F117)</f>
        <v>-15492.44</v>
      </c>
      <c r="L117" s="4">
        <f>SUMIFS(Tab_05.Mai[SALDO
ATUAL],Tab_05.Mai[CONTA],$F117)</f>
        <v>-15450.8</v>
      </c>
      <c r="M117" s="4">
        <f>SUMIFS(Tab_06.Jun[SALDO
ATUAL],Tab_06.Jun[CONTA],$F117)</f>
        <v>-10986.12</v>
      </c>
      <c r="N117" s="4">
        <f>SUMIFS(Tab_07.Jul[SALDO
ATUAL],Tab_07.Jul[CONTA],$F117)</f>
        <v>-10986.12</v>
      </c>
      <c r="O117" s="4">
        <f>SUMIFS(Tab_08.Ago[SALDO
ATUAL],Tab_08.Ago[CONTA],$F117)</f>
        <v>-10986.12</v>
      </c>
      <c r="P117" s="4">
        <f>SUMIFS(Tab_09.Set[SALDO
ATUAL],Tab_09.Set[CONTA],$F117)</f>
        <v>-12489.94</v>
      </c>
      <c r="Q117" s="4">
        <f>SUMIFS(Tab_10.Out[SALDO
ATUAL],Tab_10.Out[CONTA],$F117)</f>
        <v>-16402</v>
      </c>
      <c r="R117" s="4">
        <f>SUMIFS(Tab_11.Nov[SALDO
ATUAL],Tab_11.Nov[CONTA],$F117)</f>
        <v>-14692.56</v>
      </c>
      <c r="S117" s="4">
        <f>SUMIFS(Tab_12.Dez[SALDO
ATUAL],Tab_12.Dez[CONTA],$F117)</f>
        <v>-15708.71</v>
      </c>
    </row>
    <row r="118" spans="2:19" x14ac:dyDescent="0.3">
      <c r="B118" s="3" t="s">
        <v>53</v>
      </c>
      <c r="C118" s="2" t="str">
        <f t="shared" si="6"/>
        <v>P</v>
      </c>
      <c r="D118" s="2" t="str">
        <f t="shared" si="9"/>
        <v>A</v>
      </c>
      <c r="E118" s="2">
        <f t="shared" si="10"/>
        <v>5</v>
      </c>
      <c r="F118" s="3" t="s">
        <v>264</v>
      </c>
      <c r="G118" s="3" t="s">
        <v>349</v>
      </c>
      <c r="H118" s="4">
        <f>SUMIFS(Tab_01.Jan[SALDO
ATUAL],Tab_01.Jan[CONTA],$F118)</f>
        <v>-120.94</v>
      </c>
      <c r="I118" s="4">
        <f>SUMIFS(Tab_02.Fev[SALDO
ATUAL],Tab_02.Fev[CONTA],$F118)</f>
        <v>-120.94</v>
      </c>
      <c r="J118" s="4">
        <f>SUMIFS(Tab_03.Mar[SALDO
ATUAL],Tab_03.Mar[CONTA],$F118)</f>
        <v>-134.13999999999999</v>
      </c>
      <c r="K118" s="4">
        <f>SUMIFS(Tab_04.Abr[SALDO
ATUAL],Tab_04.Abr[CONTA],$F118)</f>
        <v>-120.94</v>
      </c>
      <c r="L118" s="4">
        <f>SUMIFS(Tab_05.Mai[SALDO
ATUAL],Tab_05.Mai[CONTA],$F118)</f>
        <v>-559.29999999999995</v>
      </c>
      <c r="M118" s="4">
        <f>SUMIFS(Tab_06.Jun[SALDO
ATUAL],Tab_06.Jun[CONTA],$F118)</f>
        <v>0</v>
      </c>
      <c r="N118" s="4">
        <f>SUMIFS(Tab_07.Jul[SALDO
ATUAL],Tab_07.Jul[CONTA],$F118)</f>
        <v>0</v>
      </c>
      <c r="O118" s="4">
        <f>SUMIFS(Tab_08.Ago[SALDO
ATUAL],Tab_08.Ago[CONTA],$F118)</f>
        <v>0</v>
      </c>
      <c r="P118" s="4">
        <f>SUMIFS(Tab_09.Set[SALDO
ATUAL],Tab_09.Set[CONTA],$F118)</f>
        <v>0</v>
      </c>
      <c r="Q118" s="4">
        <f>SUMIFS(Tab_10.Out[SALDO
ATUAL],Tab_10.Out[CONTA],$F118)</f>
        <v>0</v>
      </c>
      <c r="R118" s="4">
        <f>SUMIFS(Tab_11.Nov[SALDO
ATUAL],Tab_11.Nov[CONTA],$F118)</f>
        <v>0</v>
      </c>
      <c r="S118" s="4">
        <f>SUMIFS(Tab_12.Dez[SALDO
ATUAL],Tab_12.Dez[CONTA],$F118)</f>
        <v>0</v>
      </c>
    </row>
    <row r="119" spans="2:19" x14ac:dyDescent="0.3">
      <c r="B119" s="3" t="s">
        <v>53</v>
      </c>
      <c r="C119" s="2" t="str">
        <f t="shared" si="6"/>
        <v>P</v>
      </c>
      <c r="D119" s="2" t="str">
        <f t="shared" si="9"/>
        <v>A</v>
      </c>
      <c r="E119" s="2">
        <f t="shared" si="10"/>
        <v>5</v>
      </c>
      <c r="F119" s="3" t="s">
        <v>350</v>
      </c>
      <c r="G119" s="3" t="s">
        <v>351</v>
      </c>
      <c r="H119" s="4">
        <f>SUMIFS(Tab_01.Jan[SALDO
ATUAL],Tab_01.Jan[CONTA],$F119)</f>
        <v>-1580.91</v>
      </c>
      <c r="I119" s="4">
        <f>SUMIFS(Tab_02.Fev[SALDO
ATUAL],Tab_02.Fev[CONTA],$F119)</f>
        <v>-924.96</v>
      </c>
      <c r="J119" s="4">
        <f>SUMIFS(Tab_03.Mar[SALDO
ATUAL],Tab_03.Mar[CONTA],$F119)</f>
        <v>-1139.71</v>
      </c>
      <c r="K119" s="4">
        <f>SUMIFS(Tab_04.Abr[SALDO
ATUAL],Tab_04.Abr[CONTA],$F119)</f>
        <v>-2247.7800000000002</v>
      </c>
      <c r="L119" s="4">
        <f>SUMIFS(Tab_05.Mai[SALDO
ATUAL],Tab_05.Mai[CONTA],$F119)</f>
        <v>-938.44</v>
      </c>
      <c r="M119" s="4">
        <f>SUMIFS(Tab_06.Jun[SALDO
ATUAL],Tab_06.Jun[CONTA],$F119)</f>
        <v>-3369.75</v>
      </c>
      <c r="N119" s="4">
        <f>SUMIFS(Tab_07.Jul[SALDO
ATUAL],Tab_07.Jul[CONTA],$F119)</f>
        <v>-3369.75</v>
      </c>
      <c r="O119" s="4">
        <f>SUMIFS(Tab_08.Ago[SALDO
ATUAL],Tab_08.Ago[CONTA],$F119)</f>
        <v>-3369.75</v>
      </c>
      <c r="P119" s="4">
        <f>SUMIFS(Tab_09.Set[SALDO
ATUAL],Tab_09.Set[CONTA],$F119)</f>
        <v>-1984.61</v>
      </c>
      <c r="Q119" s="4">
        <f>SUMIFS(Tab_10.Out[SALDO
ATUAL],Tab_10.Out[CONTA],$F119)</f>
        <v>-5564.56</v>
      </c>
      <c r="R119" s="4">
        <f>SUMIFS(Tab_11.Nov[SALDO
ATUAL],Tab_11.Nov[CONTA],$F119)</f>
        <v>-6463.08</v>
      </c>
      <c r="S119" s="4">
        <f>SUMIFS(Tab_12.Dez[SALDO
ATUAL],Tab_12.Dez[CONTA],$F119)</f>
        <v>-6395.77</v>
      </c>
    </row>
    <row r="120" spans="2:19" x14ac:dyDescent="0.3">
      <c r="B120" s="3" t="s">
        <v>53</v>
      </c>
      <c r="C120" s="2" t="str">
        <f t="shared" si="6"/>
        <v>P</v>
      </c>
      <c r="D120" s="2" t="str">
        <f t="shared" si="9"/>
        <v>A</v>
      </c>
      <c r="E120" s="2">
        <f t="shared" si="10"/>
        <v>5</v>
      </c>
      <c r="F120" s="3" t="s">
        <v>352</v>
      </c>
      <c r="G120" s="3" t="s">
        <v>353</v>
      </c>
      <c r="H120" s="4">
        <f>SUMIFS(Tab_01.Jan[SALDO
ATUAL],Tab_01.Jan[CONTA],$F120)</f>
        <v>-22.45</v>
      </c>
      <c r="I120" s="4">
        <f>SUMIFS(Tab_02.Fev[SALDO
ATUAL],Tab_02.Fev[CONTA],$F120)</f>
        <v>-22.45</v>
      </c>
      <c r="J120" s="4">
        <f>SUMIFS(Tab_03.Mar[SALDO
ATUAL],Tab_03.Mar[CONTA],$F120)</f>
        <v>-22.45</v>
      </c>
      <c r="K120" s="4">
        <f>SUMIFS(Tab_04.Abr[SALDO
ATUAL],Tab_04.Abr[CONTA],$F120)</f>
        <v>-22.45</v>
      </c>
      <c r="L120" s="4">
        <f>SUMIFS(Tab_05.Mai[SALDO
ATUAL],Tab_05.Mai[CONTA],$F120)</f>
        <v>-22.45</v>
      </c>
      <c r="M120" s="4">
        <f>SUMIFS(Tab_06.Jun[SALDO
ATUAL],Tab_06.Jun[CONTA],$F120)</f>
        <v>-22.45</v>
      </c>
      <c r="N120" s="4">
        <f>SUMIFS(Tab_07.Jul[SALDO
ATUAL],Tab_07.Jul[CONTA],$F120)</f>
        <v>-22.45</v>
      </c>
      <c r="O120" s="4">
        <f>SUMIFS(Tab_08.Ago[SALDO
ATUAL],Tab_08.Ago[CONTA],$F120)</f>
        <v>-22.45</v>
      </c>
      <c r="P120" s="4">
        <f>SUMIFS(Tab_09.Set[SALDO
ATUAL],Tab_09.Set[CONTA],$F120)</f>
        <v>-11.28</v>
      </c>
      <c r="Q120" s="4">
        <f>SUMIFS(Tab_10.Out[SALDO
ATUAL],Tab_10.Out[CONTA],$F120)</f>
        <v>-11.28</v>
      </c>
      <c r="R120" s="4">
        <f>SUMIFS(Tab_11.Nov[SALDO
ATUAL],Tab_11.Nov[CONTA],$F120)</f>
        <v>-11.28</v>
      </c>
      <c r="S120" s="4">
        <f>SUMIFS(Tab_12.Dez[SALDO
ATUAL],Tab_12.Dez[CONTA],$F120)</f>
        <v>-11.71</v>
      </c>
    </row>
    <row r="121" spans="2:19" x14ac:dyDescent="0.3">
      <c r="B121" s="3"/>
      <c r="C121" s="2" t="str">
        <f t="shared" si="6"/>
        <v>P</v>
      </c>
      <c r="D121" s="2" t="str">
        <f t="shared" si="9"/>
        <v>S</v>
      </c>
      <c r="E121" s="2">
        <f t="shared" si="10"/>
        <v>5</v>
      </c>
      <c r="F121" s="3" t="s">
        <v>223</v>
      </c>
      <c r="G121" s="3" t="s">
        <v>663</v>
      </c>
      <c r="H121" s="4">
        <f>SUMIFS(Tab_01.Jan[SALDO
ATUAL],Tab_01.Jan[CONTA],$F121)</f>
        <v>-484.18</v>
      </c>
      <c r="I121" s="4">
        <f>SUMIFS(Tab_02.Fev[SALDO
ATUAL],Tab_02.Fev[CONTA],$F121)</f>
        <v>-484.18</v>
      </c>
      <c r="J121" s="4">
        <f>SUMIFS(Tab_03.Mar[SALDO
ATUAL],Tab_03.Mar[CONTA],$F121)</f>
        <v>-484.18</v>
      </c>
      <c r="K121" s="4">
        <f>SUMIFS(Tab_04.Abr[SALDO
ATUAL],Tab_04.Abr[CONTA],$F121)</f>
        <v>0</v>
      </c>
      <c r="L121" s="4">
        <f>SUMIFS(Tab_05.Mai[SALDO
ATUAL],Tab_05.Mai[CONTA],$F121)</f>
        <v>0</v>
      </c>
      <c r="M121" s="4">
        <f>SUMIFS(Tab_06.Jun[SALDO
ATUAL],Tab_06.Jun[CONTA],$F121)</f>
        <v>0</v>
      </c>
      <c r="N121" s="4">
        <f>SUMIFS(Tab_07.Jul[SALDO
ATUAL],Tab_07.Jul[CONTA],$F121)</f>
        <v>0</v>
      </c>
      <c r="O121" s="4">
        <f>SUMIFS(Tab_08.Ago[SALDO
ATUAL],Tab_08.Ago[CONTA],$F121)</f>
        <v>0</v>
      </c>
      <c r="P121" s="4">
        <f>SUMIFS(Tab_09.Set[SALDO
ATUAL],Tab_09.Set[CONTA],$F121)</f>
        <v>0</v>
      </c>
      <c r="Q121" s="4">
        <f>SUMIFS(Tab_10.Out[SALDO
ATUAL],Tab_10.Out[CONTA],$F121)</f>
        <v>0</v>
      </c>
      <c r="R121" s="4">
        <f>SUMIFS(Tab_11.Nov[SALDO
ATUAL],Tab_11.Nov[CONTA],$F121)</f>
        <v>0</v>
      </c>
      <c r="S121" s="4">
        <f>SUMIFS(Tab_12.Dez[SALDO
ATUAL],Tab_12.Dez[CONTA],$F121)</f>
        <v>0</v>
      </c>
    </row>
    <row r="122" spans="2:19" x14ac:dyDescent="0.3">
      <c r="B122" s="3" t="s">
        <v>53</v>
      </c>
      <c r="C122" s="2" t="str">
        <f t="shared" si="6"/>
        <v>P</v>
      </c>
      <c r="D122" s="2" t="str">
        <f t="shared" si="9"/>
        <v>A</v>
      </c>
      <c r="E122" s="2">
        <f t="shared" si="10"/>
        <v>5</v>
      </c>
      <c r="F122" s="3" t="s">
        <v>354</v>
      </c>
      <c r="G122" s="3" t="s">
        <v>355</v>
      </c>
      <c r="H122" s="4">
        <f>SUMIFS(Tab_01.Jan[SALDO
ATUAL],Tab_01.Jan[CONTA],$F122)</f>
        <v>-484.18</v>
      </c>
      <c r="I122" s="4">
        <f>SUMIFS(Tab_02.Fev[SALDO
ATUAL],Tab_02.Fev[CONTA],$F122)</f>
        <v>-484.18</v>
      </c>
      <c r="J122" s="4">
        <f>SUMIFS(Tab_03.Mar[SALDO
ATUAL],Tab_03.Mar[CONTA],$F122)</f>
        <v>-484.18</v>
      </c>
      <c r="K122" s="4">
        <f>SUMIFS(Tab_04.Abr[SALDO
ATUAL],Tab_04.Abr[CONTA],$F122)</f>
        <v>0</v>
      </c>
      <c r="L122" s="4">
        <f>SUMIFS(Tab_05.Mai[SALDO
ATUAL],Tab_05.Mai[CONTA],$F122)</f>
        <v>0</v>
      </c>
      <c r="M122" s="4">
        <f>SUMIFS(Tab_06.Jun[SALDO
ATUAL],Tab_06.Jun[CONTA],$F122)</f>
        <v>0</v>
      </c>
      <c r="N122" s="4">
        <f>SUMIFS(Tab_07.Jul[SALDO
ATUAL],Tab_07.Jul[CONTA],$F122)</f>
        <v>0</v>
      </c>
      <c r="O122" s="4">
        <f>SUMIFS(Tab_08.Ago[SALDO
ATUAL],Tab_08.Ago[CONTA],$F122)</f>
        <v>0</v>
      </c>
      <c r="P122" s="4">
        <f>SUMIFS(Tab_09.Set[SALDO
ATUAL],Tab_09.Set[CONTA],$F122)</f>
        <v>0</v>
      </c>
      <c r="Q122" s="4">
        <f>SUMIFS(Tab_10.Out[SALDO
ATUAL],Tab_10.Out[CONTA],$F122)</f>
        <v>0</v>
      </c>
      <c r="R122" s="4">
        <f>SUMIFS(Tab_11.Nov[SALDO
ATUAL],Tab_11.Nov[CONTA],$F122)</f>
        <v>0</v>
      </c>
      <c r="S122" s="4">
        <f>SUMIFS(Tab_12.Dez[SALDO
ATUAL],Tab_12.Dez[CONTA],$F122)</f>
        <v>0</v>
      </c>
    </row>
    <row r="123" spans="2:19" x14ac:dyDescent="0.3">
      <c r="B123" s="3"/>
      <c r="C123" s="2" t="str">
        <f t="shared" si="6"/>
        <v>P</v>
      </c>
      <c r="D123" s="2" t="str">
        <f t="shared" si="9"/>
        <v>S</v>
      </c>
      <c r="E123" s="2">
        <f t="shared" si="10"/>
        <v>5</v>
      </c>
      <c r="F123" s="3" t="s">
        <v>224</v>
      </c>
      <c r="G123" s="3" t="s">
        <v>664</v>
      </c>
      <c r="H123" s="4">
        <f>SUMIFS(Tab_01.Jan[SALDO
ATUAL],Tab_01.Jan[CONTA],$F123)</f>
        <v>-22468.91</v>
      </c>
      <c r="I123" s="4">
        <f>SUMIFS(Tab_02.Fev[SALDO
ATUAL],Tab_02.Fev[CONTA],$F123)</f>
        <v>-22506.69</v>
      </c>
      <c r="J123" s="4">
        <f>SUMIFS(Tab_03.Mar[SALDO
ATUAL],Tab_03.Mar[CONTA],$F123)</f>
        <v>-22488.11</v>
      </c>
      <c r="K123" s="4">
        <f>SUMIFS(Tab_04.Abr[SALDO
ATUAL],Tab_04.Abr[CONTA],$F123)</f>
        <v>-22727.49</v>
      </c>
      <c r="L123" s="4">
        <f>SUMIFS(Tab_05.Mai[SALDO
ATUAL],Tab_05.Mai[CONTA],$F123)</f>
        <v>-22473.51</v>
      </c>
      <c r="M123" s="4">
        <f>SUMIFS(Tab_06.Jun[SALDO
ATUAL],Tab_06.Jun[CONTA],$F123)</f>
        <v>-22355.56</v>
      </c>
      <c r="N123" s="4">
        <f>SUMIFS(Tab_07.Jul[SALDO
ATUAL],Tab_07.Jul[CONTA],$F123)</f>
        <v>-22355.56</v>
      </c>
      <c r="O123" s="4">
        <f>SUMIFS(Tab_08.Ago[SALDO
ATUAL],Tab_08.Ago[CONTA],$F123)</f>
        <v>-22355.56</v>
      </c>
      <c r="P123" s="4">
        <f>SUMIFS(Tab_09.Set[SALDO
ATUAL],Tab_09.Set[CONTA],$F123)</f>
        <v>-22447.71</v>
      </c>
      <c r="Q123" s="4">
        <f>SUMIFS(Tab_10.Out[SALDO
ATUAL],Tab_10.Out[CONTA],$F123)</f>
        <v>-23058.2</v>
      </c>
      <c r="R123" s="4">
        <f>SUMIFS(Tab_11.Nov[SALDO
ATUAL],Tab_11.Nov[CONTA],$F123)</f>
        <v>-23073.63</v>
      </c>
      <c r="S123" s="4">
        <f>SUMIFS(Tab_12.Dez[SALDO
ATUAL],Tab_12.Dez[CONTA],$F123)</f>
        <v>-3198.94</v>
      </c>
    </row>
    <row r="124" spans="2:19" x14ac:dyDescent="0.3">
      <c r="B124" s="3"/>
      <c r="C124" s="2" t="str">
        <f t="shared" si="6"/>
        <v>P</v>
      </c>
      <c r="D124" s="2" t="str">
        <f t="shared" si="9"/>
        <v>S</v>
      </c>
      <c r="E124" s="2">
        <f t="shared" si="10"/>
        <v>5</v>
      </c>
      <c r="F124" s="3" t="s">
        <v>225</v>
      </c>
      <c r="G124" s="3" t="s">
        <v>665</v>
      </c>
      <c r="H124" s="4">
        <f>SUMIFS(Tab_01.Jan[SALDO
ATUAL],Tab_01.Jan[CONTA],$F124)</f>
        <v>-22468.91</v>
      </c>
      <c r="I124" s="4">
        <f>SUMIFS(Tab_02.Fev[SALDO
ATUAL],Tab_02.Fev[CONTA],$F124)</f>
        <v>-22506.69</v>
      </c>
      <c r="J124" s="4">
        <f>SUMIFS(Tab_03.Mar[SALDO
ATUAL],Tab_03.Mar[CONTA],$F124)</f>
        <v>-22488.11</v>
      </c>
      <c r="K124" s="4">
        <f>SUMIFS(Tab_04.Abr[SALDO
ATUAL],Tab_04.Abr[CONTA],$F124)</f>
        <v>-22727.49</v>
      </c>
      <c r="L124" s="4">
        <f>SUMIFS(Tab_05.Mai[SALDO
ATUAL],Tab_05.Mai[CONTA],$F124)</f>
        <v>-22473.51</v>
      </c>
      <c r="M124" s="4">
        <f>SUMIFS(Tab_06.Jun[SALDO
ATUAL],Tab_06.Jun[CONTA],$F124)</f>
        <v>-22355.56</v>
      </c>
      <c r="N124" s="4">
        <f>SUMIFS(Tab_07.Jul[SALDO
ATUAL],Tab_07.Jul[CONTA],$F124)</f>
        <v>-22355.56</v>
      </c>
      <c r="O124" s="4">
        <f>SUMIFS(Tab_08.Ago[SALDO
ATUAL],Tab_08.Ago[CONTA],$F124)</f>
        <v>-22355.56</v>
      </c>
      <c r="P124" s="4">
        <f>SUMIFS(Tab_09.Set[SALDO
ATUAL],Tab_09.Set[CONTA],$F124)</f>
        <v>-22447.71</v>
      </c>
      <c r="Q124" s="4">
        <f>SUMIFS(Tab_10.Out[SALDO
ATUAL],Tab_10.Out[CONTA],$F124)</f>
        <v>-23058.2</v>
      </c>
      <c r="R124" s="4">
        <f>SUMIFS(Tab_11.Nov[SALDO
ATUAL],Tab_11.Nov[CONTA],$F124)</f>
        <v>-23073.63</v>
      </c>
      <c r="S124" s="4">
        <f>SUMIFS(Tab_12.Dez[SALDO
ATUAL],Tab_12.Dez[CONTA],$F124)</f>
        <v>-3198.94</v>
      </c>
    </row>
    <row r="125" spans="2:19" x14ac:dyDescent="0.3">
      <c r="B125" s="3" t="s">
        <v>55</v>
      </c>
      <c r="C125" s="2" t="str">
        <f t="shared" si="6"/>
        <v>P</v>
      </c>
      <c r="D125" s="2" t="str">
        <f t="shared" si="9"/>
        <v>A</v>
      </c>
      <c r="E125" s="2">
        <f t="shared" si="10"/>
        <v>5</v>
      </c>
      <c r="F125" s="3" t="s">
        <v>356</v>
      </c>
      <c r="G125" s="3" t="s">
        <v>357</v>
      </c>
      <c r="H125" s="4">
        <f>SUMIFS(Tab_01.Jan[SALDO
ATUAL],Tab_01.Jan[CONTA],$F125)</f>
        <v>-22468.91</v>
      </c>
      <c r="I125" s="4">
        <f>SUMIFS(Tab_02.Fev[SALDO
ATUAL],Tab_02.Fev[CONTA],$F125)</f>
        <v>-22506.69</v>
      </c>
      <c r="J125" s="4">
        <f>SUMIFS(Tab_03.Mar[SALDO
ATUAL],Tab_03.Mar[CONTA],$F125)</f>
        <v>-22488.11</v>
      </c>
      <c r="K125" s="4">
        <f>SUMIFS(Tab_04.Abr[SALDO
ATUAL],Tab_04.Abr[CONTA],$F125)</f>
        <v>-22727.49</v>
      </c>
      <c r="L125" s="4">
        <f>SUMIFS(Tab_05.Mai[SALDO
ATUAL],Tab_05.Mai[CONTA],$F125)</f>
        <v>-22473.51</v>
      </c>
      <c r="M125" s="4">
        <f>SUMIFS(Tab_06.Jun[SALDO
ATUAL],Tab_06.Jun[CONTA],$F125)</f>
        <v>-22355.56</v>
      </c>
      <c r="N125" s="4">
        <f>SUMIFS(Tab_07.Jul[SALDO
ATUAL],Tab_07.Jul[CONTA],$F125)</f>
        <v>-22355.56</v>
      </c>
      <c r="O125" s="4">
        <f>SUMIFS(Tab_08.Ago[SALDO
ATUAL],Tab_08.Ago[CONTA],$F125)</f>
        <v>-22355.56</v>
      </c>
      <c r="P125" s="4">
        <f>SUMIFS(Tab_09.Set[SALDO
ATUAL],Tab_09.Set[CONTA],$F125)</f>
        <v>-22447.71</v>
      </c>
      <c r="Q125" s="4">
        <f>SUMIFS(Tab_10.Out[SALDO
ATUAL],Tab_10.Out[CONTA],$F125)</f>
        <v>-23058.2</v>
      </c>
      <c r="R125" s="4">
        <f>SUMIFS(Tab_11.Nov[SALDO
ATUAL],Tab_11.Nov[CONTA],$F125)</f>
        <v>-23073.63</v>
      </c>
      <c r="S125" s="4">
        <f>SUMIFS(Tab_12.Dez[SALDO
ATUAL],Tab_12.Dez[CONTA],$F125)</f>
        <v>-3198.94</v>
      </c>
    </row>
    <row r="126" spans="2:19" x14ac:dyDescent="0.3">
      <c r="B126" s="3"/>
      <c r="C126" s="2" t="str">
        <f t="shared" si="6"/>
        <v>P</v>
      </c>
      <c r="D126" s="2" t="str">
        <f t="shared" si="9"/>
        <v>S</v>
      </c>
      <c r="E126" s="2">
        <f t="shared" si="10"/>
        <v>5</v>
      </c>
      <c r="F126" s="3" t="s">
        <v>564</v>
      </c>
      <c r="G126" s="3" t="s">
        <v>666</v>
      </c>
      <c r="H126" s="4">
        <f>SUMIFS(Tab_01.Jan[SALDO
ATUAL],Tab_01.Jan[CONTA],$F126)</f>
        <v>-3849.2</v>
      </c>
      <c r="I126" s="4">
        <f>SUMIFS(Tab_02.Fev[SALDO
ATUAL],Tab_02.Fev[CONTA],$F126)</f>
        <v>-3849.2</v>
      </c>
      <c r="J126" s="4">
        <f>SUMIFS(Tab_03.Mar[SALDO
ATUAL],Tab_03.Mar[CONTA],$F126)</f>
        <v>-3849.2</v>
      </c>
      <c r="K126" s="4">
        <f>SUMIFS(Tab_04.Abr[SALDO
ATUAL],Tab_04.Abr[CONTA],$F126)</f>
        <v>-3849.2</v>
      </c>
      <c r="L126" s="4">
        <f>SUMIFS(Tab_05.Mai[SALDO
ATUAL],Tab_05.Mai[CONTA],$F126)</f>
        <v>-3849.2</v>
      </c>
      <c r="M126" s="4">
        <f>SUMIFS(Tab_06.Jun[SALDO
ATUAL],Tab_06.Jun[CONTA],$F126)</f>
        <v>-3849.2</v>
      </c>
      <c r="N126" s="4">
        <f>SUMIFS(Tab_07.Jul[SALDO
ATUAL],Tab_07.Jul[CONTA],$F126)</f>
        <v>-3849.2</v>
      </c>
      <c r="O126" s="4">
        <f>SUMIFS(Tab_08.Ago[SALDO
ATUAL],Tab_08.Ago[CONTA],$F126)</f>
        <v>-3849.2</v>
      </c>
      <c r="P126" s="4">
        <f>SUMIFS(Tab_09.Set[SALDO
ATUAL],Tab_09.Set[CONTA],$F126)</f>
        <v>-3849.2</v>
      </c>
      <c r="Q126" s="4">
        <f>SUMIFS(Tab_10.Out[SALDO
ATUAL],Tab_10.Out[CONTA],$F126)</f>
        <v>-3849.2</v>
      </c>
      <c r="R126" s="4">
        <f>SUMIFS(Tab_11.Nov[SALDO
ATUAL],Tab_11.Nov[CONTA],$F126)</f>
        <v>-3849.2</v>
      </c>
      <c r="S126" s="4">
        <f>SUMIFS(Tab_12.Dez[SALDO
ATUAL],Tab_12.Dez[CONTA],$F126)</f>
        <v>-3849.2</v>
      </c>
    </row>
    <row r="127" spans="2:19" x14ac:dyDescent="0.3">
      <c r="B127" s="3"/>
      <c r="C127" s="2" t="str">
        <f t="shared" si="6"/>
        <v>P</v>
      </c>
      <c r="D127" s="2" t="str">
        <f t="shared" si="9"/>
        <v>S</v>
      </c>
      <c r="E127" s="2">
        <f t="shared" si="10"/>
        <v>5</v>
      </c>
      <c r="F127" s="3" t="s">
        <v>565</v>
      </c>
      <c r="G127" s="3" t="s">
        <v>667</v>
      </c>
      <c r="H127" s="4">
        <f>SUMIFS(Tab_01.Jan[SALDO
ATUAL],Tab_01.Jan[CONTA],$F127)</f>
        <v>-3849.2</v>
      </c>
      <c r="I127" s="4">
        <f>SUMIFS(Tab_02.Fev[SALDO
ATUAL],Tab_02.Fev[CONTA],$F127)</f>
        <v>-3849.2</v>
      </c>
      <c r="J127" s="4">
        <f>SUMIFS(Tab_03.Mar[SALDO
ATUAL],Tab_03.Mar[CONTA],$F127)</f>
        <v>-3849.2</v>
      </c>
      <c r="K127" s="4">
        <f>SUMIFS(Tab_04.Abr[SALDO
ATUAL],Tab_04.Abr[CONTA],$F127)</f>
        <v>-3849.2</v>
      </c>
      <c r="L127" s="4">
        <f>SUMIFS(Tab_05.Mai[SALDO
ATUAL],Tab_05.Mai[CONTA],$F127)</f>
        <v>-3849.2</v>
      </c>
      <c r="M127" s="4">
        <f>SUMIFS(Tab_06.Jun[SALDO
ATUAL],Tab_06.Jun[CONTA],$F127)</f>
        <v>-3849.2</v>
      </c>
      <c r="N127" s="4">
        <f>SUMIFS(Tab_07.Jul[SALDO
ATUAL],Tab_07.Jul[CONTA],$F127)</f>
        <v>-3849.2</v>
      </c>
      <c r="O127" s="4">
        <f>SUMIFS(Tab_08.Ago[SALDO
ATUAL],Tab_08.Ago[CONTA],$F127)</f>
        <v>-3849.2</v>
      </c>
      <c r="P127" s="4">
        <f>SUMIFS(Tab_09.Set[SALDO
ATUAL],Tab_09.Set[CONTA],$F127)</f>
        <v>-3849.2</v>
      </c>
      <c r="Q127" s="4">
        <f>SUMIFS(Tab_10.Out[SALDO
ATUAL],Tab_10.Out[CONTA],$F127)</f>
        <v>-3849.2</v>
      </c>
      <c r="R127" s="4">
        <f>SUMIFS(Tab_11.Nov[SALDO
ATUAL],Tab_11.Nov[CONTA],$F127)</f>
        <v>-3849.2</v>
      </c>
      <c r="S127" s="4">
        <f>SUMIFS(Tab_12.Dez[SALDO
ATUAL],Tab_12.Dez[CONTA],$F127)</f>
        <v>-3849.2</v>
      </c>
    </row>
    <row r="128" spans="2:19" x14ac:dyDescent="0.3">
      <c r="B128" s="3" t="s">
        <v>54</v>
      </c>
      <c r="C128" s="2" t="str">
        <f t="shared" si="6"/>
        <v>P</v>
      </c>
      <c r="D128" s="2" t="str">
        <f t="shared" si="9"/>
        <v>A</v>
      </c>
      <c r="E128" s="2">
        <f t="shared" si="10"/>
        <v>5</v>
      </c>
      <c r="F128" s="3" t="s">
        <v>358</v>
      </c>
      <c r="G128" s="3" t="s">
        <v>359</v>
      </c>
      <c r="H128" s="4">
        <f>SUMIFS(Tab_01.Jan[SALDO
ATUAL],Tab_01.Jan[CONTA],$F128)</f>
        <v>-3849.2</v>
      </c>
      <c r="I128" s="4">
        <f>SUMIFS(Tab_02.Fev[SALDO
ATUAL],Tab_02.Fev[CONTA],$F128)</f>
        <v>-3849.2</v>
      </c>
      <c r="J128" s="4">
        <f>SUMIFS(Tab_03.Mar[SALDO
ATUAL],Tab_03.Mar[CONTA],$F128)</f>
        <v>-3849.2</v>
      </c>
      <c r="K128" s="4">
        <f>SUMIFS(Tab_04.Abr[SALDO
ATUAL],Tab_04.Abr[CONTA],$F128)</f>
        <v>-3849.2</v>
      </c>
      <c r="L128" s="4">
        <f>SUMIFS(Tab_05.Mai[SALDO
ATUAL],Tab_05.Mai[CONTA],$F128)</f>
        <v>-3849.2</v>
      </c>
      <c r="M128" s="4">
        <f>SUMIFS(Tab_06.Jun[SALDO
ATUAL],Tab_06.Jun[CONTA],$F128)</f>
        <v>-3849.2</v>
      </c>
      <c r="N128" s="4">
        <f>SUMIFS(Tab_07.Jul[SALDO
ATUAL],Tab_07.Jul[CONTA],$F128)</f>
        <v>-3849.2</v>
      </c>
      <c r="O128" s="4">
        <f>SUMIFS(Tab_08.Ago[SALDO
ATUAL],Tab_08.Ago[CONTA],$F128)</f>
        <v>-3849.2</v>
      </c>
      <c r="P128" s="4">
        <f>SUMIFS(Tab_09.Set[SALDO
ATUAL],Tab_09.Set[CONTA],$F128)</f>
        <v>-3849.2</v>
      </c>
      <c r="Q128" s="4">
        <f>SUMIFS(Tab_10.Out[SALDO
ATUAL],Tab_10.Out[CONTA],$F128)</f>
        <v>-3849.2</v>
      </c>
      <c r="R128" s="4">
        <f>SUMIFS(Tab_11.Nov[SALDO
ATUAL],Tab_11.Nov[CONTA],$F128)</f>
        <v>-3849.2</v>
      </c>
      <c r="S128" s="4">
        <f>SUMIFS(Tab_12.Dez[SALDO
ATUAL],Tab_12.Dez[CONTA],$F128)</f>
        <v>-3849.2</v>
      </c>
    </row>
    <row r="129" spans="2:19" x14ac:dyDescent="0.3">
      <c r="B129" s="3"/>
      <c r="C129" s="2" t="str">
        <f t="shared" si="6"/>
        <v>P</v>
      </c>
      <c r="D129" s="2" t="str">
        <f t="shared" si="9"/>
        <v>S</v>
      </c>
      <c r="E129" s="2">
        <f t="shared" si="10"/>
        <v>2</v>
      </c>
      <c r="F129" s="3" t="s">
        <v>226</v>
      </c>
      <c r="G129" s="3" t="s">
        <v>76</v>
      </c>
      <c r="H129" s="4">
        <f>SUMIFS(Tab_01.Jan[SALDO
ATUAL],Tab_01.Jan[CONTA],$F129)</f>
        <v>-46934.04</v>
      </c>
      <c r="I129" s="4">
        <f>SUMIFS(Tab_02.Fev[SALDO
ATUAL],Tab_02.Fev[CONTA],$F129)</f>
        <v>-46934.04</v>
      </c>
      <c r="J129" s="4">
        <f>SUMIFS(Tab_03.Mar[SALDO
ATUAL],Tab_03.Mar[CONTA],$F129)</f>
        <v>-46934.04</v>
      </c>
      <c r="K129" s="4">
        <f>SUMIFS(Tab_04.Abr[SALDO
ATUAL],Tab_04.Abr[CONTA],$F129)</f>
        <v>-46934.04</v>
      </c>
      <c r="L129" s="4">
        <f>SUMIFS(Tab_05.Mai[SALDO
ATUAL],Tab_05.Mai[CONTA],$F129)</f>
        <v>-46934.04</v>
      </c>
      <c r="M129" s="4">
        <f>SUMIFS(Tab_06.Jun[SALDO
ATUAL],Tab_06.Jun[CONTA],$F129)</f>
        <v>-46934.04</v>
      </c>
      <c r="N129" s="4">
        <f>SUMIFS(Tab_07.Jul[SALDO
ATUAL],Tab_07.Jul[CONTA],$F129)</f>
        <v>-46934.04</v>
      </c>
      <c r="O129" s="4">
        <f>SUMIFS(Tab_08.Ago[SALDO
ATUAL],Tab_08.Ago[CONTA],$F129)</f>
        <v>-46934.04</v>
      </c>
      <c r="P129" s="4">
        <f>SUMIFS(Tab_09.Set[SALDO
ATUAL],Tab_09.Set[CONTA],$F129)</f>
        <v>-46934.04</v>
      </c>
      <c r="Q129" s="4">
        <f>SUMIFS(Tab_10.Out[SALDO
ATUAL],Tab_10.Out[CONTA],$F129)</f>
        <v>-46934.04</v>
      </c>
      <c r="R129" s="4">
        <f>SUMIFS(Tab_11.Nov[SALDO
ATUAL],Tab_11.Nov[CONTA],$F129)</f>
        <v>-46934.04</v>
      </c>
      <c r="S129" s="4">
        <f>SUMIFS(Tab_12.Dez[SALDO
ATUAL],Tab_12.Dez[CONTA],$F129)</f>
        <v>0</v>
      </c>
    </row>
    <row r="130" spans="2:19" x14ac:dyDescent="0.3">
      <c r="B130" s="3"/>
      <c r="C130" s="2" t="str">
        <f t="shared" si="6"/>
        <v>P</v>
      </c>
      <c r="D130" s="2" t="str">
        <f t="shared" si="9"/>
        <v>S</v>
      </c>
      <c r="E130" s="2">
        <f t="shared" si="10"/>
        <v>5</v>
      </c>
      <c r="F130" s="3" t="s">
        <v>566</v>
      </c>
      <c r="G130" s="3" t="s">
        <v>668</v>
      </c>
      <c r="H130" s="4">
        <f>SUMIFS(Tab_01.Jan[SALDO
ATUAL],Tab_01.Jan[CONTA],$F130)</f>
        <v>-46934.04</v>
      </c>
      <c r="I130" s="4">
        <f>SUMIFS(Tab_02.Fev[SALDO
ATUAL],Tab_02.Fev[CONTA],$F130)</f>
        <v>-46934.04</v>
      </c>
      <c r="J130" s="4">
        <f>SUMIFS(Tab_03.Mar[SALDO
ATUAL],Tab_03.Mar[CONTA],$F130)</f>
        <v>-46934.04</v>
      </c>
      <c r="K130" s="4">
        <f>SUMIFS(Tab_04.Abr[SALDO
ATUAL],Tab_04.Abr[CONTA],$F130)</f>
        <v>-46934.04</v>
      </c>
      <c r="L130" s="4">
        <f>SUMIFS(Tab_05.Mai[SALDO
ATUAL],Tab_05.Mai[CONTA],$F130)</f>
        <v>-46934.04</v>
      </c>
      <c r="M130" s="4">
        <f>SUMIFS(Tab_06.Jun[SALDO
ATUAL],Tab_06.Jun[CONTA],$F130)</f>
        <v>-46934.04</v>
      </c>
      <c r="N130" s="4">
        <f>SUMIFS(Tab_07.Jul[SALDO
ATUAL],Tab_07.Jul[CONTA],$F130)</f>
        <v>-46934.04</v>
      </c>
      <c r="O130" s="4">
        <f>SUMIFS(Tab_08.Ago[SALDO
ATUAL],Tab_08.Ago[CONTA],$F130)</f>
        <v>-46934.04</v>
      </c>
      <c r="P130" s="4">
        <f>SUMIFS(Tab_09.Set[SALDO
ATUAL],Tab_09.Set[CONTA],$F130)</f>
        <v>-46934.04</v>
      </c>
      <c r="Q130" s="4">
        <f>SUMIFS(Tab_10.Out[SALDO
ATUAL],Tab_10.Out[CONTA],$F130)</f>
        <v>-46934.04</v>
      </c>
      <c r="R130" s="4">
        <f>SUMIFS(Tab_11.Nov[SALDO
ATUAL],Tab_11.Nov[CONTA],$F130)</f>
        <v>-46934.04</v>
      </c>
      <c r="S130" s="4">
        <f>SUMIFS(Tab_12.Dez[SALDO
ATUAL],Tab_12.Dez[CONTA],$F130)</f>
        <v>0</v>
      </c>
    </row>
    <row r="131" spans="2:19" x14ac:dyDescent="0.3">
      <c r="B131" s="3"/>
      <c r="C131" s="2" t="str">
        <f t="shared" si="6"/>
        <v>P</v>
      </c>
      <c r="D131" s="2" t="str">
        <f t="shared" si="9"/>
        <v>S</v>
      </c>
      <c r="E131" s="2">
        <f t="shared" si="10"/>
        <v>5</v>
      </c>
      <c r="F131" s="3" t="s">
        <v>567</v>
      </c>
      <c r="G131" s="3" t="s">
        <v>669</v>
      </c>
      <c r="H131" s="4">
        <f>SUMIFS(Tab_01.Jan[SALDO
ATUAL],Tab_01.Jan[CONTA],$F131)</f>
        <v>-46934.04</v>
      </c>
      <c r="I131" s="4">
        <f>SUMIFS(Tab_02.Fev[SALDO
ATUAL],Tab_02.Fev[CONTA],$F131)</f>
        <v>-46934.04</v>
      </c>
      <c r="J131" s="4">
        <f>SUMIFS(Tab_03.Mar[SALDO
ATUAL],Tab_03.Mar[CONTA],$F131)</f>
        <v>-46934.04</v>
      </c>
      <c r="K131" s="4">
        <f>SUMIFS(Tab_04.Abr[SALDO
ATUAL],Tab_04.Abr[CONTA],$F131)</f>
        <v>-46934.04</v>
      </c>
      <c r="L131" s="4">
        <f>SUMIFS(Tab_05.Mai[SALDO
ATUAL],Tab_05.Mai[CONTA],$F131)</f>
        <v>-46934.04</v>
      </c>
      <c r="M131" s="4">
        <f>SUMIFS(Tab_06.Jun[SALDO
ATUAL],Tab_06.Jun[CONTA],$F131)</f>
        <v>-46934.04</v>
      </c>
      <c r="N131" s="4">
        <f>SUMIFS(Tab_07.Jul[SALDO
ATUAL],Tab_07.Jul[CONTA],$F131)</f>
        <v>-46934.04</v>
      </c>
      <c r="O131" s="4">
        <f>SUMIFS(Tab_08.Ago[SALDO
ATUAL],Tab_08.Ago[CONTA],$F131)</f>
        <v>-46934.04</v>
      </c>
      <c r="P131" s="4">
        <f>SUMIFS(Tab_09.Set[SALDO
ATUAL],Tab_09.Set[CONTA],$F131)</f>
        <v>-46934.04</v>
      </c>
      <c r="Q131" s="4">
        <f>SUMIFS(Tab_10.Out[SALDO
ATUAL],Tab_10.Out[CONTA],$F131)</f>
        <v>-46934.04</v>
      </c>
      <c r="R131" s="4">
        <f>SUMIFS(Tab_11.Nov[SALDO
ATUAL],Tab_11.Nov[CONTA],$F131)</f>
        <v>-46934.04</v>
      </c>
      <c r="S131" s="4">
        <f>SUMIFS(Tab_12.Dez[SALDO
ATUAL],Tab_12.Dez[CONTA],$F131)</f>
        <v>0</v>
      </c>
    </row>
    <row r="132" spans="2:19" x14ac:dyDescent="0.3">
      <c r="B132" s="3" t="s">
        <v>122</v>
      </c>
      <c r="C132" s="2" t="str">
        <f t="shared" si="6"/>
        <v>P</v>
      </c>
      <c r="D132" s="2" t="str">
        <f t="shared" si="9"/>
        <v>A</v>
      </c>
      <c r="E132" s="2">
        <f t="shared" si="10"/>
        <v>5</v>
      </c>
      <c r="F132" s="3" t="s">
        <v>360</v>
      </c>
      <c r="G132" s="3" t="s">
        <v>361</v>
      </c>
      <c r="H132" s="4">
        <f>SUMIFS(Tab_01.Jan[SALDO
ATUAL],Tab_01.Jan[CONTA],$F132)</f>
        <v>-31934.04</v>
      </c>
      <c r="I132" s="4">
        <f>SUMIFS(Tab_02.Fev[SALDO
ATUAL],Tab_02.Fev[CONTA],$F132)</f>
        <v>-31934.04</v>
      </c>
      <c r="J132" s="4">
        <f>SUMIFS(Tab_03.Mar[SALDO
ATUAL],Tab_03.Mar[CONTA],$F132)</f>
        <v>-31934.04</v>
      </c>
      <c r="K132" s="4">
        <f>SUMIFS(Tab_04.Abr[SALDO
ATUAL],Tab_04.Abr[CONTA],$F132)</f>
        <v>-31934.04</v>
      </c>
      <c r="L132" s="4">
        <f>SUMIFS(Tab_05.Mai[SALDO
ATUAL],Tab_05.Mai[CONTA],$F132)</f>
        <v>-31934.04</v>
      </c>
      <c r="M132" s="4">
        <f>SUMIFS(Tab_06.Jun[SALDO
ATUAL],Tab_06.Jun[CONTA],$F132)</f>
        <v>-31934.04</v>
      </c>
      <c r="N132" s="4">
        <f>SUMIFS(Tab_07.Jul[SALDO
ATUAL],Tab_07.Jul[CONTA],$F132)</f>
        <v>-31934.04</v>
      </c>
      <c r="O132" s="4">
        <f>SUMIFS(Tab_08.Ago[SALDO
ATUAL],Tab_08.Ago[CONTA],$F132)</f>
        <v>-31934.04</v>
      </c>
      <c r="P132" s="4">
        <f>SUMIFS(Tab_09.Set[SALDO
ATUAL],Tab_09.Set[CONTA],$F132)</f>
        <v>-31934.04</v>
      </c>
      <c r="Q132" s="4">
        <f>SUMIFS(Tab_10.Out[SALDO
ATUAL],Tab_10.Out[CONTA],$F132)</f>
        <v>-31934.04</v>
      </c>
      <c r="R132" s="4">
        <f>SUMIFS(Tab_11.Nov[SALDO
ATUAL],Tab_11.Nov[CONTA],$F132)</f>
        <v>-31934.04</v>
      </c>
      <c r="S132" s="4">
        <f>SUMIFS(Tab_12.Dez[SALDO
ATUAL],Tab_12.Dez[CONTA],$F132)</f>
        <v>0</v>
      </c>
    </row>
    <row r="133" spans="2:19" x14ac:dyDescent="0.3">
      <c r="B133" s="3" t="s">
        <v>122</v>
      </c>
      <c r="C133" s="2" t="str">
        <f t="shared" si="6"/>
        <v>P</v>
      </c>
      <c r="D133" s="2" t="str">
        <f>IF($F133="","",IF(LEN($F133)=13,"A","S"))</f>
        <v>A</v>
      </c>
      <c r="E133" s="2">
        <f>IF($F133="","",IF(LEN($F133)=1,1,IF(LEN($F133)=3,2,IF(LEN($F133)=5,3,IF(LEN($F133)=8,4,5)))))</f>
        <v>5</v>
      </c>
      <c r="F133" s="3" t="s">
        <v>362</v>
      </c>
      <c r="G133" s="3" t="s">
        <v>363</v>
      </c>
      <c r="H133" s="4">
        <f>SUMIFS(Tab_01.Jan[SALDO
ATUAL],Tab_01.Jan[CONTA],$F133)</f>
        <v>-15000</v>
      </c>
      <c r="I133" s="4">
        <f>SUMIFS(Tab_02.Fev[SALDO
ATUAL],Tab_02.Fev[CONTA],$F133)</f>
        <v>-15000</v>
      </c>
      <c r="J133" s="4">
        <f>SUMIFS(Tab_03.Mar[SALDO
ATUAL],Tab_03.Mar[CONTA],$F133)</f>
        <v>-15000</v>
      </c>
      <c r="K133" s="4">
        <f>SUMIFS(Tab_04.Abr[SALDO
ATUAL],Tab_04.Abr[CONTA],$F133)</f>
        <v>-15000</v>
      </c>
      <c r="L133" s="4">
        <f>SUMIFS(Tab_05.Mai[SALDO
ATUAL],Tab_05.Mai[CONTA],$F133)</f>
        <v>-15000</v>
      </c>
      <c r="M133" s="4">
        <f>SUMIFS(Tab_06.Jun[SALDO
ATUAL],Tab_06.Jun[CONTA],$F133)</f>
        <v>-15000</v>
      </c>
      <c r="N133" s="4">
        <f>SUMIFS(Tab_07.Jul[SALDO
ATUAL],Tab_07.Jul[CONTA],$F133)</f>
        <v>-15000</v>
      </c>
      <c r="O133" s="4">
        <f>SUMIFS(Tab_08.Ago[SALDO
ATUAL],Tab_08.Ago[CONTA],$F133)</f>
        <v>-15000</v>
      </c>
      <c r="P133" s="4">
        <f>SUMIFS(Tab_09.Set[SALDO
ATUAL],Tab_09.Set[CONTA],$F133)</f>
        <v>-15000</v>
      </c>
      <c r="Q133" s="4">
        <f>SUMIFS(Tab_10.Out[SALDO
ATUAL],Tab_10.Out[CONTA],$F133)</f>
        <v>-15000</v>
      </c>
      <c r="R133" s="4">
        <f>SUMIFS(Tab_11.Nov[SALDO
ATUAL],Tab_11.Nov[CONTA],$F133)</f>
        <v>-15000</v>
      </c>
      <c r="S133" s="4">
        <f>SUMIFS(Tab_12.Dez[SALDO
ATUAL],Tab_12.Dez[CONTA],$F133)</f>
        <v>0</v>
      </c>
    </row>
    <row r="134" spans="2:19" x14ac:dyDescent="0.3">
      <c r="B134" s="3"/>
      <c r="C134" s="2" t="str">
        <f t="shared" si="6"/>
        <v>P</v>
      </c>
      <c r="D134" s="2" t="str">
        <f t="shared" si="9"/>
        <v>S</v>
      </c>
      <c r="E134" s="2">
        <f t="shared" si="10"/>
        <v>2</v>
      </c>
      <c r="F134" s="3" t="s">
        <v>228</v>
      </c>
      <c r="G134" s="3" t="s">
        <v>670</v>
      </c>
      <c r="H134" s="4">
        <f>SUMIFS(Tab_01.Jan[SALDO
ATUAL],Tab_01.Jan[CONTA],$F134)</f>
        <v>-81855530.489999995</v>
      </c>
      <c r="I134" s="4">
        <f>SUMIFS(Tab_02.Fev[SALDO
ATUAL],Tab_02.Fev[CONTA],$F134)</f>
        <v>-81855530.489999995</v>
      </c>
      <c r="J134" s="4">
        <f>SUMIFS(Tab_03.Mar[SALDO
ATUAL],Tab_03.Mar[CONTA],$F134)</f>
        <v>-81855530.489999995</v>
      </c>
      <c r="K134" s="4">
        <f>SUMIFS(Tab_04.Abr[SALDO
ATUAL],Tab_04.Abr[CONTA],$F134)</f>
        <v>-81855530.489999995</v>
      </c>
      <c r="L134" s="4">
        <f>SUMIFS(Tab_05.Mai[SALDO
ATUAL],Tab_05.Mai[CONTA],$F134)</f>
        <v>-81855530.489999995</v>
      </c>
      <c r="M134" s="4">
        <f>SUMIFS(Tab_06.Jun[SALDO
ATUAL],Tab_06.Jun[CONTA],$F134)</f>
        <v>-81855530.489999995</v>
      </c>
      <c r="N134" s="4">
        <f>SUMIFS(Tab_07.Jul[SALDO
ATUAL],Tab_07.Jul[CONTA],$F134)</f>
        <v>-81855530.489999995</v>
      </c>
      <c r="O134" s="4">
        <f>SUMIFS(Tab_08.Ago[SALDO
ATUAL],Tab_08.Ago[CONTA],$F134)</f>
        <v>-81855530.489999995</v>
      </c>
      <c r="P134" s="4">
        <f>SUMIFS(Tab_09.Set[SALDO
ATUAL],Tab_09.Set[CONTA],$F134)</f>
        <v>-81855530.489999995</v>
      </c>
      <c r="Q134" s="4">
        <f>SUMIFS(Tab_10.Out[SALDO
ATUAL],Tab_10.Out[CONTA],$F134)</f>
        <v>-81855530.489999995</v>
      </c>
      <c r="R134" s="4">
        <f>SUMIFS(Tab_11.Nov[SALDO
ATUAL],Tab_11.Nov[CONTA],$F134)</f>
        <v>-81855530.489999995</v>
      </c>
      <c r="S134" s="4">
        <f>SUMIFS(Tab_12.Dez[SALDO
ATUAL],Tab_12.Dez[CONTA],$F134)</f>
        <v>-82893361.730000004</v>
      </c>
    </row>
    <row r="135" spans="2:19" x14ac:dyDescent="0.3">
      <c r="B135" s="3"/>
      <c r="C135" s="2" t="str">
        <f t="shared" si="6"/>
        <v>P</v>
      </c>
      <c r="D135" s="2" t="str">
        <f t="shared" si="9"/>
        <v>S</v>
      </c>
      <c r="E135" s="2">
        <f t="shared" si="10"/>
        <v>5</v>
      </c>
      <c r="F135" s="3" t="s">
        <v>229</v>
      </c>
      <c r="G135" s="3" t="s">
        <v>670</v>
      </c>
      <c r="H135" s="4">
        <f>SUMIFS(Tab_01.Jan[SALDO
ATUAL],Tab_01.Jan[CONTA],$F135)</f>
        <v>-81855530.489999995</v>
      </c>
      <c r="I135" s="4">
        <f>SUMIFS(Tab_02.Fev[SALDO
ATUAL],Tab_02.Fev[CONTA],$F135)</f>
        <v>-81855530.489999995</v>
      </c>
      <c r="J135" s="4">
        <f>SUMIFS(Tab_03.Mar[SALDO
ATUAL],Tab_03.Mar[CONTA],$F135)</f>
        <v>-81855530.489999995</v>
      </c>
      <c r="K135" s="4">
        <f>SUMIFS(Tab_04.Abr[SALDO
ATUAL],Tab_04.Abr[CONTA],$F135)</f>
        <v>-81855530.489999995</v>
      </c>
      <c r="L135" s="4">
        <f>SUMIFS(Tab_05.Mai[SALDO
ATUAL],Tab_05.Mai[CONTA],$F135)</f>
        <v>-81855530.489999995</v>
      </c>
      <c r="M135" s="4">
        <f>SUMIFS(Tab_06.Jun[SALDO
ATUAL],Tab_06.Jun[CONTA],$F135)</f>
        <v>-81855530.489999995</v>
      </c>
      <c r="N135" s="4">
        <f>SUMIFS(Tab_07.Jul[SALDO
ATUAL],Tab_07.Jul[CONTA],$F135)</f>
        <v>-81855530.489999995</v>
      </c>
      <c r="O135" s="4">
        <f>SUMIFS(Tab_08.Ago[SALDO
ATUAL],Tab_08.Ago[CONTA],$F135)</f>
        <v>-81855530.489999995</v>
      </c>
      <c r="P135" s="4">
        <f>SUMIFS(Tab_09.Set[SALDO
ATUAL],Tab_09.Set[CONTA],$F135)</f>
        <v>-81855530.489999995</v>
      </c>
      <c r="Q135" s="4">
        <f>SUMIFS(Tab_10.Out[SALDO
ATUAL],Tab_10.Out[CONTA],$F135)</f>
        <v>-81855530.489999995</v>
      </c>
      <c r="R135" s="4">
        <f>SUMIFS(Tab_11.Nov[SALDO
ATUAL],Tab_11.Nov[CONTA],$F135)</f>
        <v>-81855530.489999995</v>
      </c>
      <c r="S135" s="4">
        <f>SUMIFS(Tab_12.Dez[SALDO
ATUAL],Tab_12.Dez[CONTA],$F135)</f>
        <v>-82893361.730000004</v>
      </c>
    </row>
    <row r="136" spans="2:19" x14ac:dyDescent="0.3">
      <c r="B136" s="3"/>
      <c r="C136" s="2" t="str">
        <f t="shared" si="6"/>
        <v>P</v>
      </c>
      <c r="D136" s="2" t="str">
        <f t="shared" si="9"/>
        <v>S</v>
      </c>
      <c r="E136" s="2">
        <f t="shared" si="10"/>
        <v>5</v>
      </c>
      <c r="F136" s="3" t="s">
        <v>230</v>
      </c>
      <c r="G136" s="3" t="s">
        <v>364</v>
      </c>
      <c r="H136" s="4">
        <f>SUMIFS(Tab_01.Jan[SALDO
ATUAL],Tab_01.Jan[CONTA],$F136)</f>
        <v>-104784619.59999999</v>
      </c>
      <c r="I136" s="4">
        <f>SUMIFS(Tab_02.Fev[SALDO
ATUAL],Tab_02.Fev[CONTA],$F136)</f>
        <v>-104784619.59999999</v>
      </c>
      <c r="J136" s="4">
        <f>SUMIFS(Tab_03.Mar[SALDO
ATUAL],Tab_03.Mar[CONTA],$F136)</f>
        <v>-104784619.59999999</v>
      </c>
      <c r="K136" s="4">
        <f>SUMIFS(Tab_04.Abr[SALDO
ATUAL],Tab_04.Abr[CONTA],$F136)</f>
        <v>-104784619.59999999</v>
      </c>
      <c r="L136" s="4">
        <f>SUMIFS(Tab_05.Mai[SALDO
ATUAL],Tab_05.Mai[CONTA],$F136)</f>
        <v>-104784619.59999999</v>
      </c>
      <c r="M136" s="4">
        <f>SUMIFS(Tab_06.Jun[SALDO
ATUAL],Tab_06.Jun[CONTA],$F136)</f>
        <v>-104784619.59999999</v>
      </c>
      <c r="N136" s="4">
        <f>SUMIFS(Tab_07.Jul[SALDO
ATUAL],Tab_07.Jul[CONTA],$F136)</f>
        <v>-104784619.59999999</v>
      </c>
      <c r="O136" s="4">
        <f>SUMIFS(Tab_08.Ago[SALDO
ATUAL],Tab_08.Ago[CONTA],$F136)</f>
        <v>-104784619.59999999</v>
      </c>
      <c r="P136" s="4">
        <f>SUMIFS(Tab_09.Set[SALDO
ATUAL],Tab_09.Set[CONTA],$F136)</f>
        <v>-104784619.59999999</v>
      </c>
      <c r="Q136" s="4">
        <f>SUMIFS(Tab_10.Out[SALDO
ATUAL],Tab_10.Out[CONTA],$F136)</f>
        <v>-104784619.59999999</v>
      </c>
      <c r="R136" s="4">
        <f>SUMIFS(Tab_11.Nov[SALDO
ATUAL],Tab_11.Nov[CONTA],$F136)</f>
        <v>-104784619.59999999</v>
      </c>
      <c r="S136" s="4">
        <f>SUMIFS(Tab_12.Dez[SALDO
ATUAL],Tab_12.Dez[CONTA],$F136)</f>
        <v>-104784619.59999999</v>
      </c>
    </row>
    <row r="137" spans="2:19" x14ac:dyDescent="0.3">
      <c r="B137" s="3" t="s">
        <v>61</v>
      </c>
      <c r="C137" s="2" t="str">
        <f t="shared" si="6"/>
        <v>P</v>
      </c>
      <c r="D137" s="2" t="str">
        <f t="shared" si="9"/>
        <v>A</v>
      </c>
      <c r="E137" s="2">
        <f t="shared" si="10"/>
        <v>5</v>
      </c>
      <c r="F137" s="3" t="s">
        <v>193</v>
      </c>
      <c r="G137" s="3" t="s">
        <v>364</v>
      </c>
      <c r="H137" s="4">
        <f>SUMIFS(Tab_01.Jan[SALDO
ATUAL],Tab_01.Jan[CONTA],$F137)</f>
        <v>-104784619.59999999</v>
      </c>
      <c r="I137" s="4">
        <f>SUMIFS(Tab_02.Fev[SALDO
ATUAL],Tab_02.Fev[CONTA],$F137)</f>
        <v>-104784619.59999999</v>
      </c>
      <c r="J137" s="4">
        <f>SUMIFS(Tab_03.Mar[SALDO
ATUAL],Tab_03.Mar[CONTA],$F137)</f>
        <v>-104784619.59999999</v>
      </c>
      <c r="K137" s="4">
        <f>SUMIFS(Tab_04.Abr[SALDO
ATUAL],Tab_04.Abr[CONTA],$F137)</f>
        <v>-104784619.59999999</v>
      </c>
      <c r="L137" s="4">
        <f>SUMIFS(Tab_05.Mai[SALDO
ATUAL],Tab_05.Mai[CONTA],$F137)</f>
        <v>-104784619.59999999</v>
      </c>
      <c r="M137" s="4">
        <f>SUMIFS(Tab_06.Jun[SALDO
ATUAL],Tab_06.Jun[CONTA],$F137)</f>
        <v>-104784619.59999999</v>
      </c>
      <c r="N137" s="4">
        <f>SUMIFS(Tab_07.Jul[SALDO
ATUAL],Tab_07.Jul[CONTA],$F137)</f>
        <v>-104784619.59999999</v>
      </c>
      <c r="O137" s="4">
        <f>SUMIFS(Tab_08.Ago[SALDO
ATUAL],Tab_08.Ago[CONTA],$F137)</f>
        <v>-104784619.59999999</v>
      </c>
      <c r="P137" s="4">
        <f>SUMIFS(Tab_09.Set[SALDO
ATUAL],Tab_09.Set[CONTA],$F137)</f>
        <v>-104784619.59999999</v>
      </c>
      <c r="Q137" s="4">
        <f>SUMIFS(Tab_10.Out[SALDO
ATUAL],Tab_10.Out[CONTA],$F137)</f>
        <v>-104784619.59999999</v>
      </c>
      <c r="R137" s="4">
        <f>SUMIFS(Tab_11.Nov[SALDO
ATUAL],Tab_11.Nov[CONTA],$F137)</f>
        <v>-104784619.59999999</v>
      </c>
      <c r="S137" s="4">
        <f>SUMIFS(Tab_12.Dez[SALDO
ATUAL],Tab_12.Dez[CONTA],$F137)</f>
        <v>-104784619.59999999</v>
      </c>
    </row>
    <row r="138" spans="2:19" x14ac:dyDescent="0.3">
      <c r="B138" s="3"/>
      <c r="C138" s="2" t="str">
        <f t="shared" si="6"/>
        <v>P</v>
      </c>
      <c r="D138" s="2" t="str">
        <f t="shared" si="9"/>
        <v>S</v>
      </c>
      <c r="E138" s="2">
        <f t="shared" si="10"/>
        <v>5</v>
      </c>
      <c r="F138" s="3" t="s">
        <v>568</v>
      </c>
      <c r="G138" s="3" t="s">
        <v>671</v>
      </c>
      <c r="H138" s="4">
        <f>SUMIFS(Tab_01.Jan[SALDO
ATUAL],Tab_01.Jan[CONTA],$F138)</f>
        <v>32587250.850000001</v>
      </c>
      <c r="I138" s="4">
        <f>SUMIFS(Tab_02.Fev[SALDO
ATUAL],Tab_02.Fev[CONTA],$F138)</f>
        <v>32587250.850000001</v>
      </c>
      <c r="J138" s="4">
        <f>SUMIFS(Tab_03.Mar[SALDO
ATUAL],Tab_03.Mar[CONTA],$F138)</f>
        <v>32587250.850000001</v>
      </c>
      <c r="K138" s="4">
        <f>SUMIFS(Tab_04.Abr[SALDO
ATUAL],Tab_04.Abr[CONTA],$F138)</f>
        <v>32587250.850000001</v>
      </c>
      <c r="L138" s="4">
        <f>SUMIFS(Tab_05.Mai[SALDO
ATUAL],Tab_05.Mai[CONTA],$F138)</f>
        <v>32587250.850000001</v>
      </c>
      <c r="M138" s="4">
        <f>SUMIFS(Tab_06.Jun[SALDO
ATUAL],Tab_06.Jun[CONTA],$F138)</f>
        <v>32587250.850000001</v>
      </c>
      <c r="N138" s="4">
        <f>SUMIFS(Tab_07.Jul[SALDO
ATUAL],Tab_07.Jul[CONTA],$F138)</f>
        <v>32587250.850000001</v>
      </c>
      <c r="O138" s="4">
        <f>SUMIFS(Tab_08.Ago[SALDO
ATUAL],Tab_08.Ago[CONTA],$F138)</f>
        <v>32587250.850000001</v>
      </c>
      <c r="P138" s="4">
        <f>SUMIFS(Tab_09.Set[SALDO
ATUAL],Tab_09.Set[CONTA],$F138)</f>
        <v>32587250.850000001</v>
      </c>
      <c r="Q138" s="4">
        <f>SUMIFS(Tab_10.Out[SALDO
ATUAL],Tab_10.Out[CONTA],$F138)</f>
        <v>32587250.850000001</v>
      </c>
      <c r="R138" s="4">
        <f>SUMIFS(Tab_11.Nov[SALDO
ATUAL],Tab_11.Nov[CONTA],$F138)</f>
        <v>32587250.850000001</v>
      </c>
      <c r="S138" s="4">
        <f>SUMIFS(Tab_12.Dez[SALDO
ATUAL],Tab_12.Dez[CONTA],$F138)</f>
        <v>32587250.850000001</v>
      </c>
    </row>
    <row r="139" spans="2:19" x14ac:dyDescent="0.3">
      <c r="B139" s="3" t="s">
        <v>163</v>
      </c>
      <c r="C139" s="2" t="str">
        <f>IF($F139="","",IF(LEFT($F139,1)*1=1,"A",IF(LEFT($F139,1)*1=2,"P",IF(LEFT($F139,1)*1=3,"R",IF(LEFT($F139,1)*1=4,"C",IF(LEFT($F139,1)*1=5,"C",""))))))</f>
        <v>P</v>
      </c>
      <c r="D139" s="2" t="str">
        <f>IF($F139="","",IF(LEN($F139)=13,"A","S"))</f>
        <v>A</v>
      </c>
      <c r="E139" s="2">
        <f>IF($F139="","",IF(LEN($F139)=1,1,IF(LEN($F139)=3,2,IF(LEN($F139)=5,3,IF(LEN($F139)=8,4,5)))))</f>
        <v>5</v>
      </c>
      <c r="F139" s="3" t="s">
        <v>743</v>
      </c>
      <c r="G139" s="3" t="s">
        <v>744</v>
      </c>
      <c r="H139" s="4">
        <f>SUMIFS(Tab_01.Jan[SALDO
ATUAL],Tab_01.Jan[CONTA],$F139)</f>
        <v>-827719.82</v>
      </c>
      <c r="I139" s="4">
        <f>SUMIFS(Tab_02.Fev[SALDO
ATUAL],Tab_02.Fev[CONTA],$F139)</f>
        <v>-827719.82</v>
      </c>
      <c r="J139" s="4">
        <f>SUMIFS(Tab_03.Mar[SALDO
ATUAL],Tab_03.Mar[CONTA],$F139)</f>
        <v>-827719.82</v>
      </c>
      <c r="K139" s="4">
        <f>SUMIFS(Tab_04.Abr[SALDO
ATUAL],Tab_04.Abr[CONTA],$F139)</f>
        <v>-827719.82</v>
      </c>
      <c r="L139" s="4">
        <f>SUMIFS(Tab_05.Mai[SALDO
ATUAL],Tab_05.Mai[CONTA],$F139)</f>
        <v>-827719.82</v>
      </c>
      <c r="M139" s="4">
        <f>SUMIFS(Tab_06.Jun[SALDO
ATUAL],Tab_06.Jun[CONTA],$F139)</f>
        <v>-827719.82</v>
      </c>
      <c r="N139" s="4">
        <f>SUMIFS(Tab_07.Jul[SALDO
ATUAL],Tab_07.Jul[CONTA],$F139)</f>
        <v>-827719.82</v>
      </c>
      <c r="O139" s="4">
        <f>SUMIFS(Tab_08.Ago[SALDO
ATUAL],Tab_08.Ago[CONTA],$F139)</f>
        <v>-827719.82</v>
      </c>
      <c r="P139" s="4">
        <f>SUMIFS(Tab_09.Set[SALDO
ATUAL],Tab_09.Set[CONTA],$F139)</f>
        <v>-827719.82</v>
      </c>
      <c r="Q139" s="4">
        <f>SUMIFS(Tab_10.Out[SALDO
ATUAL],Tab_10.Out[CONTA],$F139)</f>
        <v>-827719.82</v>
      </c>
      <c r="R139" s="4">
        <f>SUMIFS(Tab_11.Nov[SALDO
ATUAL],Tab_11.Nov[CONTA],$F139)</f>
        <v>-827719.82</v>
      </c>
      <c r="S139" s="4">
        <f>SUMIFS(Tab_12.Dez[SALDO
ATUAL],Tab_12.Dez[CONTA],$F139)</f>
        <v>-827719.82</v>
      </c>
    </row>
    <row r="140" spans="2:19" x14ac:dyDescent="0.3">
      <c r="B140" s="3" t="s">
        <v>163</v>
      </c>
      <c r="C140" s="2" t="str">
        <f t="shared" si="6"/>
        <v>P</v>
      </c>
      <c r="D140" s="2" t="str">
        <f t="shared" si="9"/>
        <v>A</v>
      </c>
      <c r="E140" s="2">
        <f t="shared" si="10"/>
        <v>5</v>
      </c>
      <c r="F140" s="3" t="s">
        <v>365</v>
      </c>
      <c r="G140" s="3" t="s">
        <v>366</v>
      </c>
      <c r="H140" s="4">
        <f>SUMIFS(Tab_01.Jan[SALDO
ATUAL],Tab_01.Jan[CONTA],$F140)</f>
        <v>33414970.670000002</v>
      </c>
      <c r="I140" s="4">
        <f>SUMIFS(Tab_02.Fev[SALDO
ATUAL],Tab_02.Fev[CONTA],$F140)</f>
        <v>33414970.670000002</v>
      </c>
      <c r="J140" s="4">
        <f>SUMIFS(Tab_03.Mar[SALDO
ATUAL],Tab_03.Mar[CONTA],$F140)</f>
        <v>33414970.670000002</v>
      </c>
      <c r="K140" s="4">
        <f>SUMIFS(Tab_04.Abr[SALDO
ATUAL],Tab_04.Abr[CONTA],$F140)</f>
        <v>33414970.670000002</v>
      </c>
      <c r="L140" s="4">
        <f>SUMIFS(Tab_05.Mai[SALDO
ATUAL],Tab_05.Mai[CONTA],$F140)</f>
        <v>33414970.670000002</v>
      </c>
      <c r="M140" s="4">
        <f>SUMIFS(Tab_06.Jun[SALDO
ATUAL],Tab_06.Jun[CONTA],$F140)</f>
        <v>33414970.670000002</v>
      </c>
      <c r="N140" s="4">
        <f>SUMIFS(Tab_07.Jul[SALDO
ATUAL],Tab_07.Jul[CONTA],$F140)</f>
        <v>33414970.670000002</v>
      </c>
      <c r="O140" s="4">
        <f>SUMIFS(Tab_08.Ago[SALDO
ATUAL],Tab_08.Ago[CONTA],$F140)</f>
        <v>33414970.670000002</v>
      </c>
      <c r="P140" s="4">
        <f>SUMIFS(Tab_09.Set[SALDO
ATUAL],Tab_09.Set[CONTA],$F140)</f>
        <v>33414970.670000002</v>
      </c>
      <c r="Q140" s="4">
        <f>SUMIFS(Tab_10.Out[SALDO
ATUAL],Tab_10.Out[CONTA],$F140)</f>
        <v>33414970.670000002</v>
      </c>
      <c r="R140" s="4">
        <f>SUMIFS(Tab_11.Nov[SALDO
ATUAL],Tab_11.Nov[CONTA],$F140)</f>
        <v>33414970.670000002</v>
      </c>
      <c r="S140" s="4">
        <f>SUMIFS(Tab_12.Dez[SALDO
ATUAL],Tab_12.Dez[CONTA],$F140)</f>
        <v>33414970.670000002</v>
      </c>
    </row>
    <row r="141" spans="2:19" x14ac:dyDescent="0.3">
      <c r="B141" s="3"/>
      <c r="C141" s="2" t="str">
        <f>IF($F141="","",IF(LEFT($F141,1)*1=1,"A",IF(LEFT($F141,1)*1=2,"P",IF(LEFT($F141,1)*1=3,"R",IF(LEFT($F141,1)*1=4,"C",IF(LEFT($F141,1)*1=5,"C",""))))))</f>
        <v>P</v>
      </c>
      <c r="D141" s="2" t="str">
        <f>IF($F141="","",IF(LEN($F141)=13,"A","S"))</f>
        <v>S</v>
      </c>
      <c r="E141" s="2">
        <f>IF($F141="","",IF(LEN($F141)=1,1,IF(LEN($F141)=3,2,IF(LEN($F141)=5,3,IF(LEN($F141)=8,4,5)))))</f>
        <v>5</v>
      </c>
      <c r="F141" s="3" t="s">
        <v>745</v>
      </c>
      <c r="G141" s="3" t="s">
        <v>746</v>
      </c>
      <c r="H141" s="4">
        <f>SUMIFS(Tab_01.Jan[SALDO
ATUAL],Tab_01.Jan[CONTA],$F141)</f>
        <v>-9658161.7400000002</v>
      </c>
      <c r="I141" s="4">
        <f>SUMIFS(Tab_02.Fev[SALDO
ATUAL],Tab_02.Fev[CONTA],$F141)</f>
        <v>-9658161.7400000002</v>
      </c>
      <c r="J141" s="4">
        <f>SUMIFS(Tab_03.Mar[SALDO
ATUAL],Tab_03.Mar[CONTA],$F141)</f>
        <v>-9658161.7400000002</v>
      </c>
      <c r="K141" s="4">
        <f>SUMIFS(Tab_04.Abr[SALDO
ATUAL],Tab_04.Abr[CONTA],$F141)</f>
        <v>-9658161.7400000002</v>
      </c>
      <c r="L141" s="4">
        <f>SUMIFS(Tab_05.Mai[SALDO
ATUAL],Tab_05.Mai[CONTA],$F141)</f>
        <v>-9658161.7400000002</v>
      </c>
      <c r="M141" s="4">
        <f>SUMIFS(Tab_06.Jun[SALDO
ATUAL],Tab_06.Jun[CONTA],$F141)</f>
        <v>-9658161.7400000002</v>
      </c>
      <c r="N141" s="4">
        <f>SUMIFS(Tab_07.Jul[SALDO
ATUAL],Tab_07.Jul[CONTA],$F141)</f>
        <v>-9658161.7400000002</v>
      </c>
      <c r="O141" s="4">
        <f>SUMIFS(Tab_08.Ago[SALDO
ATUAL],Tab_08.Ago[CONTA],$F141)</f>
        <v>-9658161.7400000002</v>
      </c>
      <c r="P141" s="4">
        <f>SUMIFS(Tab_09.Set[SALDO
ATUAL],Tab_09.Set[CONTA],$F141)</f>
        <v>-9658161.7400000002</v>
      </c>
      <c r="Q141" s="4">
        <f>SUMIFS(Tab_10.Out[SALDO
ATUAL],Tab_10.Out[CONTA],$F141)</f>
        <v>-9658161.7400000002</v>
      </c>
      <c r="R141" s="4">
        <f>SUMIFS(Tab_11.Nov[SALDO
ATUAL],Tab_11.Nov[CONTA],$F141)</f>
        <v>-9658161.7400000002</v>
      </c>
      <c r="S141" s="4">
        <f>SUMIFS(Tab_12.Dez[SALDO
ATUAL],Tab_12.Dez[CONTA],$F141)</f>
        <v>-10695992.98</v>
      </c>
    </row>
    <row r="142" spans="2:19" x14ac:dyDescent="0.3">
      <c r="B142" s="3" t="s">
        <v>163</v>
      </c>
      <c r="C142" s="2" t="str">
        <f>IF($F142="","",IF(LEFT($F142,1)*1=1,"A",IF(LEFT($F142,1)*1=2,"P",IF(LEFT($F142,1)*1=3,"R",IF(LEFT($F142,1)*1=4,"C",IF(LEFT($F142,1)*1=5,"C",""))))))</f>
        <v>P</v>
      </c>
      <c r="D142" s="2" t="str">
        <f>IF($F142="","",IF(LEN($F142)=13,"A","S"))</f>
        <v>A</v>
      </c>
      <c r="E142" s="2">
        <f>IF($F142="","",IF(LEN($F142)=1,1,IF(LEN($F142)=3,2,IF(LEN($F142)=5,3,IF(LEN($F142)=8,4,5)))))</f>
        <v>5</v>
      </c>
      <c r="F142" s="3" t="s">
        <v>747</v>
      </c>
      <c r="G142" s="3" t="s">
        <v>746</v>
      </c>
      <c r="H142" s="4">
        <f>SUMIFS(Tab_01.Jan[SALDO
ATUAL],Tab_01.Jan[CONTA],$F142)</f>
        <v>-9658161.7400000002</v>
      </c>
      <c r="I142" s="4">
        <f>SUMIFS(Tab_02.Fev[SALDO
ATUAL],Tab_02.Fev[CONTA],$F142)</f>
        <v>-9658161.7400000002</v>
      </c>
      <c r="J142" s="4">
        <f>SUMIFS(Tab_03.Mar[SALDO
ATUAL],Tab_03.Mar[CONTA],$F142)</f>
        <v>-9658161.7400000002</v>
      </c>
      <c r="K142" s="4">
        <f>SUMIFS(Tab_04.Abr[SALDO
ATUAL],Tab_04.Abr[CONTA],$F142)</f>
        <v>-9658161.7400000002</v>
      </c>
      <c r="L142" s="4">
        <f>SUMIFS(Tab_05.Mai[SALDO
ATUAL],Tab_05.Mai[CONTA],$F142)</f>
        <v>-9658161.7400000002</v>
      </c>
      <c r="M142" s="4">
        <f>SUMIFS(Tab_06.Jun[SALDO
ATUAL],Tab_06.Jun[CONTA],$F142)</f>
        <v>-9658161.7400000002</v>
      </c>
      <c r="N142" s="4">
        <f>SUMIFS(Tab_07.Jul[SALDO
ATUAL],Tab_07.Jul[CONTA],$F142)</f>
        <v>-9658161.7400000002</v>
      </c>
      <c r="O142" s="4">
        <f>SUMIFS(Tab_08.Ago[SALDO
ATUAL],Tab_08.Ago[CONTA],$F142)</f>
        <v>-9658161.7400000002</v>
      </c>
      <c r="P142" s="4">
        <f>SUMIFS(Tab_09.Set[SALDO
ATUAL],Tab_09.Set[CONTA],$F142)</f>
        <v>-9658161.7400000002</v>
      </c>
      <c r="Q142" s="4">
        <f>SUMIFS(Tab_10.Out[SALDO
ATUAL],Tab_10.Out[CONTA],$F142)</f>
        <v>-9658161.7400000002</v>
      </c>
      <c r="R142" s="4">
        <f>SUMIFS(Tab_11.Nov[SALDO
ATUAL],Tab_11.Nov[CONTA],$F142)</f>
        <v>-9658161.7400000002</v>
      </c>
      <c r="S142" s="4">
        <f>SUMIFS(Tab_12.Dez[SALDO
ATUAL],Tab_12.Dez[CONTA],$F142)</f>
        <v>-10695992.98</v>
      </c>
    </row>
    <row r="143" spans="2:19" x14ac:dyDescent="0.3">
      <c r="B143" s="3"/>
      <c r="C143" s="2" t="str">
        <f t="shared" si="6"/>
        <v>R</v>
      </c>
      <c r="D143" s="2" t="str">
        <f t="shared" si="9"/>
        <v>S</v>
      </c>
      <c r="E143" s="2">
        <f t="shared" si="10"/>
        <v>1</v>
      </c>
      <c r="F143" s="3">
        <v>3</v>
      </c>
      <c r="G143" s="3" t="s">
        <v>672</v>
      </c>
      <c r="H143" s="4">
        <f>SUMIFS(Tab_01.Jan[SALDO
ATUAL],Tab_01.Jan[CONTA],$F143)</f>
        <v>-1136279.73</v>
      </c>
      <c r="I143" s="4">
        <f>SUMIFS(Tab_02.Fev[SALDO
ATUAL],Tab_02.Fev[CONTA],$F143)</f>
        <v>-1660890.59</v>
      </c>
      <c r="J143" s="4">
        <f>SUMIFS(Tab_03.Mar[SALDO
ATUAL],Tab_03.Mar[CONTA],$F143)</f>
        <v>-3663236.38</v>
      </c>
      <c r="K143" s="4">
        <f>SUMIFS(Tab_04.Abr[SALDO
ATUAL],Tab_04.Abr[CONTA],$F143)</f>
        <v>-4729203.16</v>
      </c>
      <c r="L143" s="4">
        <f>SUMIFS(Tab_05.Mai[SALDO
ATUAL],Tab_05.Mai[CONTA],$F143)</f>
        <v>-6256543.8700000001</v>
      </c>
      <c r="M143" s="4">
        <f>SUMIFS(Tab_06.Jun[SALDO
ATUAL],Tab_06.Jun[CONTA],$F143)</f>
        <v>-8945453.5600000005</v>
      </c>
      <c r="N143" s="4">
        <f>SUMIFS(Tab_07.Jul[SALDO
ATUAL],Tab_07.Jul[CONTA],$F143)</f>
        <v>-8945453.5600000005</v>
      </c>
      <c r="O143" s="4">
        <f>SUMIFS(Tab_08.Ago[SALDO
ATUAL],Tab_08.Ago[CONTA],$F143)</f>
        <v>-8945453.5600000005</v>
      </c>
      <c r="P143" s="4">
        <f>SUMIFS(Tab_09.Set[SALDO
ATUAL],Tab_09.Set[CONTA],$F143)</f>
        <v>-11464512.699999999</v>
      </c>
      <c r="Q143" s="4">
        <f>SUMIFS(Tab_10.Out[SALDO
ATUAL],Tab_10.Out[CONTA],$F143)</f>
        <v>-12902952.33</v>
      </c>
      <c r="R143" s="4">
        <f>SUMIFS(Tab_11.Nov[SALDO
ATUAL],Tab_11.Nov[CONTA],$F143)</f>
        <v>-14138020.289999999</v>
      </c>
      <c r="S143" s="4">
        <f>SUMIFS(Tab_12.Dez[SALDO
ATUAL],Tab_12.Dez[CONTA],$F143)</f>
        <v>-15518464.57</v>
      </c>
    </row>
    <row r="144" spans="2:19" x14ac:dyDescent="0.3">
      <c r="B144" s="3"/>
      <c r="C144" s="2" t="str">
        <f t="shared" si="6"/>
        <v>R</v>
      </c>
      <c r="D144" s="2" t="str">
        <f t="shared" si="9"/>
        <v>S</v>
      </c>
      <c r="E144" s="2">
        <f t="shared" si="10"/>
        <v>2</v>
      </c>
      <c r="F144" s="3" t="s">
        <v>231</v>
      </c>
      <c r="G144" s="3" t="s">
        <v>673</v>
      </c>
      <c r="H144" s="4">
        <f>SUMIFS(Tab_01.Jan[SALDO
ATUAL],Tab_01.Jan[CONTA],$F144)</f>
        <v>-511729.22</v>
      </c>
      <c r="I144" s="4">
        <f>SUMIFS(Tab_02.Fev[SALDO
ATUAL],Tab_02.Fev[CONTA],$F144)</f>
        <v>-601582.22</v>
      </c>
      <c r="J144" s="4">
        <f>SUMIFS(Tab_03.Mar[SALDO
ATUAL],Tab_03.Mar[CONTA],$F144)</f>
        <v>-1634620.14</v>
      </c>
      <c r="K144" s="4">
        <f>SUMIFS(Tab_04.Abr[SALDO
ATUAL],Tab_04.Abr[CONTA],$F144)</f>
        <v>-2282592.58</v>
      </c>
      <c r="L144" s="4">
        <f>SUMIFS(Tab_05.Mai[SALDO
ATUAL],Tab_05.Mai[CONTA],$F144)</f>
        <v>-3030193.83</v>
      </c>
      <c r="M144" s="4">
        <f>SUMIFS(Tab_06.Jun[SALDO
ATUAL],Tab_06.Jun[CONTA],$F144)</f>
        <v>-4191056.22</v>
      </c>
      <c r="N144" s="4">
        <f>SUMIFS(Tab_07.Jul[SALDO
ATUAL],Tab_07.Jul[CONTA],$F144)</f>
        <v>-4191056.22</v>
      </c>
      <c r="O144" s="4">
        <f>SUMIFS(Tab_08.Ago[SALDO
ATUAL],Tab_08.Ago[CONTA],$F144)</f>
        <v>-4191056.22</v>
      </c>
      <c r="P144" s="4">
        <f>SUMIFS(Tab_09.Set[SALDO
ATUAL],Tab_09.Set[CONTA],$F144)</f>
        <v>-5284038.0999999996</v>
      </c>
      <c r="Q144" s="4">
        <f>SUMIFS(Tab_10.Out[SALDO
ATUAL],Tab_10.Out[CONTA],$F144)</f>
        <v>-6041160.79</v>
      </c>
      <c r="R144" s="4">
        <f>SUMIFS(Tab_11.Nov[SALDO
ATUAL],Tab_11.Nov[CONTA],$F144)</f>
        <v>-6497921.6600000001</v>
      </c>
      <c r="S144" s="4">
        <f>SUMIFS(Tab_12.Dez[SALDO
ATUAL],Tab_12.Dez[CONTA],$F144)</f>
        <v>-7530052.9500000002</v>
      </c>
    </row>
    <row r="145" spans="2:19" x14ac:dyDescent="0.3">
      <c r="B145" s="3"/>
      <c r="C145" s="2" t="str">
        <f t="shared" si="6"/>
        <v>R</v>
      </c>
      <c r="D145" s="2" t="str">
        <f t="shared" si="9"/>
        <v>S</v>
      </c>
      <c r="E145" s="2">
        <f t="shared" si="10"/>
        <v>5</v>
      </c>
      <c r="F145" s="3" t="s">
        <v>232</v>
      </c>
      <c r="G145" s="3" t="s">
        <v>674</v>
      </c>
      <c r="H145" s="4">
        <f>SUMIFS(Tab_01.Jan[SALDO
ATUAL],Tab_01.Jan[CONTA],$F145)</f>
        <v>-309988.61</v>
      </c>
      <c r="I145" s="4">
        <f>SUMIFS(Tab_02.Fev[SALDO
ATUAL],Tab_02.Fev[CONTA],$F145)</f>
        <v>-309988.61</v>
      </c>
      <c r="J145" s="4">
        <f>SUMIFS(Tab_03.Mar[SALDO
ATUAL],Tab_03.Mar[CONTA],$F145)</f>
        <v>-1064866.8999999999</v>
      </c>
      <c r="K145" s="4">
        <f>SUMIFS(Tab_04.Abr[SALDO
ATUAL],Tab_04.Abr[CONTA],$F145)</f>
        <v>-1377371.76</v>
      </c>
      <c r="L145" s="4">
        <f>SUMIFS(Tab_05.Mai[SALDO
ATUAL],Tab_05.Mai[CONTA],$F145)</f>
        <v>-1847912.26</v>
      </c>
      <c r="M145" s="4">
        <f>SUMIFS(Tab_06.Jun[SALDO
ATUAL],Tab_06.Jun[CONTA],$F145)</f>
        <v>-2618544.58</v>
      </c>
      <c r="N145" s="4">
        <f>SUMIFS(Tab_07.Jul[SALDO
ATUAL],Tab_07.Jul[CONTA],$F145)</f>
        <v>-2618544.58</v>
      </c>
      <c r="O145" s="4">
        <f>SUMIFS(Tab_08.Ago[SALDO
ATUAL],Tab_08.Ago[CONTA],$F145)</f>
        <v>-2618544.58</v>
      </c>
      <c r="P145" s="4">
        <f>SUMIFS(Tab_09.Set[SALDO
ATUAL],Tab_09.Set[CONTA],$F145)</f>
        <v>-3310249.6</v>
      </c>
      <c r="Q145" s="4">
        <f>SUMIFS(Tab_10.Out[SALDO
ATUAL],Tab_10.Out[CONTA],$F145)</f>
        <v>-3888943.28</v>
      </c>
      <c r="R145" s="4">
        <f>SUMIFS(Tab_11.Nov[SALDO
ATUAL],Tab_11.Nov[CONTA],$F145)</f>
        <v>-4186433.71</v>
      </c>
      <c r="S145" s="4">
        <f>SUMIFS(Tab_12.Dez[SALDO
ATUAL],Tab_12.Dez[CONTA],$F145)</f>
        <v>-4741857.7699999996</v>
      </c>
    </row>
    <row r="146" spans="2:19" x14ac:dyDescent="0.3">
      <c r="B146" s="3"/>
      <c r="C146" s="2" t="str">
        <f t="shared" si="6"/>
        <v>R</v>
      </c>
      <c r="D146" s="2" t="str">
        <f t="shared" si="9"/>
        <v>S</v>
      </c>
      <c r="E146" s="2">
        <f t="shared" si="10"/>
        <v>5</v>
      </c>
      <c r="F146" s="3" t="s">
        <v>233</v>
      </c>
      <c r="G146" s="3" t="s">
        <v>675</v>
      </c>
      <c r="H146" s="4">
        <f>SUMIFS(Tab_01.Jan[SALDO
ATUAL],Tab_01.Jan[CONTA],$F146)</f>
        <v>-122569.24</v>
      </c>
      <c r="I146" s="4">
        <f>SUMIFS(Tab_02.Fev[SALDO
ATUAL],Tab_02.Fev[CONTA],$F146)</f>
        <v>-122569.24</v>
      </c>
      <c r="J146" s="4">
        <f>SUMIFS(Tab_03.Mar[SALDO
ATUAL],Tab_03.Mar[CONTA],$F146)</f>
        <v>-382498.04</v>
      </c>
      <c r="K146" s="4">
        <f>SUMIFS(Tab_04.Abr[SALDO
ATUAL],Tab_04.Abr[CONTA],$F146)</f>
        <v>-514787.48</v>
      </c>
      <c r="L146" s="4">
        <f>SUMIFS(Tab_05.Mai[SALDO
ATUAL],Tab_05.Mai[CONTA],$F146)</f>
        <v>-652647.16</v>
      </c>
      <c r="M146" s="4">
        <f>SUMIFS(Tab_06.Jun[SALDO
ATUAL],Tab_06.Jun[CONTA],$F146)</f>
        <v>-916108.28</v>
      </c>
      <c r="N146" s="4">
        <f>SUMIFS(Tab_07.Jul[SALDO
ATUAL],Tab_07.Jul[CONTA],$F146)</f>
        <v>-916108.28</v>
      </c>
      <c r="O146" s="4">
        <f>SUMIFS(Tab_08.Ago[SALDO
ATUAL],Tab_08.Ago[CONTA],$F146)</f>
        <v>-916108.28</v>
      </c>
      <c r="P146" s="4">
        <f>SUMIFS(Tab_09.Set[SALDO
ATUAL],Tab_09.Set[CONTA],$F146)</f>
        <v>-1184785.28</v>
      </c>
      <c r="Q146" s="4">
        <f>SUMIFS(Tab_10.Out[SALDO
ATUAL],Tab_10.Out[CONTA],$F146)</f>
        <v>-1333697.1200000001</v>
      </c>
      <c r="R146" s="4">
        <f>SUMIFS(Tab_11.Nov[SALDO
ATUAL],Tab_11.Nov[CONTA],$F146)</f>
        <v>-1443114.24</v>
      </c>
      <c r="S146" s="4">
        <f>SUMIFS(Tab_12.Dez[SALDO
ATUAL],Tab_12.Dez[CONTA],$F146)</f>
        <v>-1555909.28</v>
      </c>
    </row>
    <row r="147" spans="2:19" x14ac:dyDescent="0.3">
      <c r="B147" s="3" t="s">
        <v>101</v>
      </c>
      <c r="C147" s="2" t="str">
        <f t="shared" si="6"/>
        <v>R</v>
      </c>
      <c r="D147" s="2" t="str">
        <f t="shared" si="9"/>
        <v>A</v>
      </c>
      <c r="E147" s="2">
        <f t="shared" si="10"/>
        <v>5</v>
      </c>
      <c r="F147" s="3" t="s">
        <v>194</v>
      </c>
      <c r="G147" s="3" t="s">
        <v>367</v>
      </c>
      <c r="H147" s="4">
        <f>SUMIFS(Tab_01.Jan[SALDO
ATUAL],Tab_01.Jan[CONTA],$F147)</f>
        <v>-122569.24</v>
      </c>
      <c r="I147" s="4">
        <f>SUMIFS(Tab_02.Fev[SALDO
ATUAL],Tab_02.Fev[CONTA],$F147)</f>
        <v>-122569.24</v>
      </c>
      <c r="J147" s="4">
        <f>SUMIFS(Tab_03.Mar[SALDO
ATUAL],Tab_03.Mar[CONTA],$F147)</f>
        <v>-382498.04</v>
      </c>
      <c r="K147" s="4">
        <f>SUMIFS(Tab_04.Abr[SALDO
ATUAL],Tab_04.Abr[CONTA],$F147)</f>
        <v>-514787.48</v>
      </c>
      <c r="L147" s="4">
        <f>SUMIFS(Tab_05.Mai[SALDO
ATUAL],Tab_05.Mai[CONTA],$F147)</f>
        <v>-652647.16</v>
      </c>
      <c r="M147" s="4">
        <f>SUMIFS(Tab_06.Jun[SALDO
ATUAL],Tab_06.Jun[CONTA],$F147)</f>
        <v>-916108.28</v>
      </c>
      <c r="N147" s="4">
        <f>SUMIFS(Tab_07.Jul[SALDO
ATUAL],Tab_07.Jul[CONTA],$F147)</f>
        <v>-916108.28</v>
      </c>
      <c r="O147" s="4">
        <f>SUMIFS(Tab_08.Ago[SALDO
ATUAL],Tab_08.Ago[CONTA],$F147)</f>
        <v>-916108.28</v>
      </c>
      <c r="P147" s="4">
        <f>SUMIFS(Tab_09.Set[SALDO
ATUAL],Tab_09.Set[CONTA],$F147)</f>
        <v>-1184785.28</v>
      </c>
      <c r="Q147" s="4">
        <f>SUMIFS(Tab_10.Out[SALDO
ATUAL],Tab_10.Out[CONTA],$F147)</f>
        <v>-1333697.1200000001</v>
      </c>
      <c r="R147" s="4">
        <f>SUMIFS(Tab_11.Nov[SALDO
ATUAL],Tab_11.Nov[CONTA],$F147)</f>
        <v>-1443114.24</v>
      </c>
      <c r="S147" s="4">
        <f>SUMIFS(Tab_12.Dez[SALDO
ATUAL],Tab_12.Dez[CONTA],$F147)</f>
        <v>-1555909.28</v>
      </c>
    </row>
    <row r="148" spans="2:19" x14ac:dyDescent="0.3">
      <c r="B148" s="3"/>
      <c r="C148" s="2" t="str">
        <f t="shared" si="6"/>
        <v>R</v>
      </c>
      <c r="D148" s="2" t="str">
        <f t="shared" si="9"/>
        <v>S</v>
      </c>
      <c r="E148" s="2">
        <f t="shared" si="10"/>
        <v>5</v>
      </c>
      <c r="F148" s="3" t="s">
        <v>569</v>
      </c>
      <c r="G148" s="3" t="s">
        <v>676</v>
      </c>
      <c r="H148" s="4">
        <f>SUMIFS(Tab_01.Jan[SALDO
ATUAL],Tab_01.Jan[CONTA],$F148)</f>
        <v>-201740.61</v>
      </c>
      <c r="I148" s="4">
        <f>SUMIFS(Tab_02.Fev[SALDO
ATUAL],Tab_02.Fev[CONTA],$F148)</f>
        <v>-291593.61</v>
      </c>
      <c r="J148" s="4">
        <f>SUMIFS(Tab_03.Mar[SALDO
ATUAL],Tab_03.Mar[CONTA],$F148)</f>
        <v>-569753.24</v>
      </c>
      <c r="K148" s="4">
        <f>SUMIFS(Tab_04.Abr[SALDO
ATUAL],Tab_04.Abr[CONTA],$F148)</f>
        <v>-905220.82</v>
      </c>
      <c r="L148" s="4">
        <f>SUMIFS(Tab_05.Mai[SALDO
ATUAL],Tab_05.Mai[CONTA],$F148)</f>
        <v>-1182281.57</v>
      </c>
      <c r="M148" s="4">
        <f>SUMIFS(Tab_06.Jun[SALDO
ATUAL],Tab_06.Jun[CONTA],$F148)</f>
        <v>-1572511.64</v>
      </c>
      <c r="N148" s="4">
        <f>SUMIFS(Tab_07.Jul[SALDO
ATUAL],Tab_07.Jul[CONTA],$F148)</f>
        <v>-1572511.64</v>
      </c>
      <c r="O148" s="4">
        <f>SUMIFS(Tab_08.Ago[SALDO
ATUAL],Tab_08.Ago[CONTA],$F148)</f>
        <v>-1572511.64</v>
      </c>
      <c r="P148" s="4">
        <f>SUMIFS(Tab_09.Set[SALDO
ATUAL],Tab_09.Set[CONTA],$F148)</f>
        <v>-1973788.5</v>
      </c>
      <c r="Q148" s="4">
        <f>SUMIFS(Tab_10.Out[SALDO
ATUAL],Tab_10.Out[CONTA],$F148)</f>
        <v>-2152217.5099999998</v>
      </c>
      <c r="R148" s="4">
        <f>SUMIFS(Tab_11.Nov[SALDO
ATUAL],Tab_11.Nov[CONTA],$F148)</f>
        <v>-2311487.9500000002</v>
      </c>
      <c r="S148" s="4">
        <f>SUMIFS(Tab_12.Dez[SALDO
ATUAL],Tab_12.Dez[CONTA],$F148)</f>
        <v>-2788195.18</v>
      </c>
    </row>
    <row r="149" spans="2:19" x14ac:dyDescent="0.3">
      <c r="B149" s="3"/>
      <c r="C149" s="2" t="str">
        <f t="shared" si="6"/>
        <v>R</v>
      </c>
      <c r="D149" s="2" t="str">
        <f t="shared" si="9"/>
        <v>S</v>
      </c>
      <c r="E149" s="2">
        <f t="shared" si="10"/>
        <v>5</v>
      </c>
      <c r="F149" s="3" t="s">
        <v>570</v>
      </c>
      <c r="G149" s="3" t="s">
        <v>677</v>
      </c>
      <c r="H149" s="4">
        <f>SUMIFS(Tab_01.Jan[SALDO
ATUAL],Tab_01.Jan[CONTA],$F149)</f>
        <v>-118774.53</v>
      </c>
      <c r="I149" s="4">
        <f>SUMIFS(Tab_02.Fev[SALDO
ATUAL],Tab_02.Fev[CONTA],$F149)</f>
        <v>-208627.53</v>
      </c>
      <c r="J149" s="4">
        <f>SUMIFS(Tab_03.Mar[SALDO
ATUAL],Tab_03.Mar[CONTA],$F149)</f>
        <v>-320855</v>
      </c>
      <c r="K149" s="4">
        <f>SUMIFS(Tab_04.Abr[SALDO
ATUAL],Tab_04.Abr[CONTA],$F149)</f>
        <v>-573356.5</v>
      </c>
      <c r="L149" s="4">
        <f>SUMIFS(Tab_05.Mai[SALDO
ATUAL],Tab_05.Mai[CONTA],$F149)</f>
        <v>-767451.17</v>
      </c>
      <c r="M149" s="4">
        <f>SUMIFS(Tab_06.Jun[SALDO
ATUAL],Tab_06.Jun[CONTA],$F149)</f>
        <v>-991749.08</v>
      </c>
      <c r="N149" s="4">
        <f>SUMIFS(Tab_07.Jul[SALDO
ATUAL],Tab_07.Jul[CONTA],$F149)</f>
        <v>-991749.08</v>
      </c>
      <c r="O149" s="4">
        <f>SUMIFS(Tab_08.Ago[SALDO
ATUAL],Tab_08.Ago[CONTA],$F149)</f>
        <v>-991749.08</v>
      </c>
      <c r="P149" s="4">
        <f>SUMIFS(Tab_09.Set[SALDO
ATUAL],Tab_09.Set[CONTA],$F149)</f>
        <v>-1227093.77</v>
      </c>
      <c r="Q149" s="4">
        <f>SUMIFS(Tab_10.Out[SALDO
ATUAL],Tab_10.Out[CONTA],$F149)</f>
        <v>-1322556.7</v>
      </c>
      <c r="R149" s="4">
        <f>SUMIFS(Tab_11.Nov[SALDO
ATUAL],Tab_11.Nov[CONTA],$F149)</f>
        <v>-1398861.06</v>
      </c>
      <c r="S149" s="4">
        <f>SUMIFS(Tab_12.Dez[SALDO
ATUAL],Tab_12.Dez[CONTA],$F149)</f>
        <v>-1792602.21</v>
      </c>
    </row>
    <row r="150" spans="2:19" x14ac:dyDescent="0.3">
      <c r="B150" s="3" t="s">
        <v>101</v>
      </c>
      <c r="C150" s="2" t="str">
        <f t="shared" si="6"/>
        <v>R</v>
      </c>
      <c r="D150" s="2" t="str">
        <f t="shared" si="9"/>
        <v>A</v>
      </c>
      <c r="E150" s="2">
        <f t="shared" si="10"/>
        <v>5</v>
      </c>
      <c r="F150" s="3" t="s">
        <v>368</v>
      </c>
      <c r="G150" s="3" t="s">
        <v>369</v>
      </c>
      <c r="H150" s="4">
        <f>SUMIFS(Tab_01.Jan[SALDO
ATUAL],Tab_01.Jan[CONTA],$F150)</f>
        <v>-52200</v>
      </c>
      <c r="I150" s="4">
        <f>SUMIFS(Tab_02.Fev[SALDO
ATUAL],Tab_02.Fev[CONTA],$F150)</f>
        <v>-84500.24</v>
      </c>
      <c r="J150" s="4">
        <f>SUMIFS(Tab_03.Mar[SALDO
ATUAL],Tab_03.Mar[CONTA],$F150)</f>
        <v>-115763.06</v>
      </c>
      <c r="K150" s="4">
        <f>SUMIFS(Tab_04.Abr[SALDO
ATUAL],Tab_04.Abr[CONTA],$F150)</f>
        <v>-241930.76</v>
      </c>
      <c r="L150" s="4">
        <f>SUMIFS(Tab_05.Mai[SALDO
ATUAL],Tab_05.Mai[CONTA],$F150)</f>
        <v>-401174.76</v>
      </c>
      <c r="M150" s="4">
        <f>SUMIFS(Tab_06.Jun[SALDO
ATUAL],Tab_06.Jun[CONTA],$F150)</f>
        <v>-488798.45</v>
      </c>
      <c r="N150" s="4">
        <f>SUMIFS(Tab_07.Jul[SALDO
ATUAL],Tab_07.Jul[CONTA],$F150)</f>
        <v>-488798.45</v>
      </c>
      <c r="O150" s="4">
        <f>SUMIFS(Tab_08.Ago[SALDO
ATUAL],Tab_08.Ago[CONTA],$F150)</f>
        <v>-488798.45</v>
      </c>
      <c r="P150" s="4">
        <f>SUMIFS(Tab_09.Set[SALDO
ATUAL],Tab_09.Set[CONTA],$F150)</f>
        <v>-496498.45</v>
      </c>
      <c r="Q150" s="4">
        <f>SUMIFS(Tab_10.Out[SALDO
ATUAL],Tab_10.Out[CONTA],$F150)</f>
        <v>-500498.45</v>
      </c>
      <c r="R150" s="4">
        <f>SUMIFS(Tab_11.Nov[SALDO
ATUAL],Tab_11.Nov[CONTA],$F150)</f>
        <v>-504398.45</v>
      </c>
      <c r="S150" s="4">
        <f>SUMIFS(Tab_12.Dez[SALDO
ATUAL],Tab_12.Dez[CONTA],$F150)</f>
        <v>-508298.45</v>
      </c>
    </row>
    <row r="151" spans="2:19" x14ac:dyDescent="0.3">
      <c r="B151" s="3" t="s">
        <v>101</v>
      </c>
      <c r="C151" s="2" t="str">
        <f t="shared" si="6"/>
        <v>R</v>
      </c>
      <c r="D151" s="2" t="str">
        <f t="shared" si="9"/>
        <v>A</v>
      </c>
      <c r="E151" s="2">
        <f t="shared" si="10"/>
        <v>5</v>
      </c>
      <c r="F151" s="3" t="s">
        <v>370</v>
      </c>
      <c r="G151" s="3" t="s">
        <v>371</v>
      </c>
      <c r="H151" s="4">
        <f>SUMIFS(Tab_01.Jan[SALDO
ATUAL],Tab_01.Jan[CONTA],$F151)</f>
        <v>-66574.53</v>
      </c>
      <c r="I151" s="4">
        <f>SUMIFS(Tab_02.Fev[SALDO
ATUAL],Tab_02.Fev[CONTA],$F151)</f>
        <v>-118457.13</v>
      </c>
      <c r="J151" s="4">
        <f>SUMIFS(Tab_03.Mar[SALDO
ATUAL],Tab_03.Mar[CONTA],$F151)</f>
        <v>-199421.78</v>
      </c>
      <c r="K151" s="4">
        <f>SUMIFS(Tab_04.Abr[SALDO
ATUAL],Tab_04.Abr[CONTA],$F151)</f>
        <v>-236231.01</v>
      </c>
      <c r="L151" s="4">
        <f>SUMIFS(Tab_05.Mai[SALDO
ATUAL],Tab_05.Mai[CONTA],$F151)</f>
        <v>-271081.68</v>
      </c>
      <c r="M151" s="4">
        <f>SUMIFS(Tab_06.Jun[SALDO
ATUAL],Tab_06.Jun[CONTA],$F151)</f>
        <v>-406878.7</v>
      </c>
      <c r="N151" s="4">
        <f>SUMIFS(Tab_07.Jul[SALDO
ATUAL],Tab_07.Jul[CONTA],$F151)</f>
        <v>-406878.7</v>
      </c>
      <c r="O151" s="4">
        <f>SUMIFS(Tab_08.Ago[SALDO
ATUAL],Tab_08.Ago[CONTA],$F151)</f>
        <v>-406878.7</v>
      </c>
      <c r="P151" s="4">
        <f>SUMIFS(Tab_09.Set[SALDO
ATUAL],Tab_09.Set[CONTA],$F151)</f>
        <v>-634430.9</v>
      </c>
      <c r="Q151" s="4">
        <f>SUMIFS(Tab_10.Out[SALDO
ATUAL],Tab_10.Out[CONTA],$F151)</f>
        <v>-725893.83</v>
      </c>
      <c r="R151" s="4">
        <f>SUMIFS(Tab_11.Nov[SALDO
ATUAL],Tab_11.Nov[CONTA],$F151)</f>
        <v>-798298.19</v>
      </c>
      <c r="S151" s="4">
        <f>SUMIFS(Tab_12.Dez[SALDO
ATUAL],Tab_12.Dez[CONTA],$F151)</f>
        <v>-1188139.3400000001</v>
      </c>
    </row>
    <row r="152" spans="2:19" x14ac:dyDescent="0.3">
      <c r="B152" s="3" t="s">
        <v>101</v>
      </c>
      <c r="C152" s="2" t="str">
        <f t="shared" si="6"/>
        <v>R</v>
      </c>
      <c r="D152" s="2" t="str">
        <f t="shared" si="9"/>
        <v>A</v>
      </c>
      <c r="E152" s="2">
        <f t="shared" si="10"/>
        <v>5</v>
      </c>
      <c r="F152" s="3" t="s">
        <v>372</v>
      </c>
      <c r="G152" s="3" t="s">
        <v>373</v>
      </c>
      <c r="H152" s="4">
        <f>SUMIFS(Tab_01.Jan[SALDO
ATUAL],Tab_01.Jan[CONTA],$F152)</f>
        <v>0</v>
      </c>
      <c r="I152" s="4">
        <f>SUMIFS(Tab_02.Fev[SALDO
ATUAL],Tab_02.Fev[CONTA],$F152)</f>
        <v>-5670.16</v>
      </c>
      <c r="J152" s="4">
        <f>SUMIFS(Tab_03.Mar[SALDO
ATUAL],Tab_03.Mar[CONTA],$F152)</f>
        <v>-5670.16</v>
      </c>
      <c r="K152" s="4">
        <f>SUMIFS(Tab_04.Abr[SALDO
ATUAL],Tab_04.Abr[CONTA],$F152)</f>
        <v>-5670.16</v>
      </c>
      <c r="L152" s="4">
        <f>SUMIFS(Tab_05.Mai[SALDO
ATUAL],Tab_05.Mai[CONTA],$F152)</f>
        <v>-5670.16</v>
      </c>
      <c r="M152" s="4">
        <f>SUMIFS(Tab_06.Jun[SALDO
ATUAL],Tab_06.Jun[CONTA],$F152)</f>
        <v>-6547.36</v>
      </c>
      <c r="N152" s="4">
        <f>SUMIFS(Tab_07.Jul[SALDO
ATUAL],Tab_07.Jul[CONTA],$F152)</f>
        <v>-6547.36</v>
      </c>
      <c r="O152" s="4">
        <f>SUMIFS(Tab_08.Ago[SALDO
ATUAL],Tab_08.Ago[CONTA],$F152)</f>
        <v>-6547.36</v>
      </c>
      <c r="P152" s="4">
        <f>SUMIFS(Tab_09.Set[SALDO
ATUAL],Tab_09.Set[CONTA],$F152)</f>
        <v>-6547.36</v>
      </c>
      <c r="Q152" s="4">
        <f>SUMIFS(Tab_10.Out[SALDO
ATUAL],Tab_10.Out[CONTA],$F152)</f>
        <v>-6547.36</v>
      </c>
      <c r="R152" s="4">
        <f>SUMIFS(Tab_11.Nov[SALDO
ATUAL],Tab_11.Nov[CONTA],$F152)</f>
        <v>-6547.36</v>
      </c>
      <c r="S152" s="4">
        <f>SUMIFS(Tab_12.Dez[SALDO
ATUAL],Tab_12.Dez[CONTA],$F152)</f>
        <v>-6547.36</v>
      </c>
    </row>
    <row r="153" spans="2:19" x14ac:dyDescent="0.3">
      <c r="B153" s="3" t="s">
        <v>101</v>
      </c>
      <c r="C153" s="2" t="str">
        <f>IF($F153="","",IF(LEFT($F153,1)*1=1,"A",IF(LEFT($F153,1)*1=2,"P",IF(LEFT($F153,1)*1=3,"R",IF(LEFT($F153,1)*1=4,"C",IF(LEFT($F153,1)*1=5,"C",""))))))</f>
        <v>R</v>
      </c>
      <c r="D153" s="2" t="str">
        <f>IF($F153="","",IF(LEN($F153)=13,"A","S"))</f>
        <v>A</v>
      </c>
      <c r="E153" s="2">
        <f>IF($F153="","",IF(LEN($F153)=1,1,IF(LEN($F153)=3,2,IF(LEN($F153)=5,3,IF(LEN($F153)=8,4,5)))))</f>
        <v>5</v>
      </c>
      <c r="F153" s="3" t="s">
        <v>851</v>
      </c>
      <c r="G153" s="3" t="s">
        <v>852</v>
      </c>
      <c r="H153" s="4">
        <f>SUMIFS(Tab_01.Jan[SALDO
ATUAL],Tab_01.Jan[CONTA],$F153)</f>
        <v>0</v>
      </c>
      <c r="I153" s="4">
        <f>SUMIFS(Tab_02.Fev[SALDO
ATUAL],Tab_02.Fev[CONTA],$F153)</f>
        <v>0</v>
      </c>
      <c r="J153" s="4">
        <f>SUMIFS(Tab_03.Mar[SALDO
ATUAL],Tab_03.Mar[CONTA],$F153)</f>
        <v>0</v>
      </c>
      <c r="K153" s="4">
        <f>SUMIFS(Tab_04.Abr[SALDO
ATUAL],Tab_04.Abr[CONTA],$F153)</f>
        <v>-89524.57</v>
      </c>
      <c r="L153" s="4">
        <f>SUMIFS(Tab_05.Mai[SALDO
ATUAL],Tab_05.Mai[CONTA],$F153)</f>
        <v>-89524.57</v>
      </c>
      <c r="M153" s="4">
        <f>SUMIFS(Tab_06.Jun[SALDO
ATUAL],Tab_06.Jun[CONTA],$F153)</f>
        <v>-89524.57</v>
      </c>
      <c r="N153" s="4">
        <f>SUMIFS(Tab_07.Jul[SALDO
ATUAL],Tab_07.Jul[CONTA],$F153)</f>
        <v>-89524.57</v>
      </c>
      <c r="O153" s="4">
        <f>SUMIFS(Tab_08.Ago[SALDO
ATUAL],Tab_08.Ago[CONTA],$F153)</f>
        <v>-89524.57</v>
      </c>
      <c r="P153" s="4">
        <f>SUMIFS(Tab_09.Set[SALDO
ATUAL],Tab_09.Set[CONTA],$F153)</f>
        <v>-89617.06</v>
      </c>
      <c r="Q153" s="4">
        <f>SUMIFS(Tab_10.Out[SALDO
ATUAL],Tab_10.Out[CONTA],$F153)</f>
        <v>-89617.06</v>
      </c>
      <c r="R153" s="4">
        <f>SUMIFS(Tab_11.Nov[SALDO
ATUAL],Tab_11.Nov[CONTA],$F153)</f>
        <v>-89617.06</v>
      </c>
      <c r="S153" s="4">
        <f>SUMIFS(Tab_12.Dez[SALDO
ATUAL],Tab_12.Dez[CONTA],$F153)</f>
        <v>-89617.06</v>
      </c>
    </row>
    <row r="154" spans="2:19" x14ac:dyDescent="0.3">
      <c r="B154" s="3" t="s">
        <v>101</v>
      </c>
      <c r="C154" s="2" t="str">
        <f t="shared" si="6"/>
        <v>R</v>
      </c>
      <c r="D154" s="2" t="str">
        <f t="shared" si="9"/>
        <v>A</v>
      </c>
      <c r="E154" s="2">
        <f t="shared" si="10"/>
        <v>5</v>
      </c>
      <c r="F154" s="3" t="s">
        <v>374</v>
      </c>
      <c r="G154" s="3" t="s">
        <v>375</v>
      </c>
      <c r="H154" s="4">
        <f>SUMIFS(Tab_01.Jan[SALDO
ATUAL],Tab_01.Jan[CONTA],$F154)</f>
        <v>0</v>
      </c>
      <c r="I154" s="4">
        <f>SUMIFS(Tab_02.Fev[SALDO
ATUAL],Tab_02.Fev[CONTA],$F154)</f>
        <v>0</v>
      </c>
      <c r="J154" s="4">
        <f>SUMIFS(Tab_03.Mar[SALDO
ATUAL],Tab_03.Mar[CONTA],$F154)</f>
        <v>0</v>
      </c>
      <c r="K154" s="4">
        <f>SUMIFS(Tab_04.Abr[SALDO
ATUAL],Tab_04.Abr[CONTA],$F154)</f>
        <v>0</v>
      </c>
      <c r="L154" s="4">
        <f>SUMIFS(Tab_05.Mai[SALDO
ATUAL],Tab_05.Mai[CONTA],$F154)</f>
        <v>0</v>
      </c>
      <c r="M154" s="4">
        <f>SUMIFS(Tab_06.Jun[SALDO
ATUAL],Tab_06.Jun[CONTA],$F154)</f>
        <v>0</v>
      </c>
      <c r="N154" s="4">
        <f>SUMIFS(Tab_07.Jul[SALDO
ATUAL],Tab_07.Jul[CONTA],$F154)</f>
        <v>0</v>
      </c>
      <c r="O154" s="4">
        <f>SUMIFS(Tab_08.Ago[SALDO
ATUAL],Tab_08.Ago[CONTA],$F154)</f>
        <v>0</v>
      </c>
      <c r="P154" s="4">
        <f>SUMIFS(Tab_09.Set[SALDO
ATUAL],Tab_09.Set[CONTA],$F154)</f>
        <v>0</v>
      </c>
      <c r="Q154" s="4">
        <f>SUMIFS(Tab_10.Out[SALDO
ATUAL],Tab_10.Out[CONTA],$F154)</f>
        <v>0</v>
      </c>
      <c r="R154" s="4">
        <f>SUMIFS(Tab_11.Nov[SALDO
ATUAL],Tab_11.Nov[CONTA],$F154)</f>
        <v>0</v>
      </c>
      <c r="S154" s="4">
        <f>SUMIFS(Tab_12.Dez[SALDO
ATUAL],Tab_12.Dez[CONTA],$F154)</f>
        <v>0</v>
      </c>
    </row>
    <row r="155" spans="2:19" x14ac:dyDescent="0.3">
      <c r="B155" s="3"/>
      <c r="C155" s="2" t="str">
        <f t="shared" si="6"/>
        <v>R</v>
      </c>
      <c r="D155" s="2" t="str">
        <f t="shared" si="9"/>
        <v>S</v>
      </c>
      <c r="E155" s="2">
        <f t="shared" si="10"/>
        <v>5</v>
      </c>
      <c r="F155" s="3" t="s">
        <v>571</v>
      </c>
      <c r="G155" s="3" t="s">
        <v>377</v>
      </c>
      <c r="H155" s="4">
        <f>SUMIFS(Tab_01.Jan[SALDO
ATUAL],Tab_01.Jan[CONTA],$F155)</f>
        <v>-82966.080000000002</v>
      </c>
      <c r="I155" s="4">
        <f>SUMIFS(Tab_02.Fev[SALDO
ATUAL],Tab_02.Fev[CONTA],$F155)</f>
        <v>-82966.080000000002</v>
      </c>
      <c r="J155" s="4">
        <f>SUMIFS(Tab_03.Mar[SALDO
ATUAL],Tab_03.Mar[CONTA],$F155)</f>
        <v>-248898.24</v>
      </c>
      <c r="K155" s="4">
        <f>SUMIFS(Tab_04.Abr[SALDO
ATUAL],Tab_04.Abr[CONTA],$F155)</f>
        <v>-331864.32000000001</v>
      </c>
      <c r="L155" s="4">
        <f>SUMIFS(Tab_05.Mai[SALDO
ATUAL],Tab_05.Mai[CONTA],$F155)</f>
        <v>-414830.4</v>
      </c>
      <c r="M155" s="4">
        <f>SUMIFS(Tab_06.Jun[SALDO
ATUAL],Tab_06.Jun[CONTA],$F155)</f>
        <v>-580762.56000000006</v>
      </c>
      <c r="N155" s="4">
        <f>SUMIFS(Tab_07.Jul[SALDO
ATUAL],Tab_07.Jul[CONTA],$F155)</f>
        <v>-580762.56000000006</v>
      </c>
      <c r="O155" s="4">
        <f>SUMIFS(Tab_08.Ago[SALDO
ATUAL],Tab_08.Ago[CONTA],$F155)</f>
        <v>-580762.56000000006</v>
      </c>
      <c r="P155" s="4">
        <f>SUMIFS(Tab_09.Set[SALDO
ATUAL],Tab_09.Set[CONTA],$F155)</f>
        <v>-746694.73</v>
      </c>
      <c r="Q155" s="4">
        <f>SUMIFS(Tab_10.Out[SALDO
ATUAL],Tab_10.Out[CONTA],$F155)</f>
        <v>-829660.81</v>
      </c>
      <c r="R155" s="4">
        <f>SUMIFS(Tab_11.Nov[SALDO
ATUAL],Tab_11.Nov[CONTA],$F155)</f>
        <v>-912626.89</v>
      </c>
      <c r="S155" s="4">
        <f>SUMIFS(Tab_12.Dez[SALDO
ATUAL],Tab_12.Dez[CONTA],$F155)</f>
        <v>-995592.97</v>
      </c>
    </row>
    <row r="156" spans="2:19" x14ac:dyDescent="0.3">
      <c r="B156" s="3" t="s">
        <v>101</v>
      </c>
      <c r="C156" s="2" t="str">
        <f t="shared" si="6"/>
        <v>R</v>
      </c>
      <c r="D156" s="2" t="str">
        <f t="shared" si="9"/>
        <v>A</v>
      </c>
      <c r="E156" s="2">
        <f t="shared" si="10"/>
        <v>5</v>
      </c>
      <c r="F156" s="3" t="s">
        <v>376</v>
      </c>
      <c r="G156" s="3" t="s">
        <v>377</v>
      </c>
      <c r="H156" s="4">
        <f>SUMIFS(Tab_01.Jan[SALDO
ATUAL],Tab_01.Jan[CONTA],$F156)</f>
        <v>-82966.080000000002</v>
      </c>
      <c r="I156" s="4">
        <f>SUMIFS(Tab_02.Fev[SALDO
ATUAL],Tab_02.Fev[CONTA],$F156)</f>
        <v>-82966.080000000002</v>
      </c>
      <c r="J156" s="4">
        <f>SUMIFS(Tab_03.Mar[SALDO
ATUAL],Tab_03.Mar[CONTA],$F156)</f>
        <v>-248898.24</v>
      </c>
      <c r="K156" s="4">
        <f>SUMIFS(Tab_04.Abr[SALDO
ATUAL],Tab_04.Abr[CONTA],$F156)</f>
        <v>-331864.32000000001</v>
      </c>
      <c r="L156" s="4">
        <f>SUMIFS(Tab_05.Mai[SALDO
ATUAL],Tab_05.Mai[CONTA],$F156)</f>
        <v>-414830.4</v>
      </c>
      <c r="M156" s="4">
        <f>SUMIFS(Tab_06.Jun[SALDO
ATUAL],Tab_06.Jun[CONTA],$F156)</f>
        <v>-580762.56000000006</v>
      </c>
      <c r="N156" s="4">
        <f>SUMIFS(Tab_07.Jul[SALDO
ATUAL],Tab_07.Jul[CONTA],$F156)</f>
        <v>-580762.56000000006</v>
      </c>
      <c r="O156" s="4">
        <f>SUMIFS(Tab_08.Ago[SALDO
ATUAL],Tab_08.Ago[CONTA],$F156)</f>
        <v>-580762.56000000006</v>
      </c>
      <c r="P156" s="4">
        <f>SUMIFS(Tab_09.Set[SALDO
ATUAL],Tab_09.Set[CONTA],$F156)</f>
        <v>-746694.73</v>
      </c>
      <c r="Q156" s="4">
        <f>SUMIFS(Tab_10.Out[SALDO
ATUAL],Tab_10.Out[CONTA],$F156)</f>
        <v>-829660.81</v>
      </c>
      <c r="R156" s="4">
        <f>SUMIFS(Tab_11.Nov[SALDO
ATUAL],Tab_11.Nov[CONTA],$F156)</f>
        <v>-912626.89</v>
      </c>
      <c r="S156" s="4">
        <f>SUMIFS(Tab_12.Dez[SALDO
ATUAL],Tab_12.Dez[CONTA],$F156)</f>
        <v>-995592.97</v>
      </c>
    </row>
    <row r="157" spans="2:19" x14ac:dyDescent="0.3">
      <c r="B157" s="3"/>
      <c r="C157" s="2" t="str">
        <f t="shared" si="6"/>
        <v>R</v>
      </c>
      <c r="D157" s="2" t="str">
        <f t="shared" si="9"/>
        <v>S</v>
      </c>
      <c r="E157" s="2">
        <f t="shared" si="10"/>
        <v>5</v>
      </c>
      <c r="F157" s="3" t="s">
        <v>572</v>
      </c>
      <c r="G157" s="3" t="s">
        <v>678</v>
      </c>
      <c r="H157" s="4">
        <f>SUMIFS(Tab_01.Jan[SALDO
ATUAL],Tab_01.Jan[CONTA],$F157)</f>
        <v>0</v>
      </c>
      <c r="I157" s="4">
        <f>SUMIFS(Tab_02.Fev[SALDO
ATUAL],Tab_02.Fev[CONTA],$F157)</f>
        <v>0</v>
      </c>
      <c r="J157" s="4">
        <f>SUMIFS(Tab_03.Mar[SALDO
ATUAL],Tab_03.Mar[CONTA],$F157)</f>
        <v>0</v>
      </c>
      <c r="K157" s="4">
        <f>SUMIFS(Tab_04.Abr[SALDO
ATUAL],Tab_04.Abr[CONTA],$F157)</f>
        <v>0</v>
      </c>
      <c r="L157" s="4">
        <f>SUMIFS(Tab_05.Mai[SALDO
ATUAL],Tab_05.Mai[CONTA],$F157)</f>
        <v>0</v>
      </c>
      <c r="M157" s="4">
        <f>SUMIFS(Tab_06.Jun[SALDO
ATUAL],Tab_06.Jun[CONTA],$F157)</f>
        <v>0</v>
      </c>
      <c r="N157" s="4">
        <f>SUMIFS(Tab_07.Jul[SALDO
ATUAL],Tab_07.Jul[CONTA],$F157)</f>
        <v>0</v>
      </c>
      <c r="O157" s="4">
        <f>SUMIFS(Tab_08.Ago[SALDO
ATUAL],Tab_08.Ago[CONTA],$F157)</f>
        <v>0</v>
      </c>
      <c r="P157" s="4">
        <f>SUMIFS(Tab_09.Set[SALDO
ATUAL],Tab_09.Set[CONTA],$F157)</f>
        <v>0</v>
      </c>
      <c r="Q157" s="4">
        <f>SUMIFS(Tab_10.Out[SALDO
ATUAL],Tab_10.Out[CONTA],$F157)</f>
        <v>0</v>
      </c>
      <c r="R157" s="4">
        <f>SUMIFS(Tab_11.Nov[SALDO
ATUAL],Tab_11.Nov[CONTA],$F157)</f>
        <v>0</v>
      </c>
      <c r="S157" s="4">
        <f>SUMIFS(Tab_12.Dez[SALDO
ATUAL],Tab_12.Dez[CONTA],$F157)</f>
        <v>0</v>
      </c>
    </row>
    <row r="158" spans="2:19" x14ac:dyDescent="0.3">
      <c r="B158" s="3"/>
      <c r="C158" s="2" t="str">
        <f t="shared" si="6"/>
        <v>R</v>
      </c>
      <c r="D158" s="2" t="str">
        <f t="shared" si="9"/>
        <v>S</v>
      </c>
      <c r="E158" s="2">
        <f t="shared" si="10"/>
        <v>5</v>
      </c>
      <c r="F158" s="3" t="s">
        <v>573</v>
      </c>
      <c r="G158" s="3" t="s">
        <v>679</v>
      </c>
      <c r="H158" s="4">
        <f>SUMIFS(Tab_01.Jan[SALDO
ATUAL],Tab_01.Jan[CONTA],$F158)</f>
        <v>0</v>
      </c>
      <c r="I158" s="4">
        <f>SUMIFS(Tab_02.Fev[SALDO
ATUAL],Tab_02.Fev[CONTA],$F158)</f>
        <v>0</v>
      </c>
      <c r="J158" s="4">
        <f>SUMIFS(Tab_03.Mar[SALDO
ATUAL],Tab_03.Mar[CONTA],$F158)</f>
        <v>0</v>
      </c>
      <c r="K158" s="4">
        <f>SUMIFS(Tab_04.Abr[SALDO
ATUAL],Tab_04.Abr[CONTA],$F158)</f>
        <v>0</v>
      </c>
      <c r="L158" s="4">
        <f>SUMIFS(Tab_05.Mai[SALDO
ATUAL],Tab_05.Mai[CONTA],$F158)</f>
        <v>0</v>
      </c>
      <c r="M158" s="4">
        <f>SUMIFS(Tab_06.Jun[SALDO
ATUAL],Tab_06.Jun[CONTA],$F158)</f>
        <v>0</v>
      </c>
      <c r="N158" s="4">
        <f>SUMIFS(Tab_07.Jul[SALDO
ATUAL],Tab_07.Jul[CONTA],$F158)</f>
        <v>0</v>
      </c>
      <c r="O158" s="4">
        <f>SUMIFS(Tab_08.Ago[SALDO
ATUAL],Tab_08.Ago[CONTA],$F158)</f>
        <v>0</v>
      </c>
      <c r="P158" s="4">
        <f>SUMIFS(Tab_09.Set[SALDO
ATUAL],Tab_09.Set[CONTA],$F158)</f>
        <v>0</v>
      </c>
      <c r="Q158" s="4">
        <f>SUMIFS(Tab_10.Out[SALDO
ATUAL],Tab_10.Out[CONTA],$F158)</f>
        <v>0</v>
      </c>
      <c r="R158" s="4">
        <f>SUMIFS(Tab_11.Nov[SALDO
ATUAL],Tab_11.Nov[CONTA],$F158)</f>
        <v>0</v>
      </c>
      <c r="S158" s="4">
        <f>SUMIFS(Tab_12.Dez[SALDO
ATUAL],Tab_12.Dez[CONTA],$F158)</f>
        <v>0</v>
      </c>
    </row>
    <row r="159" spans="2:19" x14ac:dyDescent="0.3">
      <c r="B159" s="3" t="s">
        <v>101</v>
      </c>
      <c r="C159" s="2" t="str">
        <f t="shared" si="6"/>
        <v>R</v>
      </c>
      <c r="D159" s="2" t="str">
        <f t="shared" si="9"/>
        <v>A</v>
      </c>
      <c r="E159" s="2">
        <f t="shared" si="10"/>
        <v>5</v>
      </c>
      <c r="F159" s="3" t="s">
        <v>378</v>
      </c>
      <c r="G159" s="3" t="s">
        <v>379</v>
      </c>
      <c r="H159" s="4">
        <f>SUMIFS(Tab_01.Jan[SALDO
ATUAL],Tab_01.Jan[CONTA],$F159)</f>
        <v>0</v>
      </c>
      <c r="I159" s="4">
        <f>SUMIFS(Tab_02.Fev[SALDO
ATUAL],Tab_02.Fev[CONTA],$F159)</f>
        <v>0</v>
      </c>
      <c r="J159" s="4">
        <f>SUMIFS(Tab_03.Mar[SALDO
ATUAL],Tab_03.Mar[CONTA],$F159)</f>
        <v>0</v>
      </c>
      <c r="K159" s="4">
        <f>SUMIFS(Tab_04.Abr[SALDO
ATUAL],Tab_04.Abr[CONTA],$F159)</f>
        <v>0</v>
      </c>
      <c r="L159" s="4">
        <f>SUMIFS(Tab_05.Mai[SALDO
ATUAL],Tab_05.Mai[CONTA],$F159)</f>
        <v>0</v>
      </c>
      <c r="M159" s="4">
        <f>SUMIFS(Tab_06.Jun[SALDO
ATUAL],Tab_06.Jun[CONTA],$F159)</f>
        <v>0</v>
      </c>
      <c r="N159" s="4">
        <f>SUMIFS(Tab_07.Jul[SALDO
ATUAL],Tab_07.Jul[CONTA],$F159)</f>
        <v>0</v>
      </c>
      <c r="O159" s="4">
        <f>SUMIFS(Tab_08.Ago[SALDO
ATUAL],Tab_08.Ago[CONTA],$F159)</f>
        <v>0</v>
      </c>
      <c r="P159" s="4">
        <f>SUMIFS(Tab_09.Set[SALDO
ATUAL],Tab_09.Set[CONTA],$F159)</f>
        <v>0</v>
      </c>
      <c r="Q159" s="4">
        <f>SUMIFS(Tab_10.Out[SALDO
ATUAL],Tab_10.Out[CONTA],$F159)</f>
        <v>0</v>
      </c>
      <c r="R159" s="4">
        <f>SUMIFS(Tab_11.Nov[SALDO
ATUAL],Tab_11.Nov[CONTA],$F159)</f>
        <v>0</v>
      </c>
      <c r="S159" s="4">
        <f>SUMIFS(Tab_12.Dez[SALDO
ATUAL],Tab_12.Dez[CONTA],$F159)</f>
        <v>0</v>
      </c>
    </row>
    <row r="160" spans="2:19" x14ac:dyDescent="0.3">
      <c r="B160" s="3" t="s">
        <v>101</v>
      </c>
      <c r="C160" s="2" t="str">
        <f t="shared" si="6"/>
        <v>R</v>
      </c>
      <c r="D160" s="2" t="str">
        <f t="shared" si="9"/>
        <v>A</v>
      </c>
      <c r="E160" s="2">
        <f t="shared" si="10"/>
        <v>5</v>
      </c>
      <c r="F160" s="3" t="s">
        <v>380</v>
      </c>
      <c r="G160" s="3" t="s">
        <v>381</v>
      </c>
      <c r="H160" s="4">
        <f>SUMIFS(Tab_01.Jan[SALDO
ATUAL],Tab_01.Jan[CONTA],$F160)</f>
        <v>0</v>
      </c>
      <c r="I160" s="4">
        <f>SUMIFS(Tab_02.Fev[SALDO
ATUAL],Tab_02.Fev[CONTA],$F160)</f>
        <v>0</v>
      </c>
      <c r="J160" s="4">
        <f>SUMIFS(Tab_03.Mar[SALDO
ATUAL],Tab_03.Mar[CONTA],$F160)</f>
        <v>0</v>
      </c>
      <c r="K160" s="4">
        <f>SUMIFS(Tab_04.Abr[SALDO
ATUAL],Tab_04.Abr[CONTA],$F160)</f>
        <v>0</v>
      </c>
      <c r="L160" s="4">
        <f>SUMIFS(Tab_05.Mai[SALDO
ATUAL],Tab_05.Mai[CONTA],$F160)</f>
        <v>0</v>
      </c>
      <c r="M160" s="4">
        <f>SUMIFS(Tab_06.Jun[SALDO
ATUAL],Tab_06.Jun[CONTA],$F160)</f>
        <v>0</v>
      </c>
      <c r="N160" s="4">
        <f>SUMIFS(Tab_07.Jul[SALDO
ATUAL],Tab_07.Jul[CONTA],$F160)</f>
        <v>0</v>
      </c>
      <c r="O160" s="4">
        <f>SUMIFS(Tab_08.Ago[SALDO
ATUAL],Tab_08.Ago[CONTA],$F160)</f>
        <v>0</v>
      </c>
      <c r="P160" s="4">
        <f>SUMIFS(Tab_09.Set[SALDO
ATUAL],Tab_09.Set[CONTA],$F160)</f>
        <v>0</v>
      </c>
      <c r="Q160" s="4">
        <f>SUMIFS(Tab_10.Out[SALDO
ATUAL],Tab_10.Out[CONTA],$F160)</f>
        <v>0</v>
      </c>
      <c r="R160" s="4">
        <f>SUMIFS(Tab_11.Nov[SALDO
ATUAL],Tab_11.Nov[CONTA],$F160)</f>
        <v>0</v>
      </c>
      <c r="S160" s="4">
        <f>SUMIFS(Tab_12.Dez[SALDO
ATUAL],Tab_12.Dez[CONTA],$F160)</f>
        <v>0</v>
      </c>
    </row>
    <row r="161" spans="2:19" x14ac:dyDescent="0.3">
      <c r="B161" s="3"/>
      <c r="C161" s="2" t="str">
        <f>IF($F161="","",IF(LEFT($F161,1)*1=1,"A",IF(LEFT($F161,1)*1=2,"P",IF(LEFT($F161,1)*1=3,"R",IF(LEFT($F161,1)*1=4,"C",IF(LEFT($F161,1)*1=5,"C",""))))))</f>
        <v>R</v>
      </c>
      <c r="D161" s="2" t="str">
        <f>IF($F161="","",IF(LEN($F161)=13,"A","S"))</f>
        <v>S</v>
      </c>
      <c r="E161" s="2">
        <f>IF($F161="","",IF(LEN($F161)=1,1,IF(LEN($F161)=3,2,IF(LEN($F161)=5,3,IF(LEN($F161)=8,4,5)))))</f>
        <v>5</v>
      </c>
      <c r="F161" s="3" t="s">
        <v>735</v>
      </c>
      <c r="G161" s="3" t="s">
        <v>736</v>
      </c>
      <c r="H161" s="4">
        <f>SUMIFS(Tab_01.Jan[SALDO
ATUAL],Tab_01.Jan[CONTA],$F161)</f>
        <v>-187419.37</v>
      </c>
      <c r="I161" s="4">
        <f>SUMIFS(Tab_02.Fev[SALDO
ATUAL],Tab_02.Fev[CONTA],$F161)</f>
        <v>-187419.37</v>
      </c>
      <c r="J161" s="4">
        <f>SUMIFS(Tab_03.Mar[SALDO
ATUAL],Tab_03.Mar[CONTA],$F161)</f>
        <v>-682368.86</v>
      </c>
      <c r="K161" s="4">
        <f>SUMIFS(Tab_04.Abr[SALDO
ATUAL],Tab_04.Abr[CONTA],$F161)</f>
        <v>-862584.28</v>
      </c>
      <c r="L161" s="4">
        <f>SUMIFS(Tab_05.Mai[SALDO
ATUAL],Tab_05.Mai[CONTA],$F161)</f>
        <v>-1195265.1000000001</v>
      </c>
      <c r="M161" s="4">
        <f>SUMIFS(Tab_06.Jun[SALDO
ATUAL],Tab_06.Jun[CONTA],$F161)</f>
        <v>-1702436.3</v>
      </c>
      <c r="N161" s="4">
        <f>SUMIFS(Tab_07.Jul[SALDO
ATUAL],Tab_07.Jul[CONTA],$F161)</f>
        <v>-1702436.3</v>
      </c>
      <c r="O161" s="4">
        <f>SUMIFS(Tab_08.Ago[SALDO
ATUAL],Tab_08.Ago[CONTA],$F161)</f>
        <v>-1702436.3</v>
      </c>
      <c r="P161" s="4">
        <f>SUMIFS(Tab_09.Set[SALDO
ATUAL],Tab_09.Set[CONTA],$F161)</f>
        <v>-2125464.3199999998</v>
      </c>
      <c r="Q161" s="4">
        <f>SUMIFS(Tab_10.Out[SALDO
ATUAL],Tab_10.Out[CONTA],$F161)</f>
        <v>-2555246.16</v>
      </c>
      <c r="R161" s="4">
        <f>SUMIFS(Tab_11.Nov[SALDO
ATUAL],Tab_11.Nov[CONTA],$F161)</f>
        <v>-2743319.47</v>
      </c>
      <c r="S161" s="4">
        <f>SUMIFS(Tab_12.Dez[SALDO
ATUAL],Tab_12.Dez[CONTA],$F161)</f>
        <v>-3185948.49</v>
      </c>
    </row>
    <row r="162" spans="2:19" x14ac:dyDescent="0.3">
      <c r="B162" s="3" t="s">
        <v>101</v>
      </c>
      <c r="C162" s="2" t="str">
        <f>IF($F162="","",IF(LEFT($F162,1)*1=1,"A",IF(LEFT($F162,1)*1=2,"P",IF(LEFT($F162,1)*1=3,"R",IF(LEFT($F162,1)*1=4,"C",IF(LEFT($F162,1)*1=5,"C",""))))))</f>
        <v>R</v>
      </c>
      <c r="D162" s="2" t="str">
        <f>IF($F162="","",IF(LEN($F162)=13,"A","S"))</f>
        <v>A</v>
      </c>
      <c r="E162" s="2">
        <f>IF($F162="","",IF(LEN($F162)=1,1,IF(LEN($F162)=3,2,IF(LEN($F162)=5,3,IF(LEN($F162)=8,4,5)))))</f>
        <v>5</v>
      </c>
      <c r="F162" s="3" t="s">
        <v>737</v>
      </c>
      <c r="G162" s="3" t="s">
        <v>422</v>
      </c>
      <c r="H162" s="4">
        <f>SUMIFS(Tab_01.Jan[SALDO
ATUAL],Tab_01.Jan[CONTA],$F162)</f>
        <v>-187419.37</v>
      </c>
      <c r="I162" s="4">
        <f>SUMIFS(Tab_02.Fev[SALDO
ATUAL],Tab_02.Fev[CONTA],$F162)</f>
        <v>-187419.37</v>
      </c>
      <c r="J162" s="4">
        <f>SUMIFS(Tab_03.Mar[SALDO
ATUAL],Tab_03.Mar[CONTA],$F162)</f>
        <v>-682368.86</v>
      </c>
      <c r="K162" s="4">
        <f>SUMIFS(Tab_04.Abr[SALDO
ATUAL],Tab_04.Abr[CONTA],$F162)</f>
        <v>-862584.28</v>
      </c>
      <c r="L162" s="4">
        <f>SUMIFS(Tab_05.Mai[SALDO
ATUAL],Tab_05.Mai[CONTA],$F162)</f>
        <v>-1195265.1000000001</v>
      </c>
      <c r="M162" s="4">
        <f>SUMIFS(Tab_06.Jun[SALDO
ATUAL],Tab_06.Jun[CONTA],$F162)</f>
        <v>-1702436.3</v>
      </c>
      <c r="N162" s="4">
        <f>SUMIFS(Tab_07.Jul[SALDO
ATUAL],Tab_07.Jul[CONTA],$F162)</f>
        <v>-1702436.3</v>
      </c>
      <c r="O162" s="4">
        <f>SUMIFS(Tab_08.Ago[SALDO
ATUAL],Tab_08.Ago[CONTA],$F162)</f>
        <v>-1702436.3</v>
      </c>
      <c r="P162" s="4">
        <f>SUMIFS(Tab_09.Set[SALDO
ATUAL],Tab_09.Set[CONTA],$F162)</f>
        <v>-2125464.3199999998</v>
      </c>
      <c r="Q162" s="4">
        <f>SUMIFS(Tab_10.Out[SALDO
ATUAL],Tab_10.Out[CONTA],$F162)</f>
        <v>-2555246.16</v>
      </c>
      <c r="R162" s="4">
        <f>SUMIFS(Tab_11.Nov[SALDO
ATUAL],Tab_11.Nov[CONTA],$F162)</f>
        <v>-2743319.47</v>
      </c>
      <c r="S162" s="4">
        <f>SUMIFS(Tab_12.Dez[SALDO
ATUAL],Tab_12.Dez[CONTA],$F162)</f>
        <v>-3185948.49</v>
      </c>
    </row>
    <row r="163" spans="2:19" x14ac:dyDescent="0.3">
      <c r="B163" s="3"/>
      <c r="C163" s="2" t="str">
        <f t="shared" si="6"/>
        <v>R</v>
      </c>
      <c r="D163" s="2" t="str">
        <f t="shared" si="9"/>
        <v>S</v>
      </c>
      <c r="E163" s="2">
        <f t="shared" si="10"/>
        <v>2</v>
      </c>
      <c r="F163" s="3" t="s">
        <v>574</v>
      </c>
      <c r="G163" s="3" t="s">
        <v>680</v>
      </c>
      <c r="H163" s="4">
        <f>SUMIFS(Tab_01.Jan[SALDO
ATUAL],Tab_01.Jan[CONTA],$F163)</f>
        <v>-421470.98</v>
      </c>
      <c r="I163" s="4">
        <f>SUMIFS(Tab_02.Fev[SALDO
ATUAL],Tab_02.Fev[CONTA],$F163)</f>
        <v>-855578.82</v>
      </c>
      <c r="J163" s="4">
        <f>SUMIFS(Tab_03.Mar[SALDO
ATUAL],Tab_03.Mar[CONTA],$F163)</f>
        <v>-1297631.08</v>
      </c>
      <c r="K163" s="4">
        <f>SUMIFS(Tab_04.Abr[SALDO
ATUAL],Tab_04.Abr[CONTA],$F163)</f>
        <v>-1738052.66</v>
      </c>
      <c r="L163" s="4">
        <f>SUMIFS(Tab_05.Mai[SALDO
ATUAL],Tab_05.Mai[CONTA],$F163)</f>
        <v>-2191057.08</v>
      </c>
      <c r="M163" s="4">
        <f>SUMIFS(Tab_06.Jun[SALDO
ATUAL],Tab_06.Jun[CONTA],$F163)</f>
        <v>-3078453.5</v>
      </c>
      <c r="N163" s="4">
        <f>SUMIFS(Tab_07.Jul[SALDO
ATUAL],Tab_07.Jul[CONTA],$F163)</f>
        <v>-3078453.5</v>
      </c>
      <c r="O163" s="4">
        <f>SUMIFS(Tab_08.Ago[SALDO
ATUAL],Tab_08.Ago[CONTA],$F163)</f>
        <v>-3078453.5</v>
      </c>
      <c r="P163" s="4">
        <f>SUMIFS(Tab_09.Set[SALDO
ATUAL],Tab_09.Set[CONTA],$F163)</f>
        <v>-3971723.38</v>
      </c>
      <c r="Q163" s="4">
        <f>SUMIFS(Tab_10.Out[SALDO
ATUAL],Tab_10.Out[CONTA],$F163)</f>
        <v>-4439413.5599999996</v>
      </c>
      <c r="R163" s="4">
        <f>SUMIFS(Tab_11.Nov[SALDO
ATUAL],Tab_11.Nov[CONTA],$F163)</f>
        <v>-4884356.84</v>
      </c>
      <c r="S163" s="4">
        <f>SUMIFS(Tab_12.Dez[SALDO
ATUAL],Tab_12.Dez[CONTA],$F163)</f>
        <v>-5326057.09</v>
      </c>
    </row>
    <row r="164" spans="2:19" x14ac:dyDescent="0.3">
      <c r="B164" s="3"/>
      <c r="C164" s="2" t="str">
        <f t="shared" si="6"/>
        <v>R</v>
      </c>
      <c r="D164" s="2" t="str">
        <f t="shared" si="9"/>
        <v>S</v>
      </c>
      <c r="E164" s="2">
        <f t="shared" si="10"/>
        <v>5</v>
      </c>
      <c r="F164" s="3" t="s">
        <v>575</v>
      </c>
      <c r="G164" s="3" t="s">
        <v>681</v>
      </c>
      <c r="H164" s="4">
        <f>SUMIFS(Tab_01.Jan[SALDO
ATUAL],Tab_01.Jan[CONTA],$F164)</f>
        <v>0</v>
      </c>
      <c r="I164" s="4">
        <f>SUMIFS(Tab_02.Fev[SALDO
ATUAL],Tab_02.Fev[CONTA],$F164)</f>
        <v>0</v>
      </c>
      <c r="J164" s="4">
        <f>SUMIFS(Tab_03.Mar[SALDO
ATUAL],Tab_03.Mar[CONTA],$F164)</f>
        <v>0</v>
      </c>
      <c r="K164" s="4">
        <f>SUMIFS(Tab_04.Abr[SALDO
ATUAL],Tab_04.Abr[CONTA],$F164)</f>
        <v>0</v>
      </c>
      <c r="L164" s="4">
        <f>SUMIFS(Tab_05.Mai[SALDO
ATUAL],Tab_05.Mai[CONTA],$F164)</f>
        <v>0</v>
      </c>
      <c r="M164" s="4">
        <f>SUMIFS(Tab_06.Jun[SALDO
ATUAL],Tab_06.Jun[CONTA],$F164)</f>
        <v>-50</v>
      </c>
      <c r="N164" s="4">
        <f>SUMIFS(Tab_07.Jul[SALDO
ATUAL],Tab_07.Jul[CONTA],$F164)</f>
        <v>-50</v>
      </c>
      <c r="O164" s="4">
        <f>SUMIFS(Tab_08.Ago[SALDO
ATUAL],Tab_08.Ago[CONTA],$F164)</f>
        <v>-50</v>
      </c>
      <c r="P164" s="4">
        <f>SUMIFS(Tab_09.Set[SALDO
ATUAL],Tab_09.Set[CONTA],$F164)</f>
        <v>-5050</v>
      </c>
      <c r="Q164" s="4">
        <f>SUMIFS(Tab_10.Out[SALDO
ATUAL],Tab_10.Out[CONTA],$F164)</f>
        <v>-7313.46</v>
      </c>
      <c r="R164" s="4">
        <f>SUMIFS(Tab_11.Nov[SALDO
ATUAL],Tab_11.Nov[CONTA],$F164)</f>
        <v>-13734.16</v>
      </c>
      <c r="S164" s="4">
        <f>SUMIFS(Tab_12.Dez[SALDO
ATUAL],Tab_12.Dez[CONTA],$F164)</f>
        <v>-15055.61</v>
      </c>
    </row>
    <row r="165" spans="2:19" x14ac:dyDescent="0.3">
      <c r="B165" s="3"/>
      <c r="C165" s="2" t="str">
        <f t="shared" ref="C165:C239" si="11">IF($F165="","",IF(LEFT($F165,1)*1=1,"A",IF(LEFT($F165,1)*1=2,"P",IF(LEFT($F165,1)*1=3,"R",IF(LEFT($F165,1)*1=4,"C",IF(LEFT($F165,1)*1=5,"C",""))))))</f>
        <v>R</v>
      </c>
      <c r="D165" s="2" t="str">
        <f t="shared" si="9"/>
        <v>S</v>
      </c>
      <c r="E165" s="2">
        <f t="shared" si="10"/>
        <v>5</v>
      </c>
      <c r="F165" s="3" t="s">
        <v>576</v>
      </c>
      <c r="G165" s="3" t="s">
        <v>682</v>
      </c>
      <c r="H165" s="4">
        <f>SUMIFS(Tab_01.Jan[SALDO
ATUAL],Tab_01.Jan[CONTA],$F165)</f>
        <v>0</v>
      </c>
      <c r="I165" s="4">
        <f>SUMIFS(Tab_02.Fev[SALDO
ATUAL],Tab_02.Fev[CONTA],$F165)</f>
        <v>0</v>
      </c>
      <c r="J165" s="4">
        <f>SUMIFS(Tab_03.Mar[SALDO
ATUAL],Tab_03.Mar[CONTA],$F165)</f>
        <v>0</v>
      </c>
      <c r="K165" s="4">
        <f>SUMIFS(Tab_04.Abr[SALDO
ATUAL],Tab_04.Abr[CONTA],$F165)</f>
        <v>0</v>
      </c>
      <c r="L165" s="4">
        <f>SUMIFS(Tab_05.Mai[SALDO
ATUAL],Tab_05.Mai[CONTA],$F165)</f>
        <v>0</v>
      </c>
      <c r="M165" s="4">
        <f>SUMIFS(Tab_06.Jun[SALDO
ATUAL],Tab_06.Jun[CONTA],$F165)</f>
        <v>-50</v>
      </c>
      <c r="N165" s="4">
        <f>SUMIFS(Tab_07.Jul[SALDO
ATUAL],Tab_07.Jul[CONTA],$F165)</f>
        <v>-50</v>
      </c>
      <c r="O165" s="4">
        <f>SUMIFS(Tab_08.Ago[SALDO
ATUAL],Tab_08.Ago[CONTA],$F165)</f>
        <v>-50</v>
      </c>
      <c r="P165" s="4">
        <f>SUMIFS(Tab_09.Set[SALDO
ATUAL],Tab_09.Set[CONTA],$F165)</f>
        <v>-5050</v>
      </c>
      <c r="Q165" s="4">
        <f>SUMIFS(Tab_10.Out[SALDO
ATUAL],Tab_10.Out[CONTA],$F165)</f>
        <v>-7313.46</v>
      </c>
      <c r="R165" s="4">
        <f>SUMIFS(Tab_11.Nov[SALDO
ATUAL],Tab_11.Nov[CONTA],$F165)</f>
        <v>-13734.16</v>
      </c>
      <c r="S165" s="4">
        <f>SUMIFS(Tab_12.Dez[SALDO
ATUAL],Tab_12.Dez[CONTA],$F165)</f>
        <v>-15055.61</v>
      </c>
    </row>
    <row r="166" spans="2:19" x14ac:dyDescent="0.3">
      <c r="B166" s="3" t="s">
        <v>101</v>
      </c>
      <c r="C166" s="2" t="str">
        <f t="shared" si="11"/>
        <v>R</v>
      </c>
      <c r="D166" s="2" t="str">
        <f t="shared" si="9"/>
        <v>A</v>
      </c>
      <c r="E166" s="2">
        <f t="shared" si="10"/>
        <v>5</v>
      </c>
      <c r="F166" s="3" t="s">
        <v>382</v>
      </c>
      <c r="G166" s="3" t="s">
        <v>292</v>
      </c>
      <c r="H166" s="4">
        <f>SUMIFS(Tab_01.Jan[SALDO
ATUAL],Tab_01.Jan[CONTA],$F166)</f>
        <v>0</v>
      </c>
      <c r="I166" s="4">
        <f>SUMIFS(Tab_02.Fev[SALDO
ATUAL],Tab_02.Fev[CONTA],$F166)</f>
        <v>0</v>
      </c>
      <c r="J166" s="4">
        <f>SUMIFS(Tab_03.Mar[SALDO
ATUAL],Tab_03.Mar[CONTA],$F166)</f>
        <v>0</v>
      </c>
      <c r="K166" s="4">
        <f>SUMIFS(Tab_04.Abr[SALDO
ATUAL],Tab_04.Abr[CONTA],$F166)</f>
        <v>0</v>
      </c>
      <c r="L166" s="4">
        <f>SUMIFS(Tab_05.Mai[SALDO
ATUAL],Tab_05.Mai[CONTA],$F166)</f>
        <v>0</v>
      </c>
      <c r="M166" s="4">
        <f>SUMIFS(Tab_06.Jun[SALDO
ATUAL],Tab_06.Jun[CONTA],$F166)</f>
        <v>-50</v>
      </c>
      <c r="N166" s="4">
        <f>SUMIFS(Tab_07.Jul[SALDO
ATUAL],Tab_07.Jul[CONTA],$F166)</f>
        <v>-50</v>
      </c>
      <c r="O166" s="4">
        <f>SUMIFS(Tab_08.Ago[SALDO
ATUAL],Tab_08.Ago[CONTA],$F166)</f>
        <v>-50</v>
      </c>
      <c r="P166" s="4">
        <f>SUMIFS(Tab_09.Set[SALDO
ATUAL],Tab_09.Set[CONTA],$F166)</f>
        <v>-5050</v>
      </c>
      <c r="Q166" s="4">
        <f>SUMIFS(Tab_10.Out[SALDO
ATUAL],Tab_10.Out[CONTA],$F166)</f>
        <v>-7313.46</v>
      </c>
      <c r="R166" s="4">
        <f>SUMIFS(Tab_11.Nov[SALDO
ATUAL],Tab_11.Nov[CONTA],$F166)</f>
        <v>-13734.16</v>
      </c>
      <c r="S166" s="4">
        <f>SUMIFS(Tab_12.Dez[SALDO
ATUAL],Tab_12.Dez[CONTA],$F166)</f>
        <v>-15055.61</v>
      </c>
    </row>
    <row r="167" spans="2:19" x14ac:dyDescent="0.3">
      <c r="B167" s="3"/>
      <c r="C167" s="2" t="str">
        <f t="shared" si="11"/>
        <v>R</v>
      </c>
      <c r="D167" s="2" t="str">
        <f>IF($F167="","",IF(LEN($F167)=13,"A","S"))</f>
        <v>S</v>
      </c>
      <c r="E167" s="2">
        <f>IF($F167="","",IF(LEN($F167)=1,1,IF(LEN($F167)=3,2,IF(LEN($F167)=5,3,IF(LEN($F167)=8,4,5)))))</f>
        <v>5</v>
      </c>
      <c r="F167" s="3" t="s">
        <v>577</v>
      </c>
      <c r="G167" s="3" t="s">
        <v>683</v>
      </c>
      <c r="H167" s="4">
        <f>SUMIFS(Tab_01.Jan[SALDO
ATUAL],Tab_01.Jan[CONTA],$F167)</f>
        <v>0</v>
      </c>
      <c r="I167" s="4">
        <f>SUMIFS(Tab_02.Fev[SALDO
ATUAL],Tab_02.Fev[CONTA],$F167)</f>
        <v>0</v>
      </c>
      <c r="J167" s="4">
        <f>SUMIFS(Tab_03.Mar[SALDO
ATUAL],Tab_03.Mar[CONTA],$F167)</f>
        <v>0</v>
      </c>
      <c r="K167" s="4">
        <f>SUMIFS(Tab_04.Abr[SALDO
ATUAL],Tab_04.Abr[CONTA],$F167)</f>
        <v>0</v>
      </c>
      <c r="L167" s="4">
        <f>SUMIFS(Tab_05.Mai[SALDO
ATUAL],Tab_05.Mai[CONTA],$F167)</f>
        <v>0</v>
      </c>
      <c r="M167" s="4">
        <f>SUMIFS(Tab_06.Jun[SALDO
ATUAL],Tab_06.Jun[CONTA],$F167)</f>
        <v>11</v>
      </c>
      <c r="N167" s="4">
        <f>SUMIFS(Tab_07.Jul[SALDO
ATUAL],Tab_07.Jul[CONTA],$F167)</f>
        <v>11</v>
      </c>
      <c r="O167" s="4">
        <f>SUMIFS(Tab_08.Ago[SALDO
ATUAL],Tab_08.Ago[CONTA],$F167)</f>
        <v>11</v>
      </c>
      <c r="P167" s="4">
        <f>SUMIFS(Tab_09.Set[SALDO
ATUAL],Tab_09.Set[CONTA],$F167)</f>
        <v>12127.06</v>
      </c>
      <c r="Q167" s="4">
        <f>SUMIFS(Tab_10.Out[SALDO
ATUAL],Tab_10.Out[CONTA],$F167)</f>
        <v>12139.16</v>
      </c>
      <c r="R167" s="4">
        <f>SUMIFS(Tab_11.Nov[SALDO
ATUAL],Tab_11.Nov[CONTA],$F167)</f>
        <v>14038.16</v>
      </c>
      <c r="S167" s="4">
        <f>SUMIFS(Tab_12.Dez[SALDO
ATUAL],Tab_12.Dez[CONTA],$F167)</f>
        <v>14303.78</v>
      </c>
    </row>
    <row r="168" spans="2:19" x14ac:dyDescent="0.3">
      <c r="B168" s="3"/>
      <c r="C168" s="2" t="str">
        <f t="shared" si="11"/>
        <v>R</v>
      </c>
      <c r="D168" s="2" t="str">
        <f t="shared" si="9"/>
        <v>S</v>
      </c>
      <c r="E168" s="2">
        <f t="shared" si="10"/>
        <v>5</v>
      </c>
      <c r="F168" s="3" t="s">
        <v>578</v>
      </c>
      <c r="G168" s="3" t="s">
        <v>684</v>
      </c>
      <c r="H168" s="4">
        <f>SUMIFS(Tab_01.Jan[SALDO
ATUAL],Tab_01.Jan[CONTA],$F168)</f>
        <v>0</v>
      </c>
      <c r="I168" s="4">
        <f>SUMIFS(Tab_02.Fev[SALDO
ATUAL],Tab_02.Fev[CONTA],$F168)</f>
        <v>0</v>
      </c>
      <c r="J168" s="4">
        <f>SUMIFS(Tab_03.Mar[SALDO
ATUAL],Tab_03.Mar[CONTA],$F168)</f>
        <v>0</v>
      </c>
      <c r="K168" s="4">
        <f>SUMIFS(Tab_04.Abr[SALDO
ATUAL],Tab_04.Abr[CONTA],$F168)</f>
        <v>0</v>
      </c>
      <c r="L168" s="4">
        <f>SUMIFS(Tab_05.Mai[SALDO
ATUAL],Tab_05.Mai[CONTA],$F168)</f>
        <v>0</v>
      </c>
      <c r="M168" s="4">
        <f>SUMIFS(Tab_06.Jun[SALDO
ATUAL],Tab_06.Jun[CONTA],$F168)</f>
        <v>0</v>
      </c>
      <c r="N168" s="4">
        <f>SUMIFS(Tab_07.Jul[SALDO
ATUAL],Tab_07.Jul[CONTA],$F168)</f>
        <v>0</v>
      </c>
      <c r="O168" s="4">
        <f>SUMIFS(Tab_08.Ago[SALDO
ATUAL],Tab_08.Ago[CONTA],$F168)</f>
        <v>0</v>
      </c>
      <c r="P168" s="4">
        <f>SUMIFS(Tab_09.Set[SALDO
ATUAL],Tab_09.Set[CONTA],$F168)</f>
        <v>0</v>
      </c>
      <c r="Q168" s="4">
        <f>SUMIFS(Tab_10.Out[SALDO
ATUAL],Tab_10.Out[CONTA],$F168)</f>
        <v>0</v>
      </c>
      <c r="R168" s="4">
        <f>SUMIFS(Tab_11.Nov[SALDO
ATUAL],Tab_11.Nov[CONTA],$F168)</f>
        <v>0</v>
      </c>
      <c r="S168" s="4">
        <f>SUMIFS(Tab_12.Dez[SALDO
ATUAL],Tab_12.Dez[CONTA],$F168)</f>
        <v>0</v>
      </c>
    </row>
    <row r="169" spans="2:19" x14ac:dyDescent="0.3">
      <c r="B169" s="3" t="s">
        <v>101</v>
      </c>
      <c r="C169" s="2" t="str">
        <f t="shared" si="11"/>
        <v>R</v>
      </c>
      <c r="D169" s="2" t="str">
        <f t="shared" si="9"/>
        <v>A</v>
      </c>
      <c r="E169" s="2">
        <f t="shared" si="10"/>
        <v>5</v>
      </c>
      <c r="F169" s="3" t="s">
        <v>383</v>
      </c>
      <c r="G169" s="3" t="s">
        <v>384</v>
      </c>
      <c r="H169" s="4">
        <f>SUMIFS(Tab_01.Jan[SALDO
ATUAL],Tab_01.Jan[CONTA],$F169)</f>
        <v>0</v>
      </c>
      <c r="I169" s="4">
        <f>SUMIFS(Tab_02.Fev[SALDO
ATUAL],Tab_02.Fev[CONTA],$F169)</f>
        <v>0</v>
      </c>
      <c r="J169" s="4">
        <f>SUMIFS(Tab_03.Mar[SALDO
ATUAL],Tab_03.Mar[CONTA],$F169)</f>
        <v>0</v>
      </c>
      <c r="K169" s="4">
        <f>SUMIFS(Tab_04.Abr[SALDO
ATUAL],Tab_04.Abr[CONTA],$F169)</f>
        <v>0</v>
      </c>
      <c r="L169" s="4">
        <f>SUMIFS(Tab_05.Mai[SALDO
ATUAL],Tab_05.Mai[CONTA],$F169)</f>
        <v>0</v>
      </c>
      <c r="M169" s="4">
        <f>SUMIFS(Tab_06.Jun[SALDO
ATUAL],Tab_06.Jun[CONTA],$F169)</f>
        <v>0</v>
      </c>
      <c r="N169" s="4">
        <f>SUMIFS(Tab_07.Jul[SALDO
ATUAL],Tab_07.Jul[CONTA],$F169)</f>
        <v>0</v>
      </c>
      <c r="O169" s="4">
        <f>SUMIFS(Tab_08.Ago[SALDO
ATUAL],Tab_08.Ago[CONTA],$F169)</f>
        <v>0</v>
      </c>
      <c r="P169" s="4">
        <f>SUMIFS(Tab_09.Set[SALDO
ATUAL],Tab_09.Set[CONTA],$F169)</f>
        <v>0</v>
      </c>
      <c r="Q169" s="4">
        <f>SUMIFS(Tab_10.Out[SALDO
ATUAL],Tab_10.Out[CONTA],$F169)</f>
        <v>0</v>
      </c>
      <c r="R169" s="4">
        <f>SUMIFS(Tab_11.Nov[SALDO
ATUAL],Tab_11.Nov[CONTA],$F169)</f>
        <v>0</v>
      </c>
      <c r="S169" s="4">
        <f>SUMIFS(Tab_12.Dez[SALDO
ATUAL],Tab_12.Dez[CONTA],$F169)</f>
        <v>0</v>
      </c>
    </row>
    <row r="170" spans="2:19" x14ac:dyDescent="0.3">
      <c r="B170" s="3"/>
      <c r="C170" s="2" t="str">
        <f t="shared" si="11"/>
        <v>R</v>
      </c>
      <c r="D170" s="2" t="str">
        <f t="shared" si="9"/>
        <v>S</v>
      </c>
      <c r="E170" s="2">
        <f t="shared" si="10"/>
        <v>5</v>
      </c>
      <c r="F170" s="3" t="s">
        <v>579</v>
      </c>
      <c r="G170" s="3" t="s">
        <v>685</v>
      </c>
      <c r="H170" s="4">
        <f>SUMIFS(Tab_01.Jan[SALDO
ATUAL],Tab_01.Jan[CONTA],$F170)</f>
        <v>0</v>
      </c>
      <c r="I170" s="4">
        <f>SUMIFS(Tab_02.Fev[SALDO
ATUAL],Tab_02.Fev[CONTA],$F170)</f>
        <v>0</v>
      </c>
      <c r="J170" s="4">
        <f>SUMIFS(Tab_03.Mar[SALDO
ATUAL],Tab_03.Mar[CONTA],$F170)</f>
        <v>0</v>
      </c>
      <c r="K170" s="4">
        <f>SUMIFS(Tab_04.Abr[SALDO
ATUAL],Tab_04.Abr[CONTA],$F170)</f>
        <v>0</v>
      </c>
      <c r="L170" s="4">
        <f>SUMIFS(Tab_05.Mai[SALDO
ATUAL],Tab_05.Mai[CONTA],$F170)</f>
        <v>0</v>
      </c>
      <c r="M170" s="4">
        <f>SUMIFS(Tab_06.Jun[SALDO
ATUAL],Tab_06.Jun[CONTA],$F170)</f>
        <v>0</v>
      </c>
      <c r="N170" s="4">
        <f>SUMIFS(Tab_07.Jul[SALDO
ATUAL],Tab_07.Jul[CONTA],$F170)</f>
        <v>0</v>
      </c>
      <c r="O170" s="4">
        <f>SUMIFS(Tab_08.Ago[SALDO
ATUAL],Tab_08.Ago[CONTA],$F170)</f>
        <v>0</v>
      </c>
      <c r="P170" s="4">
        <f>SUMIFS(Tab_09.Set[SALDO
ATUAL],Tab_09.Set[CONTA],$F170)</f>
        <v>0</v>
      </c>
      <c r="Q170" s="4">
        <f>SUMIFS(Tab_10.Out[SALDO
ATUAL],Tab_10.Out[CONTA],$F170)</f>
        <v>0</v>
      </c>
      <c r="R170" s="4">
        <f>SUMIFS(Tab_11.Nov[SALDO
ATUAL],Tab_11.Nov[CONTA],$F170)</f>
        <v>0</v>
      </c>
      <c r="S170" s="4">
        <f>SUMIFS(Tab_12.Dez[SALDO
ATUAL],Tab_12.Dez[CONTA],$F170)</f>
        <v>0</v>
      </c>
    </row>
    <row r="171" spans="2:19" x14ac:dyDescent="0.3">
      <c r="B171" s="3" t="s">
        <v>101</v>
      </c>
      <c r="C171" s="2" t="str">
        <f t="shared" si="11"/>
        <v>R</v>
      </c>
      <c r="D171" s="2" t="str">
        <f t="shared" si="9"/>
        <v>A</v>
      </c>
      <c r="E171" s="2">
        <f t="shared" si="10"/>
        <v>5</v>
      </c>
      <c r="F171" s="3" t="s">
        <v>385</v>
      </c>
      <c r="G171" s="3" t="s">
        <v>386</v>
      </c>
      <c r="H171" s="4">
        <f>SUMIFS(Tab_01.Jan[SALDO
ATUAL],Tab_01.Jan[CONTA],$F171)</f>
        <v>0</v>
      </c>
      <c r="I171" s="4">
        <f>SUMIFS(Tab_02.Fev[SALDO
ATUAL],Tab_02.Fev[CONTA],$F171)</f>
        <v>0</v>
      </c>
      <c r="J171" s="4">
        <f>SUMIFS(Tab_03.Mar[SALDO
ATUAL],Tab_03.Mar[CONTA],$F171)</f>
        <v>0</v>
      </c>
      <c r="K171" s="4">
        <f>SUMIFS(Tab_04.Abr[SALDO
ATUAL],Tab_04.Abr[CONTA],$F171)</f>
        <v>0</v>
      </c>
      <c r="L171" s="4">
        <f>SUMIFS(Tab_05.Mai[SALDO
ATUAL],Tab_05.Mai[CONTA],$F171)</f>
        <v>0</v>
      </c>
      <c r="M171" s="4">
        <f>SUMIFS(Tab_06.Jun[SALDO
ATUAL],Tab_06.Jun[CONTA],$F171)</f>
        <v>0</v>
      </c>
      <c r="N171" s="4">
        <f>SUMIFS(Tab_07.Jul[SALDO
ATUAL],Tab_07.Jul[CONTA],$F171)</f>
        <v>0</v>
      </c>
      <c r="O171" s="4">
        <f>SUMIFS(Tab_08.Ago[SALDO
ATUAL],Tab_08.Ago[CONTA],$F171)</f>
        <v>0</v>
      </c>
      <c r="P171" s="4">
        <f>SUMIFS(Tab_09.Set[SALDO
ATUAL],Tab_09.Set[CONTA],$F171)</f>
        <v>0</v>
      </c>
      <c r="Q171" s="4">
        <f>SUMIFS(Tab_10.Out[SALDO
ATUAL],Tab_10.Out[CONTA],$F171)</f>
        <v>0</v>
      </c>
      <c r="R171" s="4">
        <f>SUMIFS(Tab_11.Nov[SALDO
ATUAL],Tab_11.Nov[CONTA],$F171)</f>
        <v>0</v>
      </c>
      <c r="S171" s="4">
        <f>SUMIFS(Tab_12.Dez[SALDO
ATUAL],Tab_12.Dez[CONTA],$F171)</f>
        <v>0</v>
      </c>
    </row>
    <row r="172" spans="2:19" x14ac:dyDescent="0.3">
      <c r="B172" s="3"/>
      <c r="C172" s="2" t="str">
        <f t="shared" si="11"/>
        <v>R</v>
      </c>
      <c r="D172" s="2" t="str">
        <f t="shared" si="9"/>
        <v>S</v>
      </c>
      <c r="E172" s="2">
        <f t="shared" si="10"/>
        <v>5</v>
      </c>
      <c r="F172" s="3" t="s">
        <v>580</v>
      </c>
      <c r="G172" s="3" t="s">
        <v>686</v>
      </c>
      <c r="H172" s="4">
        <f>SUMIFS(Tab_01.Jan[SALDO
ATUAL],Tab_01.Jan[CONTA],$F172)</f>
        <v>-421470.98</v>
      </c>
      <c r="I172" s="4">
        <f>SUMIFS(Tab_02.Fev[SALDO
ATUAL],Tab_02.Fev[CONTA],$F172)</f>
        <v>-855578.82</v>
      </c>
      <c r="J172" s="4">
        <f>SUMIFS(Tab_03.Mar[SALDO
ATUAL],Tab_03.Mar[CONTA],$F172)</f>
        <v>-1297631.08</v>
      </c>
      <c r="K172" s="4">
        <f>SUMIFS(Tab_04.Abr[SALDO
ATUAL],Tab_04.Abr[CONTA],$F172)</f>
        <v>-1738052.66</v>
      </c>
      <c r="L172" s="4">
        <f>SUMIFS(Tab_05.Mai[SALDO
ATUAL],Tab_05.Mai[CONTA],$F172)</f>
        <v>-2191057.08</v>
      </c>
      <c r="M172" s="4">
        <f>SUMIFS(Tab_06.Jun[SALDO
ATUAL],Tab_06.Jun[CONTA],$F172)</f>
        <v>-3078414.5</v>
      </c>
      <c r="N172" s="4">
        <f>SUMIFS(Tab_07.Jul[SALDO
ATUAL],Tab_07.Jul[CONTA],$F172)</f>
        <v>-3078414.5</v>
      </c>
      <c r="O172" s="4">
        <f>SUMIFS(Tab_08.Ago[SALDO
ATUAL],Tab_08.Ago[CONTA],$F172)</f>
        <v>-3078414.5</v>
      </c>
      <c r="P172" s="4">
        <f>SUMIFS(Tab_09.Set[SALDO
ATUAL],Tab_09.Set[CONTA],$F172)</f>
        <v>-3978800.44</v>
      </c>
      <c r="Q172" s="4">
        <f>SUMIFS(Tab_10.Out[SALDO
ATUAL],Tab_10.Out[CONTA],$F172)</f>
        <v>-4444239.26</v>
      </c>
      <c r="R172" s="4">
        <f>SUMIFS(Tab_11.Nov[SALDO
ATUAL],Tab_11.Nov[CONTA],$F172)</f>
        <v>-4884660.84</v>
      </c>
      <c r="S172" s="4">
        <f>SUMIFS(Tab_12.Dez[SALDO
ATUAL],Tab_12.Dez[CONTA],$F172)</f>
        <v>-5325305.26</v>
      </c>
    </row>
    <row r="173" spans="2:19" x14ac:dyDescent="0.3">
      <c r="B173" s="3"/>
      <c r="C173" s="2" t="str">
        <f>IF($F173="","",IF(LEFT($F173,1)*1=1,"A",IF(LEFT($F173,1)*1=2,"P",IF(LEFT($F173,1)*1=3,"R",IF(LEFT($F173,1)*1=4,"C",IF(LEFT($F173,1)*1=5,"C",""))))))</f>
        <v>R</v>
      </c>
      <c r="D173" s="2" t="str">
        <f>IF($F173="","",IF(LEN($F173)=13,"A","S"))</f>
        <v>S</v>
      </c>
      <c r="E173" s="2">
        <f>IF($F173="","",IF(LEN($F173)=1,1,IF(LEN($F173)=3,2,IF(LEN($F173)=5,3,IF(LEN($F173)=8,4,5)))))</f>
        <v>5</v>
      </c>
      <c r="F173" s="3" t="s">
        <v>853</v>
      </c>
      <c r="G173" s="3" t="s">
        <v>854</v>
      </c>
      <c r="H173" s="4">
        <f>SUMIFS(Tab_01.Jan[SALDO
ATUAL],Tab_01.Jan[CONTA],$F173)</f>
        <v>0</v>
      </c>
      <c r="I173" s="4">
        <f>SUMIFS(Tab_02.Fev[SALDO
ATUAL],Tab_02.Fev[CONTA],$F173)</f>
        <v>0</v>
      </c>
      <c r="J173" s="4">
        <f>SUMIFS(Tab_03.Mar[SALDO
ATUAL],Tab_03.Mar[CONTA],$F173)</f>
        <v>0</v>
      </c>
      <c r="K173" s="4">
        <f>SUMIFS(Tab_04.Abr[SALDO
ATUAL],Tab_04.Abr[CONTA],$F173)</f>
        <v>0</v>
      </c>
      <c r="L173" s="4">
        <f>SUMIFS(Tab_05.Mai[SALDO
ATUAL],Tab_05.Mai[CONTA],$F173)</f>
        <v>0</v>
      </c>
      <c r="M173" s="4">
        <f>SUMIFS(Tab_06.Jun[SALDO
ATUAL],Tab_06.Jun[CONTA],$F173)</f>
        <v>11</v>
      </c>
      <c r="N173" s="4">
        <f>SUMIFS(Tab_07.Jul[SALDO
ATUAL],Tab_07.Jul[CONTA],$F173)</f>
        <v>11</v>
      </c>
      <c r="O173" s="4">
        <f>SUMIFS(Tab_08.Ago[SALDO
ATUAL],Tab_08.Ago[CONTA],$F173)</f>
        <v>11</v>
      </c>
      <c r="P173" s="4">
        <f>SUMIFS(Tab_09.Set[SALDO
ATUAL],Tab_09.Set[CONTA],$F173)</f>
        <v>12127.06</v>
      </c>
      <c r="Q173" s="4">
        <f>SUMIFS(Tab_10.Out[SALDO
ATUAL],Tab_10.Out[CONTA],$F173)</f>
        <v>12139.16</v>
      </c>
      <c r="R173" s="4">
        <f>SUMIFS(Tab_11.Nov[SALDO
ATUAL],Tab_11.Nov[CONTA],$F173)</f>
        <v>14038.16</v>
      </c>
      <c r="S173" s="4">
        <f>SUMIFS(Tab_12.Dez[SALDO
ATUAL],Tab_12.Dez[CONTA],$F173)</f>
        <v>14303.78</v>
      </c>
    </row>
    <row r="174" spans="2:19" x14ac:dyDescent="0.3">
      <c r="B174" s="186" t="s">
        <v>102</v>
      </c>
      <c r="C174" s="2" t="str">
        <f>IF($F174="","",IF(LEFT($F174,1)*1=1,"A",IF(LEFT($F174,1)*1=2,"P",IF(LEFT($F174,1)*1=3,"R",IF(LEFT($F174,1)*1=4,"C",IF(LEFT($F174,1)*1=5,"C",""))))))</f>
        <v>R</v>
      </c>
      <c r="D174" s="2" t="str">
        <f>IF($F174="","",IF(LEN($F174)=13,"A","S"))</f>
        <v>A</v>
      </c>
      <c r="E174" s="2">
        <f>IF($F174="","",IF(LEN($F174)=1,1,IF(LEN($F174)=3,2,IF(LEN($F174)=5,3,IF(LEN($F174)=8,4,5)))))</f>
        <v>5</v>
      </c>
      <c r="F174" s="3" t="s">
        <v>855</v>
      </c>
      <c r="G174" s="3" t="s">
        <v>856</v>
      </c>
      <c r="H174" s="4">
        <f>SUMIFS(Tab_01.Jan[SALDO
ATUAL],Tab_01.Jan[CONTA],$F174)</f>
        <v>0</v>
      </c>
      <c r="I174" s="4">
        <f>SUMIFS(Tab_02.Fev[SALDO
ATUAL],Tab_02.Fev[CONTA],$F174)</f>
        <v>0</v>
      </c>
      <c r="J174" s="4">
        <f>SUMIFS(Tab_03.Mar[SALDO
ATUAL],Tab_03.Mar[CONTA],$F174)</f>
        <v>0</v>
      </c>
      <c r="K174" s="4">
        <f>SUMIFS(Tab_04.Abr[SALDO
ATUAL],Tab_04.Abr[CONTA],$F174)</f>
        <v>0</v>
      </c>
      <c r="L174" s="4">
        <f>SUMIFS(Tab_05.Mai[SALDO
ATUAL],Tab_05.Mai[CONTA],$F174)</f>
        <v>0</v>
      </c>
      <c r="M174" s="4">
        <f>SUMIFS(Tab_06.Jun[SALDO
ATUAL],Tab_06.Jun[CONTA],$F174)</f>
        <v>11</v>
      </c>
      <c r="N174" s="4">
        <f>SUMIFS(Tab_07.Jul[SALDO
ATUAL],Tab_07.Jul[CONTA],$F174)</f>
        <v>11</v>
      </c>
      <c r="O174" s="4">
        <f>SUMIFS(Tab_08.Ago[SALDO
ATUAL],Tab_08.Ago[CONTA],$F174)</f>
        <v>11</v>
      </c>
      <c r="P174" s="4">
        <f>SUMIFS(Tab_09.Set[SALDO
ATUAL],Tab_09.Set[CONTA],$F174)</f>
        <v>12127.06</v>
      </c>
      <c r="Q174" s="4">
        <f>SUMIFS(Tab_10.Out[SALDO
ATUAL],Tab_10.Out[CONTA],$F174)</f>
        <v>12139.16</v>
      </c>
      <c r="R174" s="4">
        <f>SUMIFS(Tab_11.Nov[SALDO
ATUAL],Tab_11.Nov[CONTA],$F174)</f>
        <v>14038.16</v>
      </c>
      <c r="S174" s="4">
        <f>SUMIFS(Tab_12.Dez[SALDO
ATUAL],Tab_12.Dez[CONTA],$F174)</f>
        <v>14303.78</v>
      </c>
    </row>
    <row r="175" spans="2:19" x14ac:dyDescent="0.3">
      <c r="B175" s="3"/>
      <c r="C175" s="2" t="str">
        <f t="shared" si="11"/>
        <v>R</v>
      </c>
      <c r="D175" s="2" t="str">
        <f t="shared" si="9"/>
        <v>S</v>
      </c>
      <c r="E175" s="2">
        <f t="shared" si="10"/>
        <v>5</v>
      </c>
      <c r="F175" s="3" t="s">
        <v>581</v>
      </c>
      <c r="G175" s="3" t="s">
        <v>687</v>
      </c>
      <c r="H175" s="4">
        <f>SUMIFS(Tab_01.Jan[SALDO
ATUAL],Tab_01.Jan[CONTA],$F175)</f>
        <v>-421470.98</v>
      </c>
      <c r="I175" s="4">
        <f>SUMIFS(Tab_02.Fev[SALDO
ATUAL],Tab_02.Fev[CONTA],$F175)</f>
        <v>-855578.82</v>
      </c>
      <c r="J175" s="4">
        <f>SUMIFS(Tab_03.Mar[SALDO
ATUAL],Tab_03.Mar[CONTA],$F175)</f>
        <v>-1297631.08</v>
      </c>
      <c r="K175" s="4">
        <f>SUMIFS(Tab_04.Abr[SALDO
ATUAL],Tab_04.Abr[CONTA],$F175)</f>
        <v>-1738052.66</v>
      </c>
      <c r="L175" s="4">
        <f>SUMIFS(Tab_05.Mai[SALDO
ATUAL],Tab_05.Mai[CONTA],$F175)</f>
        <v>-2191057.08</v>
      </c>
      <c r="M175" s="4">
        <f>SUMIFS(Tab_06.Jun[SALDO
ATUAL],Tab_06.Jun[CONTA],$F175)</f>
        <v>-3078414.5</v>
      </c>
      <c r="N175" s="4">
        <f>SUMIFS(Tab_07.Jul[SALDO
ATUAL],Tab_07.Jul[CONTA],$F175)</f>
        <v>-3078414.5</v>
      </c>
      <c r="O175" s="4">
        <f>SUMIFS(Tab_08.Ago[SALDO
ATUAL],Tab_08.Ago[CONTA],$F175)</f>
        <v>-3078414.5</v>
      </c>
      <c r="P175" s="4">
        <f>SUMIFS(Tab_09.Set[SALDO
ATUAL],Tab_09.Set[CONTA],$F175)</f>
        <v>-3978800.44</v>
      </c>
      <c r="Q175" s="4">
        <f>SUMIFS(Tab_10.Out[SALDO
ATUAL],Tab_10.Out[CONTA],$F175)</f>
        <v>-4444239.26</v>
      </c>
      <c r="R175" s="4">
        <f>SUMIFS(Tab_11.Nov[SALDO
ATUAL],Tab_11.Nov[CONTA],$F175)</f>
        <v>-4884660.84</v>
      </c>
      <c r="S175" s="4">
        <f>SUMIFS(Tab_12.Dez[SALDO
ATUAL],Tab_12.Dez[CONTA],$F175)</f>
        <v>-5325305.26</v>
      </c>
    </row>
    <row r="176" spans="2:19" x14ac:dyDescent="0.3">
      <c r="B176" s="3" t="s">
        <v>101</v>
      </c>
      <c r="C176" s="2" t="str">
        <f t="shared" si="11"/>
        <v>R</v>
      </c>
      <c r="D176" s="2" t="str">
        <f t="shared" si="9"/>
        <v>A</v>
      </c>
      <c r="E176" s="2">
        <f t="shared" si="10"/>
        <v>5</v>
      </c>
      <c r="F176" s="3" t="s">
        <v>387</v>
      </c>
      <c r="G176" s="3" t="s">
        <v>388</v>
      </c>
      <c r="H176" s="4">
        <f>SUMIFS(Tab_01.Jan[SALDO
ATUAL],Tab_01.Jan[CONTA],$F176)</f>
        <v>-421470.98</v>
      </c>
      <c r="I176" s="4">
        <f>SUMIFS(Tab_02.Fev[SALDO
ATUAL],Tab_02.Fev[CONTA],$F176)</f>
        <v>-842941.96</v>
      </c>
      <c r="J176" s="4">
        <f>SUMIFS(Tab_03.Mar[SALDO
ATUAL],Tab_03.Mar[CONTA],$F176)</f>
        <v>-1264412.94</v>
      </c>
      <c r="K176" s="4">
        <f>SUMIFS(Tab_04.Abr[SALDO
ATUAL],Tab_04.Abr[CONTA],$F176)</f>
        <v>-1704834.52</v>
      </c>
      <c r="L176" s="4">
        <f>SUMIFS(Tab_05.Mai[SALDO
ATUAL],Tab_05.Mai[CONTA],$F176)</f>
        <v>-2145256.1</v>
      </c>
      <c r="M176" s="4">
        <f>SUMIFS(Tab_06.Jun[SALDO
ATUAL],Tab_06.Jun[CONTA],$F176)</f>
        <v>-3026099.26</v>
      </c>
      <c r="N176" s="4">
        <f>SUMIFS(Tab_07.Jul[SALDO
ATUAL],Tab_07.Jul[CONTA],$F176)</f>
        <v>-3026099.26</v>
      </c>
      <c r="O176" s="4">
        <f>SUMIFS(Tab_08.Ago[SALDO
ATUAL],Tab_08.Ago[CONTA],$F176)</f>
        <v>-3026099.26</v>
      </c>
      <c r="P176" s="4">
        <f>SUMIFS(Tab_09.Set[SALDO
ATUAL],Tab_09.Set[CONTA],$F176)</f>
        <v>-3906942.42</v>
      </c>
      <c r="Q176" s="4">
        <f>SUMIFS(Tab_10.Out[SALDO
ATUAL],Tab_10.Out[CONTA],$F176)</f>
        <v>-4347364</v>
      </c>
      <c r="R176" s="4">
        <f>SUMIFS(Tab_11.Nov[SALDO
ATUAL],Tab_11.Nov[CONTA],$F176)</f>
        <v>-4787785.58</v>
      </c>
      <c r="S176" s="4">
        <f>SUMIFS(Tab_12.Dez[SALDO
ATUAL],Tab_12.Dez[CONTA],$F176)</f>
        <v>-5228207.16</v>
      </c>
    </row>
    <row r="177" spans="2:19" x14ac:dyDescent="0.3">
      <c r="B177" s="3" t="s">
        <v>101</v>
      </c>
      <c r="C177" s="2" t="str">
        <f t="shared" si="11"/>
        <v>R</v>
      </c>
      <c r="D177" s="2" t="str">
        <f t="shared" si="9"/>
        <v>A</v>
      </c>
      <c r="E177" s="2">
        <f t="shared" si="10"/>
        <v>5</v>
      </c>
      <c r="F177" s="3" t="s">
        <v>389</v>
      </c>
      <c r="G177" s="3" t="s">
        <v>390</v>
      </c>
      <c r="H177" s="4">
        <f>SUMIFS(Tab_01.Jan[SALDO
ATUAL],Tab_01.Jan[CONTA],$F177)</f>
        <v>0</v>
      </c>
      <c r="I177" s="4">
        <f>SUMIFS(Tab_02.Fev[SALDO
ATUAL],Tab_02.Fev[CONTA],$F177)</f>
        <v>-12636.86</v>
      </c>
      <c r="J177" s="4">
        <f>SUMIFS(Tab_03.Mar[SALDO
ATUAL],Tab_03.Mar[CONTA],$F177)</f>
        <v>-33218.14</v>
      </c>
      <c r="K177" s="4">
        <f>SUMIFS(Tab_04.Abr[SALDO
ATUAL],Tab_04.Abr[CONTA],$F177)</f>
        <v>-33218.14</v>
      </c>
      <c r="L177" s="4">
        <f>SUMIFS(Tab_05.Mai[SALDO
ATUAL],Tab_05.Mai[CONTA],$F177)</f>
        <v>-45800.98</v>
      </c>
      <c r="M177" s="4">
        <f>SUMIFS(Tab_06.Jun[SALDO
ATUAL],Tab_06.Jun[CONTA],$F177)</f>
        <v>-52315.24</v>
      </c>
      <c r="N177" s="4">
        <f>SUMIFS(Tab_07.Jul[SALDO
ATUAL],Tab_07.Jul[CONTA],$F177)</f>
        <v>-52315.24</v>
      </c>
      <c r="O177" s="4">
        <f>SUMIFS(Tab_08.Ago[SALDO
ATUAL],Tab_08.Ago[CONTA],$F177)</f>
        <v>-52315.24</v>
      </c>
      <c r="P177" s="4">
        <f>SUMIFS(Tab_09.Set[SALDO
ATUAL],Tab_09.Set[CONTA],$F177)</f>
        <v>-71858.02</v>
      </c>
      <c r="Q177" s="4">
        <f>SUMIFS(Tab_10.Out[SALDO
ATUAL],Tab_10.Out[CONTA],$F177)</f>
        <v>-96875.26</v>
      </c>
      <c r="R177" s="4">
        <f>SUMIFS(Tab_11.Nov[SALDO
ATUAL],Tab_11.Nov[CONTA],$F177)</f>
        <v>-96875.26</v>
      </c>
      <c r="S177" s="4">
        <f>SUMIFS(Tab_12.Dez[SALDO
ATUAL],Tab_12.Dez[CONTA],$F177)</f>
        <v>-97098.1</v>
      </c>
    </row>
    <row r="178" spans="2:19" x14ac:dyDescent="0.3">
      <c r="B178" s="3"/>
      <c r="C178" s="2" t="str">
        <f t="shared" si="11"/>
        <v>R</v>
      </c>
      <c r="D178" s="2" t="str">
        <f t="shared" si="9"/>
        <v>S</v>
      </c>
      <c r="E178" s="2">
        <f t="shared" si="10"/>
        <v>2</v>
      </c>
      <c r="F178" s="3" t="s">
        <v>582</v>
      </c>
      <c r="G178" s="3" t="s">
        <v>688</v>
      </c>
      <c r="H178" s="4">
        <f>SUMIFS(Tab_01.Jan[SALDO
ATUAL],Tab_01.Jan[CONTA],$F178)</f>
        <v>-203029.53</v>
      </c>
      <c r="I178" s="4">
        <f>SUMIFS(Tab_02.Fev[SALDO
ATUAL],Tab_02.Fev[CONTA],$F178)</f>
        <v>-203029.55</v>
      </c>
      <c r="J178" s="4">
        <f>SUMIFS(Tab_03.Mar[SALDO
ATUAL],Tab_03.Mar[CONTA],$F178)</f>
        <v>-728285.16</v>
      </c>
      <c r="K178" s="4">
        <f>SUMIFS(Tab_04.Abr[SALDO
ATUAL],Tab_04.Abr[CONTA],$F178)</f>
        <v>-703557.92</v>
      </c>
      <c r="L178" s="4">
        <f>SUMIFS(Tab_05.Mai[SALDO
ATUAL],Tab_05.Mai[CONTA],$F178)</f>
        <v>-1029792.96</v>
      </c>
      <c r="M178" s="4">
        <f>SUMIFS(Tab_06.Jun[SALDO
ATUAL],Tab_06.Jun[CONTA],$F178)</f>
        <v>-1668493.84</v>
      </c>
      <c r="N178" s="4">
        <f>SUMIFS(Tab_07.Jul[SALDO
ATUAL],Tab_07.Jul[CONTA],$F178)</f>
        <v>-1668493.84</v>
      </c>
      <c r="O178" s="4">
        <f>SUMIFS(Tab_08.Ago[SALDO
ATUAL],Tab_08.Ago[CONTA],$F178)</f>
        <v>-1668493.84</v>
      </c>
      <c r="P178" s="4">
        <f>SUMIFS(Tab_09.Set[SALDO
ATUAL],Tab_09.Set[CONTA],$F178)</f>
        <v>-2201301.2200000002</v>
      </c>
      <c r="Q178" s="4">
        <f>SUMIFS(Tab_10.Out[SALDO
ATUAL],Tab_10.Out[CONTA],$F178)</f>
        <v>-2414927.98</v>
      </c>
      <c r="R178" s="4">
        <f>SUMIFS(Tab_11.Nov[SALDO
ATUAL],Tab_11.Nov[CONTA],$F178)</f>
        <v>-2748291.79</v>
      </c>
      <c r="S178" s="4">
        <f>SUMIFS(Tab_12.Dez[SALDO
ATUAL],Tab_12.Dez[CONTA],$F178)</f>
        <v>-2654904.5299999998</v>
      </c>
    </row>
    <row r="179" spans="2:19" x14ac:dyDescent="0.3">
      <c r="B179" s="3"/>
      <c r="C179" s="2" t="str">
        <f t="shared" si="11"/>
        <v>R</v>
      </c>
      <c r="D179" s="2" t="str">
        <f t="shared" si="9"/>
        <v>S</v>
      </c>
      <c r="E179" s="2">
        <f t="shared" si="10"/>
        <v>5</v>
      </c>
      <c r="F179" s="3" t="s">
        <v>583</v>
      </c>
      <c r="G179" s="3" t="s">
        <v>689</v>
      </c>
      <c r="H179" s="4">
        <f>SUMIFS(Tab_01.Jan[SALDO
ATUAL],Tab_01.Jan[CONTA],$F179)</f>
        <v>-0.05</v>
      </c>
      <c r="I179" s="4">
        <f>SUMIFS(Tab_02.Fev[SALDO
ATUAL],Tab_02.Fev[CONTA],$F179)</f>
        <v>-7.0000000000000007E-2</v>
      </c>
      <c r="J179" s="4">
        <f>SUMIFS(Tab_03.Mar[SALDO
ATUAL],Tab_03.Mar[CONTA],$F179)</f>
        <v>-73.3</v>
      </c>
      <c r="K179" s="4">
        <f>SUMIFS(Tab_04.Abr[SALDO
ATUAL],Tab_04.Abr[CONTA],$F179)</f>
        <v>-73.349999999999994</v>
      </c>
      <c r="L179" s="4">
        <f>SUMIFS(Tab_05.Mai[SALDO
ATUAL],Tab_05.Mai[CONTA],$F179)</f>
        <v>-73.42</v>
      </c>
      <c r="M179" s="4">
        <f>SUMIFS(Tab_06.Jun[SALDO
ATUAL],Tab_06.Jun[CONTA],$F179)</f>
        <v>-73.459999999999994</v>
      </c>
      <c r="N179" s="4">
        <f>SUMIFS(Tab_07.Jul[SALDO
ATUAL],Tab_07.Jul[CONTA],$F179)</f>
        <v>-73.459999999999994</v>
      </c>
      <c r="O179" s="4">
        <f>SUMIFS(Tab_08.Ago[SALDO
ATUAL],Tab_08.Ago[CONTA],$F179)</f>
        <v>-73.459999999999994</v>
      </c>
      <c r="P179" s="4">
        <f>SUMIFS(Tab_09.Set[SALDO
ATUAL],Tab_09.Set[CONTA],$F179)</f>
        <v>-673.54</v>
      </c>
      <c r="Q179" s="4">
        <f>SUMIFS(Tab_10.Out[SALDO
ATUAL],Tab_10.Out[CONTA],$F179)</f>
        <v>-673.54</v>
      </c>
      <c r="R179" s="4">
        <f>SUMIFS(Tab_11.Nov[SALDO
ATUAL],Tab_11.Nov[CONTA],$F179)</f>
        <v>-2008.76</v>
      </c>
      <c r="S179" s="4">
        <f>SUMIFS(Tab_12.Dez[SALDO
ATUAL],Tab_12.Dez[CONTA],$F179)</f>
        <v>-2008.77</v>
      </c>
    </row>
    <row r="180" spans="2:19" x14ac:dyDescent="0.3">
      <c r="B180" s="3"/>
      <c r="C180" s="2" t="str">
        <f t="shared" si="11"/>
        <v>R</v>
      </c>
      <c r="D180" s="2" t="str">
        <f t="shared" si="9"/>
        <v>S</v>
      </c>
      <c r="E180" s="2">
        <f t="shared" si="10"/>
        <v>5</v>
      </c>
      <c r="F180" s="3" t="s">
        <v>584</v>
      </c>
      <c r="G180" s="3" t="s">
        <v>689</v>
      </c>
      <c r="H180" s="4">
        <f>SUMIFS(Tab_01.Jan[SALDO
ATUAL],Tab_01.Jan[CONTA],$F180)</f>
        <v>-0.05</v>
      </c>
      <c r="I180" s="4">
        <f>SUMIFS(Tab_02.Fev[SALDO
ATUAL],Tab_02.Fev[CONTA],$F180)</f>
        <v>-7.0000000000000007E-2</v>
      </c>
      <c r="J180" s="4">
        <f>SUMIFS(Tab_03.Mar[SALDO
ATUAL],Tab_03.Mar[CONTA],$F180)</f>
        <v>-73.3</v>
      </c>
      <c r="K180" s="4">
        <f>SUMIFS(Tab_04.Abr[SALDO
ATUAL],Tab_04.Abr[CONTA],$F180)</f>
        <v>-73.349999999999994</v>
      </c>
      <c r="L180" s="4">
        <f>SUMIFS(Tab_05.Mai[SALDO
ATUAL],Tab_05.Mai[CONTA],$F180)</f>
        <v>-73.42</v>
      </c>
      <c r="M180" s="4">
        <f>SUMIFS(Tab_06.Jun[SALDO
ATUAL],Tab_06.Jun[CONTA],$F180)</f>
        <v>-73.459999999999994</v>
      </c>
      <c r="N180" s="4">
        <f>SUMIFS(Tab_07.Jul[SALDO
ATUAL],Tab_07.Jul[CONTA],$F180)</f>
        <v>-73.459999999999994</v>
      </c>
      <c r="O180" s="4">
        <f>SUMIFS(Tab_08.Ago[SALDO
ATUAL],Tab_08.Ago[CONTA],$F180)</f>
        <v>-73.459999999999994</v>
      </c>
      <c r="P180" s="4">
        <f>SUMIFS(Tab_09.Set[SALDO
ATUAL],Tab_09.Set[CONTA],$F180)</f>
        <v>-673.54</v>
      </c>
      <c r="Q180" s="4">
        <f>SUMIFS(Tab_10.Out[SALDO
ATUAL],Tab_10.Out[CONTA],$F180)</f>
        <v>-673.54</v>
      </c>
      <c r="R180" s="4">
        <f>SUMIFS(Tab_11.Nov[SALDO
ATUAL],Tab_11.Nov[CONTA],$F180)</f>
        <v>-2008.76</v>
      </c>
      <c r="S180" s="4">
        <f>SUMIFS(Tab_12.Dez[SALDO
ATUAL],Tab_12.Dez[CONTA],$F180)</f>
        <v>-2008.77</v>
      </c>
    </row>
    <row r="181" spans="2:19" x14ac:dyDescent="0.3">
      <c r="B181" s="3" t="s">
        <v>71</v>
      </c>
      <c r="C181" s="2" t="str">
        <f t="shared" si="11"/>
        <v>R</v>
      </c>
      <c r="D181" s="2" t="str">
        <f t="shared" si="9"/>
        <v>A</v>
      </c>
      <c r="E181" s="2">
        <f t="shared" si="10"/>
        <v>5</v>
      </c>
      <c r="F181" s="3" t="s">
        <v>391</v>
      </c>
      <c r="G181" s="3" t="s">
        <v>392</v>
      </c>
      <c r="H181" s="4">
        <f>SUMIFS(Tab_01.Jan[SALDO
ATUAL],Tab_01.Jan[CONTA],$F181)</f>
        <v>-0.05</v>
      </c>
      <c r="I181" s="4">
        <f>SUMIFS(Tab_02.Fev[SALDO
ATUAL],Tab_02.Fev[CONTA],$F181)</f>
        <v>-7.0000000000000007E-2</v>
      </c>
      <c r="J181" s="4">
        <f>SUMIFS(Tab_03.Mar[SALDO
ATUAL],Tab_03.Mar[CONTA],$F181)</f>
        <v>-73.3</v>
      </c>
      <c r="K181" s="4">
        <f>SUMIFS(Tab_04.Abr[SALDO
ATUAL],Tab_04.Abr[CONTA],$F181)</f>
        <v>-73.349999999999994</v>
      </c>
      <c r="L181" s="4">
        <f>SUMIFS(Tab_05.Mai[SALDO
ATUAL],Tab_05.Mai[CONTA],$F181)</f>
        <v>-73.42</v>
      </c>
      <c r="M181" s="4">
        <f>SUMIFS(Tab_06.Jun[SALDO
ATUAL],Tab_06.Jun[CONTA],$F181)</f>
        <v>-73.459999999999994</v>
      </c>
      <c r="N181" s="4">
        <f>SUMIFS(Tab_07.Jul[SALDO
ATUAL],Tab_07.Jul[CONTA],$F181)</f>
        <v>-73.459999999999994</v>
      </c>
      <c r="O181" s="4">
        <f>SUMIFS(Tab_08.Ago[SALDO
ATUAL],Tab_08.Ago[CONTA],$F181)</f>
        <v>-73.459999999999994</v>
      </c>
      <c r="P181" s="4">
        <f>SUMIFS(Tab_09.Set[SALDO
ATUAL],Tab_09.Set[CONTA],$F181)</f>
        <v>-673.54</v>
      </c>
      <c r="Q181" s="4">
        <f>SUMIFS(Tab_10.Out[SALDO
ATUAL],Tab_10.Out[CONTA],$F181)</f>
        <v>-673.54</v>
      </c>
      <c r="R181" s="4">
        <f>SUMIFS(Tab_11.Nov[SALDO
ATUAL],Tab_11.Nov[CONTA],$F181)</f>
        <v>-2008.76</v>
      </c>
      <c r="S181" s="4">
        <f>SUMIFS(Tab_12.Dez[SALDO
ATUAL],Tab_12.Dez[CONTA],$F181)</f>
        <v>-2008.77</v>
      </c>
    </row>
    <row r="182" spans="2:19" x14ac:dyDescent="0.3">
      <c r="B182" s="3"/>
      <c r="C182" s="2" t="str">
        <f t="shared" si="11"/>
        <v>R</v>
      </c>
      <c r="D182" s="2" t="str">
        <f t="shared" si="9"/>
        <v>S</v>
      </c>
      <c r="E182" s="2">
        <f t="shared" si="10"/>
        <v>5</v>
      </c>
      <c r="F182" s="3" t="s">
        <v>585</v>
      </c>
      <c r="G182" s="3" t="s">
        <v>690</v>
      </c>
      <c r="H182" s="4">
        <f>SUMIFS(Tab_01.Jan[SALDO
ATUAL],Tab_01.Jan[CONTA],$F182)</f>
        <v>-203029.48</v>
      </c>
      <c r="I182" s="4">
        <f>SUMIFS(Tab_02.Fev[SALDO
ATUAL],Tab_02.Fev[CONTA],$F182)</f>
        <v>-203029.48</v>
      </c>
      <c r="J182" s="4">
        <f>SUMIFS(Tab_03.Mar[SALDO
ATUAL],Tab_03.Mar[CONTA],$F182)</f>
        <v>-728211.86</v>
      </c>
      <c r="K182" s="4">
        <f>SUMIFS(Tab_04.Abr[SALDO
ATUAL],Tab_04.Abr[CONTA],$F182)</f>
        <v>-703484.57</v>
      </c>
      <c r="L182" s="4">
        <f>SUMIFS(Tab_05.Mai[SALDO
ATUAL],Tab_05.Mai[CONTA],$F182)</f>
        <v>-1029719.54</v>
      </c>
      <c r="M182" s="4">
        <f>SUMIFS(Tab_06.Jun[SALDO
ATUAL],Tab_06.Jun[CONTA],$F182)</f>
        <v>-1668420.38</v>
      </c>
      <c r="N182" s="4">
        <f>SUMIFS(Tab_07.Jul[SALDO
ATUAL],Tab_07.Jul[CONTA],$F182)</f>
        <v>-1668420.38</v>
      </c>
      <c r="O182" s="4">
        <f>SUMIFS(Tab_08.Ago[SALDO
ATUAL],Tab_08.Ago[CONTA],$F182)</f>
        <v>-1668420.38</v>
      </c>
      <c r="P182" s="4">
        <f>SUMIFS(Tab_09.Set[SALDO
ATUAL],Tab_09.Set[CONTA],$F182)</f>
        <v>-2200627.6800000002</v>
      </c>
      <c r="Q182" s="4">
        <f>SUMIFS(Tab_10.Out[SALDO
ATUAL],Tab_10.Out[CONTA],$F182)</f>
        <v>-2414254.44</v>
      </c>
      <c r="R182" s="4">
        <f>SUMIFS(Tab_11.Nov[SALDO
ATUAL],Tab_11.Nov[CONTA],$F182)</f>
        <v>-2746283.03</v>
      </c>
      <c r="S182" s="4">
        <f>SUMIFS(Tab_12.Dez[SALDO
ATUAL],Tab_12.Dez[CONTA],$F182)</f>
        <v>-2652895.7599999998</v>
      </c>
    </row>
    <row r="183" spans="2:19" x14ac:dyDescent="0.3">
      <c r="B183" s="3"/>
      <c r="C183" s="2" t="str">
        <f t="shared" si="11"/>
        <v>R</v>
      </c>
      <c r="D183" s="2" t="str">
        <f t="shared" si="9"/>
        <v>S</v>
      </c>
      <c r="E183" s="2">
        <f t="shared" si="10"/>
        <v>5</v>
      </c>
      <c r="F183" s="3" t="s">
        <v>586</v>
      </c>
      <c r="G183" s="3" t="s">
        <v>394</v>
      </c>
      <c r="H183" s="4">
        <f>SUMIFS(Tab_01.Jan[SALDO
ATUAL],Tab_01.Jan[CONTA],$F183)</f>
        <v>-203029.48</v>
      </c>
      <c r="I183" s="4">
        <f>SUMIFS(Tab_02.Fev[SALDO
ATUAL],Tab_02.Fev[CONTA],$F183)</f>
        <v>-203029.48</v>
      </c>
      <c r="J183" s="4">
        <f>SUMIFS(Tab_03.Mar[SALDO
ATUAL],Tab_03.Mar[CONTA],$F183)</f>
        <v>-728211.86</v>
      </c>
      <c r="K183" s="4">
        <f>SUMIFS(Tab_04.Abr[SALDO
ATUAL],Tab_04.Abr[CONTA],$F183)</f>
        <v>-703484.57</v>
      </c>
      <c r="L183" s="4">
        <f>SUMIFS(Tab_05.Mai[SALDO
ATUAL],Tab_05.Mai[CONTA],$F183)</f>
        <v>-1029719.54</v>
      </c>
      <c r="M183" s="4">
        <f>SUMIFS(Tab_06.Jun[SALDO
ATUAL],Tab_06.Jun[CONTA],$F183)</f>
        <v>-1668420.38</v>
      </c>
      <c r="N183" s="4">
        <f>SUMIFS(Tab_07.Jul[SALDO
ATUAL],Tab_07.Jul[CONTA],$F183)</f>
        <v>-1668420.38</v>
      </c>
      <c r="O183" s="4">
        <f>SUMIFS(Tab_08.Ago[SALDO
ATUAL],Tab_08.Ago[CONTA],$F183)</f>
        <v>-1668420.38</v>
      </c>
      <c r="P183" s="4">
        <f>SUMIFS(Tab_09.Set[SALDO
ATUAL],Tab_09.Set[CONTA],$F183)</f>
        <v>-2200627.6800000002</v>
      </c>
      <c r="Q183" s="4">
        <f>SUMIFS(Tab_10.Out[SALDO
ATUAL],Tab_10.Out[CONTA],$F183)</f>
        <v>-2414254.44</v>
      </c>
      <c r="R183" s="4">
        <f>SUMIFS(Tab_11.Nov[SALDO
ATUAL],Tab_11.Nov[CONTA],$F183)</f>
        <v>-2746283.03</v>
      </c>
      <c r="S183" s="4">
        <f>SUMIFS(Tab_12.Dez[SALDO
ATUAL],Tab_12.Dez[CONTA],$F183)</f>
        <v>-2652895.7599999998</v>
      </c>
    </row>
    <row r="184" spans="2:19" x14ac:dyDescent="0.3">
      <c r="B184" s="3" t="s">
        <v>71</v>
      </c>
      <c r="C184" s="2" t="str">
        <f t="shared" si="11"/>
        <v>R</v>
      </c>
      <c r="D184" s="2" t="str">
        <f t="shared" si="9"/>
        <v>A</v>
      </c>
      <c r="E184" s="2">
        <f t="shared" si="10"/>
        <v>5</v>
      </c>
      <c r="F184" s="3" t="s">
        <v>393</v>
      </c>
      <c r="G184" s="3" t="s">
        <v>394</v>
      </c>
      <c r="H184" s="4">
        <f>SUMIFS(Tab_01.Jan[SALDO
ATUAL],Tab_01.Jan[CONTA],$F184)</f>
        <v>-203029.48</v>
      </c>
      <c r="I184" s="4">
        <f>SUMIFS(Tab_02.Fev[SALDO
ATUAL],Tab_02.Fev[CONTA],$F184)</f>
        <v>-203029.48</v>
      </c>
      <c r="J184" s="4">
        <f>SUMIFS(Tab_03.Mar[SALDO
ATUAL],Tab_03.Mar[CONTA],$F184)</f>
        <v>-728211.86</v>
      </c>
      <c r="K184" s="4">
        <f>SUMIFS(Tab_04.Abr[SALDO
ATUAL],Tab_04.Abr[CONTA],$F184)</f>
        <v>-703484.57</v>
      </c>
      <c r="L184" s="4">
        <f>SUMIFS(Tab_05.Mai[SALDO
ATUAL],Tab_05.Mai[CONTA],$F184)</f>
        <v>-1029719.54</v>
      </c>
      <c r="M184" s="4">
        <f>SUMIFS(Tab_06.Jun[SALDO
ATUAL],Tab_06.Jun[CONTA],$F184)</f>
        <v>-1668420.38</v>
      </c>
      <c r="N184" s="4">
        <f>SUMIFS(Tab_07.Jul[SALDO
ATUAL],Tab_07.Jul[CONTA],$F184)</f>
        <v>-1668420.38</v>
      </c>
      <c r="O184" s="4">
        <f>SUMIFS(Tab_08.Ago[SALDO
ATUAL],Tab_08.Ago[CONTA],$F184)</f>
        <v>-1668420.38</v>
      </c>
      <c r="P184" s="4">
        <f>SUMIFS(Tab_09.Set[SALDO
ATUAL],Tab_09.Set[CONTA],$F184)</f>
        <v>-2200627.6800000002</v>
      </c>
      <c r="Q184" s="4">
        <f>SUMIFS(Tab_10.Out[SALDO
ATUAL],Tab_10.Out[CONTA],$F184)</f>
        <v>-2414254.44</v>
      </c>
      <c r="R184" s="4">
        <f>SUMIFS(Tab_11.Nov[SALDO
ATUAL],Tab_11.Nov[CONTA],$F184)</f>
        <v>-2746283.03</v>
      </c>
      <c r="S184" s="4">
        <f>SUMIFS(Tab_12.Dez[SALDO
ATUAL],Tab_12.Dez[CONTA],$F184)</f>
        <v>-2652895.7599999998</v>
      </c>
    </row>
    <row r="185" spans="2:19" x14ac:dyDescent="0.3">
      <c r="B185" s="3"/>
      <c r="C185" s="2" t="str">
        <f t="shared" si="11"/>
        <v>R</v>
      </c>
      <c r="D185" s="2" t="str">
        <f t="shared" ref="D185:D267" si="12">IF($F185="","",IF(LEN($F185)=13,"A","S"))</f>
        <v>S</v>
      </c>
      <c r="E185" s="2">
        <f t="shared" ref="E185:E267" si="13">IF($F185="","",IF(LEN($F185)=1,1,IF(LEN($F185)=3,2,IF(LEN($F185)=5,3,IF(LEN($F185)=8,4,5)))))</f>
        <v>2</v>
      </c>
      <c r="F185" s="3" t="s">
        <v>587</v>
      </c>
      <c r="G185" s="3" t="s">
        <v>691</v>
      </c>
      <c r="H185" s="4">
        <f>SUMIFS(Tab_01.Jan[SALDO
ATUAL],Tab_01.Jan[CONTA],$F185)</f>
        <v>-50</v>
      </c>
      <c r="I185" s="4">
        <f>SUMIFS(Tab_02.Fev[SALDO
ATUAL],Tab_02.Fev[CONTA],$F185)</f>
        <v>-700</v>
      </c>
      <c r="J185" s="4">
        <f>SUMIFS(Tab_03.Mar[SALDO
ATUAL],Tab_03.Mar[CONTA],$F185)</f>
        <v>-2700</v>
      </c>
      <c r="K185" s="4">
        <f>SUMIFS(Tab_04.Abr[SALDO
ATUAL],Tab_04.Abr[CONTA],$F185)</f>
        <v>-5000</v>
      </c>
      <c r="L185" s="4">
        <f>SUMIFS(Tab_05.Mai[SALDO
ATUAL],Tab_05.Mai[CONTA],$F185)</f>
        <v>-5500</v>
      </c>
      <c r="M185" s="4">
        <f>SUMIFS(Tab_06.Jun[SALDO
ATUAL],Tab_06.Jun[CONTA],$F185)</f>
        <v>-7450</v>
      </c>
      <c r="N185" s="4">
        <f>SUMIFS(Tab_07.Jul[SALDO
ATUAL],Tab_07.Jul[CONTA],$F185)</f>
        <v>-7450</v>
      </c>
      <c r="O185" s="4">
        <f>SUMIFS(Tab_08.Ago[SALDO
ATUAL],Tab_08.Ago[CONTA],$F185)</f>
        <v>-7450</v>
      </c>
      <c r="P185" s="4">
        <f>SUMIFS(Tab_09.Set[SALDO
ATUAL],Tab_09.Set[CONTA],$F185)</f>
        <v>-7450</v>
      </c>
      <c r="Q185" s="4">
        <f>SUMIFS(Tab_10.Out[SALDO
ATUAL],Tab_10.Out[CONTA],$F185)</f>
        <v>-7450</v>
      </c>
      <c r="R185" s="4">
        <f>SUMIFS(Tab_11.Nov[SALDO
ATUAL],Tab_11.Nov[CONTA],$F185)</f>
        <v>-7450</v>
      </c>
      <c r="S185" s="4">
        <f>SUMIFS(Tab_12.Dez[SALDO
ATUAL],Tab_12.Dez[CONTA],$F185)</f>
        <v>-7450</v>
      </c>
    </row>
    <row r="186" spans="2:19" x14ac:dyDescent="0.3">
      <c r="B186" s="3"/>
      <c r="C186" s="2" t="str">
        <f t="shared" si="11"/>
        <v>R</v>
      </c>
      <c r="D186" s="2" t="str">
        <f t="shared" si="12"/>
        <v>S</v>
      </c>
      <c r="E186" s="2">
        <f t="shared" si="13"/>
        <v>5</v>
      </c>
      <c r="F186" s="3" t="s">
        <v>588</v>
      </c>
      <c r="G186" s="3" t="s">
        <v>692</v>
      </c>
      <c r="H186" s="4">
        <f>SUMIFS(Tab_01.Jan[SALDO
ATUAL],Tab_01.Jan[CONTA],$F186)</f>
        <v>-50</v>
      </c>
      <c r="I186" s="4">
        <f>SUMIFS(Tab_02.Fev[SALDO
ATUAL],Tab_02.Fev[CONTA],$F186)</f>
        <v>-700</v>
      </c>
      <c r="J186" s="4">
        <f>SUMIFS(Tab_03.Mar[SALDO
ATUAL],Tab_03.Mar[CONTA],$F186)</f>
        <v>-2700</v>
      </c>
      <c r="K186" s="4">
        <f>SUMIFS(Tab_04.Abr[SALDO
ATUAL],Tab_04.Abr[CONTA],$F186)</f>
        <v>-5000</v>
      </c>
      <c r="L186" s="4">
        <f>SUMIFS(Tab_05.Mai[SALDO
ATUAL],Tab_05.Mai[CONTA],$F186)</f>
        <v>-5500</v>
      </c>
      <c r="M186" s="4">
        <f>SUMIFS(Tab_06.Jun[SALDO
ATUAL],Tab_06.Jun[CONTA],$F186)</f>
        <v>-7450</v>
      </c>
      <c r="N186" s="4">
        <f>SUMIFS(Tab_07.Jul[SALDO
ATUAL],Tab_07.Jul[CONTA],$F186)</f>
        <v>-7450</v>
      </c>
      <c r="O186" s="4">
        <f>SUMIFS(Tab_08.Ago[SALDO
ATUAL],Tab_08.Ago[CONTA],$F186)</f>
        <v>-7450</v>
      </c>
      <c r="P186" s="4">
        <f>SUMIFS(Tab_09.Set[SALDO
ATUAL],Tab_09.Set[CONTA],$F186)</f>
        <v>-7450</v>
      </c>
      <c r="Q186" s="4">
        <f>SUMIFS(Tab_10.Out[SALDO
ATUAL],Tab_10.Out[CONTA],$F186)</f>
        <v>-7450</v>
      </c>
      <c r="R186" s="4">
        <f>SUMIFS(Tab_11.Nov[SALDO
ATUAL],Tab_11.Nov[CONTA],$F186)</f>
        <v>-7450</v>
      </c>
      <c r="S186" s="4">
        <f>SUMIFS(Tab_12.Dez[SALDO
ATUAL],Tab_12.Dez[CONTA],$F186)</f>
        <v>-7450</v>
      </c>
    </row>
    <row r="187" spans="2:19" x14ac:dyDescent="0.3">
      <c r="B187" s="3"/>
      <c r="C187" s="2" t="str">
        <f t="shared" si="11"/>
        <v>R</v>
      </c>
      <c r="D187" s="2" t="str">
        <f>IF($F187="","",IF(LEN($F187)=13,"A","S"))</f>
        <v>S</v>
      </c>
      <c r="E187" s="2">
        <f>IF($F187="","",IF(LEN($F187)=1,1,IF(LEN($F187)=3,2,IF(LEN($F187)=5,3,IF(LEN($F187)=8,4,5)))))</f>
        <v>5</v>
      </c>
      <c r="F187" s="3" t="s">
        <v>589</v>
      </c>
      <c r="G187" s="3" t="s">
        <v>692</v>
      </c>
      <c r="H187" s="4">
        <f>SUMIFS(Tab_01.Jan[SALDO
ATUAL],Tab_01.Jan[CONTA],$F187)</f>
        <v>-50</v>
      </c>
      <c r="I187" s="4">
        <f>SUMIFS(Tab_02.Fev[SALDO
ATUAL],Tab_02.Fev[CONTA],$F187)</f>
        <v>-700</v>
      </c>
      <c r="J187" s="4">
        <f>SUMIFS(Tab_03.Mar[SALDO
ATUAL],Tab_03.Mar[CONTA],$F187)</f>
        <v>-2700</v>
      </c>
      <c r="K187" s="4">
        <f>SUMIFS(Tab_04.Abr[SALDO
ATUAL],Tab_04.Abr[CONTA],$F187)</f>
        <v>-5000</v>
      </c>
      <c r="L187" s="4">
        <f>SUMIFS(Tab_05.Mai[SALDO
ATUAL],Tab_05.Mai[CONTA],$F187)</f>
        <v>-5500</v>
      </c>
      <c r="M187" s="4">
        <f>SUMIFS(Tab_06.Jun[SALDO
ATUAL],Tab_06.Jun[CONTA],$F187)</f>
        <v>-7450</v>
      </c>
      <c r="N187" s="4">
        <f>SUMIFS(Tab_07.Jul[SALDO
ATUAL],Tab_07.Jul[CONTA],$F187)</f>
        <v>-7450</v>
      </c>
      <c r="O187" s="4">
        <f>SUMIFS(Tab_08.Ago[SALDO
ATUAL],Tab_08.Ago[CONTA],$F187)</f>
        <v>-7450</v>
      </c>
      <c r="P187" s="4">
        <f>SUMIFS(Tab_09.Set[SALDO
ATUAL],Tab_09.Set[CONTA],$F187)</f>
        <v>-7450</v>
      </c>
      <c r="Q187" s="4">
        <f>SUMIFS(Tab_10.Out[SALDO
ATUAL],Tab_10.Out[CONTA],$F187)</f>
        <v>-7450</v>
      </c>
      <c r="R187" s="4">
        <f>SUMIFS(Tab_11.Nov[SALDO
ATUAL],Tab_11.Nov[CONTA],$F187)</f>
        <v>-7450</v>
      </c>
      <c r="S187" s="4">
        <f>SUMIFS(Tab_12.Dez[SALDO
ATUAL],Tab_12.Dez[CONTA],$F187)</f>
        <v>-7450</v>
      </c>
    </row>
    <row r="188" spans="2:19" x14ac:dyDescent="0.3">
      <c r="B188" s="3" t="s">
        <v>101</v>
      </c>
      <c r="C188" s="2" t="str">
        <f t="shared" si="11"/>
        <v>R</v>
      </c>
      <c r="D188" s="2" t="str">
        <f t="shared" si="12"/>
        <v>A</v>
      </c>
      <c r="E188" s="2">
        <f t="shared" si="13"/>
        <v>5</v>
      </c>
      <c r="F188" s="3" t="s">
        <v>395</v>
      </c>
      <c r="G188" s="3" t="s">
        <v>396</v>
      </c>
      <c r="H188" s="4">
        <f>SUMIFS(Tab_01.Jan[SALDO
ATUAL],Tab_01.Jan[CONTA],$F188)</f>
        <v>-50</v>
      </c>
      <c r="I188" s="4">
        <f>SUMIFS(Tab_02.Fev[SALDO
ATUAL],Tab_02.Fev[CONTA],$F188)</f>
        <v>-700</v>
      </c>
      <c r="J188" s="4">
        <f>SUMIFS(Tab_03.Mar[SALDO
ATUAL],Tab_03.Mar[CONTA],$F188)</f>
        <v>-2700</v>
      </c>
      <c r="K188" s="4">
        <f>SUMIFS(Tab_04.Abr[SALDO
ATUAL],Tab_04.Abr[CONTA],$F188)</f>
        <v>-5000</v>
      </c>
      <c r="L188" s="4">
        <f>SUMIFS(Tab_05.Mai[SALDO
ATUAL],Tab_05.Mai[CONTA],$F188)</f>
        <v>-5500</v>
      </c>
      <c r="M188" s="4">
        <f>SUMIFS(Tab_06.Jun[SALDO
ATUAL],Tab_06.Jun[CONTA],$F188)</f>
        <v>-7450</v>
      </c>
      <c r="N188" s="4">
        <f>SUMIFS(Tab_07.Jul[SALDO
ATUAL],Tab_07.Jul[CONTA],$F188)</f>
        <v>-7450</v>
      </c>
      <c r="O188" s="4">
        <f>SUMIFS(Tab_08.Ago[SALDO
ATUAL],Tab_08.Ago[CONTA],$F188)</f>
        <v>-7450</v>
      </c>
      <c r="P188" s="4">
        <f>SUMIFS(Tab_09.Set[SALDO
ATUAL],Tab_09.Set[CONTA],$F188)</f>
        <v>-7450</v>
      </c>
      <c r="Q188" s="4">
        <f>SUMIFS(Tab_10.Out[SALDO
ATUAL],Tab_10.Out[CONTA],$F188)</f>
        <v>-7450</v>
      </c>
      <c r="R188" s="4">
        <f>SUMIFS(Tab_11.Nov[SALDO
ATUAL],Tab_11.Nov[CONTA],$F188)</f>
        <v>-7450</v>
      </c>
      <c r="S188" s="4">
        <f>SUMIFS(Tab_12.Dez[SALDO
ATUAL],Tab_12.Dez[CONTA],$F188)</f>
        <v>-7450</v>
      </c>
    </row>
    <row r="189" spans="2:19" x14ac:dyDescent="0.3">
      <c r="B189" s="3"/>
      <c r="C189" s="2" t="str">
        <f t="shared" si="11"/>
        <v>C</v>
      </c>
      <c r="D189" s="2" t="str">
        <f t="shared" si="12"/>
        <v>S</v>
      </c>
      <c r="E189" s="2">
        <f t="shared" si="13"/>
        <v>1</v>
      </c>
      <c r="F189" s="3">
        <v>4</v>
      </c>
      <c r="G189" s="3" t="s">
        <v>693</v>
      </c>
      <c r="H189" s="4">
        <f>SUMIFS(Tab_01.Jan[SALDO
ATUAL],Tab_01.Jan[CONTA],$F189)</f>
        <v>978219.9</v>
      </c>
      <c r="I189" s="4">
        <f>SUMIFS(Tab_02.Fev[SALDO
ATUAL],Tab_02.Fev[CONTA],$F189)</f>
        <v>1204827.3899999999</v>
      </c>
      <c r="J189" s="4">
        <f>SUMIFS(Tab_03.Mar[SALDO
ATUAL],Tab_03.Mar[CONTA],$F189)</f>
        <v>2708358.79</v>
      </c>
      <c r="K189" s="4">
        <f>SUMIFS(Tab_04.Abr[SALDO
ATUAL],Tab_04.Abr[CONTA],$F189)</f>
        <v>3542076.38</v>
      </c>
      <c r="L189" s="4">
        <f>SUMIFS(Tab_05.Mai[SALDO
ATUAL],Tab_05.Mai[CONTA],$F189)</f>
        <v>4392703.8899999997</v>
      </c>
      <c r="M189" s="4">
        <f>SUMIFS(Tab_06.Jun[SALDO
ATUAL],Tab_06.Jun[CONTA],$F189)</f>
        <v>5754644.9500000002</v>
      </c>
      <c r="N189" s="4">
        <f>SUMIFS(Tab_07.Jul[SALDO
ATUAL],Tab_07.Jul[CONTA],$F189)</f>
        <v>5754644.9500000002</v>
      </c>
      <c r="O189" s="4">
        <f>SUMIFS(Tab_08.Ago[SALDO
ATUAL],Tab_08.Ago[CONTA],$F189)</f>
        <v>5754644.9500000002</v>
      </c>
      <c r="P189" s="4">
        <f>SUMIFS(Tab_09.Set[SALDO
ATUAL],Tab_09.Set[CONTA],$F189)</f>
        <v>7300022.0700000003</v>
      </c>
      <c r="Q189" s="4">
        <f>SUMIFS(Tab_10.Out[SALDO
ATUAL],Tab_10.Out[CONTA],$F189)</f>
        <v>8240865.1500000004</v>
      </c>
      <c r="R189" s="4">
        <f>SUMIFS(Tab_11.Nov[SALDO
ATUAL],Tab_11.Nov[CONTA],$F189)</f>
        <v>8701775.5600000005</v>
      </c>
      <c r="S189" s="4">
        <f>SUMIFS(Tab_12.Dez[SALDO
ATUAL],Tab_12.Dez[CONTA],$F189)</f>
        <v>10313961.67</v>
      </c>
    </row>
    <row r="190" spans="2:19" x14ac:dyDescent="0.3">
      <c r="B190" s="3"/>
      <c r="C190" s="2" t="str">
        <f t="shared" si="11"/>
        <v>C</v>
      </c>
      <c r="D190" s="2" t="str">
        <f t="shared" si="12"/>
        <v>S</v>
      </c>
      <c r="E190" s="2">
        <f t="shared" si="13"/>
        <v>2</v>
      </c>
      <c r="F190" s="3" t="s">
        <v>234</v>
      </c>
      <c r="G190" s="3" t="s">
        <v>694</v>
      </c>
      <c r="H190" s="4">
        <f>SUMIFS(Tab_01.Jan[SALDO
ATUAL],Tab_01.Jan[CONTA],$F190)</f>
        <v>978219.9</v>
      </c>
      <c r="I190" s="4">
        <f>SUMIFS(Tab_02.Fev[SALDO
ATUAL],Tab_02.Fev[CONTA],$F190)</f>
        <v>1204827.3899999999</v>
      </c>
      <c r="J190" s="4">
        <f>SUMIFS(Tab_03.Mar[SALDO
ATUAL],Tab_03.Mar[CONTA],$F190)</f>
        <v>2708358.79</v>
      </c>
      <c r="K190" s="4">
        <f>SUMIFS(Tab_04.Abr[SALDO
ATUAL],Tab_04.Abr[CONTA],$F190)</f>
        <v>3542076.38</v>
      </c>
      <c r="L190" s="4">
        <f>SUMIFS(Tab_05.Mai[SALDO
ATUAL],Tab_05.Mai[CONTA],$F190)</f>
        <v>4392703.8899999997</v>
      </c>
      <c r="M190" s="4">
        <f>SUMIFS(Tab_06.Jun[SALDO
ATUAL],Tab_06.Jun[CONTA],$F190)</f>
        <v>5754644.9500000002</v>
      </c>
      <c r="N190" s="4">
        <f>SUMIFS(Tab_07.Jul[SALDO
ATUAL],Tab_07.Jul[CONTA],$F190)</f>
        <v>5754644.9500000002</v>
      </c>
      <c r="O190" s="4">
        <f>SUMIFS(Tab_08.Ago[SALDO
ATUAL],Tab_08.Ago[CONTA],$F190)</f>
        <v>5754644.9500000002</v>
      </c>
      <c r="P190" s="4">
        <f>SUMIFS(Tab_09.Set[SALDO
ATUAL],Tab_09.Set[CONTA],$F190)</f>
        <v>7300022.0700000003</v>
      </c>
      <c r="Q190" s="4">
        <f>SUMIFS(Tab_10.Out[SALDO
ATUAL],Tab_10.Out[CONTA],$F190)</f>
        <v>8240865.1500000004</v>
      </c>
      <c r="R190" s="4">
        <f>SUMIFS(Tab_11.Nov[SALDO
ATUAL],Tab_11.Nov[CONTA],$F190)</f>
        <v>8701775.5600000005</v>
      </c>
      <c r="S190" s="4">
        <f>SUMIFS(Tab_12.Dez[SALDO
ATUAL],Tab_12.Dez[CONTA],$F190)</f>
        <v>10313961.67</v>
      </c>
    </row>
    <row r="191" spans="2:19" x14ac:dyDescent="0.3">
      <c r="B191" s="3"/>
      <c r="C191" s="2" t="str">
        <f t="shared" si="11"/>
        <v>C</v>
      </c>
      <c r="D191" s="2" t="str">
        <f t="shared" si="12"/>
        <v>S</v>
      </c>
      <c r="E191" s="2">
        <f t="shared" si="13"/>
        <v>5</v>
      </c>
      <c r="F191" s="3" t="s">
        <v>235</v>
      </c>
      <c r="G191" s="3" t="s">
        <v>695</v>
      </c>
      <c r="H191" s="4">
        <f>SUMIFS(Tab_01.Jan[SALDO
ATUAL],Tab_01.Jan[CONTA],$F191)</f>
        <v>125780.71</v>
      </c>
      <c r="I191" s="4">
        <f>SUMIFS(Tab_02.Fev[SALDO
ATUAL],Tab_02.Fev[CONTA],$F191)</f>
        <v>175009.14</v>
      </c>
      <c r="J191" s="4">
        <f>SUMIFS(Tab_03.Mar[SALDO
ATUAL],Tab_03.Mar[CONTA],$F191)</f>
        <v>430740.91</v>
      </c>
      <c r="K191" s="4">
        <f>SUMIFS(Tab_04.Abr[SALDO
ATUAL],Tab_04.Abr[CONTA],$F191)</f>
        <v>605421.53</v>
      </c>
      <c r="L191" s="4">
        <f>SUMIFS(Tab_05.Mai[SALDO
ATUAL],Tab_05.Mai[CONTA],$F191)</f>
        <v>778560.52</v>
      </c>
      <c r="M191" s="4">
        <f>SUMIFS(Tab_06.Jun[SALDO
ATUAL],Tab_06.Jun[CONTA],$F191)</f>
        <v>1065211.75</v>
      </c>
      <c r="N191" s="4">
        <f>SUMIFS(Tab_07.Jul[SALDO
ATUAL],Tab_07.Jul[CONTA],$F191)</f>
        <v>1065211.75</v>
      </c>
      <c r="O191" s="4">
        <f>SUMIFS(Tab_08.Ago[SALDO
ATUAL],Tab_08.Ago[CONTA],$F191)</f>
        <v>1065211.75</v>
      </c>
      <c r="P191" s="4">
        <f>SUMIFS(Tab_09.Set[SALDO
ATUAL],Tab_09.Set[CONTA],$F191)</f>
        <v>1387446.3</v>
      </c>
      <c r="Q191" s="4">
        <f>SUMIFS(Tab_10.Out[SALDO
ATUAL],Tab_10.Out[CONTA],$F191)</f>
        <v>1524124.42</v>
      </c>
      <c r="R191" s="4">
        <f>SUMIFS(Tab_11.Nov[SALDO
ATUAL],Tab_11.Nov[CONTA],$F191)</f>
        <v>1687544.4</v>
      </c>
      <c r="S191" s="4">
        <f>SUMIFS(Tab_12.Dez[SALDO
ATUAL],Tab_12.Dez[CONTA],$F191)</f>
        <v>1845099.12</v>
      </c>
    </row>
    <row r="192" spans="2:19" x14ac:dyDescent="0.3">
      <c r="B192" s="3"/>
      <c r="C192" s="2" t="str">
        <f t="shared" si="11"/>
        <v>C</v>
      </c>
      <c r="D192" s="2" t="str">
        <f t="shared" si="12"/>
        <v>S</v>
      </c>
      <c r="E192" s="2">
        <f t="shared" si="13"/>
        <v>5</v>
      </c>
      <c r="F192" s="3" t="s">
        <v>236</v>
      </c>
      <c r="G192" s="3" t="s">
        <v>696</v>
      </c>
      <c r="H192" s="4">
        <f>SUMIFS(Tab_01.Jan[SALDO
ATUAL],Tab_01.Jan[CONTA],$F192)</f>
        <v>54534.01</v>
      </c>
      <c r="I192" s="4">
        <f>SUMIFS(Tab_02.Fev[SALDO
ATUAL],Tab_02.Fev[CONTA],$F192)</f>
        <v>54534.01</v>
      </c>
      <c r="J192" s="4">
        <f>SUMIFS(Tab_03.Mar[SALDO
ATUAL],Tab_03.Mar[CONTA],$F192)</f>
        <v>184999.1</v>
      </c>
      <c r="K192" s="4">
        <f>SUMIFS(Tab_04.Abr[SALDO
ATUAL],Tab_04.Abr[CONTA],$F192)</f>
        <v>269489.52</v>
      </c>
      <c r="L192" s="4">
        <f>SUMIFS(Tab_05.Mai[SALDO
ATUAL],Tab_05.Mai[CONTA],$F192)</f>
        <v>352529.93</v>
      </c>
      <c r="M192" s="4">
        <f>SUMIFS(Tab_06.Jun[SALDO
ATUAL],Tab_06.Jun[CONTA],$F192)</f>
        <v>477244.49</v>
      </c>
      <c r="N192" s="4">
        <f>SUMIFS(Tab_07.Jul[SALDO
ATUAL],Tab_07.Jul[CONTA],$F192)</f>
        <v>477244.49</v>
      </c>
      <c r="O192" s="4">
        <f>SUMIFS(Tab_08.Ago[SALDO
ATUAL],Tab_08.Ago[CONTA],$F192)</f>
        <v>477244.49</v>
      </c>
      <c r="P192" s="4">
        <f>SUMIFS(Tab_09.Set[SALDO
ATUAL],Tab_09.Set[CONTA],$F192)</f>
        <v>621104.32999999996</v>
      </c>
      <c r="Q192" s="4">
        <f>SUMIFS(Tab_10.Out[SALDO
ATUAL],Tab_10.Out[CONTA],$F192)</f>
        <v>685295.09</v>
      </c>
      <c r="R192" s="4">
        <f>SUMIFS(Tab_11.Nov[SALDO
ATUAL],Tab_11.Nov[CONTA],$F192)</f>
        <v>760522.57</v>
      </c>
      <c r="S192" s="4">
        <f>SUMIFS(Tab_12.Dez[SALDO
ATUAL],Tab_12.Dez[CONTA],$F192)</f>
        <v>844882.83</v>
      </c>
    </row>
    <row r="193" spans="2:19" x14ac:dyDescent="0.3">
      <c r="B193" s="3" t="s">
        <v>104</v>
      </c>
      <c r="C193" s="2" t="str">
        <f t="shared" si="11"/>
        <v>C</v>
      </c>
      <c r="D193" s="2" t="str">
        <f t="shared" si="12"/>
        <v>A</v>
      </c>
      <c r="E193" s="2">
        <f t="shared" si="13"/>
        <v>5</v>
      </c>
      <c r="F193" s="3" t="s">
        <v>195</v>
      </c>
      <c r="G193" s="3" t="s">
        <v>427</v>
      </c>
      <c r="H193" s="4">
        <f>SUMIFS(Tab_01.Jan[SALDO
ATUAL],Tab_01.Jan[CONTA],$F193)</f>
        <v>-9283.35</v>
      </c>
      <c r="I193" s="4">
        <f>SUMIFS(Tab_02.Fev[SALDO
ATUAL],Tab_02.Fev[CONTA],$F193)</f>
        <v>-9283.35</v>
      </c>
      <c r="J193" s="4">
        <f>SUMIFS(Tab_03.Mar[SALDO
ATUAL],Tab_03.Mar[CONTA],$F193)</f>
        <v>103060.46</v>
      </c>
      <c r="K193" s="4">
        <f>SUMIFS(Tab_04.Abr[SALDO
ATUAL],Tab_04.Abr[CONTA],$F193)</f>
        <v>170393.05</v>
      </c>
      <c r="L193" s="4">
        <f>SUMIFS(Tab_05.Mai[SALDO
ATUAL],Tab_05.Mai[CONTA],$F193)</f>
        <v>235725.68</v>
      </c>
      <c r="M193" s="4">
        <f>SUMIFS(Tab_06.Jun[SALDO
ATUAL],Tab_06.Jun[CONTA],$F193)</f>
        <v>326968.65999999997</v>
      </c>
      <c r="N193" s="4">
        <f>SUMIFS(Tab_07.Jul[SALDO
ATUAL],Tab_07.Jul[CONTA],$F193)</f>
        <v>326968.65999999997</v>
      </c>
      <c r="O193" s="4">
        <f>SUMIFS(Tab_08.Ago[SALDO
ATUAL],Tab_08.Ago[CONTA],$F193)</f>
        <v>326968.65999999997</v>
      </c>
      <c r="P193" s="4">
        <f>SUMIFS(Tab_09.Set[SALDO
ATUAL],Tab_09.Set[CONTA],$F193)</f>
        <v>444376.65</v>
      </c>
      <c r="Q193" s="4">
        <f>SUMIFS(Tab_10.Out[SALDO
ATUAL],Tab_10.Out[CONTA],$F193)</f>
        <v>491573.88</v>
      </c>
      <c r="R193" s="4">
        <f>SUMIFS(Tab_11.Nov[SALDO
ATUAL],Tab_11.Nov[CONTA],$F193)</f>
        <v>549917.99</v>
      </c>
      <c r="S193" s="4">
        <f>SUMIFS(Tab_12.Dez[SALDO
ATUAL],Tab_12.Dez[CONTA],$F193)</f>
        <v>612404.01</v>
      </c>
    </row>
    <row r="194" spans="2:19" x14ac:dyDescent="0.3">
      <c r="B194" s="3" t="s">
        <v>104</v>
      </c>
      <c r="C194" s="2" t="str">
        <f t="shared" si="11"/>
        <v>C</v>
      </c>
      <c r="D194" s="2" t="str">
        <f t="shared" si="12"/>
        <v>A</v>
      </c>
      <c r="E194" s="2">
        <f t="shared" si="13"/>
        <v>5</v>
      </c>
      <c r="F194" s="3" t="s">
        <v>428</v>
      </c>
      <c r="G194" s="3" t="s">
        <v>429</v>
      </c>
      <c r="H194" s="4">
        <f>SUMIFS(Tab_01.Jan[SALDO
ATUAL],Tab_01.Jan[CONTA],$F194)</f>
        <v>0</v>
      </c>
      <c r="I194" s="4">
        <f>SUMIFS(Tab_02.Fev[SALDO
ATUAL],Tab_02.Fev[CONTA],$F194)</f>
        <v>0</v>
      </c>
      <c r="J194" s="4">
        <f>SUMIFS(Tab_03.Mar[SALDO
ATUAL],Tab_03.Mar[CONTA],$F194)</f>
        <v>0</v>
      </c>
      <c r="K194" s="4">
        <f>SUMIFS(Tab_04.Abr[SALDO
ATUAL],Tab_04.Abr[CONTA],$F194)</f>
        <v>0</v>
      </c>
      <c r="L194" s="4">
        <f>SUMIFS(Tab_05.Mai[SALDO
ATUAL],Tab_05.Mai[CONTA],$F194)</f>
        <v>0</v>
      </c>
      <c r="M194" s="4">
        <f>SUMIFS(Tab_06.Jun[SALDO
ATUAL],Tab_06.Jun[CONTA],$F194)</f>
        <v>0</v>
      </c>
      <c r="N194" s="4">
        <f>SUMIFS(Tab_07.Jul[SALDO
ATUAL],Tab_07.Jul[CONTA],$F194)</f>
        <v>0</v>
      </c>
      <c r="O194" s="4">
        <f>SUMIFS(Tab_08.Ago[SALDO
ATUAL],Tab_08.Ago[CONTA],$F194)</f>
        <v>0</v>
      </c>
      <c r="P194" s="4">
        <f>SUMIFS(Tab_09.Set[SALDO
ATUAL],Tab_09.Set[CONTA],$F194)</f>
        <v>0</v>
      </c>
      <c r="Q194" s="4">
        <f>SUMIFS(Tab_10.Out[SALDO
ATUAL],Tab_10.Out[CONTA],$F194)</f>
        <v>0</v>
      </c>
      <c r="R194" s="4">
        <f>SUMIFS(Tab_11.Nov[SALDO
ATUAL],Tab_11.Nov[CONTA],$F194)</f>
        <v>0</v>
      </c>
      <c r="S194" s="4">
        <f>SUMIFS(Tab_12.Dez[SALDO
ATUAL],Tab_12.Dez[CONTA],$F194)</f>
        <v>0</v>
      </c>
    </row>
    <row r="195" spans="2:19" x14ac:dyDescent="0.3">
      <c r="B195" s="3" t="s">
        <v>104</v>
      </c>
      <c r="C195" s="2" t="str">
        <f t="shared" si="11"/>
        <v>C</v>
      </c>
      <c r="D195" s="2" t="str">
        <f t="shared" si="12"/>
        <v>A</v>
      </c>
      <c r="E195" s="2">
        <f t="shared" si="13"/>
        <v>5</v>
      </c>
      <c r="F195" s="3" t="s">
        <v>430</v>
      </c>
      <c r="G195" s="3" t="s">
        <v>431</v>
      </c>
      <c r="H195" s="4">
        <f>SUMIFS(Tab_01.Jan[SALDO
ATUAL],Tab_01.Jan[CONTA],$F195)</f>
        <v>7059.76</v>
      </c>
      <c r="I195" s="4">
        <f>SUMIFS(Tab_02.Fev[SALDO
ATUAL],Tab_02.Fev[CONTA],$F195)</f>
        <v>7059.76</v>
      </c>
      <c r="J195" s="4">
        <f>SUMIFS(Tab_03.Mar[SALDO
ATUAL],Tab_03.Mar[CONTA],$F195)</f>
        <v>23634.400000000001</v>
      </c>
      <c r="K195" s="4">
        <f>SUMIFS(Tab_04.Abr[SALDO
ATUAL],Tab_04.Abr[CONTA],$F195)</f>
        <v>31810.63</v>
      </c>
      <c r="L195" s="4">
        <f>SUMIFS(Tab_05.Mai[SALDO
ATUAL],Tab_05.Mai[CONTA],$F195)</f>
        <v>40250.800000000003</v>
      </c>
      <c r="M195" s="4">
        <f>SUMIFS(Tab_06.Jun[SALDO
ATUAL],Tab_06.Jun[CONTA],$F195)</f>
        <v>53472.45</v>
      </c>
      <c r="N195" s="4">
        <f>SUMIFS(Tab_07.Jul[SALDO
ATUAL],Tab_07.Jul[CONTA],$F195)</f>
        <v>53472.45</v>
      </c>
      <c r="O195" s="4">
        <f>SUMIFS(Tab_08.Ago[SALDO
ATUAL],Tab_08.Ago[CONTA],$F195)</f>
        <v>53472.45</v>
      </c>
      <c r="P195" s="4">
        <f>SUMIFS(Tab_09.Set[SALDO
ATUAL],Tab_09.Set[CONTA],$F195)</f>
        <v>68632.02</v>
      </c>
      <c r="Q195" s="4">
        <f>SUMIFS(Tab_10.Out[SALDO
ATUAL],Tab_10.Out[CONTA],$F195)</f>
        <v>81136.55</v>
      </c>
      <c r="R195" s="4">
        <f>SUMIFS(Tab_11.Nov[SALDO
ATUAL],Tab_11.Nov[CONTA],$F195)</f>
        <v>93631.43</v>
      </c>
      <c r="S195" s="4">
        <f>SUMIFS(Tab_12.Dez[SALDO
ATUAL],Tab_12.Dez[CONTA],$F195)</f>
        <v>106262.17</v>
      </c>
    </row>
    <row r="196" spans="2:19" x14ac:dyDescent="0.3">
      <c r="B196" s="3" t="s">
        <v>104</v>
      </c>
      <c r="C196" s="2" t="str">
        <f t="shared" si="11"/>
        <v>C</v>
      </c>
      <c r="D196" s="2" t="str">
        <f t="shared" si="12"/>
        <v>A</v>
      </c>
      <c r="E196" s="2">
        <f t="shared" si="13"/>
        <v>5</v>
      </c>
      <c r="F196" s="3" t="s">
        <v>432</v>
      </c>
      <c r="G196" s="3" t="s">
        <v>433</v>
      </c>
      <c r="H196" s="4">
        <f>SUMIFS(Tab_01.Jan[SALDO
ATUAL],Tab_01.Jan[CONTA],$F196)</f>
        <v>5045.03</v>
      </c>
      <c r="I196" s="4">
        <f>SUMIFS(Tab_02.Fev[SALDO
ATUAL],Tab_02.Fev[CONTA],$F196)</f>
        <v>5045.03</v>
      </c>
      <c r="J196" s="4">
        <f>SUMIFS(Tab_03.Mar[SALDO
ATUAL],Tab_03.Mar[CONTA],$F196)</f>
        <v>15135.09</v>
      </c>
      <c r="K196" s="4">
        <f>SUMIFS(Tab_04.Abr[SALDO
ATUAL],Tab_04.Abr[CONTA],$F196)</f>
        <v>20180.080000000002</v>
      </c>
      <c r="L196" s="4">
        <f>SUMIFS(Tab_05.Mai[SALDO
ATUAL],Tab_05.Mai[CONTA],$F196)</f>
        <v>25225.13</v>
      </c>
      <c r="M196" s="4">
        <f>SUMIFS(Tab_06.Jun[SALDO
ATUAL],Tab_06.Jun[CONTA],$F196)</f>
        <v>36600.269999999997</v>
      </c>
      <c r="N196" s="4">
        <f>SUMIFS(Tab_07.Jul[SALDO
ATUAL],Tab_07.Jul[CONTA],$F196)</f>
        <v>36600.269999999997</v>
      </c>
      <c r="O196" s="4">
        <f>SUMIFS(Tab_08.Ago[SALDO
ATUAL],Tab_08.Ago[CONTA],$F196)</f>
        <v>36600.269999999997</v>
      </c>
      <c r="P196" s="4">
        <f>SUMIFS(Tab_09.Set[SALDO
ATUAL],Tab_09.Set[CONTA],$F196)</f>
        <v>48912.75</v>
      </c>
      <c r="Q196" s="4">
        <f>SUMIFS(Tab_10.Out[SALDO
ATUAL],Tab_10.Out[CONTA],$F196)</f>
        <v>48912.75</v>
      </c>
      <c r="R196" s="4">
        <f>SUMIFS(Tab_11.Nov[SALDO
ATUAL],Tab_11.Nov[CONTA],$F196)</f>
        <v>48912.75</v>
      </c>
      <c r="S196" s="4">
        <f>SUMIFS(Tab_12.Dez[SALDO
ATUAL],Tab_12.Dez[CONTA],$F196)</f>
        <v>52347.21</v>
      </c>
    </row>
    <row r="197" spans="2:19" x14ac:dyDescent="0.3">
      <c r="B197" s="3" t="s">
        <v>104</v>
      </c>
      <c r="C197" s="2" t="str">
        <f>IF($F197="","",IF(LEFT($F197,1)*1=1,"A",IF(LEFT($F197,1)*1=2,"P",IF(LEFT($F197,1)*1=3,"R",IF(LEFT($F197,1)*1=4,"C",IF(LEFT($F197,1)*1=5,"C",""))))))</f>
        <v>C</v>
      </c>
      <c r="D197" s="2" t="str">
        <f>IF($F197="","",IF(LEN($F197)=13,"A","S"))</f>
        <v>A</v>
      </c>
      <c r="E197" s="2">
        <f>IF($F197="","",IF(LEN($F197)=1,1,IF(LEN($F197)=3,2,IF(LEN($F197)=5,3,IF(LEN($F197)=8,4,5)))))</f>
        <v>5</v>
      </c>
      <c r="F197" s="3" t="s">
        <v>748</v>
      </c>
      <c r="G197" s="3" t="s">
        <v>749</v>
      </c>
      <c r="H197" s="4">
        <f>SUMIFS(Tab_01.Jan[SALDO
ATUAL],Tab_01.Jan[CONTA],$F197)</f>
        <v>0</v>
      </c>
      <c r="I197" s="4">
        <f>SUMIFS(Tab_02.Fev[SALDO
ATUAL],Tab_02.Fev[CONTA],$F197)</f>
        <v>0</v>
      </c>
      <c r="J197" s="4">
        <f>SUMIFS(Tab_03.Mar[SALDO
ATUAL],Tab_03.Mar[CONTA],$F197)</f>
        <v>0</v>
      </c>
      <c r="K197" s="4">
        <f>SUMIFS(Tab_04.Abr[SALDO
ATUAL],Tab_04.Abr[CONTA],$F197)</f>
        <v>0</v>
      </c>
      <c r="L197" s="4">
        <f>SUMIFS(Tab_05.Mai[SALDO
ATUAL],Tab_05.Mai[CONTA],$F197)</f>
        <v>0</v>
      </c>
      <c r="M197" s="4">
        <f>SUMIFS(Tab_06.Jun[SALDO
ATUAL],Tab_06.Jun[CONTA],$F197)</f>
        <v>0</v>
      </c>
      <c r="N197" s="4">
        <f>SUMIFS(Tab_07.Jul[SALDO
ATUAL],Tab_07.Jul[CONTA],$F197)</f>
        <v>0</v>
      </c>
      <c r="O197" s="4">
        <f>SUMIFS(Tab_08.Ago[SALDO
ATUAL],Tab_08.Ago[CONTA],$F197)</f>
        <v>0</v>
      </c>
      <c r="P197" s="4">
        <f>SUMIFS(Tab_09.Set[SALDO
ATUAL],Tab_09.Set[CONTA],$F197)</f>
        <v>0</v>
      </c>
      <c r="Q197" s="4">
        <f>SUMIFS(Tab_10.Out[SALDO
ATUAL],Tab_10.Out[CONTA],$F197)</f>
        <v>0</v>
      </c>
      <c r="R197" s="4">
        <f>SUMIFS(Tab_11.Nov[SALDO
ATUAL],Tab_11.Nov[CONTA],$F197)</f>
        <v>0</v>
      </c>
      <c r="S197" s="4">
        <f>SUMIFS(Tab_12.Dez[SALDO
ATUAL],Tab_12.Dez[CONTA],$F197)</f>
        <v>0</v>
      </c>
    </row>
    <row r="198" spans="2:19" x14ac:dyDescent="0.3">
      <c r="B198" s="3" t="s">
        <v>104</v>
      </c>
      <c r="C198" s="2" t="str">
        <f t="shared" ref="C198:C203" si="14">IF($F198="","",IF(LEFT($F198,1)*1=1,"A",IF(LEFT($F198,1)*1=2,"P",IF(LEFT($F198,1)*1=3,"R",IF(LEFT($F198,1)*1=4,"C",IF(LEFT($F198,1)*1=5,"C",""))))))</f>
        <v>C</v>
      </c>
      <c r="D198" s="2" t="str">
        <f t="shared" ref="D198:D203" si="15">IF($F198="","",IF(LEN($F198)=13,"A","S"))</f>
        <v>A</v>
      </c>
      <c r="E198" s="2">
        <f t="shared" ref="E198:E203" si="16">IF($F198="","",IF(LEN($F198)=1,1,IF(LEN($F198)=3,2,IF(LEN($F198)=5,3,IF(LEN($F198)=8,4,5)))))</f>
        <v>5</v>
      </c>
      <c r="F198" s="3" t="s">
        <v>796</v>
      </c>
      <c r="G198" s="3" t="s">
        <v>797</v>
      </c>
      <c r="H198" s="4">
        <f>SUMIFS(Tab_01.Jan[SALDO
ATUAL],Tab_01.Jan[CONTA],$F198)</f>
        <v>49658.59</v>
      </c>
      <c r="I198" s="4">
        <f>SUMIFS(Tab_02.Fev[SALDO
ATUAL],Tab_02.Fev[CONTA],$F198)</f>
        <v>49658.59</v>
      </c>
      <c r="J198" s="4">
        <f>SUMIFS(Tab_03.Mar[SALDO
ATUAL],Tab_03.Mar[CONTA],$F198)</f>
        <v>36497.67</v>
      </c>
      <c r="K198" s="4">
        <f>SUMIFS(Tab_04.Abr[SALDO
ATUAL],Tab_04.Abr[CONTA],$F198)</f>
        <v>38252.639999999999</v>
      </c>
      <c r="L198" s="4">
        <f>SUMIFS(Tab_05.Mai[SALDO
ATUAL],Tab_05.Mai[CONTA],$F198)</f>
        <v>40055.42</v>
      </c>
      <c r="M198" s="4">
        <f>SUMIFS(Tab_06.Jun[SALDO
ATUAL],Tab_06.Jun[CONTA],$F198)</f>
        <v>43660.94</v>
      </c>
      <c r="N198" s="4">
        <f>SUMIFS(Tab_07.Jul[SALDO
ATUAL],Tab_07.Jul[CONTA],$F198)</f>
        <v>43660.94</v>
      </c>
      <c r="O198" s="4">
        <f>SUMIFS(Tab_08.Ago[SALDO
ATUAL],Tab_08.Ago[CONTA],$F198)</f>
        <v>43660.94</v>
      </c>
      <c r="P198" s="4">
        <f>SUMIFS(Tab_09.Set[SALDO
ATUAL],Tab_09.Set[CONTA],$F198)</f>
        <v>39794.730000000003</v>
      </c>
      <c r="Q198" s="4">
        <f>SUMIFS(Tab_10.Out[SALDO
ATUAL],Tab_10.Out[CONTA],$F198)</f>
        <v>43155.22</v>
      </c>
      <c r="R198" s="4">
        <f>SUMIFS(Tab_11.Nov[SALDO
ATUAL],Tab_11.Nov[CONTA],$F198)</f>
        <v>46469.52</v>
      </c>
      <c r="S198" s="4">
        <f>SUMIFS(Tab_12.Dez[SALDO
ATUAL],Tab_12.Dez[CONTA],$F198)</f>
        <v>49829.94</v>
      </c>
    </row>
    <row r="199" spans="2:19" x14ac:dyDescent="0.3">
      <c r="B199" s="3" t="s">
        <v>104</v>
      </c>
      <c r="C199" s="2" t="str">
        <f t="shared" si="14"/>
        <v>C</v>
      </c>
      <c r="D199" s="2" t="str">
        <f t="shared" si="15"/>
        <v>A</v>
      </c>
      <c r="E199" s="2">
        <f t="shared" si="16"/>
        <v>5</v>
      </c>
      <c r="F199" s="3" t="s">
        <v>798</v>
      </c>
      <c r="G199" s="3" t="s">
        <v>799</v>
      </c>
      <c r="H199" s="4">
        <f>SUMIFS(Tab_01.Jan[SALDO
ATUAL],Tab_01.Jan[CONTA],$F199)</f>
        <v>179.93</v>
      </c>
      <c r="I199" s="4">
        <f>SUMIFS(Tab_02.Fev[SALDO
ATUAL],Tab_02.Fev[CONTA],$F199)</f>
        <v>179.93</v>
      </c>
      <c r="J199" s="4">
        <f>SUMIFS(Tab_03.Mar[SALDO
ATUAL],Tab_03.Mar[CONTA],$F199)</f>
        <v>1138.78</v>
      </c>
      <c r="K199" s="4">
        <f>SUMIFS(Tab_04.Abr[SALDO
ATUAL],Tab_04.Abr[CONTA],$F199)</f>
        <v>1441.01</v>
      </c>
      <c r="L199" s="4">
        <f>SUMIFS(Tab_05.Mai[SALDO
ATUAL],Tab_05.Mai[CONTA],$F199)</f>
        <v>1979.14</v>
      </c>
      <c r="M199" s="4">
        <f>SUMIFS(Tab_06.Jun[SALDO
ATUAL],Tab_06.Jun[CONTA],$F199)</f>
        <v>3055.4</v>
      </c>
      <c r="N199" s="4">
        <f>SUMIFS(Tab_07.Jul[SALDO
ATUAL],Tab_07.Jul[CONTA],$F199)</f>
        <v>3055.4</v>
      </c>
      <c r="O199" s="4">
        <f>SUMIFS(Tab_08.Ago[SALDO
ATUAL],Tab_08.Ago[CONTA],$F199)</f>
        <v>3055.4</v>
      </c>
      <c r="P199" s="4">
        <f>SUMIFS(Tab_09.Set[SALDO
ATUAL],Tab_09.Set[CONTA],$F199)</f>
        <v>1901.31</v>
      </c>
      <c r="Q199" s="4">
        <f>SUMIFS(Tab_10.Out[SALDO
ATUAL],Tab_10.Out[CONTA],$F199)</f>
        <v>2904.43</v>
      </c>
      <c r="R199" s="4">
        <f>SUMIFS(Tab_11.Nov[SALDO
ATUAL],Tab_11.Nov[CONTA],$F199)</f>
        <v>3853.21</v>
      </c>
      <c r="S199" s="4">
        <f>SUMIFS(Tab_12.Dez[SALDO
ATUAL],Tab_12.Dez[CONTA],$F199)</f>
        <v>4856.3100000000004</v>
      </c>
    </row>
    <row r="200" spans="2:19" x14ac:dyDescent="0.3">
      <c r="B200" s="3" t="s">
        <v>104</v>
      </c>
      <c r="C200" s="2" t="str">
        <f t="shared" si="14"/>
        <v>C</v>
      </c>
      <c r="D200" s="2" t="str">
        <f t="shared" si="15"/>
        <v>A</v>
      </c>
      <c r="E200" s="2">
        <f t="shared" si="16"/>
        <v>5</v>
      </c>
      <c r="F200" s="3" t="s">
        <v>800</v>
      </c>
      <c r="G200" s="3" t="s">
        <v>801</v>
      </c>
      <c r="H200" s="4">
        <f>SUMIFS(Tab_01.Jan[SALDO
ATUAL],Tab_01.Jan[CONTA],$F200)</f>
        <v>67.97</v>
      </c>
      <c r="I200" s="4">
        <f>SUMIFS(Tab_02.Fev[SALDO
ATUAL],Tab_02.Fev[CONTA],$F200)</f>
        <v>67.97</v>
      </c>
      <c r="J200" s="4">
        <f>SUMIFS(Tab_03.Mar[SALDO
ATUAL],Tab_03.Mar[CONTA],$F200)</f>
        <v>114.43</v>
      </c>
      <c r="K200" s="4">
        <f>SUMIFS(Tab_04.Abr[SALDO
ATUAL],Tab_04.Abr[CONTA],$F200)</f>
        <v>187.72</v>
      </c>
      <c r="L200" s="4">
        <f>SUMIFS(Tab_05.Mai[SALDO
ATUAL],Tab_05.Mai[CONTA],$F200)</f>
        <v>263.23</v>
      </c>
      <c r="M200" s="4">
        <f>SUMIFS(Tab_06.Jun[SALDO
ATUAL],Tab_06.Jun[CONTA],$F200)</f>
        <v>397.77</v>
      </c>
      <c r="N200" s="4">
        <f>SUMIFS(Tab_07.Jul[SALDO
ATUAL],Tab_07.Jul[CONTA],$F200)</f>
        <v>397.77</v>
      </c>
      <c r="O200" s="4">
        <f>SUMIFS(Tab_08.Ago[SALDO
ATUAL],Tab_08.Ago[CONTA],$F200)</f>
        <v>397.77</v>
      </c>
      <c r="P200" s="4">
        <f>SUMIFS(Tab_09.Set[SALDO
ATUAL],Tab_09.Set[CONTA],$F200)</f>
        <v>365.56</v>
      </c>
      <c r="Q200" s="4">
        <f>SUMIFS(Tab_10.Out[SALDO
ATUAL],Tab_10.Out[CONTA],$F200)</f>
        <v>365.56</v>
      </c>
      <c r="R200" s="4">
        <f>SUMIFS(Tab_11.Nov[SALDO
ATUAL],Tab_11.Nov[CONTA],$F200)</f>
        <v>365.56</v>
      </c>
      <c r="S200" s="4">
        <f>SUMIFS(Tab_12.Dez[SALDO
ATUAL],Tab_12.Dez[CONTA],$F200)</f>
        <v>365.56</v>
      </c>
    </row>
    <row r="201" spans="2:19" x14ac:dyDescent="0.3">
      <c r="B201" s="3" t="s">
        <v>104</v>
      </c>
      <c r="C201" s="2" t="str">
        <f t="shared" si="14"/>
        <v>C</v>
      </c>
      <c r="D201" s="2" t="str">
        <f t="shared" si="15"/>
        <v>A</v>
      </c>
      <c r="E201" s="2">
        <f t="shared" si="16"/>
        <v>5</v>
      </c>
      <c r="F201" s="3" t="s">
        <v>802</v>
      </c>
      <c r="G201" s="3" t="s">
        <v>803</v>
      </c>
      <c r="H201" s="4">
        <f>SUMIFS(Tab_01.Jan[SALDO
ATUAL],Tab_01.Jan[CONTA],$F201)</f>
        <v>1352.06</v>
      </c>
      <c r="I201" s="4">
        <f>SUMIFS(Tab_02.Fev[SALDO
ATUAL],Tab_02.Fev[CONTA],$F201)</f>
        <v>1352.06</v>
      </c>
      <c r="J201" s="4">
        <f>SUMIFS(Tab_03.Mar[SALDO
ATUAL],Tab_03.Mar[CONTA],$F201)</f>
        <v>4056.14</v>
      </c>
      <c r="K201" s="4">
        <f>SUMIFS(Tab_04.Abr[SALDO
ATUAL],Tab_04.Abr[CONTA],$F201)</f>
        <v>5408.21</v>
      </c>
      <c r="L201" s="4">
        <f>SUMIFS(Tab_05.Mai[SALDO
ATUAL],Tab_05.Mai[CONTA],$F201)</f>
        <v>6760.31</v>
      </c>
      <c r="M201" s="4">
        <f>SUMIFS(Tab_06.Jun[SALDO
ATUAL],Tab_06.Jun[CONTA],$F201)</f>
        <v>9807.86</v>
      </c>
      <c r="N201" s="4">
        <f>SUMIFS(Tab_07.Jul[SALDO
ATUAL],Tab_07.Jul[CONTA],$F201)</f>
        <v>9807.86</v>
      </c>
      <c r="O201" s="4">
        <f>SUMIFS(Tab_08.Ago[SALDO
ATUAL],Tab_08.Ago[CONTA],$F201)</f>
        <v>9807.86</v>
      </c>
      <c r="P201" s="4">
        <f>SUMIFS(Tab_09.Set[SALDO
ATUAL],Tab_09.Set[CONTA],$F201)</f>
        <v>12943.65</v>
      </c>
      <c r="Q201" s="4">
        <f>SUMIFS(Tab_10.Out[SALDO
ATUAL],Tab_10.Out[CONTA],$F201)</f>
        <v>12943.65</v>
      </c>
      <c r="R201" s="4">
        <f>SUMIFS(Tab_11.Nov[SALDO
ATUAL],Tab_11.Nov[CONTA],$F201)</f>
        <v>12943.65</v>
      </c>
      <c r="S201" s="4">
        <f>SUMIFS(Tab_12.Dez[SALDO
ATUAL],Tab_12.Dez[CONTA],$F201)</f>
        <v>13933.39</v>
      </c>
    </row>
    <row r="202" spans="2:19" x14ac:dyDescent="0.3">
      <c r="B202" s="3" t="s">
        <v>104</v>
      </c>
      <c r="C202" s="2" t="str">
        <f t="shared" si="14"/>
        <v>C</v>
      </c>
      <c r="D202" s="2" t="str">
        <f t="shared" si="15"/>
        <v>A</v>
      </c>
      <c r="E202" s="2">
        <f t="shared" si="16"/>
        <v>5</v>
      </c>
      <c r="F202" s="3" t="s">
        <v>804</v>
      </c>
      <c r="G202" s="3" t="s">
        <v>805</v>
      </c>
      <c r="H202" s="4">
        <f>SUMIFS(Tab_01.Jan[SALDO
ATUAL],Tab_01.Jan[CONTA],$F202)</f>
        <v>403.57</v>
      </c>
      <c r="I202" s="4">
        <f>SUMIFS(Tab_02.Fev[SALDO
ATUAL],Tab_02.Fev[CONTA],$F202)</f>
        <v>403.57</v>
      </c>
      <c r="J202" s="4">
        <f>SUMIFS(Tab_03.Mar[SALDO
ATUAL],Tab_03.Mar[CONTA],$F202)</f>
        <v>1210.78</v>
      </c>
      <c r="K202" s="4">
        <f>SUMIFS(Tab_04.Abr[SALDO
ATUAL],Tab_04.Abr[CONTA],$F202)</f>
        <v>1614.37</v>
      </c>
      <c r="L202" s="4">
        <f>SUMIFS(Tab_05.Mai[SALDO
ATUAL],Tab_05.Mai[CONTA],$F202)</f>
        <v>2017.98</v>
      </c>
      <c r="M202" s="4">
        <f>SUMIFS(Tab_06.Jun[SALDO
ATUAL],Tab_06.Jun[CONTA],$F202)</f>
        <v>2928</v>
      </c>
      <c r="N202" s="4">
        <f>SUMIFS(Tab_07.Jul[SALDO
ATUAL],Tab_07.Jul[CONTA],$F202)</f>
        <v>2928</v>
      </c>
      <c r="O202" s="4">
        <f>SUMIFS(Tab_08.Ago[SALDO
ATUAL],Tab_08.Ago[CONTA],$F202)</f>
        <v>2928</v>
      </c>
      <c r="P202" s="4">
        <f>SUMIFS(Tab_09.Set[SALDO
ATUAL],Tab_09.Set[CONTA],$F202)</f>
        <v>3913</v>
      </c>
      <c r="Q202" s="4">
        <f>SUMIFS(Tab_10.Out[SALDO
ATUAL],Tab_10.Out[CONTA],$F202)</f>
        <v>3913</v>
      </c>
      <c r="R202" s="4">
        <f>SUMIFS(Tab_11.Nov[SALDO
ATUAL],Tab_11.Nov[CONTA],$F202)</f>
        <v>3913</v>
      </c>
      <c r="S202" s="4">
        <f>SUMIFS(Tab_12.Dez[SALDO
ATUAL],Tab_12.Dez[CONTA],$F202)</f>
        <v>4216.47</v>
      </c>
    </row>
    <row r="203" spans="2:19" x14ac:dyDescent="0.3">
      <c r="B203" s="3" t="s">
        <v>104</v>
      </c>
      <c r="C203" s="2" t="str">
        <f t="shared" si="14"/>
        <v>C</v>
      </c>
      <c r="D203" s="2" t="str">
        <f t="shared" si="15"/>
        <v>A</v>
      </c>
      <c r="E203" s="2">
        <f t="shared" si="16"/>
        <v>5</v>
      </c>
      <c r="F203" s="3" t="s">
        <v>806</v>
      </c>
      <c r="G203" s="3" t="s">
        <v>807</v>
      </c>
      <c r="H203" s="4">
        <f>SUMIFS(Tab_01.Jan[SALDO
ATUAL],Tab_01.Jan[CONTA],$F203)</f>
        <v>50.45</v>
      </c>
      <c r="I203" s="4">
        <f>SUMIFS(Tab_02.Fev[SALDO
ATUAL],Tab_02.Fev[CONTA],$F203)</f>
        <v>50.45</v>
      </c>
      <c r="J203" s="4">
        <f>SUMIFS(Tab_03.Mar[SALDO
ATUAL],Tab_03.Mar[CONTA],$F203)</f>
        <v>151.35</v>
      </c>
      <c r="K203" s="4">
        <f>SUMIFS(Tab_04.Abr[SALDO
ATUAL],Tab_04.Abr[CONTA],$F203)</f>
        <v>201.81</v>
      </c>
      <c r="L203" s="4">
        <f>SUMIFS(Tab_05.Mai[SALDO
ATUAL],Tab_05.Mai[CONTA],$F203)</f>
        <v>252.24</v>
      </c>
      <c r="M203" s="4">
        <f>SUMIFS(Tab_06.Jun[SALDO
ATUAL],Tab_06.Jun[CONTA],$F203)</f>
        <v>353.14</v>
      </c>
      <c r="N203" s="4">
        <f>SUMIFS(Tab_07.Jul[SALDO
ATUAL],Tab_07.Jul[CONTA],$F203)</f>
        <v>353.14</v>
      </c>
      <c r="O203" s="4">
        <f>SUMIFS(Tab_08.Ago[SALDO
ATUAL],Tab_08.Ago[CONTA],$F203)</f>
        <v>353.14</v>
      </c>
      <c r="P203" s="4">
        <f>SUMIFS(Tab_09.Set[SALDO
ATUAL],Tab_09.Set[CONTA],$F203)</f>
        <v>264.66000000000003</v>
      </c>
      <c r="Q203" s="4">
        <f>SUMIFS(Tab_10.Out[SALDO
ATUAL],Tab_10.Out[CONTA],$F203)</f>
        <v>390.05</v>
      </c>
      <c r="R203" s="4">
        <f>SUMIFS(Tab_11.Nov[SALDO
ATUAL],Tab_11.Nov[CONTA],$F203)</f>
        <v>515.46</v>
      </c>
      <c r="S203" s="4">
        <f>SUMIFS(Tab_12.Dez[SALDO
ATUAL],Tab_12.Dez[CONTA],$F203)</f>
        <v>667.77</v>
      </c>
    </row>
    <row r="204" spans="2:19" x14ac:dyDescent="0.3">
      <c r="B204" s="3"/>
      <c r="C204" s="2" t="str">
        <f t="shared" si="11"/>
        <v>C</v>
      </c>
      <c r="D204" s="2" t="str">
        <f t="shared" si="12"/>
        <v>S</v>
      </c>
      <c r="E204" s="2">
        <f t="shared" si="13"/>
        <v>5</v>
      </c>
      <c r="F204" s="3" t="s">
        <v>590</v>
      </c>
      <c r="G204" s="3" t="s">
        <v>697</v>
      </c>
      <c r="H204" s="4">
        <f>SUMIFS(Tab_01.Jan[SALDO
ATUAL],Tab_01.Jan[CONTA],$F204)</f>
        <v>16378.13</v>
      </c>
      <c r="I204" s="4">
        <f>SUMIFS(Tab_02.Fev[SALDO
ATUAL],Tab_02.Fev[CONTA],$F204)</f>
        <v>35703.339999999997</v>
      </c>
      <c r="J204" s="4">
        <f>SUMIFS(Tab_03.Mar[SALDO
ATUAL],Tab_03.Mar[CONTA],$F204)</f>
        <v>78861.22</v>
      </c>
      <c r="K204" s="4">
        <f>SUMIFS(Tab_04.Abr[SALDO
ATUAL],Tab_04.Abr[CONTA],$F204)</f>
        <v>104970.22</v>
      </c>
      <c r="L204" s="4">
        <f>SUMIFS(Tab_05.Mai[SALDO
ATUAL],Tab_05.Mai[CONTA],$F204)</f>
        <v>125701.8</v>
      </c>
      <c r="M204" s="4">
        <f>SUMIFS(Tab_06.Jun[SALDO
ATUAL],Tab_06.Jun[CONTA],$F204)</f>
        <v>178894.39</v>
      </c>
      <c r="N204" s="4">
        <f>SUMIFS(Tab_07.Jul[SALDO
ATUAL],Tab_07.Jul[CONTA],$F204)</f>
        <v>178894.39</v>
      </c>
      <c r="O204" s="4">
        <f>SUMIFS(Tab_08.Ago[SALDO
ATUAL],Tab_08.Ago[CONTA],$F204)</f>
        <v>178894.39</v>
      </c>
      <c r="P204" s="4">
        <f>SUMIFS(Tab_09.Set[SALDO
ATUAL],Tab_09.Set[CONTA],$F204)</f>
        <v>230804.85</v>
      </c>
      <c r="Q204" s="4">
        <f>SUMIFS(Tab_10.Out[SALDO
ATUAL],Tab_10.Out[CONTA],$F204)</f>
        <v>252424.1</v>
      </c>
      <c r="R204" s="4">
        <f>SUMIFS(Tab_11.Nov[SALDO
ATUAL],Tab_11.Nov[CONTA],$F204)</f>
        <v>274047.57</v>
      </c>
      <c r="S204" s="4">
        <f>SUMIFS(Tab_12.Dez[SALDO
ATUAL],Tab_12.Dez[CONTA],$F204)</f>
        <v>295540.46999999997</v>
      </c>
    </row>
    <row r="205" spans="2:19" x14ac:dyDescent="0.3">
      <c r="B205" s="3" t="s">
        <v>104</v>
      </c>
      <c r="C205" s="2" t="str">
        <f t="shared" si="11"/>
        <v>C</v>
      </c>
      <c r="D205" s="2" t="str">
        <f t="shared" si="12"/>
        <v>A</v>
      </c>
      <c r="E205" s="2">
        <f t="shared" si="13"/>
        <v>5</v>
      </c>
      <c r="F205" s="3" t="s">
        <v>434</v>
      </c>
      <c r="G205" s="3" t="s">
        <v>435</v>
      </c>
      <c r="H205" s="4">
        <f>SUMIFS(Tab_01.Jan[SALDO
ATUAL],Tab_01.Jan[CONTA],$F205)</f>
        <v>15206.61</v>
      </c>
      <c r="I205" s="4">
        <f>SUMIFS(Tab_02.Fev[SALDO
ATUAL],Tab_02.Fev[CONTA],$F205)</f>
        <v>32279.32</v>
      </c>
      <c r="J205" s="4">
        <f>SUMIFS(Tab_03.Mar[SALDO
ATUAL],Tab_03.Mar[CONTA],$F205)</f>
        <v>75029.38</v>
      </c>
      <c r="K205" s="4">
        <f>SUMIFS(Tab_04.Abr[SALDO
ATUAL],Tab_04.Abr[CONTA],$F205)</f>
        <v>100788.89</v>
      </c>
      <c r="L205" s="4">
        <f>SUMIFS(Tab_05.Mai[SALDO
ATUAL],Tab_05.Mai[CONTA],$F205)</f>
        <v>121415.07</v>
      </c>
      <c r="M205" s="4">
        <f>SUMIFS(Tab_06.Jun[SALDO
ATUAL],Tab_06.Jun[CONTA],$F205)</f>
        <v>174412.34</v>
      </c>
      <c r="N205" s="4">
        <f>SUMIFS(Tab_07.Jul[SALDO
ATUAL],Tab_07.Jul[CONTA],$F205)</f>
        <v>174412.34</v>
      </c>
      <c r="O205" s="4">
        <f>SUMIFS(Tab_08.Ago[SALDO
ATUAL],Tab_08.Ago[CONTA],$F205)</f>
        <v>174412.34</v>
      </c>
      <c r="P205" s="4">
        <f>SUMIFS(Tab_09.Set[SALDO
ATUAL],Tab_09.Set[CONTA],$F205)</f>
        <v>222850.66</v>
      </c>
      <c r="Q205" s="4">
        <f>SUMIFS(Tab_10.Out[SALDO
ATUAL],Tab_10.Out[CONTA],$F205)</f>
        <v>245658.69</v>
      </c>
      <c r="R205" s="4">
        <f>SUMIFS(Tab_11.Nov[SALDO
ATUAL],Tab_11.Nov[CONTA],$F205)</f>
        <v>268466.71999999997</v>
      </c>
      <c r="S205" s="4">
        <f>SUMIFS(Tab_12.Dez[SALDO
ATUAL],Tab_12.Dez[CONTA],$F205)</f>
        <v>291274.75</v>
      </c>
    </row>
    <row r="206" spans="2:19" x14ac:dyDescent="0.3">
      <c r="B206" s="3" t="s">
        <v>104</v>
      </c>
      <c r="C206" s="2" t="str">
        <f>IF($F206="","",IF(LEFT($F206,1)*1=1,"A",IF(LEFT($F206,1)*1=2,"P",IF(LEFT($F206,1)*1=3,"R",IF(LEFT($F206,1)*1=4,"C",IF(LEFT($F206,1)*1=5,"C",""))))))</f>
        <v>C</v>
      </c>
      <c r="D206" s="2" t="str">
        <f>IF($F206="","",IF(LEN($F206)=13,"A","S"))</f>
        <v>A</v>
      </c>
      <c r="E206" s="2">
        <f>IF($F206="","",IF(LEN($F206)=1,1,IF(LEN($F206)=3,2,IF(LEN($F206)=5,3,IF(LEN($F206)=8,4,5)))))</f>
        <v>5</v>
      </c>
      <c r="F206" s="3" t="s">
        <v>750</v>
      </c>
      <c r="G206" s="3" t="s">
        <v>751</v>
      </c>
      <c r="H206" s="4">
        <f>SUMIFS(Tab_01.Jan[SALDO
ATUAL],Tab_01.Jan[CONTA],$F206)</f>
        <v>1171.52</v>
      </c>
      <c r="I206" s="4">
        <f>SUMIFS(Tab_02.Fev[SALDO
ATUAL],Tab_02.Fev[CONTA],$F206)</f>
        <v>3424.02</v>
      </c>
      <c r="J206" s="4">
        <f>SUMIFS(Tab_03.Mar[SALDO
ATUAL],Tab_03.Mar[CONTA],$F206)</f>
        <v>3831.84</v>
      </c>
      <c r="K206" s="4">
        <f>SUMIFS(Tab_04.Abr[SALDO
ATUAL],Tab_04.Abr[CONTA],$F206)</f>
        <v>4181.33</v>
      </c>
      <c r="L206" s="4">
        <f>SUMIFS(Tab_05.Mai[SALDO
ATUAL],Tab_05.Mai[CONTA],$F206)</f>
        <v>4286.7299999999996</v>
      </c>
      <c r="M206" s="4">
        <f>SUMIFS(Tab_06.Jun[SALDO
ATUAL],Tab_06.Jun[CONTA],$F206)</f>
        <v>4482.05</v>
      </c>
      <c r="N206" s="4">
        <f>SUMIFS(Tab_07.Jul[SALDO
ATUAL],Tab_07.Jul[CONTA],$F206)</f>
        <v>4482.05</v>
      </c>
      <c r="O206" s="4">
        <f>SUMIFS(Tab_08.Ago[SALDO
ATUAL],Tab_08.Ago[CONTA],$F206)</f>
        <v>4482.05</v>
      </c>
      <c r="P206" s="4">
        <f>SUMIFS(Tab_09.Set[SALDO
ATUAL],Tab_09.Set[CONTA],$F206)</f>
        <v>7954.19</v>
      </c>
      <c r="Q206" s="4">
        <f>SUMIFS(Tab_10.Out[SALDO
ATUAL],Tab_10.Out[CONTA],$F206)</f>
        <v>6765.41</v>
      </c>
      <c r="R206" s="4">
        <f>SUMIFS(Tab_11.Nov[SALDO
ATUAL],Tab_11.Nov[CONTA],$F206)</f>
        <v>5580.85</v>
      </c>
      <c r="S206" s="4">
        <f>SUMIFS(Tab_12.Dez[SALDO
ATUAL],Tab_12.Dez[CONTA],$F206)</f>
        <v>4265.72</v>
      </c>
    </row>
    <row r="207" spans="2:19" x14ac:dyDescent="0.3">
      <c r="B207" s="3"/>
      <c r="C207" s="2" t="str">
        <f t="shared" si="11"/>
        <v>C</v>
      </c>
      <c r="D207" s="2" t="str">
        <f t="shared" si="12"/>
        <v>S</v>
      </c>
      <c r="E207" s="2">
        <f t="shared" si="13"/>
        <v>5</v>
      </c>
      <c r="F207" s="3" t="s">
        <v>591</v>
      </c>
      <c r="G207" s="3" t="s">
        <v>698</v>
      </c>
      <c r="H207" s="4">
        <f>SUMIFS(Tab_01.Jan[SALDO
ATUAL],Tab_01.Jan[CONTA],$F207)</f>
        <v>16434.849999999999</v>
      </c>
      <c r="I207" s="4">
        <f>SUMIFS(Tab_02.Fev[SALDO
ATUAL],Tab_02.Fev[CONTA],$F207)</f>
        <v>16434.849999999999</v>
      </c>
      <c r="J207" s="4">
        <f>SUMIFS(Tab_03.Mar[SALDO
ATUAL],Tab_03.Mar[CONTA],$F207)</f>
        <v>62180.74</v>
      </c>
      <c r="K207" s="4">
        <f>SUMIFS(Tab_04.Abr[SALDO
ATUAL],Tab_04.Abr[CONTA],$F207)</f>
        <v>86154.76</v>
      </c>
      <c r="L207" s="4">
        <f>SUMIFS(Tab_05.Mai[SALDO
ATUAL],Tab_05.Mai[CONTA],$F207)</f>
        <v>111910.85</v>
      </c>
      <c r="M207" s="4">
        <f>SUMIFS(Tab_06.Jun[SALDO
ATUAL],Tab_06.Jun[CONTA],$F207)</f>
        <v>143762.09</v>
      </c>
      <c r="N207" s="4">
        <f>SUMIFS(Tab_07.Jul[SALDO
ATUAL],Tab_07.Jul[CONTA],$F207)</f>
        <v>143762.09</v>
      </c>
      <c r="O207" s="4">
        <f>SUMIFS(Tab_08.Ago[SALDO
ATUAL],Tab_08.Ago[CONTA],$F207)</f>
        <v>143762.09</v>
      </c>
      <c r="P207" s="4">
        <f>SUMIFS(Tab_09.Set[SALDO
ATUAL],Tab_09.Set[CONTA],$F207)</f>
        <v>190587.49</v>
      </c>
      <c r="Q207" s="4">
        <f>SUMIFS(Tab_10.Out[SALDO
ATUAL],Tab_10.Out[CONTA],$F207)</f>
        <v>205545.72</v>
      </c>
      <c r="R207" s="4">
        <f>SUMIFS(Tab_11.Nov[SALDO
ATUAL],Tab_11.Nov[CONTA],$F207)</f>
        <v>225903.28</v>
      </c>
      <c r="S207" s="4">
        <f>SUMIFS(Tab_12.Dez[SALDO
ATUAL],Tab_12.Dez[CONTA],$F207)</f>
        <v>247560.65</v>
      </c>
    </row>
    <row r="208" spans="2:19" x14ac:dyDescent="0.3">
      <c r="B208" s="3" t="s">
        <v>104</v>
      </c>
      <c r="C208" s="2" t="str">
        <f t="shared" si="11"/>
        <v>C</v>
      </c>
      <c r="D208" s="2" t="str">
        <f t="shared" si="12"/>
        <v>A</v>
      </c>
      <c r="E208" s="2">
        <f t="shared" si="13"/>
        <v>5</v>
      </c>
      <c r="F208" s="3" t="s">
        <v>436</v>
      </c>
      <c r="G208" s="3" t="s">
        <v>437</v>
      </c>
      <c r="H208" s="4">
        <f>SUMIFS(Tab_01.Jan[SALDO
ATUAL],Tab_01.Jan[CONTA],$F208)</f>
        <v>13434.9</v>
      </c>
      <c r="I208" s="4">
        <f>SUMIFS(Tab_02.Fev[SALDO
ATUAL],Tab_02.Fev[CONTA],$F208)</f>
        <v>13434.9</v>
      </c>
      <c r="J208" s="4">
        <f>SUMIFS(Tab_03.Mar[SALDO
ATUAL],Tab_03.Mar[CONTA],$F208)</f>
        <v>50448.83</v>
      </c>
      <c r="K208" s="4">
        <f>SUMIFS(Tab_04.Abr[SALDO
ATUAL],Tab_04.Abr[CONTA],$F208)</f>
        <v>69437.960000000006</v>
      </c>
      <c r="L208" s="4">
        <f>SUMIFS(Tab_05.Mai[SALDO
ATUAL],Tab_05.Mai[CONTA],$F208)</f>
        <v>89987.74</v>
      </c>
      <c r="M208" s="4">
        <f>SUMIFS(Tab_06.Jun[SALDO
ATUAL],Tab_06.Jun[CONTA],$F208)</f>
        <v>114927.93</v>
      </c>
      <c r="N208" s="4">
        <f>SUMIFS(Tab_07.Jul[SALDO
ATUAL],Tab_07.Jul[CONTA],$F208)</f>
        <v>114927.93</v>
      </c>
      <c r="O208" s="4">
        <f>SUMIFS(Tab_08.Ago[SALDO
ATUAL],Tab_08.Ago[CONTA],$F208)</f>
        <v>114927.93</v>
      </c>
      <c r="P208" s="4">
        <f>SUMIFS(Tab_09.Set[SALDO
ATUAL],Tab_09.Set[CONTA],$F208)</f>
        <v>149766.78</v>
      </c>
      <c r="Q208" s="4">
        <f>SUMIFS(Tab_10.Out[SALDO
ATUAL],Tab_10.Out[CONTA],$F208)</f>
        <v>160642.68</v>
      </c>
      <c r="R208" s="4">
        <f>SUMIFS(Tab_11.Nov[SALDO
ATUAL],Tab_11.Nov[CONTA],$F208)</f>
        <v>175882.43</v>
      </c>
      <c r="S208" s="4">
        <f>SUMIFS(Tab_12.Dez[SALDO
ATUAL],Tab_12.Dez[CONTA],$F208)</f>
        <v>192150.03</v>
      </c>
    </row>
    <row r="209" spans="2:19" x14ac:dyDescent="0.3">
      <c r="B209" s="3" t="s">
        <v>104</v>
      </c>
      <c r="C209" s="2" t="str">
        <f t="shared" si="11"/>
        <v>C</v>
      </c>
      <c r="D209" s="2" t="str">
        <f t="shared" si="12"/>
        <v>A</v>
      </c>
      <c r="E209" s="2">
        <f t="shared" si="13"/>
        <v>5</v>
      </c>
      <c r="F209" s="3" t="s">
        <v>438</v>
      </c>
      <c r="G209" s="3" t="s">
        <v>196</v>
      </c>
      <c r="H209" s="4">
        <f>SUMIFS(Tab_01.Jan[SALDO
ATUAL],Tab_01.Jan[CONTA],$F209)</f>
        <v>2354.0700000000002</v>
      </c>
      <c r="I209" s="4">
        <f>SUMIFS(Tab_02.Fev[SALDO
ATUAL],Tab_02.Fev[CONTA],$F209)</f>
        <v>2354.0700000000002</v>
      </c>
      <c r="J209" s="4">
        <f>SUMIFS(Tab_03.Mar[SALDO
ATUAL],Tab_03.Mar[CONTA],$F209)</f>
        <v>10113.6</v>
      </c>
      <c r="K209" s="4">
        <f>SUMIFS(Tab_04.Abr[SALDO
ATUAL],Tab_04.Abr[CONTA],$F209)</f>
        <v>14412.32</v>
      </c>
      <c r="L209" s="4">
        <f>SUMIFS(Tab_05.Mai[SALDO
ATUAL],Tab_05.Mai[CONTA],$F209)</f>
        <v>18856.099999999999</v>
      </c>
      <c r="M209" s="4">
        <f>SUMIFS(Tab_06.Jun[SALDO
ATUAL],Tab_06.Jun[CONTA],$F209)</f>
        <v>24854.71</v>
      </c>
      <c r="N209" s="4">
        <f>SUMIFS(Tab_07.Jul[SALDO
ATUAL],Tab_07.Jul[CONTA],$F209)</f>
        <v>24854.71</v>
      </c>
      <c r="O209" s="4">
        <f>SUMIFS(Tab_08.Ago[SALDO
ATUAL],Tab_08.Ago[CONTA],$F209)</f>
        <v>24854.71</v>
      </c>
      <c r="P209" s="4">
        <f>SUMIFS(Tab_09.Set[SALDO
ATUAL],Tab_09.Set[CONTA],$F209)</f>
        <v>35584.75</v>
      </c>
      <c r="Q209" s="4">
        <f>SUMIFS(Tab_10.Out[SALDO
ATUAL],Tab_10.Out[CONTA],$F209)</f>
        <v>39213.47</v>
      </c>
      <c r="R209" s="4">
        <f>SUMIFS(Tab_11.Nov[SALDO
ATUAL],Tab_11.Nov[CONTA],$F209)</f>
        <v>43762.63</v>
      </c>
      <c r="S209" s="4">
        <f>SUMIFS(Tab_12.Dez[SALDO
ATUAL],Tab_12.Dez[CONTA],$F209)</f>
        <v>48618.61</v>
      </c>
    </row>
    <row r="210" spans="2:19" x14ac:dyDescent="0.3">
      <c r="B210" s="3" t="s">
        <v>104</v>
      </c>
      <c r="C210" s="2" t="str">
        <f t="shared" si="11"/>
        <v>C</v>
      </c>
      <c r="D210" s="2" t="str">
        <f t="shared" si="12"/>
        <v>A</v>
      </c>
      <c r="E210" s="2">
        <f t="shared" si="13"/>
        <v>5</v>
      </c>
      <c r="F210" s="3" t="s">
        <v>439</v>
      </c>
      <c r="G210" s="3" t="s">
        <v>440</v>
      </c>
      <c r="H210" s="4">
        <f>SUMIFS(Tab_01.Jan[SALDO
ATUAL],Tab_01.Jan[CONTA],$F210)</f>
        <v>645.88</v>
      </c>
      <c r="I210" s="4">
        <f>SUMIFS(Tab_02.Fev[SALDO
ATUAL],Tab_02.Fev[CONTA],$F210)</f>
        <v>645.88</v>
      </c>
      <c r="J210" s="4">
        <f>SUMIFS(Tab_03.Mar[SALDO
ATUAL],Tab_03.Mar[CONTA],$F210)</f>
        <v>1618.31</v>
      </c>
      <c r="K210" s="4">
        <f>SUMIFS(Tab_04.Abr[SALDO
ATUAL],Tab_04.Abr[CONTA],$F210)</f>
        <v>2304.48</v>
      </c>
      <c r="L210" s="4">
        <f>SUMIFS(Tab_05.Mai[SALDO
ATUAL],Tab_05.Mai[CONTA],$F210)</f>
        <v>3067.01</v>
      </c>
      <c r="M210" s="4">
        <f>SUMIFS(Tab_06.Jun[SALDO
ATUAL],Tab_06.Jun[CONTA],$F210)</f>
        <v>3979.45</v>
      </c>
      <c r="N210" s="4">
        <f>SUMIFS(Tab_07.Jul[SALDO
ATUAL],Tab_07.Jul[CONTA],$F210)</f>
        <v>3979.45</v>
      </c>
      <c r="O210" s="4">
        <f>SUMIFS(Tab_08.Ago[SALDO
ATUAL],Tab_08.Ago[CONTA],$F210)</f>
        <v>3979.45</v>
      </c>
      <c r="P210" s="4">
        <f>SUMIFS(Tab_09.Set[SALDO
ATUAL],Tab_09.Set[CONTA],$F210)</f>
        <v>5235.96</v>
      </c>
      <c r="Q210" s="4">
        <f>SUMIFS(Tab_10.Out[SALDO
ATUAL],Tab_10.Out[CONTA],$F210)</f>
        <v>5689.57</v>
      </c>
      <c r="R210" s="4">
        <f>SUMIFS(Tab_11.Nov[SALDO
ATUAL],Tab_11.Nov[CONTA],$F210)</f>
        <v>6258.22</v>
      </c>
      <c r="S210" s="4">
        <f>SUMIFS(Tab_12.Dez[SALDO
ATUAL],Tab_12.Dez[CONTA],$F210)</f>
        <v>6792.01</v>
      </c>
    </row>
    <row r="211" spans="2:19" x14ac:dyDescent="0.3">
      <c r="B211" s="3"/>
      <c r="C211" s="2" t="str">
        <f t="shared" si="11"/>
        <v>C</v>
      </c>
      <c r="D211" s="2" t="str">
        <f t="shared" si="12"/>
        <v>S</v>
      </c>
      <c r="E211" s="2">
        <f t="shared" si="13"/>
        <v>5</v>
      </c>
      <c r="F211" s="3" t="s">
        <v>592</v>
      </c>
      <c r="G211" s="3" t="s">
        <v>699</v>
      </c>
      <c r="H211" s="4">
        <f>SUMIFS(Tab_01.Jan[SALDO
ATUAL],Tab_01.Jan[CONTA],$F211)</f>
        <v>2235.4699999999998</v>
      </c>
      <c r="I211" s="4">
        <f>SUMIFS(Tab_02.Fev[SALDO
ATUAL],Tab_02.Fev[CONTA],$F211)</f>
        <v>2235.4699999999998</v>
      </c>
      <c r="J211" s="4">
        <f>SUMIFS(Tab_03.Mar[SALDO
ATUAL],Tab_03.Mar[CONTA],$F211)</f>
        <v>5788.26</v>
      </c>
      <c r="K211" s="4">
        <f>SUMIFS(Tab_04.Abr[SALDO
ATUAL],Tab_04.Abr[CONTA],$F211)</f>
        <v>6378.77</v>
      </c>
      <c r="L211" s="4">
        <f>SUMIFS(Tab_05.Mai[SALDO
ATUAL],Tab_05.Mai[CONTA],$F211)</f>
        <v>6378.77</v>
      </c>
      <c r="M211" s="4">
        <f>SUMIFS(Tab_06.Jun[SALDO
ATUAL],Tab_06.Jun[CONTA],$F211)</f>
        <v>9743.5</v>
      </c>
      <c r="N211" s="4">
        <f>SUMIFS(Tab_07.Jul[SALDO
ATUAL],Tab_07.Jul[CONTA],$F211)</f>
        <v>9743.5</v>
      </c>
      <c r="O211" s="4">
        <f>SUMIFS(Tab_08.Ago[SALDO
ATUAL],Tab_08.Ago[CONTA],$F211)</f>
        <v>9743.5</v>
      </c>
      <c r="P211" s="4">
        <f>SUMIFS(Tab_09.Set[SALDO
ATUAL],Tab_09.Set[CONTA],$F211)</f>
        <v>10362.82</v>
      </c>
      <c r="Q211" s="4">
        <f>SUMIFS(Tab_10.Out[SALDO
ATUAL],Tab_10.Out[CONTA],$F211)</f>
        <v>12548.87</v>
      </c>
      <c r="R211" s="4">
        <f>SUMIFS(Tab_11.Nov[SALDO
ATUAL],Tab_11.Nov[CONTA],$F211)</f>
        <v>12548.87</v>
      </c>
      <c r="S211" s="4">
        <f>SUMIFS(Tab_12.Dez[SALDO
ATUAL],Tab_12.Dez[CONTA],$F211)</f>
        <v>13908.39</v>
      </c>
    </row>
    <row r="212" spans="2:19" x14ac:dyDescent="0.3">
      <c r="B212" s="3" t="s">
        <v>103</v>
      </c>
      <c r="C212" s="2" t="str">
        <f t="shared" si="11"/>
        <v>C</v>
      </c>
      <c r="D212" s="2" t="str">
        <f t="shared" si="12"/>
        <v>A</v>
      </c>
      <c r="E212" s="2">
        <f t="shared" si="13"/>
        <v>5</v>
      </c>
      <c r="F212" s="3" t="s">
        <v>397</v>
      </c>
      <c r="G212" s="3" t="s">
        <v>398</v>
      </c>
      <c r="H212" s="4">
        <f>SUMIFS(Tab_01.Jan[SALDO
ATUAL],Tab_01.Jan[CONTA],$F212)</f>
        <v>2235.4699999999998</v>
      </c>
      <c r="I212" s="4">
        <f>SUMIFS(Tab_02.Fev[SALDO
ATUAL],Tab_02.Fev[CONTA],$F212)</f>
        <v>2235.4699999999998</v>
      </c>
      <c r="J212" s="4">
        <f>SUMIFS(Tab_03.Mar[SALDO
ATUAL],Tab_03.Mar[CONTA],$F212)</f>
        <v>5788.26</v>
      </c>
      <c r="K212" s="4">
        <f>SUMIFS(Tab_04.Abr[SALDO
ATUAL],Tab_04.Abr[CONTA],$F212)</f>
        <v>6378.77</v>
      </c>
      <c r="L212" s="4">
        <f>SUMIFS(Tab_05.Mai[SALDO
ATUAL],Tab_05.Mai[CONTA],$F212)</f>
        <v>6378.77</v>
      </c>
      <c r="M212" s="4">
        <f>SUMIFS(Tab_06.Jun[SALDO
ATUAL],Tab_06.Jun[CONTA],$F212)</f>
        <v>9743.5</v>
      </c>
      <c r="N212" s="4">
        <f>SUMIFS(Tab_07.Jul[SALDO
ATUAL],Tab_07.Jul[CONTA],$F212)</f>
        <v>9743.5</v>
      </c>
      <c r="O212" s="4">
        <f>SUMIFS(Tab_08.Ago[SALDO
ATUAL],Tab_08.Ago[CONTA],$F212)</f>
        <v>9743.5</v>
      </c>
      <c r="P212" s="4">
        <f>SUMIFS(Tab_09.Set[SALDO
ATUAL],Tab_09.Set[CONTA],$F212)</f>
        <v>9768.99</v>
      </c>
      <c r="Q212" s="4">
        <f>SUMIFS(Tab_10.Out[SALDO
ATUAL],Tab_10.Out[CONTA],$F212)</f>
        <v>10917.24</v>
      </c>
      <c r="R212" s="4">
        <f>SUMIFS(Tab_11.Nov[SALDO
ATUAL],Tab_11.Nov[CONTA],$F212)</f>
        <v>10917.24</v>
      </c>
      <c r="S212" s="4">
        <f>SUMIFS(Tab_12.Dez[SALDO
ATUAL],Tab_12.Dez[CONTA],$F212)</f>
        <v>12276.76</v>
      </c>
    </row>
    <row r="213" spans="2:19" x14ac:dyDescent="0.3">
      <c r="B213" s="3" t="s">
        <v>103</v>
      </c>
      <c r="C213" s="2" t="str">
        <f t="shared" si="11"/>
        <v>C</v>
      </c>
      <c r="D213" s="2" t="str">
        <f t="shared" si="12"/>
        <v>A</v>
      </c>
      <c r="E213" s="2">
        <f t="shared" si="13"/>
        <v>5</v>
      </c>
      <c r="F213" s="3" t="s">
        <v>399</v>
      </c>
      <c r="G213" s="3" t="s">
        <v>400</v>
      </c>
      <c r="H213" s="4">
        <f>SUMIFS(Tab_01.Jan[SALDO
ATUAL],Tab_01.Jan[CONTA],$F213)</f>
        <v>0</v>
      </c>
      <c r="I213" s="4">
        <f>SUMIFS(Tab_02.Fev[SALDO
ATUAL],Tab_02.Fev[CONTA],$F213)</f>
        <v>0</v>
      </c>
      <c r="J213" s="4">
        <f>SUMIFS(Tab_03.Mar[SALDO
ATUAL],Tab_03.Mar[CONTA],$F213)</f>
        <v>0</v>
      </c>
      <c r="K213" s="4">
        <f>SUMIFS(Tab_04.Abr[SALDO
ATUAL],Tab_04.Abr[CONTA],$F213)</f>
        <v>0</v>
      </c>
      <c r="L213" s="4">
        <f>SUMIFS(Tab_05.Mai[SALDO
ATUAL],Tab_05.Mai[CONTA],$F213)</f>
        <v>0</v>
      </c>
      <c r="M213" s="4">
        <f>SUMIFS(Tab_06.Jun[SALDO
ATUAL],Tab_06.Jun[CONTA],$F213)</f>
        <v>0</v>
      </c>
      <c r="N213" s="4">
        <f>SUMIFS(Tab_07.Jul[SALDO
ATUAL],Tab_07.Jul[CONTA],$F213)</f>
        <v>0</v>
      </c>
      <c r="O213" s="4">
        <f>SUMIFS(Tab_08.Ago[SALDO
ATUAL],Tab_08.Ago[CONTA],$F213)</f>
        <v>0</v>
      </c>
      <c r="P213" s="4">
        <f>SUMIFS(Tab_09.Set[SALDO
ATUAL],Tab_09.Set[CONTA],$F213)</f>
        <v>593.83000000000004</v>
      </c>
      <c r="Q213" s="4">
        <f>SUMIFS(Tab_10.Out[SALDO
ATUAL],Tab_10.Out[CONTA],$F213)</f>
        <v>1631.63</v>
      </c>
      <c r="R213" s="4">
        <f>SUMIFS(Tab_11.Nov[SALDO
ATUAL],Tab_11.Nov[CONTA],$F213)</f>
        <v>1631.63</v>
      </c>
      <c r="S213" s="4">
        <f>SUMIFS(Tab_12.Dez[SALDO
ATUAL],Tab_12.Dez[CONTA],$F213)</f>
        <v>1631.63</v>
      </c>
    </row>
    <row r="214" spans="2:19" x14ac:dyDescent="0.3">
      <c r="B214" s="3" t="s">
        <v>103</v>
      </c>
      <c r="C214" s="2" t="str">
        <f t="shared" si="11"/>
        <v>C</v>
      </c>
      <c r="D214" s="2" t="str">
        <f t="shared" si="12"/>
        <v>A</v>
      </c>
      <c r="E214" s="2">
        <f t="shared" si="13"/>
        <v>5</v>
      </c>
      <c r="F214" s="3" t="s">
        <v>401</v>
      </c>
      <c r="G214" s="3" t="s">
        <v>402</v>
      </c>
      <c r="H214" s="4">
        <f>SUMIFS(Tab_01.Jan[SALDO
ATUAL],Tab_01.Jan[CONTA],$F214)</f>
        <v>0</v>
      </c>
      <c r="I214" s="4">
        <f>SUMIFS(Tab_02.Fev[SALDO
ATUAL],Tab_02.Fev[CONTA],$F214)</f>
        <v>0</v>
      </c>
      <c r="J214" s="4">
        <f>SUMIFS(Tab_03.Mar[SALDO
ATUAL],Tab_03.Mar[CONTA],$F214)</f>
        <v>0</v>
      </c>
      <c r="K214" s="4">
        <f>SUMIFS(Tab_04.Abr[SALDO
ATUAL],Tab_04.Abr[CONTA],$F214)</f>
        <v>0</v>
      </c>
      <c r="L214" s="4">
        <f>SUMIFS(Tab_05.Mai[SALDO
ATUAL],Tab_05.Mai[CONTA],$F214)</f>
        <v>0</v>
      </c>
      <c r="M214" s="4">
        <f>SUMIFS(Tab_06.Jun[SALDO
ATUAL],Tab_06.Jun[CONTA],$F214)</f>
        <v>0</v>
      </c>
      <c r="N214" s="4">
        <f>SUMIFS(Tab_07.Jul[SALDO
ATUAL],Tab_07.Jul[CONTA],$F214)</f>
        <v>0</v>
      </c>
      <c r="O214" s="4">
        <f>SUMIFS(Tab_08.Ago[SALDO
ATUAL],Tab_08.Ago[CONTA],$F214)</f>
        <v>0</v>
      </c>
      <c r="P214" s="4">
        <f>SUMIFS(Tab_09.Set[SALDO
ATUAL],Tab_09.Set[CONTA],$F214)</f>
        <v>0</v>
      </c>
      <c r="Q214" s="4">
        <f>SUMIFS(Tab_10.Out[SALDO
ATUAL],Tab_10.Out[CONTA],$F214)</f>
        <v>0</v>
      </c>
      <c r="R214" s="4">
        <f>SUMIFS(Tab_11.Nov[SALDO
ATUAL],Tab_11.Nov[CONTA],$F214)</f>
        <v>0</v>
      </c>
      <c r="S214" s="4">
        <f>SUMIFS(Tab_12.Dez[SALDO
ATUAL],Tab_12.Dez[CONTA],$F214)</f>
        <v>0</v>
      </c>
    </row>
    <row r="215" spans="2:19" x14ac:dyDescent="0.3">
      <c r="B215" s="3"/>
      <c r="C215" s="2" t="str">
        <f t="shared" si="11"/>
        <v>C</v>
      </c>
      <c r="D215" s="2" t="str">
        <f t="shared" si="12"/>
        <v>S</v>
      </c>
      <c r="E215" s="2">
        <f t="shared" si="13"/>
        <v>5</v>
      </c>
      <c r="F215" s="3" t="s">
        <v>593</v>
      </c>
      <c r="G215" s="3" t="s">
        <v>700</v>
      </c>
      <c r="H215" s="4">
        <f>SUMIFS(Tab_01.Jan[SALDO
ATUAL],Tab_01.Jan[CONTA],$F215)</f>
        <v>34180.15</v>
      </c>
      <c r="I215" s="4">
        <f>SUMIFS(Tab_02.Fev[SALDO
ATUAL],Tab_02.Fev[CONTA],$F215)</f>
        <v>63656.11</v>
      </c>
      <c r="J215" s="4">
        <f>SUMIFS(Tab_03.Mar[SALDO
ATUAL],Tab_03.Mar[CONTA],$F215)</f>
        <v>95206.93</v>
      </c>
      <c r="K215" s="4">
        <f>SUMIFS(Tab_04.Abr[SALDO
ATUAL],Tab_04.Abr[CONTA],$F215)</f>
        <v>133712.89000000001</v>
      </c>
      <c r="L215" s="4">
        <f>SUMIFS(Tab_05.Mai[SALDO
ATUAL],Tab_05.Mai[CONTA],$F215)</f>
        <v>175168.85</v>
      </c>
      <c r="M215" s="4">
        <f>SUMIFS(Tab_06.Jun[SALDO
ATUAL],Tab_06.Jun[CONTA],$F215)</f>
        <v>245698.97</v>
      </c>
      <c r="N215" s="4">
        <f>SUMIFS(Tab_07.Jul[SALDO
ATUAL],Tab_07.Jul[CONTA],$F215)</f>
        <v>245698.97</v>
      </c>
      <c r="O215" s="4">
        <f>SUMIFS(Tab_08.Ago[SALDO
ATUAL],Tab_08.Ago[CONTA],$F215)</f>
        <v>245698.97</v>
      </c>
      <c r="P215" s="4">
        <f>SUMIFS(Tab_09.Set[SALDO
ATUAL],Tab_09.Set[CONTA],$F215)</f>
        <v>321220.69</v>
      </c>
      <c r="Q215" s="4">
        <f>SUMIFS(Tab_10.Out[SALDO
ATUAL],Tab_10.Out[CONTA],$F215)</f>
        <v>353386.65</v>
      </c>
      <c r="R215" s="4">
        <f>SUMIFS(Tab_11.Nov[SALDO
ATUAL],Tab_11.Nov[CONTA],$F215)</f>
        <v>398262.2</v>
      </c>
      <c r="S215" s="4">
        <f>SUMIFS(Tab_12.Dez[SALDO
ATUAL],Tab_12.Dez[CONTA],$F215)</f>
        <v>425568.16</v>
      </c>
    </row>
    <row r="216" spans="2:19" x14ac:dyDescent="0.3">
      <c r="B216" s="3" t="s">
        <v>103</v>
      </c>
      <c r="C216" s="2" t="str">
        <f t="shared" si="11"/>
        <v>C</v>
      </c>
      <c r="D216" s="2" t="str">
        <f t="shared" si="12"/>
        <v>A</v>
      </c>
      <c r="E216" s="2">
        <f t="shared" si="13"/>
        <v>5</v>
      </c>
      <c r="F216" s="3" t="s">
        <v>403</v>
      </c>
      <c r="G216" s="3" t="s">
        <v>404</v>
      </c>
      <c r="H216" s="4">
        <f>SUMIFS(Tab_01.Jan[SALDO
ATUAL],Tab_01.Jan[CONTA],$F216)</f>
        <v>4135.96</v>
      </c>
      <c r="I216" s="4">
        <f>SUMIFS(Tab_02.Fev[SALDO
ATUAL],Tab_02.Fev[CONTA],$F216)</f>
        <v>8271.92</v>
      </c>
      <c r="J216" s="4">
        <f>SUMIFS(Tab_03.Mar[SALDO
ATUAL],Tab_03.Mar[CONTA],$F216)</f>
        <v>12407.88</v>
      </c>
      <c r="K216" s="4">
        <f>SUMIFS(Tab_04.Abr[SALDO
ATUAL],Tab_04.Abr[CONTA],$F216)</f>
        <v>16543.84</v>
      </c>
      <c r="L216" s="4">
        <f>SUMIFS(Tab_05.Mai[SALDO
ATUAL],Tab_05.Mai[CONTA],$F216)</f>
        <v>20679.8</v>
      </c>
      <c r="M216" s="4">
        <f>SUMIFS(Tab_06.Jun[SALDO
ATUAL],Tab_06.Jun[CONTA],$F216)</f>
        <v>28951.72</v>
      </c>
      <c r="N216" s="4">
        <f>SUMIFS(Tab_07.Jul[SALDO
ATUAL],Tab_07.Jul[CONTA],$F216)</f>
        <v>28951.72</v>
      </c>
      <c r="O216" s="4">
        <f>SUMIFS(Tab_08.Ago[SALDO
ATUAL],Tab_08.Ago[CONTA],$F216)</f>
        <v>28951.72</v>
      </c>
      <c r="P216" s="4">
        <f>SUMIFS(Tab_09.Set[SALDO
ATUAL],Tab_09.Set[CONTA],$F216)</f>
        <v>39293.440000000002</v>
      </c>
      <c r="Q216" s="4">
        <f>SUMIFS(Tab_10.Out[SALDO
ATUAL],Tab_10.Out[CONTA],$F216)</f>
        <v>43709.4</v>
      </c>
      <c r="R216" s="4">
        <f>SUMIFS(Tab_11.Nov[SALDO
ATUAL],Tab_11.Nov[CONTA],$F216)</f>
        <v>48374.95</v>
      </c>
      <c r="S216" s="4">
        <f>SUMIFS(Tab_12.Dez[SALDO
ATUAL],Tab_12.Dez[CONTA],$F216)</f>
        <v>52960.91</v>
      </c>
    </row>
    <row r="217" spans="2:19" x14ac:dyDescent="0.3">
      <c r="B217" s="3" t="s">
        <v>103</v>
      </c>
      <c r="C217" s="2" t="str">
        <f t="shared" si="11"/>
        <v>C</v>
      </c>
      <c r="D217" s="2" t="str">
        <f t="shared" si="12"/>
        <v>A</v>
      </c>
      <c r="E217" s="2">
        <f t="shared" si="13"/>
        <v>5</v>
      </c>
      <c r="F217" s="3" t="s">
        <v>405</v>
      </c>
      <c r="G217" s="3" t="s">
        <v>406</v>
      </c>
      <c r="H217" s="4">
        <f>SUMIFS(Tab_01.Jan[SALDO
ATUAL],Tab_01.Jan[CONTA],$F217)</f>
        <v>27797</v>
      </c>
      <c r="I217" s="4">
        <f>SUMIFS(Tab_02.Fev[SALDO
ATUAL],Tab_02.Fev[CONTA],$F217)</f>
        <v>53137</v>
      </c>
      <c r="J217" s="4">
        <f>SUMIFS(Tab_03.Mar[SALDO
ATUAL],Tab_03.Mar[CONTA],$F217)</f>
        <v>76447</v>
      </c>
      <c r="K217" s="4">
        <f>SUMIFS(Tab_04.Abr[SALDO
ATUAL],Tab_04.Abr[CONTA],$F217)</f>
        <v>107817</v>
      </c>
      <c r="L217" s="4">
        <f>SUMIFS(Tab_05.Mai[SALDO
ATUAL],Tab_05.Mai[CONTA],$F217)</f>
        <v>139137</v>
      </c>
      <c r="M217" s="4">
        <f>SUMIFS(Tab_06.Jun[SALDO
ATUAL],Tab_06.Jun[CONTA],$F217)</f>
        <v>196382</v>
      </c>
      <c r="N217" s="4">
        <f>SUMIFS(Tab_07.Jul[SALDO
ATUAL],Tab_07.Jul[CONTA],$F217)</f>
        <v>196382</v>
      </c>
      <c r="O217" s="4">
        <f>SUMIFS(Tab_08.Ago[SALDO
ATUAL],Tab_08.Ago[CONTA],$F217)</f>
        <v>196382</v>
      </c>
      <c r="P217" s="4">
        <f>SUMIFS(Tab_09.Set[SALDO
ATUAL],Tab_09.Set[CONTA],$F217)</f>
        <v>261562</v>
      </c>
      <c r="Q217" s="4">
        <f>SUMIFS(Tab_10.Out[SALDO
ATUAL],Tab_10.Out[CONTA],$F217)</f>
        <v>289312</v>
      </c>
      <c r="R217" s="4">
        <f>SUMIFS(Tab_11.Nov[SALDO
ATUAL],Tab_11.Nov[CONTA],$F217)</f>
        <v>329522</v>
      </c>
      <c r="S217" s="4">
        <f>SUMIFS(Tab_12.Dez[SALDO
ATUAL],Tab_12.Dez[CONTA],$F217)</f>
        <v>352242</v>
      </c>
    </row>
    <row r="218" spans="2:19" x14ac:dyDescent="0.3">
      <c r="B218" s="3" t="s">
        <v>103</v>
      </c>
      <c r="C218" s="2" t="str">
        <f t="shared" si="11"/>
        <v>C</v>
      </c>
      <c r="D218" s="2" t="str">
        <f t="shared" si="12"/>
        <v>A</v>
      </c>
      <c r="E218" s="2">
        <f t="shared" si="13"/>
        <v>5</v>
      </c>
      <c r="F218" s="3" t="s">
        <v>407</v>
      </c>
      <c r="G218" s="3" t="s">
        <v>408</v>
      </c>
      <c r="H218" s="4">
        <f>SUMIFS(Tab_01.Jan[SALDO
ATUAL],Tab_01.Jan[CONTA],$F218)</f>
        <v>2247.19</v>
      </c>
      <c r="I218" s="4">
        <f>SUMIFS(Tab_02.Fev[SALDO
ATUAL],Tab_02.Fev[CONTA],$F218)</f>
        <v>2247.19</v>
      </c>
      <c r="J218" s="4">
        <f>SUMIFS(Tab_03.Mar[SALDO
ATUAL],Tab_03.Mar[CONTA],$F218)</f>
        <v>6352.05</v>
      </c>
      <c r="K218" s="4">
        <f>SUMIFS(Tab_04.Abr[SALDO
ATUAL],Tab_04.Abr[CONTA],$F218)</f>
        <v>9352.0499999999993</v>
      </c>
      <c r="L218" s="4">
        <f>SUMIFS(Tab_05.Mai[SALDO
ATUAL],Tab_05.Mai[CONTA],$F218)</f>
        <v>15352.05</v>
      </c>
      <c r="M218" s="4">
        <f>SUMIFS(Tab_06.Jun[SALDO
ATUAL],Tab_06.Jun[CONTA],$F218)</f>
        <v>20365.25</v>
      </c>
      <c r="N218" s="4">
        <f>SUMIFS(Tab_07.Jul[SALDO
ATUAL],Tab_07.Jul[CONTA],$F218)</f>
        <v>20365.25</v>
      </c>
      <c r="O218" s="4">
        <f>SUMIFS(Tab_08.Ago[SALDO
ATUAL],Tab_08.Ago[CONTA],$F218)</f>
        <v>20365.25</v>
      </c>
      <c r="P218" s="4">
        <f>SUMIFS(Tab_09.Set[SALDO
ATUAL],Tab_09.Set[CONTA],$F218)</f>
        <v>20365.25</v>
      </c>
      <c r="Q218" s="4">
        <f>SUMIFS(Tab_10.Out[SALDO
ATUAL],Tab_10.Out[CONTA],$F218)</f>
        <v>20365.25</v>
      </c>
      <c r="R218" s="4">
        <f>SUMIFS(Tab_11.Nov[SALDO
ATUAL],Tab_11.Nov[CONTA],$F218)</f>
        <v>20365.25</v>
      </c>
      <c r="S218" s="4">
        <f>SUMIFS(Tab_12.Dez[SALDO
ATUAL],Tab_12.Dez[CONTA],$F218)</f>
        <v>20365.25</v>
      </c>
    </row>
    <row r="219" spans="2:19" x14ac:dyDescent="0.3">
      <c r="B219" s="3" t="s">
        <v>103</v>
      </c>
      <c r="C219" s="2" t="str">
        <f t="shared" si="11"/>
        <v>C</v>
      </c>
      <c r="D219" s="2" t="str">
        <f t="shared" si="12"/>
        <v>A</v>
      </c>
      <c r="E219" s="2">
        <f t="shared" si="13"/>
        <v>5</v>
      </c>
      <c r="F219" s="3" t="s">
        <v>409</v>
      </c>
      <c r="G219" s="3" t="s">
        <v>410</v>
      </c>
      <c r="H219" s="4">
        <f>SUMIFS(Tab_01.Jan[SALDO
ATUAL],Tab_01.Jan[CONTA],$F219)</f>
        <v>0</v>
      </c>
      <c r="I219" s="4">
        <f>SUMIFS(Tab_02.Fev[SALDO
ATUAL],Tab_02.Fev[CONTA],$F219)</f>
        <v>0</v>
      </c>
      <c r="J219" s="4">
        <f>SUMIFS(Tab_03.Mar[SALDO
ATUAL],Tab_03.Mar[CONTA],$F219)</f>
        <v>0</v>
      </c>
      <c r="K219" s="4">
        <f>SUMIFS(Tab_04.Abr[SALDO
ATUAL],Tab_04.Abr[CONTA],$F219)</f>
        <v>0</v>
      </c>
      <c r="L219" s="4">
        <f>SUMIFS(Tab_05.Mai[SALDO
ATUAL],Tab_05.Mai[CONTA],$F219)</f>
        <v>0</v>
      </c>
      <c r="M219" s="4">
        <f>SUMIFS(Tab_06.Jun[SALDO
ATUAL],Tab_06.Jun[CONTA],$F219)</f>
        <v>0</v>
      </c>
      <c r="N219" s="4">
        <f>SUMIFS(Tab_07.Jul[SALDO
ATUAL],Tab_07.Jul[CONTA],$F219)</f>
        <v>0</v>
      </c>
      <c r="O219" s="4">
        <f>SUMIFS(Tab_08.Ago[SALDO
ATUAL],Tab_08.Ago[CONTA],$F219)</f>
        <v>0</v>
      </c>
      <c r="P219" s="4">
        <f>SUMIFS(Tab_09.Set[SALDO
ATUAL],Tab_09.Set[CONTA],$F219)</f>
        <v>0</v>
      </c>
      <c r="Q219" s="4">
        <f>SUMIFS(Tab_10.Out[SALDO
ATUAL],Tab_10.Out[CONTA],$F219)</f>
        <v>0</v>
      </c>
      <c r="R219" s="4">
        <f>SUMIFS(Tab_11.Nov[SALDO
ATUAL],Tab_11.Nov[CONTA],$F219)</f>
        <v>0</v>
      </c>
      <c r="S219" s="4">
        <f>SUMIFS(Tab_12.Dez[SALDO
ATUAL],Tab_12.Dez[CONTA],$F219)</f>
        <v>0</v>
      </c>
    </row>
    <row r="220" spans="2:19" x14ac:dyDescent="0.3">
      <c r="B220" s="3"/>
      <c r="C220" s="2" t="str">
        <f t="shared" si="11"/>
        <v>C</v>
      </c>
      <c r="D220" s="2" t="str">
        <f t="shared" si="12"/>
        <v>S</v>
      </c>
      <c r="E220" s="2">
        <f t="shared" si="13"/>
        <v>5</v>
      </c>
      <c r="F220" s="3" t="s">
        <v>594</v>
      </c>
      <c r="G220" s="3" t="s">
        <v>701</v>
      </c>
      <c r="H220" s="4">
        <f>SUMIFS(Tab_01.Jan[SALDO
ATUAL],Tab_01.Jan[CONTA],$F220)</f>
        <v>1590.84</v>
      </c>
      <c r="I220" s="4">
        <f>SUMIFS(Tab_02.Fev[SALDO
ATUAL],Tab_02.Fev[CONTA],$F220)</f>
        <v>1590.84</v>
      </c>
      <c r="J220" s="4">
        <f>SUMIFS(Tab_03.Mar[SALDO
ATUAL],Tab_03.Mar[CONTA],$F220)</f>
        <v>2422.88</v>
      </c>
      <c r="K220" s="4">
        <f>SUMIFS(Tab_04.Abr[SALDO
ATUAL],Tab_04.Abr[CONTA],$F220)</f>
        <v>3006.33</v>
      </c>
      <c r="L220" s="4">
        <f>SUMIFS(Tab_05.Mai[SALDO
ATUAL],Tab_05.Mai[CONTA],$F220)</f>
        <v>3894.7</v>
      </c>
      <c r="M220" s="4">
        <f>SUMIFS(Tab_06.Jun[SALDO
ATUAL],Tab_06.Jun[CONTA],$F220)</f>
        <v>5738.17</v>
      </c>
      <c r="N220" s="4">
        <f>SUMIFS(Tab_07.Jul[SALDO
ATUAL],Tab_07.Jul[CONTA],$F220)</f>
        <v>5738.17</v>
      </c>
      <c r="O220" s="4">
        <f>SUMIFS(Tab_08.Ago[SALDO
ATUAL],Tab_08.Ago[CONTA],$F220)</f>
        <v>5738.17</v>
      </c>
      <c r="P220" s="4">
        <f>SUMIFS(Tab_09.Set[SALDO
ATUAL],Tab_09.Set[CONTA],$F220)</f>
        <v>7125.51</v>
      </c>
      <c r="Q220" s="4">
        <f>SUMIFS(Tab_10.Out[SALDO
ATUAL],Tab_10.Out[CONTA],$F220)</f>
        <v>8256.1200000000008</v>
      </c>
      <c r="R220" s="4">
        <f>SUMIFS(Tab_11.Nov[SALDO
ATUAL],Tab_11.Nov[CONTA],$F220)</f>
        <v>9164.7800000000007</v>
      </c>
      <c r="S220" s="4">
        <f>SUMIFS(Tab_12.Dez[SALDO
ATUAL],Tab_12.Dez[CONTA],$F220)</f>
        <v>10116.23</v>
      </c>
    </row>
    <row r="221" spans="2:19" x14ac:dyDescent="0.3">
      <c r="B221" s="3" t="s">
        <v>103</v>
      </c>
      <c r="C221" s="2" t="str">
        <f t="shared" si="11"/>
        <v>C</v>
      </c>
      <c r="D221" s="2" t="str">
        <f t="shared" si="12"/>
        <v>A</v>
      </c>
      <c r="E221" s="2">
        <f t="shared" si="13"/>
        <v>5</v>
      </c>
      <c r="F221" s="3" t="s">
        <v>411</v>
      </c>
      <c r="G221" s="3" t="s">
        <v>412</v>
      </c>
      <c r="H221" s="4">
        <f>SUMIFS(Tab_01.Jan[SALDO
ATUAL],Tab_01.Jan[CONTA],$F221)</f>
        <v>300</v>
      </c>
      <c r="I221" s="4">
        <f>SUMIFS(Tab_02.Fev[SALDO
ATUAL],Tab_02.Fev[CONTA],$F221)</f>
        <v>300</v>
      </c>
      <c r="J221" s="4">
        <f>SUMIFS(Tab_03.Mar[SALDO
ATUAL],Tab_03.Mar[CONTA],$F221)</f>
        <v>300</v>
      </c>
      <c r="K221" s="4">
        <f>SUMIFS(Tab_04.Abr[SALDO
ATUAL],Tab_04.Abr[CONTA],$F221)</f>
        <v>300</v>
      </c>
      <c r="L221" s="4">
        <f>SUMIFS(Tab_05.Mai[SALDO
ATUAL],Tab_05.Mai[CONTA],$F221)</f>
        <v>300</v>
      </c>
      <c r="M221" s="4">
        <f>SUMIFS(Tab_06.Jun[SALDO
ATUAL],Tab_06.Jun[CONTA],$F221)</f>
        <v>300</v>
      </c>
      <c r="N221" s="4">
        <f>SUMIFS(Tab_07.Jul[SALDO
ATUAL],Tab_07.Jul[CONTA],$F221)</f>
        <v>300</v>
      </c>
      <c r="O221" s="4">
        <f>SUMIFS(Tab_08.Ago[SALDO
ATUAL],Tab_08.Ago[CONTA],$F221)</f>
        <v>300</v>
      </c>
      <c r="P221" s="4">
        <f>SUMIFS(Tab_09.Set[SALDO
ATUAL],Tab_09.Set[CONTA],$F221)</f>
        <v>300</v>
      </c>
      <c r="Q221" s="4">
        <f>SUMIFS(Tab_10.Out[SALDO
ATUAL],Tab_10.Out[CONTA],$F221)</f>
        <v>300</v>
      </c>
      <c r="R221" s="4">
        <f>SUMIFS(Tab_11.Nov[SALDO
ATUAL],Tab_11.Nov[CONTA],$F221)</f>
        <v>300</v>
      </c>
      <c r="S221" s="4">
        <f>SUMIFS(Tab_12.Dez[SALDO
ATUAL],Tab_12.Dez[CONTA],$F221)</f>
        <v>300</v>
      </c>
    </row>
    <row r="222" spans="2:19" x14ac:dyDescent="0.3">
      <c r="B222" s="3" t="s">
        <v>103</v>
      </c>
      <c r="C222" s="2" t="str">
        <f t="shared" si="11"/>
        <v>C</v>
      </c>
      <c r="D222" s="2" t="str">
        <f t="shared" si="12"/>
        <v>A</v>
      </c>
      <c r="E222" s="2">
        <f t="shared" si="13"/>
        <v>5</v>
      </c>
      <c r="F222" s="3" t="s">
        <v>413</v>
      </c>
      <c r="G222" s="3" t="s">
        <v>414</v>
      </c>
      <c r="H222" s="4">
        <f>SUMIFS(Tab_01.Jan[SALDO
ATUAL],Tab_01.Jan[CONTA],$F222)</f>
        <v>1290.8399999999999</v>
      </c>
      <c r="I222" s="4">
        <f>SUMIFS(Tab_02.Fev[SALDO
ATUAL],Tab_02.Fev[CONTA],$F222)</f>
        <v>1290.8399999999999</v>
      </c>
      <c r="J222" s="4">
        <f>SUMIFS(Tab_03.Mar[SALDO
ATUAL],Tab_03.Mar[CONTA],$F222)</f>
        <v>2122.88</v>
      </c>
      <c r="K222" s="4">
        <f>SUMIFS(Tab_04.Abr[SALDO
ATUAL],Tab_04.Abr[CONTA],$F222)</f>
        <v>2706.33</v>
      </c>
      <c r="L222" s="4">
        <f>SUMIFS(Tab_05.Mai[SALDO
ATUAL],Tab_05.Mai[CONTA],$F222)</f>
        <v>3594.7</v>
      </c>
      <c r="M222" s="4">
        <f>SUMIFS(Tab_06.Jun[SALDO
ATUAL],Tab_06.Jun[CONTA],$F222)</f>
        <v>5438.17</v>
      </c>
      <c r="N222" s="4">
        <f>SUMIFS(Tab_07.Jul[SALDO
ATUAL],Tab_07.Jul[CONTA],$F222)</f>
        <v>5438.17</v>
      </c>
      <c r="O222" s="4">
        <f>SUMIFS(Tab_08.Ago[SALDO
ATUAL],Tab_08.Ago[CONTA],$F222)</f>
        <v>5438.17</v>
      </c>
      <c r="P222" s="4">
        <f>SUMIFS(Tab_09.Set[SALDO
ATUAL],Tab_09.Set[CONTA],$F222)</f>
        <v>6773.05</v>
      </c>
      <c r="Q222" s="4">
        <f>SUMIFS(Tab_10.Out[SALDO
ATUAL],Tab_10.Out[CONTA],$F222)</f>
        <v>7903.66</v>
      </c>
      <c r="R222" s="4">
        <f>SUMIFS(Tab_11.Nov[SALDO
ATUAL],Tab_11.Nov[CONTA],$F222)</f>
        <v>8812.32</v>
      </c>
      <c r="S222" s="4">
        <f>SUMIFS(Tab_12.Dez[SALDO
ATUAL],Tab_12.Dez[CONTA],$F222)</f>
        <v>9763.77</v>
      </c>
    </row>
    <row r="223" spans="2:19" x14ac:dyDescent="0.3">
      <c r="B223" s="3" t="s">
        <v>103</v>
      </c>
      <c r="C223" s="2" t="str">
        <f t="shared" si="11"/>
        <v>C</v>
      </c>
      <c r="D223" s="2" t="str">
        <f t="shared" si="12"/>
        <v>A</v>
      </c>
      <c r="E223" s="2">
        <f t="shared" si="13"/>
        <v>5</v>
      </c>
      <c r="F223" s="3" t="s">
        <v>415</v>
      </c>
      <c r="G223" s="3" t="s">
        <v>416</v>
      </c>
      <c r="H223" s="4">
        <f>SUMIFS(Tab_01.Jan[SALDO
ATUAL],Tab_01.Jan[CONTA],$F223)</f>
        <v>0</v>
      </c>
      <c r="I223" s="4">
        <f>SUMIFS(Tab_02.Fev[SALDO
ATUAL],Tab_02.Fev[CONTA],$F223)</f>
        <v>0</v>
      </c>
      <c r="J223" s="4">
        <f>SUMIFS(Tab_03.Mar[SALDO
ATUAL],Tab_03.Mar[CONTA],$F223)</f>
        <v>0</v>
      </c>
      <c r="K223" s="4">
        <f>SUMIFS(Tab_04.Abr[SALDO
ATUAL],Tab_04.Abr[CONTA],$F223)</f>
        <v>0</v>
      </c>
      <c r="L223" s="4">
        <f>SUMIFS(Tab_05.Mai[SALDO
ATUAL],Tab_05.Mai[CONTA],$F223)</f>
        <v>0</v>
      </c>
      <c r="M223" s="4">
        <f>SUMIFS(Tab_06.Jun[SALDO
ATUAL],Tab_06.Jun[CONTA],$F223)</f>
        <v>0</v>
      </c>
      <c r="N223" s="4">
        <f>SUMIFS(Tab_07.Jul[SALDO
ATUAL],Tab_07.Jul[CONTA],$F223)</f>
        <v>0</v>
      </c>
      <c r="O223" s="4">
        <f>SUMIFS(Tab_08.Ago[SALDO
ATUAL],Tab_08.Ago[CONTA],$F223)</f>
        <v>0</v>
      </c>
      <c r="P223" s="4">
        <f>SUMIFS(Tab_09.Set[SALDO
ATUAL],Tab_09.Set[CONTA],$F223)</f>
        <v>0</v>
      </c>
      <c r="Q223" s="4">
        <f>SUMIFS(Tab_10.Out[SALDO
ATUAL],Tab_10.Out[CONTA],$F223)</f>
        <v>0</v>
      </c>
      <c r="R223" s="4">
        <f>SUMIFS(Tab_11.Nov[SALDO
ATUAL],Tab_11.Nov[CONTA],$F223)</f>
        <v>0</v>
      </c>
      <c r="S223" s="4">
        <f>SUMIFS(Tab_12.Dez[SALDO
ATUAL],Tab_12.Dez[CONTA],$F223)</f>
        <v>0</v>
      </c>
    </row>
    <row r="224" spans="2:19" x14ac:dyDescent="0.3">
      <c r="B224" s="3" t="s">
        <v>103</v>
      </c>
      <c r="C224" s="2" t="str">
        <f t="shared" si="11"/>
        <v>C</v>
      </c>
      <c r="D224" s="2" t="str">
        <f t="shared" si="12"/>
        <v>A</v>
      </c>
      <c r="E224" s="2">
        <f t="shared" si="13"/>
        <v>5</v>
      </c>
      <c r="F224" s="3" t="s">
        <v>417</v>
      </c>
      <c r="G224" s="3" t="s">
        <v>418</v>
      </c>
      <c r="H224" s="4">
        <f>SUMIFS(Tab_01.Jan[SALDO
ATUAL],Tab_01.Jan[CONTA],$F224)</f>
        <v>0</v>
      </c>
      <c r="I224" s="4">
        <f>SUMIFS(Tab_02.Fev[SALDO
ATUAL],Tab_02.Fev[CONTA],$F224)</f>
        <v>0</v>
      </c>
      <c r="J224" s="4">
        <f>SUMIFS(Tab_03.Mar[SALDO
ATUAL],Tab_03.Mar[CONTA],$F224)</f>
        <v>0</v>
      </c>
      <c r="K224" s="4">
        <f>SUMIFS(Tab_04.Abr[SALDO
ATUAL],Tab_04.Abr[CONTA],$F224)</f>
        <v>0</v>
      </c>
      <c r="L224" s="4">
        <f>SUMIFS(Tab_05.Mai[SALDO
ATUAL],Tab_05.Mai[CONTA],$F224)</f>
        <v>0</v>
      </c>
      <c r="M224" s="4">
        <f>SUMIFS(Tab_06.Jun[SALDO
ATUAL],Tab_06.Jun[CONTA],$F224)</f>
        <v>0</v>
      </c>
      <c r="N224" s="4">
        <f>SUMIFS(Tab_07.Jul[SALDO
ATUAL],Tab_07.Jul[CONTA],$F224)</f>
        <v>0</v>
      </c>
      <c r="O224" s="4">
        <f>SUMIFS(Tab_08.Ago[SALDO
ATUAL],Tab_08.Ago[CONTA],$F224)</f>
        <v>0</v>
      </c>
      <c r="P224" s="4">
        <f>SUMIFS(Tab_09.Set[SALDO
ATUAL],Tab_09.Set[CONTA],$F224)</f>
        <v>52.46</v>
      </c>
      <c r="Q224" s="4">
        <f>SUMIFS(Tab_10.Out[SALDO
ATUAL],Tab_10.Out[CONTA],$F224)</f>
        <v>52.46</v>
      </c>
      <c r="R224" s="4">
        <f>SUMIFS(Tab_11.Nov[SALDO
ATUAL],Tab_11.Nov[CONTA],$F224)</f>
        <v>52.46</v>
      </c>
      <c r="S224" s="4">
        <f>SUMIFS(Tab_12.Dez[SALDO
ATUAL],Tab_12.Dez[CONTA],$F224)</f>
        <v>52.46</v>
      </c>
    </row>
    <row r="225" spans="2:19" x14ac:dyDescent="0.3">
      <c r="B225" s="3"/>
      <c r="C225" s="2" t="str">
        <f t="shared" si="11"/>
        <v>C</v>
      </c>
      <c r="D225" s="2" t="str">
        <f t="shared" si="12"/>
        <v>S</v>
      </c>
      <c r="E225" s="2">
        <f t="shared" si="13"/>
        <v>5</v>
      </c>
      <c r="F225" s="3" t="s">
        <v>595</v>
      </c>
      <c r="G225" s="3" t="s">
        <v>420</v>
      </c>
      <c r="H225" s="4">
        <f>SUMIFS(Tab_01.Jan[SALDO
ATUAL],Tab_01.Jan[CONTA],$F225)</f>
        <v>427.26</v>
      </c>
      <c r="I225" s="4">
        <f>SUMIFS(Tab_02.Fev[SALDO
ATUAL],Tab_02.Fev[CONTA],$F225)</f>
        <v>854.52</v>
      </c>
      <c r="J225" s="4">
        <f>SUMIFS(Tab_03.Mar[SALDO
ATUAL],Tab_03.Mar[CONTA],$F225)</f>
        <v>1281.78</v>
      </c>
      <c r="K225" s="4">
        <f>SUMIFS(Tab_04.Abr[SALDO
ATUAL],Tab_04.Abr[CONTA],$F225)</f>
        <v>1709.04</v>
      </c>
      <c r="L225" s="4">
        <f>SUMIFS(Tab_05.Mai[SALDO
ATUAL],Tab_05.Mai[CONTA],$F225)</f>
        <v>2975.62</v>
      </c>
      <c r="M225" s="4">
        <f>SUMIFS(Tab_06.Jun[SALDO
ATUAL],Tab_06.Jun[CONTA],$F225)</f>
        <v>4130.1400000000003</v>
      </c>
      <c r="N225" s="4">
        <f>SUMIFS(Tab_07.Jul[SALDO
ATUAL],Tab_07.Jul[CONTA],$F225)</f>
        <v>4130.1400000000003</v>
      </c>
      <c r="O225" s="4">
        <f>SUMIFS(Tab_08.Ago[SALDO
ATUAL],Tab_08.Ago[CONTA],$F225)</f>
        <v>4130.1400000000003</v>
      </c>
      <c r="P225" s="4">
        <f>SUMIFS(Tab_09.Set[SALDO
ATUAL],Tab_09.Set[CONTA],$F225)</f>
        <v>6240.61</v>
      </c>
      <c r="Q225" s="4">
        <f>SUMIFS(Tab_10.Out[SALDO
ATUAL],Tab_10.Out[CONTA],$F225)</f>
        <v>6667.87</v>
      </c>
      <c r="R225" s="4">
        <f>SUMIFS(Tab_11.Nov[SALDO
ATUAL],Tab_11.Nov[CONTA],$F225)</f>
        <v>7095.13</v>
      </c>
      <c r="S225" s="4">
        <f>SUMIFS(Tab_12.Dez[SALDO
ATUAL],Tab_12.Dez[CONTA],$F225)</f>
        <v>7522.39</v>
      </c>
    </row>
    <row r="226" spans="2:19" x14ac:dyDescent="0.3">
      <c r="B226" s="3" t="s">
        <v>103</v>
      </c>
      <c r="C226" s="2" t="str">
        <f t="shared" si="11"/>
        <v>C</v>
      </c>
      <c r="D226" s="2" t="str">
        <f t="shared" si="12"/>
        <v>A</v>
      </c>
      <c r="E226" s="2">
        <f t="shared" si="13"/>
        <v>5</v>
      </c>
      <c r="F226" s="3" t="s">
        <v>419</v>
      </c>
      <c r="G226" s="3" t="s">
        <v>420</v>
      </c>
      <c r="H226" s="4">
        <f>SUMIFS(Tab_01.Jan[SALDO
ATUAL],Tab_01.Jan[CONTA],$F226)</f>
        <v>427.26</v>
      </c>
      <c r="I226" s="4">
        <f>SUMIFS(Tab_02.Fev[SALDO
ATUAL],Tab_02.Fev[CONTA],$F226)</f>
        <v>854.52</v>
      </c>
      <c r="J226" s="4">
        <f>SUMIFS(Tab_03.Mar[SALDO
ATUAL],Tab_03.Mar[CONTA],$F226)</f>
        <v>1281.78</v>
      </c>
      <c r="K226" s="4">
        <f>SUMIFS(Tab_04.Abr[SALDO
ATUAL],Tab_04.Abr[CONTA],$F226)</f>
        <v>1709.04</v>
      </c>
      <c r="L226" s="4">
        <f>SUMIFS(Tab_05.Mai[SALDO
ATUAL],Tab_05.Mai[CONTA],$F226)</f>
        <v>2975.62</v>
      </c>
      <c r="M226" s="4">
        <f>SUMIFS(Tab_06.Jun[SALDO
ATUAL],Tab_06.Jun[CONTA],$F226)</f>
        <v>4130.1400000000003</v>
      </c>
      <c r="N226" s="4">
        <f>SUMIFS(Tab_07.Jul[SALDO
ATUAL],Tab_07.Jul[CONTA],$F226)</f>
        <v>4130.1400000000003</v>
      </c>
      <c r="O226" s="4">
        <f>SUMIFS(Tab_08.Ago[SALDO
ATUAL],Tab_08.Ago[CONTA],$F226)</f>
        <v>4130.1400000000003</v>
      </c>
      <c r="P226" s="4">
        <f>SUMIFS(Tab_09.Set[SALDO
ATUAL],Tab_09.Set[CONTA],$F226)</f>
        <v>6240.61</v>
      </c>
      <c r="Q226" s="4">
        <f>SUMIFS(Tab_10.Out[SALDO
ATUAL],Tab_10.Out[CONTA],$F226)</f>
        <v>6667.87</v>
      </c>
      <c r="R226" s="4">
        <f>SUMIFS(Tab_11.Nov[SALDO
ATUAL],Tab_11.Nov[CONTA],$F226)</f>
        <v>7095.13</v>
      </c>
      <c r="S226" s="4">
        <f>SUMIFS(Tab_12.Dez[SALDO
ATUAL],Tab_12.Dez[CONTA],$F226)</f>
        <v>7522.39</v>
      </c>
    </row>
    <row r="227" spans="2:19" x14ac:dyDescent="0.3">
      <c r="B227" s="3"/>
      <c r="C227" s="2" t="str">
        <f t="shared" si="11"/>
        <v>C</v>
      </c>
      <c r="D227" s="2" t="str">
        <f t="shared" si="12"/>
        <v>S</v>
      </c>
      <c r="E227" s="2">
        <f t="shared" si="13"/>
        <v>5</v>
      </c>
      <c r="F227" s="3" t="s">
        <v>237</v>
      </c>
      <c r="G227" s="3" t="s">
        <v>702</v>
      </c>
      <c r="H227" s="4">
        <f>SUMIFS(Tab_01.Jan[SALDO
ATUAL],Tab_01.Jan[CONTA],$F227)</f>
        <v>852439.19</v>
      </c>
      <c r="I227" s="4">
        <f>SUMIFS(Tab_02.Fev[SALDO
ATUAL],Tab_02.Fev[CONTA],$F227)</f>
        <v>1029818.25</v>
      </c>
      <c r="J227" s="4">
        <f>SUMIFS(Tab_03.Mar[SALDO
ATUAL],Tab_03.Mar[CONTA],$F227)</f>
        <v>2277617.88</v>
      </c>
      <c r="K227" s="4">
        <f>SUMIFS(Tab_04.Abr[SALDO
ATUAL],Tab_04.Abr[CONTA],$F227)</f>
        <v>2936654.85</v>
      </c>
      <c r="L227" s="4">
        <f>SUMIFS(Tab_05.Mai[SALDO
ATUAL],Tab_05.Mai[CONTA],$F227)</f>
        <v>3614143.37</v>
      </c>
      <c r="M227" s="4">
        <f>SUMIFS(Tab_06.Jun[SALDO
ATUAL],Tab_06.Jun[CONTA],$F227)</f>
        <v>4689433.2</v>
      </c>
      <c r="N227" s="4">
        <f>SUMIFS(Tab_07.Jul[SALDO
ATUAL],Tab_07.Jul[CONTA],$F227)</f>
        <v>4689433.2</v>
      </c>
      <c r="O227" s="4">
        <f>SUMIFS(Tab_08.Ago[SALDO
ATUAL],Tab_08.Ago[CONTA],$F227)</f>
        <v>4689433.2</v>
      </c>
      <c r="P227" s="4">
        <f>SUMIFS(Tab_09.Set[SALDO
ATUAL],Tab_09.Set[CONTA],$F227)</f>
        <v>5912575.7699999996</v>
      </c>
      <c r="Q227" s="4">
        <f>SUMIFS(Tab_10.Out[SALDO
ATUAL],Tab_10.Out[CONTA],$F227)</f>
        <v>6716740.7300000004</v>
      </c>
      <c r="R227" s="4">
        <f>SUMIFS(Tab_11.Nov[SALDO
ATUAL],Tab_11.Nov[CONTA],$F227)</f>
        <v>7014231.1600000001</v>
      </c>
      <c r="S227" s="4">
        <f>SUMIFS(Tab_12.Dez[SALDO
ATUAL],Tab_12.Dez[CONTA],$F227)</f>
        <v>8468862.5500000007</v>
      </c>
    </row>
    <row r="228" spans="2:19" x14ac:dyDescent="0.3">
      <c r="B228" s="3"/>
      <c r="C228" s="2" t="str">
        <f t="shared" si="11"/>
        <v>C</v>
      </c>
      <c r="D228" s="2" t="str">
        <f t="shared" si="12"/>
        <v>S</v>
      </c>
      <c r="E228" s="2">
        <f t="shared" si="13"/>
        <v>5</v>
      </c>
      <c r="F228" s="3" t="s">
        <v>238</v>
      </c>
      <c r="G228" s="3" t="s">
        <v>702</v>
      </c>
      <c r="H228" s="4">
        <f>SUMIFS(Tab_01.Jan[SALDO
ATUAL],Tab_01.Jan[CONTA],$F228)</f>
        <v>852439.19</v>
      </c>
      <c r="I228" s="4">
        <f>SUMIFS(Tab_02.Fev[SALDO
ATUAL],Tab_02.Fev[CONTA],$F228)</f>
        <v>1029818.25</v>
      </c>
      <c r="J228" s="4">
        <f>SUMIFS(Tab_03.Mar[SALDO
ATUAL],Tab_03.Mar[CONTA],$F228)</f>
        <v>2277617.88</v>
      </c>
      <c r="K228" s="4">
        <f>SUMIFS(Tab_04.Abr[SALDO
ATUAL],Tab_04.Abr[CONTA],$F228)</f>
        <v>2936654.85</v>
      </c>
      <c r="L228" s="4">
        <f>SUMIFS(Tab_05.Mai[SALDO
ATUAL],Tab_05.Mai[CONTA],$F228)</f>
        <v>3614143.37</v>
      </c>
      <c r="M228" s="4">
        <f>SUMIFS(Tab_06.Jun[SALDO
ATUAL],Tab_06.Jun[CONTA],$F228)</f>
        <v>4689433.2</v>
      </c>
      <c r="N228" s="4">
        <f>SUMIFS(Tab_07.Jul[SALDO
ATUAL],Tab_07.Jul[CONTA],$F228)</f>
        <v>4689433.2</v>
      </c>
      <c r="O228" s="4">
        <f>SUMIFS(Tab_08.Ago[SALDO
ATUAL],Tab_08.Ago[CONTA],$F228)</f>
        <v>4689433.2</v>
      </c>
      <c r="P228" s="4">
        <f>SUMIFS(Tab_09.Set[SALDO
ATUAL],Tab_09.Set[CONTA],$F228)</f>
        <v>5912575.7699999996</v>
      </c>
      <c r="Q228" s="4">
        <f>SUMIFS(Tab_10.Out[SALDO
ATUAL],Tab_10.Out[CONTA],$F228)</f>
        <v>6716740.7300000004</v>
      </c>
      <c r="R228" s="4">
        <f>SUMIFS(Tab_11.Nov[SALDO
ATUAL],Tab_11.Nov[CONTA],$F228)</f>
        <v>7014231.1600000001</v>
      </c>
      <c r="S228" s="4">
        <f>SUMIFS(Tab_12.Dez[SALDO
ATUAL],Tab_12.Dez[CONTA],$F228)</f>
        <v>8468862.5500000007</v>
      </c>
    </row>
    <row r="229" spans="2:19" x14ac:dyDescent="0.3">
      <c r="B229" s="3" t="s">
        <v>103</v>
      </c>
      <c r="C229" s="2" t="str">
        <f t="shared" si="11"/>
        <v>C</v>
      </c>
      <c r="D229" s="2" t="str">
        <f t="shared" si="12"/>
        <v>A</v>
      </c>
      <c r="E229" s="2">
        <f t="shared" si="13"/>
        <v>5</v>
      </c>
      <c r="F229" s="3" t="s">
        <v>421</v>
      </c>
      <c r="G229" s="3" t="s">
        <v>422</v>
      </c>
      <c r="H229" s="4">
        <f>SUMIFS(Tab_01.Jan[SALDO
ATUAL],Tab_01.Jan[CONTA],$F229)</f>
        <v>187419.37</v>
      </c>
      <c r="I229" s="4">
        <f>SUMIFS(Tab_02.Fev[SALDO
ATUAL],Tab_02.Fev[CONTA],$F229)</f>
        <v>187419.37</v>
      </c>
      <c r="J229" s="4">
        <f>SUMIFS(Tab_03.Mar[SALDO
ATUAL],Tab_03.Mar[CONTA],$F229)</f>
        <v>682368.86</v>
      </c>
      <c r="K229" s="4">
        <f>SUMIFS(Tab_04.Abr[SALDO
ATUAL],Tab_04.Abr[CONTA],$F229)</f>
        <v>862584.28</v>
      </c>
      <c r="L229" s="4">
        <f>SUMIFS(Tab_05.Mai[SALDO
ATUAL],Tab_05.Mai[CONTA],$F229)</f>
        <v>1195265.1000000001</v>
      </c>
      <c r="M229" s="4">
        <f>SUMIFS(Tab_06.Jun[SALDO
ATUAL],Tab_06.Jun[CONTA],$F229)</f>
        <v>1702436.3</v>
      </c>
      <c r="N229" s="4">
        <f>SUMIFS(Tab_07.Jul[SALDO
ATUAL],Tab_07.Jul[CONTA],$F229)</f>
        <v>1702436.3</v>
      </c>
      <c r="O229" s="4">
        <f>SUMIFS(Tab_08.Ago[SALDO
ATUAL],Tab_08.Ago[CONTA],$F229)</f>
        <v>1702436.3</v>
      </c>
      <c r="P229" s="4">
        <f>SUMIFS(Tab_09.Set[SALDO
ATUAL],Tab_09.Set[CONTA],$F229)</f>
        <v>2125464.3199999998</v>
      </c>
      <c r="Q229" s="4">
        <f>SUMIFS(Tab_10.Out[SALDO
ATUAL],Tab_10.Out[CONTA],$F229)</f>
        <v>2555246.16</v>
      </c>
      <c r="R229" s="4">
        <f>SUMIFS(Tab_11.Nov[SALDO
ATUAL],Tab_11.Nov[CONTA],$F229)</f>
        <v>2743319.47</v>
      </c>
      <c r="S229" s="4">
        <f>SUMIFS(Tab_12.Dez[SALDO
ATUAL],Tab_12.Dez[CONTA],$F229)</f>
        <v>3185948.49</v>
      </c>
    </row>
    <row r="230" spans="2:19" x14ac:dyDescent="0.3">
      <c r="B230" s="3" t="s">
        <v>103</v>
      </c>
      <c r="C230" s="2" t="str">
        <f>IF($F230="","",IF(LEFT($F230,1)*1=1,"A",IF(LEFT($F230,1)*1=2,"P",IF(LEFT($F230,1)*1=3,"R",IF(LEFT($F230,1)*1=4,"C",IF(LEFT($F230,1)*1=5,"C",""))))))</f>
        <v>C</v>
      </c>
      <c r="D230" s="2" t="str">
        <f>IF($F230="","",IF(LEN($F230)=13,"A","S"))</f>
        <v>A</v>
      </c>
      <c r="E230" s="2">
        <f>IF($F230="","",IF(LEN($F230)=1,1,IF(LEN($F230)=3,2,IF(LEN($F230)=5,3,IF(LEN($F230)=8,4,5)))))</f>
        <v>5</v>
      </c>
      <c r="F230" s="3" t="s">
        <v>738</v>
      </c>
      <c r="G230" s="3" t="s">
        <v>367</v>
      </c>
      <c r="H230" s="4">
        <f>SUMIFS(Tab_01.Jan[SALDO
ATUAL],Tab_01.Jan[CONTA],$F230)</f>
        <v>122569.24</v>
      </c>
      <c r="I230" s="4">
        <f>SUMIFS(Tab_02.Fev[SALDO
ATUAL],Tab_02.Fev[CONTA],$F230)</f>
        <v>122569.24</v>
      </c>
      <c r="J230" s="4">
        <f>SUMIFS(Tab_03.Mar[SALDO
ATUAL],Tab_03.Mar[CONTA],$F230)</f>
        <v>382498.04</v>
      </c>
      <c r="K230" s="4">
        <f>SUMIFS(Tab_04.Abr[SALDO
ATUAL],Tab_04.Abr[CONTA],$F230)</f>
        <v>514787.48</v>
      </c>
      <c r="L230" s="4">
        <f>SUMIFS(Tab_05.Mai[SALDO
ATUAL],Tab_05.Mai[CONTA],$F230)</f>
        <v>652647.16</v>
      </c>
      <c r="M230" s="4">
        <f>SUMIFS(Tab_06.Jun[SALDO
ATUAL],Tab_06.Jun[CONTA],$F230)</f>
        <v>916108.28</v>
      </c>
      <c r="N230" s="4">
        <f>SUMIFS(Tab_07.Jul[SALDO
ATUAL],Tab_07.Jul[CONTA],$F230)</f>
        <v>916108.28</v>
      </c>
      <c r="O230" s="4">
        <f>SUMIFS(Tab_08.Ago[SALDO
ATUAL],Tab_08.Ago[CONTA],$F230)</f>
        <v>916108.28</v>
      </c>
      <c r="P230" s="4">
        <f>SUMIFS(Tab_09.Set[SALDO
ATUAL],Tab_09.Set[CONTA],$F230)</f>
        <v>1184785.28</v>
      </c>
      <c r="Q230" s="4">
        <f>SUMIFS(Tab_10.Out[SALDO
ATUAL],Tab_10.Out[CONTA],$F230)</f>
        <v>1333697.1200000001</v>
      </c>
      <c r="R230" s="4">
        <f>SUMIFS(Tab_11.Nov[SALDO
ATUAL],Tab_11.Nov[CONTA],$F230)</f>
        <v>1443114.24</v>
      </c>
      <c r="S230" s="4">
        <f>SUMIFS(Tab_12.Dez[SALDO
ATUAL],Tab_12.Dez[CONTA],$F230)</f>
        <v>1555909.28</v>
      </c>
    </row>
    <row r="231" spans="2:19" x14ac:dyDescent="0.3">
      <c r="B231" s="3" t="s">
        <v>103</v>
      </c>
      <c r="C231" s="2" t="str">
        <f t="shared" si="11"/>
        <v>C</v>
      </c>
      <c r="D231" s="2" t="str">
        <f t="shared" si="12"/>
        <v>A</v>
      </c>
      <c r="E231" s="2">
        <f t="shared" si="13"/>
        <v>5</v>
      </c>
      <c r="F231" s="3" t="s">
        <v>423</v>
      </c>
      <c r="G231" s="3" t="s">
        <v>424</v>
      </c>
      <c r="H231" s="4">
        <f>SUMIFS(Tab_01.Jan[SALDO
ATUAL],Tab_01.Jan[CONTA],$F231)</f>
        <v>542450.57999999996</v>
      </c>
      <c r="I231" s="4">
        <f>SUMIFS(Tab_02.Fev[SALDO
ATUAL],Tab_02.Fev[CONTA],$F231)</f>
        <v>719829.64</v>
      </c>
      <c r="J231" s="4">
        <f>SUMIFS(Tab_03.Mar[SALDO
ATUAL],Tab_03.Mar[CONTA],$F231)</f>
        <v>1212750.98</v>
      </c>
      <c r="K231" s="4">
        <f>SUMIFS(Tab_04.Abr[SALDO
ATUAL],Tab_04.Abr[CONTA],$F231)</f>
        <v>1559283.09</v>
      </c>
      <c r="L231" s="4">
        <f>SUMIFS(Tab_05.Mai[SALDO
ATUAL],Tab_05.Mai[CONTA],$F231)</f>
        <v>1766231.11</v>
      </c>
      <c r="M231" s="4">
        <f>SUMIFS(Tab_06.Jun[SALDO
ATUAL],Tab_06.Jun[CONTA],$F231)</f>
        <v>2070888.62</v>
      </c>
      <c r="N231" s="4">
        <f>SUMIFS(Tab_07.Jul[SALDO
ATUAL],Tab_07.Jul[CONTA],$F231)</f>
        <v>2070888.62</v>
      </c>
      <c r="O231" s="4">
        <f>SUMIFS(Tab_08.Ago[SALDO
ATUAL],Tab_08.Ago[CONTA],$F231)</f>
        <v>2070888.62</v>
      </c>
      <c r="P231" s="4">
        <f>SUMIFS(Tab_09.Set[SALDO
ATUAL],Tab_09.Set[CONTA],$F231)</f>
        <v>2602326.17</v>
      </c>
      <c r="Q231" s="4">
        <f>SUMIFS(Tab_10.Out[SALDO
ATUAL],Tab_10.Out[CONTA],$F231)</f>
        <v>2827797.45</v>
      </c>
      <c r="R231" s="4">
        <f>SUMIFS(Tab_11.Nov[SALDO
ATUAL],Tab_11.Nov[CONTA],$F231)</f>
        <v>2827797.45</v>
      </c>
      <c r="S231" s="4">
        <f>SUMIFS(Tab_12.Dez[SALDO
ATUAL],Tab_12.Dez[CONTA],$F231)</f>
        <v>3727004.78</v>
      </c>
    </row>
    <row r="232" spans="2:19" x14ac:dyDescent="0.3">
      <c r="B232" s="3"/>
      <c r="C232" s="2" t="str">
        <f t="shared" si="11"/>
        <v>C</v>
      </c>
      <c r="D232" s="2" t="str">
        <f t="shared" si="12"/>
        <v>S</v>
      </c>
      <c r="E232" s="2">
        <f t="shared" si="13"/>
        <v>2</v>
      </c>
      <c r="F232" s="3" t="s">
        <v>596</v>
      </c>
      <c r="G232" s="3" t="s">
        <v>680</v>
      </c>
      <c r="H232" s="4">
        <f>SUMIFS(Tab_01.Jan[SALDO
ATUAL],Tab_01.Jan[CONTA],$F232)</f>
        <v>0</v>
      </c>
      <c r="I232" s="4">
        <f>SUMIFS(Tab_02.Fev[SALDO
ATUAL],Tab_02.Fev[CONTA],$F232)</f>
        <v>0</v>
      </c>
      <c r="J232" s="4">
        <f>SUMIFS(Tab_03.Mar[SALDO
ATUAL],Tab_03.Mar[CONTA],$F232)</f>
        <v>0</v>
      </c>
      <c r="K232" s="4">
        <f>SUMIFS(Tab_04.Abr[SALDO
ATUAL],Tab_04.Abr[CONTA],$F232)</f>
        <v>0</v>
      </c>
      <c r="L232" s="4">
        <f>SUMIFS(Tab_05.Mai[SALDO
ATUAL],Tab_05.Mai[CONTA],$F232)</f>
        <v>0</v>
      </c>
      <c r="M232" s="4">
        <f>SUMIFS(Tab_06.Jun[SALDO
ATUAL],Tab_06.Jun[CONTA],$F232)</f>
        <v>0</v>
      </c>
      <c r="N232" s="4">
        <f>SUMIFS(Tab_07.Jul[SALDO
ATUAL],Tab_07.Jul[CONTA],$F232)</f>
        <v>0</v>
      </c>
      <c r="O232" s="4">
        <f>SUMIFS(Tab_08.Ago[SALDO
ATUAL],Tab_08.Ago[CONTA],$F232)</f>
        <v>0</v>
      </c>
      <c r="P232" s="4">
        <f>SUMIFS(Tab_09.Set[SALDO
ATUAL],Tab_09.Set[CONTA],$F232)</f>
        <v>0</v>
      </c>
      <c r="Q232" s="4">
        <f>SUMIFS(Tab_10.Out[SALDO
ATUAL],Tab_10.Out[CONTA],$F232)</f>
        <v>0</v>
      </c>
      <c r="R232" s="4">
        <f>SUMIFS(Tab_11.Nov[SALDO
ATUAL],Tab_11.Nov[CONTA],$F232)</f>
        <v>0</v>
      </c>
      <c r="S232" s="4">
        <f>SUMIFS(Tab_12.Dez[SALDO
ATUAL],Tab_12.Dez[CONTA],$F232)</f>
        <v>0</v>
      </c>
    </row>
    <row r="233" spans="2:19" x14ac:dyDescent="0.3">
      <c r="B233" s="3"/>
      <c r="C233" s="2" t="str">
        <f t="shared" si="11"/>
        <v>C</v>
      </c>
      <c r="D233" s="2" t="str">
        <f t="shared" si="12"/>
        <v>S</v>
      </c>
      <c r="E233" s="2">
        <f t="shared" si="13"/>
        <v>5</v>
      </c>
      <c r="F233" s="3" t="s">
        <v>597</v>
      </c>
      <c r="G233" s="3" t="s">
        <v>703</v>
      </c>
      <c r="H233" s="4">
        <f>SUMIFS(Tab_01.Jan[SALDO
ATUAL],Tab_01.Jan[CONTA],$F233)</f>
        <v>0</v>
      </c>
      <c r="I233" s="4">
        <f>SUMIFS(Tab_02.Fev[SALDO
ATUAL],Tab_02.Fev[CONTA],$F233)</f>
        <v>0</v>
      </c>
      <c r="J233" s="4">
        <f>SUMIFS(Tab_03.Mar[SALDO
ATUAL],Tab_03.Mar[CONTA],$F233)</f>
        <v>0</v>
      </c>
      <c r="K233" s="4">
        <f>SUMIFS(Tab_04.Abr[SALDO
ATUAL],Tab_04.Abr[CONTA],$F233)</f>
        <v>0</v>
      </c>
      <c r="L233" s="4">
        <f>SUMIFS(Tab_05.Mai[SALDO
ATUAL],Tab_05.Mai[CONTA],$F233)</f>
        <v>0</v>
      </c>
      <c r="M233" s="4">
        <f>SUMIFS(Tab_06.Jun[SALDO
ATUAL],Tab_06.Jun[CONTA],$F233)</f>
        <v>0</v>
      </c>
      <c r="N233" s="4">
        <f>SUMIFS(Tab_07.Jul[SALDO
ATUAL],Tab_07.Jul[CONTA],$F233)</f>
        <v>0</v>
      </c>
      <c r="O233" s="4">
        <f>SUMIFS(Tab_08.Ago[SALDO
ATUAL],Tab_08.Ago[CONTA],$F233)</f>
        <v>0</v>
      </c>
      <c r="P233" s="4">
        <f>SUMIFS(Tab_09.Set[SALDO
ATUAL],Tab_09.Set[CONTA],$F233)</f>
        <v>0</v>
      </c>
      <c r="Q233" s="4">
        <f>SUMIFS(Tab_10.Out[SALDO
ATUAL],Tab_10.Out[CONTA],$F233)</f>
        <v>0</v>
      </c>
      <c r="R233" s="4">
        <f>SUMIFS(Tab_11.Nov[SALDO
ATUAL],Tab_11.Nov[CONTA],$F233)</f>
        <v>0</v>
      </c>
      <c r="S233" s="4">
        <f>SUMIFS(Tab_12.Dez[SALDO
ATUAL],Tab_12.Dez[CONTA],$F233)</f>
        <v>0</v>
      </c>
    </row>
    <row r="234" spans="2:19" x14ac:dyDescent="0.3">
      <c r="B234" s="3"/>
      <c r="C234" s="2" t="str">
        <f t="shared" si="11"/>
        <v>C</v>
      </c>
      <c r="D234" s="2" t="str">
        <f t="shared" si="12"/>
        <v>S</v>
      </c>
      <c r="E234" s="2">
        <f t="shared" si="13"/>
        <v>5</v>
      </c>
      <c r="F234" s="3" t="s">
        <v>598</v>
      </c>
      <c r="G234" s="3" t="s">
        <v>704</v>
      </c>
      <c r="H234" s="4">
        <f>SUMIFS(Tab_01.Jan[SALDO
ATUAL],Tab_01.Jan[CONTA],$F234)</f>
        <v>0</v>
      </c>
      <c r="I234" s="4">
        <f>SUMIFS(Tab_02.Fev[SALDO
ATUAL],Tab_02.Fev[CONTA],$F234)</f>
        <v>0</v>
      </c>
      <c r="J234" s="4">
        <f>SUMIFS(Tab_03.Mar[SALDO
ATUAL],Tab_03.Mar[CONTA],$F234)</f>
        <v>0</v>
      </c>
      <c r="K234" s="4">
        <f>SUMIFS(Tab_04.Abr[SALDO
ATUAL],Tab_04.Abr[CONTA],$F234)</f>
        <v>0</v>
      </c>
      <c r="L234" s="4">
        <f>SUMIFS(Tab_05.Mai[SALDO
ATUAL],Tab_05.Mai[CONTA],$F234)</f>
        <v>0</v>
      </c>
      <c r="M234" s="4">
        <f>SUMIFS(Tab_06.Jun[SALDO
ATUAL],Tab_06.Jun[CONTA],$F234)</f>
        <v>0</v>
      </c>
      <c r="N234" s="4">
        <f>SUMIFS(Tab_07.Jul[SALDO
ATUAL],Tab_07.Jul[CONTA],$F234)</f>
        <v>0</v>
      </c>
      <c r="O234" s="4">
        <f>SUMIFS(Tab_08.Ago[SALDO
ATUAL],Tab_08.Ago[CONTA],$F234)</f>
        <v>0</v>
      </c>
      <c r="P234" s="4">
        <f>SUMIFS(Tab_09.Set[SALDO
ATUAL],Tab_09.Set[CONTA],$F234)</f>
        <v>0</v>
      </c>
      <c r="Q234" s="4">
        <f>SUMIFS(Tab_10.Out[SALDO
ATUAL],Tab_10.Out[CONTA],$F234)</f>
        <v>0</v>
      </c>
      <c r="R234" s="4">
        <f>SUMIFS(Tab_11.Nov[SALDO
ATUAL],Tab_11.Nov[CONTA],$F234)</f>
        <v>0</v>
      </c>
      <c r="S234" s="4">
        <f>SUMIFS(Tab_12.Dez[SALDO
ATUAL],Tab_12.Dez[CONTA],$F234)</f>
        <v>0</v>
      </c>
    </row>
    <row r="235" spans="2:19" x14ac:dyDescent="0.3">
      <c r="B235" s="3" t="s">
        <v>103</v>
      </c>
      <c r="C235" s="2" t="str">
        <f t="shared" si="11"/>
        <v>C</v>
      </c>
      <c r="D235" s="2" t="str">
        <f t="shared" si="12"/>
        <v>A</v>
      </c>
      <c r="E235" s="2">
        <f t="shared" si="13"/>
        <v>5</v>
      </c>
      <c r="F235" s="3" t="s">
        <v>425</v>
      </c>
      <c r="G235" s="3" t="s">
        <v>426</v>
      </c>
      <c r="H235" s="4">
        <f>SUMIFS(Tab_01.Jan[SALDO
ATUAL],Tab_01.Jan[CONTA],$F235)</f>
        <v>0</v>
      </c>
      <c r="I235" s="4">
        <f>SUMIFS(Tab_02.Fev[SALDO
ATUAL],Tab_02.Fev[CONTA],$F235)</f>
        <v>0</v>
      </c>
      <c r="J235" s="4">
        <f>SUMIFS(Tab_03.Mar[SALDO
ATUAL],Tab_03.Mar[CONTA],$F235)</f>
        <v>0</v>
      </c>
      <c r="K235" s="4">
        <f>SUMIFS(Tab_04.Abr[SALDO
ATUAL],Tab_04.Abr[CONTA],$F235)</f>
        <v>0</v>
      </c>
      <c r="L235" s="4">
        <f>SUMIFS(Tab_05.Mai[SALDO
ATUAL],Tab_05.Mai[CONTA],$F235)</f>
        <v>0</v>
      </c>
      <c r="M235" s="4">
        <f>SUMIFS(Tab_06.Jun[SALDO
ATUAL],Tab_06.Jun[CONTA],$F235)</f>
        <v>0</v>
      </c>
      <c r="N235" s="4">
        <f>SUMIFS(Tab_07.Jul[SALDO
ATUAL],Tab_07.Jul[CONTA],$F235)</f>
        <v>0</v>
      </c>
      <c r="O235" s="4">
        <f>SUMIFS(Tab_08.Ago[SALDO
ATUAL],Tab_08.Ago[CONTA],$F235)</f>
        <v>0</v>
      </c>
      <c r="P235" s="4">
        <f>SUMIFS(Tab_09.Set[SALDO
ATUAL],Tab_09.Set[CONTA],$F235)</f>
        <v>0</v>
      </c>
      <c r="Q235" s="4">
        <f>SUMIFS(Tab_10.Out[SALDO
ATUAL],Tab_10.Out[CONTA],$F235)</f>
        <v>0</v>
      </c>
      <c r="R235" s="4">
        <f>SUMIFS(Tab_11.Nov[SALDO
ATUAL],Tab_11.Nov[CONTA],$F235)</f>
        <v>0</v>
      </c>
      <c r="S235" s="4">
        <f>SUMIFS(Tab_12.Dez[SALDO
ATUAL],Tab_12.Dez[CONTA],$F235)</f>
        <v>0</v>
      </c>
    </row>
    <row r="236" spans="2:19" x14ac:dyDescent="0.3">
      <c r="B236" s="3"/>
      <c r="C236" s="2" t="str">
        <f t="shared" si="11"/>
        <v>C</v>
      </c>
      <c r="D236" s="2" t="str">
        <f t="shared" si="12"/>
        <v>S</v>
      </c>
      <c r="E236" s="2">
        <f t="shared" si="13"/>
        <v>1</v>
      </c>
      <c r="F236" s="3">
        <v>5</v>
      </c>
      <c r="G236" s="3" t="s">
        <v>705</v>
      </c>
      <c r="H236" s="4">
        <f>SUMIFS(Tab_01.Jan[SALDO
ATUAL],Tab_01.Jan[CONTA],$F236)</f>
        <v>269324.59000000003</v>
      </c>
      <c r="I236" s="4">
        <f>SUMIFS(Tab_02.Fev[SALDO
ATUAL],Tab_02.Fev[CONTA],$F236)</f>
        <v>517611.81</v>
      </c>
      <c r="J236" s="4">
        <f>SUMIFS(Tab_03.Mar[SALDO
ATUAL],Tab_03.Mar[CONTA],$F236)</f>
        <v>1027226.37</v>
      </c>
      <c r="K236" s="4">
        <f>SUMIFS(Tab_04.Abr[SALDO
ATUAL],Tab_04.Abr[CONTA],$F236)</f>
        <v>1257197.3600000001</v>
      </c>
      <c r="L236" s="4">
        <f>SUMIFS(Tab_05.Mai[SALDO
ATUAL],Tab_05.Mai[CONTA],$F236)</f>
        <v>1471404.67</v>
      </c>
      <c r="M236" s="4">
        <f>SUMIFS(Tab_06.Jun[SALDO
ATUAL],Tab_06.Jun[CONTA],$F236)</f>
        <v>2037713.18</v>
      </c>
      <c r="N236" s="4">
        <f>SUMIFS(Tab_07.Jul[SALDO
ATUAL],Tab_07.Jul[CONTA],$F236)</f>
        <v>2037713.18</v>
      </c>
      <c r="O236" s="4">
        <f>SUMIFS(Tab_08.Ago[SALDO
ATUAL],Tab_08.Ago[CONTA],$F236)</f>
        <v>2037713.18</v>
      </c>
      <c r="P236" s="4">
        <f>SUMIFS(Tab_09.Set[SALDO
ATUAL],Tab_09.Set[CONTA],$F236)</f>
        <v>2561671.19</v>
      </c>
      <c r="Q236" s="4">
        <f>SUMIFS(Tab_10.Out[SALDO
ATUAL],Tab_10.Out[CONTA],$F236)</f>
        <v>2832320.39</v>
      </c>
      <c r="R236" s="4">
        <f>SUMIFS(Tab_11.Nov[SALDO
ATUAL],Tab_11.Nov[CONTA],$F236)</f>
        <v>3104688.85</v>
      </c>
      <c r="S236" s="4">
        <f>SUMIFS(Tab_12.Dez[SALDO
ATUAL],Tab_12.Dez[CONTA],$F236)</f>
        <v>3363988.82</v>
      </c>
    </row>
    <row r="237" spans="2:19" x14ac:dyDescent="0.3">
      <c r="B237" s="3"/>
      <c r="C237" s="2" t="str">
        <f t="shared" si="11"/>
        <v>C</v>
      </c>
      <c r="D237" s="2" t="str">
        <f t="shared" si="12"/>
        <v>S</v>
      </c>
      <c r="E237" s="2">
        <f t="shared" si="13"/>
        <v>2</v>
      </c>
      <c r="F237" s="3" t="s">
        <v>599</v>
      </c>
      <c r="G237" s="3" t="s">
        <v>694</v>
      </c>
      <c r="H237" s="4">
        <f>SUMIFS(Tab_01.Jan[SALDO
ATUAL],Tab_01.Jan[CONTA],$F237)</f>
        <v>269513.59000000003</v>
      </c>
      <c r="I237" s="4">
        <f>SUMIFS(Tab_02.Fev[SALDO
ATUAL],Tab_02.Fev[CONTA],$F237)</f>
        <v>517530.81</v>
      </c>
      <c r="J237" s="4">
        <f>SUMIFS(Tab_03.Mar[SALDO
ATUAL],Tab_03.Mar[CONTA],$F237)</f>
        <v>1027145.37</v>
      </c>
      <c r="K237" s="4">
        <f>SUMIFS(Tab_04.Abr[SALDO
ATUAL],Tab_04.Abr[CONTA],$F237)</f>
        <v>1257116.3600000001</v>
      </c>
      <c r="L237" s="4">
        <f>SUMIFS(Tab_05.Mai[SALDO
ATUAL],Tab_05.Mai[CONTA],$F237)</f>
        <v>1471323.67</v>
      </c>
      <c r="M237" s="4">
        <f>SUMIFS(Tab_06.Jun[SALDO
ATUAL],Tab_06.Jun[CONTA],$F237)</f>
        <v>2037497.18</v>
      </c>
      <c r="N237" s="4">
        <f>SUMIFS(Tab_07.Jul[SALDO
ATUAL],Tab_07.Jul[CONTA],$F237)</f>
        <v>2037497.18</v>
      </c>
      <c r="O237" s="4">
        <f>SUMIFS(Tab_08.Ago[SALDO
ATUAL],Tab_08.Ago[CONTA],$F237)</f>
        <v>2037497.18</v>
      </c>
      <c r="P237" s="4">
        <f>SUMIFS(Tab_09.Set[SALDO
ATUAL],Tab_09.Set[CONTA],$F237)</f>
        <v>2561455.19</v>
      </c>
      <c r="Q237" s="4">
        <f>SUMIFS(Tab_10.Out[SALDO
ATUAL],Tab_10.Out[CONTA],$F237)</f>
        <v>2832104.39</v>
      </c>
      <c r="R237" s="4">
        <f>SUMIFS(Tab_11.Nov[SALDO
ATUAL],Tab_11.Nov[CONTA],$F237)</f>
        <v>3104472.85</v>
      </c>
      <c r="S237" s="4">
        <f>SUMIFS(Tab_12.Dez[SALDO
ATUAL],Tab_12.Dez[CONTA],$F237)</f>
        <v>3363772.82</v>
      </c>
    </row>
    <row r="238" spans="2:19" x14ac:dyDescent="0.3">
      <c r="B238" s="3"/>
      <c r="C238" s="2" t="str">
        <f t="shared" si="11"/>
        <v>C</v>
      </c>
      <c r="D238" s="2" t="str">
        <f t="shared" si="12"/>
        <v>S</v>
      </c>
      <c r="E238" s="2">
        <f t="shared" si="13"/>
        <v>5</v>
      </c>
      <c r="F238" s="3" t="s">
        <v>600</v>
      </c>
      <c r="G238" s="3" t="s">
        <v>706</v>
      </c>
      <c r="H238" s="4">
        <f>SUMIFS(Tab_01.Jan[SALDO
ATUAL],Tab_01.Jan[CONTA],$F238)</f>
        <v>114421.35</v>
      </c>
      <c r="I238" s="4">
        <f>SUMIFS(Tab_02.Fev[SALDO
ATUAL],Tab_02.Fev[CONTA],$F238)</f>
        <v>303321.3</v>
      </c>
      <c r="J238" s="4">
        <f>SUMIFS(Tab_03.Mar[SALDO
ATUAL],Tab_03.Mar[CONTA],$F238)</f>
        <v>560407.41</v>
      </c>
      <c r="K238" s="4">
        <f>SUMIFS(Tab_04.Abr[SALDO
ATUAL],Tab_04.Abr[CONTA],$F238)</f>
        <v>612215.82999999996</v>
      </c>
      <c r="L238" s="4">
        <f>SUMIFS(Tab_05.Mai[SALDO
ATUAL],Tab_05.Mai[CONTA],$F238)</f>
        <v>663991.79</v>
      </c>
      <c r="M238" s="4">
        <f>SUMIFS(Tab_06.Jun[SALDO
ATUAL],Tab_06.Jun[CONTA],$F238)</f>
        <v>804141.97</v>
      </c>
      <c r="N238" s="4">
        <f>SUMIFS(Tab_07.Jul[SALDO
ATUAL],Tab_07.Jul[CONTA],$F238)</f>
        <v>804141.97</v>
      </c>
      <c r="O238" s="4">
        <f>SUMIFS(Tab_08.Ago[SALDO
ATUAL],Tab_08.Ago[CONTA],$F238)</f>
        <v>804141.97</v>
      </c>
      <c r="P238" s="4">
        <f>SUMIFS(Tab_09.Set[SALDO
ATUAL],Tab_09.Set[CONTA],$F238)</f>
        <v>941985.01</v>
      </c>
      <c r="Q238" s="4">
        <f>SUMIFS(Tab_10.Out[SALDO
ATUAL],Tab_10.Out[CONTA],$F238)</f>
        <v>1015110.9</v>
      </c>
      <c r="R238" s="4">
        <f>SUMIFS(Tab_11.Nov[SALDO
ATUAL],Tab_11.Nov[CONTA],$F238)</f>
        <v>1086533.54</v>
      </c>
      <c r="S238" s="4">
        <f>SUMIFS(Tab_12.Dez[SALDO
ATUAL],Tab_12.Dez[CONTA],$F238)</f>
        <v>1135162.83</v>
      </c>
    </row>
    <row r="239" spans="2:19" x14ac:dyDescent="0.3">
      <c r="B239" s="3"/>
      <c r="C239" s="2" t="str">
        <f t="shared" si="11"/>
        <v>C</v>
      </c>
      <c r="D239" s="2" t="str">
        <f t="shared" si="12"/>
        <v>S</v>
      </c>
      <c r="E239" s="2">
        <f t="shared" si="13"/>
        <v>5</v>
      </c>
      <c r="F239" s="3" t="s">
        <v>601</v>
      </c>
      <c r="G239" s="3" t="s">
        <v>707</v>
      </c>
      <c r="H239" s="4">
        <f>SUMIFS(Tab_01.Jan[SALDO
ATUAL],Tab_01.Jan[CONTA],$F239)</f>
        <v>88515.91</v>
      </c>
      <c r="I239" s="4">
        <f>SUMIFS(Tab_02.Fev[SALDO
ATUAL],Tab_02.Fev[CONTA],$F239)</f>
        <v>88515.91</v>
      </c>
      <c r="J239" s="4">
        <f>SUMIFS(Tab_03.Mar[SALDO
ATUAL],Tab_03.Mar[CONTA],$F239)</f>
        <v>314679</v>
      </c>
      <c r="K239" s="4">
        <f>SUMIFS(Tab_04.Abr[SALDO
ATUAL],Tab_04.Abr[CONTA],$F239)</f>
        <v>355062.16</v>
      </c>
      <c r="L239" s="4">
        <f>SUMIFS(Tab_05.Mai[SALDO
ATUAL],Tab_05.Mai[CONTA],$F239)</f>
        <v>395452.86</v>
      </c>
      <c r="M239" s="4">
        <f>SUMIFS(Tab_06.Jun[SALDO
ATUAL],Tab_06.Jun[CONTA],$F239)</f>
        <v>504393.81</v>
      </c>
      <c r="N239" s="4">
        <f>SUMIFS(Tab_07.Jul[SALDO
ATUAL],Tab_07.Jul[CONTA],$F239)</f>
        <v>504393.81</v>
      </c>
      <c r="O239" s="4">
        <f>SUMIFS(Tab_08.Ago[SALDO
ATUAL],Tab_08.Ago[CONTA],$F239)</f>
        <v>504393.81</v>
      </c>
      <c r="P239" s="4">
        <f>SUMIFS(Tab_09.Set[SALDO
ATUAL],Tab_09.Set[CONTA],$F239)</f>
        <v>615045.84</v>
      </c>
      <c r="Q239" s="4">
        <f>SUMIFS(Tab_10.Out[SALDO
ATUAL],Tab_10.Out[CONTA],$F239)</f>
        <v>672412.16000000003</v>
      </c>
      <c r="R239" s="4">
        <f>SUMIFS(Tab_11.Nov[SALDO
ATUAL],Tab_11.Nov[CONTA],$F239)</f>
        <v>728347.62</v>
      </c>
      <c r="S239" s="4">
        <f>SUMIFS(Tab_12.Dez[SALDO
ATUAL],Tab_12.Dez[CONTA],$F239)</f>
        <v>755904.97</v>
      </c>
    </row>
    <row r="240" spans="2:19" x14ac:dyDescent="0.3">
      <c r="B240" s="3" t="s">
        <v>104</v>
      </c>
      <c r="C240" s="2" t="str">
        <f t="shared" ref="C240:C317" si="17">IF($F240="","",IF(LEFT($F240,1)*1=1,"A",IF(LEFT($F240,1)*1=2,"P",IF(LEFT($F240,1)*1=3,"R",IF(LEFT($F240,1)*1=4,"C",IF(LEFT($F240,1)*1=5,"C",""))))))</f>
        <v>C</v>
      </c>
      <c r="D240" s="2" t="str">
        <f t="shared" si="12"/>
        <v>A</v>
      </c>
      <c r="E240" s="2">
        <f t="shared" si="13"/>
        <v>5</v>
      </c>
      <c r="F240" s="3" t="s">
        <v>441</v>
      </c>
      <c r="G240" s="3" t="s">
        <v>427</v>
      </c>
      <c r="H240" s="4">
        <f>SUMIFS(Tab_01.Jan[SALDO
ATUAL],Tab_01.Jan[CONTA],$F240)</f>
        <v>54518.48</v>
      </c>
      <c r="I240" s="4">
        <f>SUMIFS(Tab_02.Fev[SALDO
ATUAL],Tab_02.Fev[CONTA],$F240)</f>
        <v>54518.48</v>
      </c>
      <c r="J240" s="4">
        <f>SUMIFS(Tab_03.Mar[SALDO
ATUAL],Tab_03.Mar[CONTA],$F240)</f>
        <v>162656.29999999999</v>
      </c>
      <c r="K240" s="4">
        <f>SUMIFS(Tab_04.Abr[SALDO
ATUAL],Tab_04.Abr[CONTA],$F240)</f>
        <v>193928.11</v>
      </c>
      <c r="L240" s="4">
        <f>SUMIFS(Tab_05.Mai[SALDO
ATUAL],Tab_05.Mai[CONTA],$F240)</f>
        <v>225199.92</v>
      </c>
      <c r="M240" s="4">
        <f>SUMIFS(Tab_06.Jun[SALDO
ATUAL],Tab_06.Jun[CONTA],$F240)</f>
        <v>313429.03000000003</v>
      </c>
      <c r="N240" s="4">
        <f>SUMIFS(Tab_07.Jul[SALDO
ATUAL],Tab_07.Jul[CONTA],$F240)</f>
        <v>313429.03000000003</v>
      </c>
      <c r="O240" s="4">
        <f>SUMIFS(Tab_08.Ago[SALDO
ATUAL],Tab_08.Ago[CONTA],$F240)</f>
        <v>313429.03000000003</v>
      </c>
      <c r="P240" s="4">
        <f>SUMIFS(Tab_09.Set[SALDO
ATUAL],Tab_09.Set[CONTA],$F240)</f>
        <v>398237.66</v>
      </c>
      <c r="Q240" s="4">
        <f>SUMIFS(Tab_10.Out[SALDO
ATUAL],Tab_10.Out[CONTA],$F240)</f>
        <v>443857.25</v>
      </c>
      <c r="R240" s="4">
        <f>SUMIFS(Tab_11.Nov[SALDO
ATUAL],Tab_11.Nov[CONTA],$F240)</f>
        <v>488045.75</v>
      </c>
      <c r="S240" s="4">
        <f>SUMIFS(Tab_12.Dez[SALDO
ATUAL],Tab_12.Dez[CONTA],$F240)</f>
        <v>532743.71</v>
      </c>
    </row>
    <row r="241" spans="2:19" x14ac:dyDescent="0.3">
      <c r="B241" s="3" t="s">
        <v>104</v>
      </c>
      <c r="C241" s="2" t="str">
        <f t="shared" si="17"/>
        <v>C</v>
      </c>
      <c r="D241" s="2" t="str">
        <f t="shared" si="12"/>
        <v>A</v>
      </c>
      <c r="E241" s="2">
        <f t="shared" si="13"/>
        <v>5</v>
      </c>
      <c r="F241" s="3" t="s">
        <v>442</v>
      </c>
      <c r="G241" s="3" t="s">
        <v>429</v>
      </c>
      <c r="H241" s="4">
        <f>SUMIFS(Tab_01.Jan[SALDO
ATUAL],Tab_01.Jan[CONTA],$F241)</f>
        <v>0</v>
      </c>
      <c r="I241" s="4">
        <f>SUMIFS(Tab_02.Fev[SALDO
ATUAL],Tab_02.Fev[CONTA],$F241)</f>
        <v>0</v>
      </c>
      <c r="J241" s="4">
        <f>SUMIFS(Tab_03.Mar[SALDO
ATUAL],Tab_03.Mar[CONTA],$F241)</f>
        <v>0</v>
      </c>
      <c r="K241" s="4">
        <f>SUMIFS(Tab_04.Abr[SALDO
ATUAL],Tab_04.Abr[CONTA],$F241)</f>
        <v>0</v>
      </c>
      <c r="L241" s="4">
        <f>SUMIFS(Tab_05.Mai[SALDO
ATUAL],Tab_05.Mai[CONTA],$F241)</f>
        <v>0</v>
      </c>
      <c r="M241" s="4">
        <f>SUMIFS(Tab_06.Jun[SALDO
ATUAL],Tab_06.Jun[CONTA],$F241)</f>
        <v>0</v>
      </c>
      <c r="N241" s="4">
        <f>SUMIFS(Tab_07.Jul[SALDO
ATUAL],Tab_07.Jul[CONTA],$F241)</f>
        <v>0</v>
      </c>
      <c r="O241" s="4">
        <f>SUMIFS(Tab_08.Ago[SALDO
ATUAL],Tab_08.Ago[CONTA],$F241)</f>
        <v>0</v>
      </c>
      <c r="P241" s="4">
        <f>SUMIFS(Tab_09.Set[SALDO
ATUAL],Tab_09.Set[CONTA],$F241)</f>
        <v>0</v>
      </c>
      <c r="Q241" s="4">
        <f>SUMIFS(Tab_10.Out[SALDO
ATUAL],Tab_10.Out[CONTA],$F241)</f>
        <v>0</v>
      </c>
      <c r="R241" s="4">
        <f>SUMIFS(Tab_11.Nov[SALDO
ATUAL],Tab_11.Nov[CONTA],$F241)</f>
        <v>0</v>
      </c>
      <c r="S241" s="4">
        <f>SUMIFS(Tab_12.Dez[SALDO
ATUAL],Tab_12.Dez[CONTA],$F241)</f>
        <v>0</v>
      </c>
    </row>
    <row r="242" spans="2:19" x14ac:dyDescent="0.3">
      <c r="B242" s="3" t="s">
        <v>104</v>
      </c>
      <c r="C242" s="2" t="str">
        <f t="shared" si="17"/>
        <v>C</v>
      </c>
      <c r="D242" s="2" t="str">
        <f t="shared" si="12"/>
        <v>A</v>
      </c>
      <c r="E242" s="2">
        <f t="shared" si="13"/>
        <v>5</v>
      </c>
      <c r="F242" s="3" t="s">
        <v>443</v>
      </c>
      <c r="G242" s="3" t="s">
        <v>431</v>
      </c>
      <c r="H242" s="4">
        <f>SUMIFS(Tab_01.Jan[SALDO
ATUAL],Tab_01.Jan[CONTA],$F242)</f>
        <v>10254.450000000001</v>
      </c>
      <c r="I242" s="4">
        <f>SUMIFS(Tab_02.Fev[SALDO
ATUAL],Tab_02.Fev[CONTA],$F242)</f>
        <v>10254.450000000001</v>
      </c>
      <c r="J242" s="4">
        <f>SUMIFS(Tab_03.Mar[SALDO
ATUAL],Tab_03.Mar[CONTA],$F242)</f>
        <v>28400.5</v>
      </c>
      <c r="K242" s="4">
        <f>SUMIFS(Tab_04.Abr[SALDO
ATUAL],Tab_04.Abr[CONTA],$F242)</f>
        <v>31360.39</v>
      </c>
      <c r="L242" s="4">
        <f>SUMIFS(Tab_05.Mai[SALDO
ATUAL],Tab_05.Mai[CONTA],$F242)</f>
        <v>33586.93</v>
      </c>
      <c r="M242" s="4">
        <f>SUMIFS(Tab_06.Jun[SALDO
ATUAL],Tab_06.Jun[CONTA],$F242)</f>
        <v>43165.37</v>
      </c>
      <c r="N242" s="4">
        <f>SUMIFS(Tab_07.Jul[SALDO
ATUAL],Tab_07.Jul[CONTA],$F242)</f>
        <v>43165.37</v>
      </c>
      <c r="O242" s="4">
        <f>SUMIFS(Tab_08.Ago[SALDO
ATUAL],Tab_08.Ago[CONTA],$F242)</f>
        <v>43165.37</v>
      </c>
      <c r="P242" s="4">
        <f>SUMIFS(Tab_09.Set[SALDO
ATUAL],Tab_09.Set[CONTA],$F242)</f>
        <v>55069.19</v>
      </c>
      <c r="Q242" s="4">
        <f>SUMIFS(Tab_10.Out[SALDO
ATUAL],Tab_10.Out[CONTA],$F242)</f>
        <v>55069.19</v>
      </c>
      <c r="R242" s="4">
        <f>SUMIFS(Tab_11.Nov[SALDO
ATUAL],Tab_11.Nov[CONTA],$F242)</f>
        <v>55069.19</v>
      </c>
      <c r="S242" s="4">
        <f>SUMIFS(Tab_12.Dez[SALDO
ATUAL],Tab_12.Dez[CONTA],$F242)</f>
        <v>55069.19</v>
      </c>
    </row>
    <row r="243" spans="2:19" x14ac:dyDescent="0.3">
      <c r="B243" s="3" t="s">
        <v>104</v>
      </c>
      <c r="C243" s="2" t="str">
        <f t="shared" si="17"/>
        <v>C</v>
      </c>
      <c r="D243" s="2" t="str">
        <f t="shared" si="12"/>
        <v>A</v>
      </c>
      <c r="E243" s="2">
        <f t="shared" si="13"/>
        <v>5</v>
      </c>
      <c r="F243" s="3" t="s">
        <v>444</v>
      </c>
      <c r="G243" s="3" t="s">
        <v>433</v>
      </c>
      <c r="H243" s="4">
        <f>SUMIFS(Tab_01.Jan[SALDO
ATUAL],Tab_01.Jan[CONTA],$F243)</f>
        <v>6223.05</v>
      </c>
      <c r="I243" s="4">
        <f>SUMIFS(Tab_02.Fev[SALDO
ATUAL],Tab_02.Fev[CONTA],$F243)</f>
        <v>6223.05</v>
      </c>
      <c r="J243" s="4">
        <f>SUMIFS(Tab_03.Mar[SALDO
ATUAL],Tab_03.Mar[CONTA],$F243)</f>
        <v>21653.9</v>
      </c>
      <c r="K243" s="4">
        <f>SUMIFS(Tab_04.Abr[SALDO
ATUAL],Tab_04.Abr[CONTA],$F243)</f>
        <v>24892.240000000002</v>
      </c>
      <c r="L243" s="4">
        <f>SUMIFS(Tab_05.Mai[SALDO
ATUAL],Tab_05.Mai[CONTA],$F243)</f>
        <v>28397.25</v>
      </c>
      <c r="M243" s="4">
        <f>SUMIFS(Tab_06.Jun[SALDO
ATUAL],Tab_06.Jun[CONTA],$F243)</f>
        <v>34122.18</v>
      </c>
      <c r="N243" s="4">
        <f>SUMIFS(Tab_07.Jul[SALDO
ATUAL],Tab_07.Jul[CONTA],$F243)</f>
        <v>34122.18</v>
      </c>
      <c r="O243" s="4">
        <f>SUMIFS(Tab_08.Ago[SALDO
ATUAL],Tab_08.Ago[CONTA],$F243)</f>
        <v>34122.18</v>
      </c>
      <c r="P243" s="4">
        <f>SUMIFS(Tab_09.Set[SALDO
ATUAL],Tab_09.Set[CONTA],$F243)</f>
        <v>41199.1</v>
      </c>
      <c r="Q243" s="4">
        <f>SUMIFS(Tab_10.Out[SALDO
ATUAL],Tab_10.Out[CONTA],$F243)</f>
        <v>49850.7</v>
      </c>
      <c r="R243" s="4">
        <f>SUMIFS(Tab_11.Nov[SALDO
ATUAL],Tab_11.Nov[CONTA],$F243)</f>
        <v>58502.32</v>
      </c>
      <c r="S243" s="4">
        <f>SUMIFS(Tab_12.Dez[SALDO
ATUAL],Tab_12.Dez[CONTA],$F243)</f>
        <v>40071.760000000002</v>
      </c>
    </row>
    <row r="244" spans="2:19" x14ac:dyDescent="0.3">
      <c r="B244" s="3" t="s">
        <v>104</v>
      </c>
      <c r="C244" s="2" t="str">
        <f>IF($F244="","",IF(LEFT($F244,1)*1=1,"A",IF(LEFT($F244,1)*1=2,"P",IF(LEFT($F244,1)*1=3,"R",IF(LEFT($F244,1)*1=4,"C",IF(LEFT($F244,1)*1=5,"C",""))))))</f>
        <v>C</v>
      </c>
      <c r="D244" s="2" t="str">
        <f>IF($F244="","",IF(LEN($F244)=13,"A","S"))</f>
        <v>A</v>
      </c>
      <c r="E244" s="2">
        <f>IF($F244="","",IF(LEN($F244)=1,1,IF(LEN($F244)=3,2,IF(LEN($F244)=5,3,IF(LEN($F244)=8,4,5)))))</f>
        <v>5</v>
      </c>
      <c r="F244" s="3" t="s">
        <v>777</v>
      </c>
      <c r="G244" s="3" t="s">
        <v>749</v>
      </c>
      <c r="H244" s="4">
        <f>SUMIFS(Tab_01.Jan[SALDO
ATUAL],Tab_01.Jan[CONTA],$F244)</f>
        <v>0</v>
      </c>
      <c r="I244" s="4">
        <f>SUMIFS(Tab_02.Fev[SALDO
ATUAL],Tab_02.Fev[CONTA],$F244)</f>
        <v>0</v>
      </c>
      <c r="J244" s="4">
        <f>SUMIFS(Tab_03.Mar[SALDO
ATUAL],Tab_03.Mar[CONTA],$F244)</f>
        <v>85959.77</v>
      </c>
      <c r="K244" s="4">
        <f>SUMIFS(Tab_04.Abr[SALDO
ATUAL],Tab_04.Abr[CONTA],$F244)</f>
        <v>85959.77</v>
      </c>
      <c r="L244" s="4">
        <f>SUMIFS(Tab_05.Mai[SALDO
ATUAL],Tab_05.Mai[CONTA],$F244)</f>
        <v>85959.77</v>
      </c>
      <c r="M244" s="4">
        <f>SUMIFS(Tab_06.Jun[SALDO
ATUAL],Tab_06.Jun[CONTA],$F244)</f>
        <v>85959.77</v>
      </c>
      <c r="N244" s="4">
        <f>SUMIFS(Tab_07.Jul[SALDO
ATUAL],Tab_07.Jul[CONTA],$F244)</f>
        <v>85959.77</v>
      </c>
      <c r="O244" s="4">
        <f>SUMIFS(Tab_08.Ago[SALDO
ATUAL],Tab_08.Ago[CONTA],$F244)</f>
        <v>85959.77</v>
      </c>
      <c r="P244" s="4">
        <f>SUMIFS(Tab_09.Set[SALDO
ATUAL],Tab_09.Set[CONTA],$F244)</f>
        <v>85959.77</v>
      </c>
      <c r="Q244" s="4">
        <f>SUMIFS(Tab_10.Out[SALDO
ATUAL],Tab_10.Out[CONTA],$F244)</f>
        <v>85959.77</v>
      </c>
      <c r="R244" s="4">
        <f>SUMIFS(Tab_11.Nov[SALDO
ATUAL],Tab_11.Nov[CONTA],$F244)</f>
        <v>85959.77</v>
      </c>
      <c r="S244" s="4">
        <f>SUMIFS(Tab_12.Dez[SALDO
ATUAL],Tab_12.Dez[CONTA],$F244)</f>
        <v>85959.77</v>
      </c>
    </row>
    <row r="245" spans="2:19" x14ac:dyDescent="0.3">
      <c r="B245" s="3" t="s">
        <v>104</v>
      </c>
      <c r="C245" s="2" t="str">
        <f t="shared" si="17"/>
        <v>C</v>
      </c>
      <c r="D245" s="2" t="str">
        <f t="shared" si="12"/>
        <v>A</v>
      </c>
      <c r="E245" s="2">
        <f t="shared" si="13"/>
        <v>5</v>
      </c>
      <c r="F245" s="3" t="s">
        <v>445</v>
      </c>
      <c r="G245" s="3" t="s">
        <v>446</v>
      </c>
      <c r="H245" s="4">
        <f>SUMIFS(Tab_01.Jan[SALDO
ATUAL],Tab_01.Jan[CONTA],$F245)</f>
        <v>0</v>
      </c>
      <c r="I245" s="4">
        <f>SUMIFS(Tab_02.Fev[SALDO
ATUAL],Tab_02.Fev[CONTA],$F245)</f>
        <v>0</v>
      </c>
      <c r="J245" s="4">
        <f>SUMIFS(Tab_03.Mar[SALDO
ATUAL],Tab_03.Mar[CONTA],$F245)</f>
        <v>0</v>
      </c>
      <c r="K245" s="4">
        <f>SUMIFS(Tab_04.Abr[SALDO
ATUAL],Tab_04.Abr[CONTA],$F245)</f>
        <v>0</v>
      </c>
      <c r="L245" s="4">
        <f>SUMIFS(Tab_05.Mai[SALDO
ATUAL],Tab_05.Mai[CONTA],$F245)</f>
        <v>0</v>
      </c>
      <c r="M245" s="4">
        <f>SUMIFS(Tab_06.Jun[SALDO
ATUAL],Tab_06.Jun[CONTA],$F245)</f>
        <v>0</v>
      </c>
      <c r="N245" s="4">
        <f>SUMIFS(Tab_07.Jul[SALDO
ATUAL],Tab_07.Jul[CONTA],$F245)</f>
        <v>0</v>
      </c>
      <c r="O245" s="4">
        <f>SUMIFS(Tab_08.Ago[SALDO
ATUAL],Tab_08.Ago[CONTA],$F245)</f>
        <v>0</v>
      </c>
      <c r="P245" s="4">
        <f>SUMIFS(Tab_09.Set[SALDO
ATUAL],Tab_09.Set[CONTA],$F245)</f>
        <v>0</v>
      </c>
      <c r="Q245" s="4">
        <f>SUMIFS(Tab_10.Out[SALDO
ATUAL],Tab_10.Out[CONTA],$F245)</f>
        <v>0</v>
      </c>
      <c r="R245" s="4">
        <f>SUMIFS(Tab_11.Nov[SALDO
ATUAL],Tab_11.Nov[CONTA],$F245)</f>
        <v>0</v>
      </c>
      <c r="S245" s="4">
        <f>SUMIFS(Tab_12.Dez[SALDO
ATUAL],Tab_12.Dez[CONTA],$F245)</f>
        <v>0</v>
      </c>
    </row>
    <row r="246" spans="2:19" x14ac:dyDescent="0.3">
      <c r="B246" s="3" t="s">
        <v>104</v>
      </c>
      <c r="C246" s="2" t="str">
        <f t="shared" si="17"/>
        <v>C</v>
      </c>
      <c r="D246" s="2" t="str">
        <f t="shared" si="12"/>
        <v>A</v>
      </c>
      <c r="E246" s="2">
        <f t="shared" si="13"/>
        <v>5</v>
      </c>
      <c r="F246" s="3" t="s">
        <v>447</v>
      </c>
      <c r="G246" s="3" t="s">
        <v>448</v>
      </c>
      <c r="H246" s="4">
        <f>SUMIFS(Tab_01.Jan[SALDO
ATUAL],Tab_01.Jan[CONTA],$F246)</f>
        <v>0</v>
      </c>
      <c r="I246" s="4">
        <f>SUMIFS(Tab_02.Fev[SALDO
ATUAL],Tab_02.Fev[CONTA],$F246)</f>
        <v>0</v>
      </c>
      <c r="J246" s="4">
        <f>SUMIFS(Tab_03.Mar[SALDO
ATUAL],Tab_03.Mar[CONTA],$F246)</f>
        <v>0</v>
      </c>
      <c r="K246" s="4">
        <f>SUMIFS(Tab_04.Abr[SALDO
ATUAL],Tab_04.Abr[CONTA],$F246)</f>
        <v>0</v>
      </c>
      <c r="L246" s="4">
        <f>SUMIFS(Tab_05.Mai[SALDO
ATUAL],Tab_05.Mai[CONTA],$F246)</f>
        <v>476.67</v>
      </c>
      <c r="M246" s="4">
        <f>SUMIFS(Tab_06.Jun[SALDO
ATUAL],Tab_06.Jun[CONTA],$F246)</f>
        <v>476.67</v>
      </c>
      <c r="N246" s="4">
        <f>SUMIFS(Tab_07.Jul[SALDO
ATUAL],Tab_07.Jul[CONTA],$F246)</f>
        <v>476.67</v>
      </c>
      <c r="O246" s="4">
        <f>SUMIFS(Tab_08.Ago[SALDO
ATUAL],Tab_08.Ago[CONTA],$F246)</f>
        <v>476.67</v>
      </c>
      <c r="P246" s="4">
        <f>SUMIFS(Tab_09.Set[SALDO
ATUAL],Tab_09.Set[CONTA],$F246)</f>
        <v>1576.67</v>
      </c>
      <c r="Q246" s="4">
        <f>SUMIFS(Tab_10.Out[SALDO
ATUAL],Tab_10.Out[CONTA],$F246)</f>
        <v>1576.67</v>
      </c>
      <c r="R246" s="4">
        <f>SUMIFS(Tab_11.Nov[SALDO
ATUAL],Tab_11.Nov[CONTA],$F246)</f>
        <v>1576.67</v>
      </c>
      <c r="S246" s="4">
        <f>SUMIFS(Tab_12.Dez[SALDO
ATUAL],Tab_12.Dez[CONTA],$F246)</f>
        <v>1576.67</v>
      </c>
    </row>
    <row r="247" spans="2:19" x14ac:dyDescent="0.3">
      <c r="B247" s="3" t="s">
        <v>104</v>
      </c>
      <c r="C247" s="2" t="str">
        <f t="shared" si="17"/>
        <v>C</v>
      </c>
      <c r="D247" s="2" t="str">
        <f t="shared" si="12"/>
        <v>A</v>
      </c>
      <c r="E247" s="2">
        <f t="shared" si="13"/>
        <v>5</v>
      </c>
      <c r="F247" s="3" t="s">
        <v>449</v>
      </c>
      <c r="G247" s="3" t="s">
        <v>450</v>
      </c>
      <c r="H247" s="4">
        <f>SUMIFS(Tab_01.Jan[SALDO
ATUAL],Tab_01.Jan[CONTA],$F247)</f>
        <v>0</v>
      </c>
      <c r="I247" s="4">
        <f>SUMIFS(Tab_02.Fev[SALDO
ATUAL],Tab_02.Fev[CONTA],$F247)</f>
        <v>0</v>
      </c>
      <c r="J247" s="4">
        <f>SUMIFS(Tab_03.Mar[SALDO
ATUAL],Tab_03.Mar[CONTA],$F247)</f>
        <v>0</v>
      </c>
      <c r="K247" s="4">
        <f>SUMIFS(Tab_04.Abr[SALDO
ATUAL],Tab_04.Abr[CONTA],$F247)</f>
        <v>0</v>
      </c>
      <c r="L247" s="4">
        <f>SUMIFS(Tab_05.Mai[SALDO
ATUAL],Tab_05.Mai[CONTA],$F247)</f>
        <v>0</v>
      </c>
      <c r="M247" s="4">
        <f>SUMIFS(Tab_06.Jun[SALDO
ATUAL],Tab_06.Jun[CONTA],$F247)</f>
        <v>0</v>
      </c>
      <c r="N247" s="4">
        <f>SUMIFS(Tab_07.Jul[SALDO
ATUAL],Tab_07.Jul[CONTA],$F247)</f>
        <v>0</v>
      </c>
      <c r="O247" s="4">
        <f>SUMIFS(Tab_08.Ago[SALDO
ATUAL],Tab_08.Ago[CONTA],$F247)</f>
        <v>0</v>
      </c>
      <c r="P247" s="4">
        <f>SUMIFS(Tab_09.Set[SALDO
ATUAL],Tab_09.Set[CONTA],$F247)</f>
        <v>0</v>
      </c>
      <c r="Q247" s="4">
        <f>SUMIFS(Tab_10.Out[SALDO
ATUAL],Tab_10.Out[CONTA],$F247)</f>
        <v>0</v>
      </c>
      <c r="R247" s="4">
        <f>SUMIFS(Tab_11.Nov[SALDO
ATUAL],Tab_11.Nov[CONTA],$F247)</f>
        <v>0</v>
      </c>
      <c r="S247" s="4">
        <f>SUMIFS(Tab_12.Dez[SALDO
ATUAL],Tab_12.Dez[CONTA],$F247)</f>
        <v>0</v>
      </c>
    </row>
    <row r="248" spans="2:19" x14ac:dyDescent="0.3">
      <c r="B248" s="3" t="s">
        <v>104</v>
      </c>
      <c r="C248" s="2" t="str">
        <f t="shared" ref="C248:C253" si="18">IF($F248="","",IF(LEFT($F248,1)*1=1,"A",IF(LEFT($F248,1)*1=2,"P",IF(LEFT($F248,1)*1=3,"R",IF(LEFT($F248,1)*1=4,"C",IF(LEFT($F248,1)*1=5,"C",""))))))</f>
        <v>C</v>
      </c>
      <c r="D248" s="2" t="str">
        <f t="shared" ref="D248:D253" si="19">IF($F248="","",IF(LEN($F248)=13,"A","S"))</f>
        <v>A</v>
      </c>
      <c r="E248" s="2">
        <f t="shared" ref="E248:E253" si="20">IF($F248="","",IF(LEN($F248)=1,1,IF(LEN($F248)=3,2,IF(LEN($F248)=5,3,IF(LEN($F248)=8,4,5)))))</f>
        <v>5</v>
      </c>
      <c r="F248" s="3" t="s">
        <v>808</v>
      </c>
      <c r="G248" s="3" t="s">
        <v>797</v>
      </c>
      <c r="H248" s="4">
        <f>SUMIFS(Tab_01.Jan[SALDO
ATUAL],Tab_01.Jan[CONTA],$F248)</f>
        <v>862.74</v>
      </c>
      <c r="I248" s="4">
        <f>SUMIFS(Tab_02.Fev[SALDO
ATUAL],Tab_02.Fev[CONTA],$F248)</f>
        <v>862.74</v>
      </c>
      <c r="J248" s="4">
        <f>SUMIFS(Tab_03.Mar[SALDO
ATUAL],Tab_03.Mar[CONTA],$F248)</f>
        <v>862.74</v>
      </c>
      <c r="K248" s="4">
        <f>SUMIFS(Tab_04.Abr[SALDO
ATUAL],Tab_04.Abr[CONTA],$F248)</f>
        <v>2019.89</v>
      </c>
      <c r="L248" s="4">
        <f>SUMIFS(Tab_05.Mai[SALDO
ATUAL],Tab_05.Mai[CONTA],$F248)</f>
        <v>3272.33</v>
      </c>
      <c r="M248" s="4">
        <f>SUMIFS(Tab_06.Jun[SALDO
ATUAL],Tab_06.Jun[CONTA],$F248)</f>
        <v>5777.27</v>
      </c>
      <c r="N248" s="4">
        <f>SUMIFS(Tab_07.Jul[SALDO
ATUAL],Tab_07.Jul[CONTA],$F248)</f>
        <v>5777.27</v>
      </c>
      <c r="O248" s="4">
        <f>SUMIFS(Tab_08.Ago[SALDO
ATUAL],Tab_08.Ago[CONTA],$F248)</f>
        <v>5777.27</v>
      </c>
      <c r="P248" s="4">
        <f>SUMIFS(Tab_09.Set[SALDO
ATUAL],Tab_09.Set[CONTA],$F248)</f>
        <v>8227.25</v>
      </c>
      <c r="Q248" s="4">
        <f>SUMIFS(Tab_10.Out[SALDO
ATUAL],Tab_10.Out[CONTA],$F248)</f>
        <v>8227.25</v>
      </c>
      <c r="R248" s="4">
        <f>SUMIFS(Tab_11.Nov[SALDO
ATUAL],Tab_11.Nov[CONTA],$F248)</f>
        <v>8227.25</v>
      </c>
      <c r="S248" s="4">
        <f>SUMIFS(Tab_12.Dez[SALDO
ATUAL],Tab_12.Dez[CONTA],$F248)</f>
        <v>8227.25</v>
      </c>
    </row>
    <row r="249" spans="2:19" x14ac:dyDescent="0.3">
      <c r="B249" s="3" t="s">
        <v>104</v>
      </c>
      <c r="C249" s="2" t="str">
        <f t="shared" si="18"/>
        <v>C</v>
      </c>
      <c r="D249" s="2" t="str">
        <f t="shared" si="19"/>
        <v>A</v>
      </c>
      <c r="E249" s="2">
        <f t="shared" si="20"/>
        <v>5</v>
      </c>
      <c r="F249" s="3" t="s">
        <v>809</v>
      </c>
      <c r="G249" s="3" t="s">
        <v>799</v>
      </c>
      <c r="H249" s="4">
        <f>SUMIFS(Tab_01.Jan[SALDO
ATUAL],Tab_01.Jan[CONTA],$F249)</f>
        <v>14346.41</v>
      </c>
      <c r="I249" s="4">
        <f>SUMIFS(Tab_02.Fev[SALDO
ATUAL],Tab_02.Fev[CONTA],$F249)</f>
        <v>14346.41</v>
      </c>
      <c r="J249" s="4">
        <f>SUMIFS(Tab_03.Mar[SALDO
ATUAL],Tab_03.Mar[CONTA],$F249)</f>
        <v>9458.86</v>
      </c>
      <c r="K249" s="4">
        <f>SUMIFS(Tab_04.Abr[SALDO
ATUAL],Tab_04.Abr[CONTA],$F249)</f>
        <v>10025.94</v>
      </c>
      <c r="L249" s="4">
        <f>SUMIFS(Tab_05.Mai[SALDO
ATUAL],Tab_05.Mai[CONTA],$F249)</f>
        <v>10399.799999999999</v>
      </c>
      <c r="M249" s="4">
        <f>SUMIFS(Tab_06.Jun[SALDO
ATUAL],Tab_06.Jun[CONTA],$F249)</f>
        <v>11147.53</v>
      </c>
      <c r="N249" s="4">
        <f>SUMIFS(Tab_07.Jul[SALDO
ATUAL],Tab_07.Jul[CONTA],$F249)</f>
        <v>11147.53</v>
      </c>
      <c r="O249" s="4">
        <f>SUMIFS(Tab_08.Ago[SALDO
ATUAL],Tab_08.Ago[CONTA],$F249)</f>
        <v>11147.53</v>
      </c>
      <c r="P249" s="4">
        <f>SUMIFS(Tab_09.Set[SALDO
ATUAL],Tab_09.Set[CONTA],$F249)</f>
        <v>11878.87</v>
      </c>
      <c r="Q249" s="4">
        <f>SUMIFS(Tab_10.Out[SALDO
ATUAL],Tab_10.Out[CONTA],$F249)</f>
        <v>11878.87</v>
      </c>
      <c r="R249" s="4">
        <f>SUMIFS(Tab_11.Nov[SALDO
ATUAL],Tab_11.Nov[CONTA],$F249)</f>
        <v>11878.87</v>
      </c>
      <c r="S249" s="4">
        <f>SUMIFS(Tab_12.Dez[SALDO
ATUAL],Tab_12.Dez[CONTA],$F249)</f>
        <v>11878.87</v>
      </c>
    </row>
    <row r="250" spans="2:19" x14ac:dyDescent="0.3">
      <c r="B250" s="3" t="s">
        <v>104</v>
      </c>
      <c r="C250" s="2" t="str">
        <f t="shared" si="18"/>
        <v>C</v>
      </c>
      <c r="D250" s="2" t="str">
        <f t="shared" si="19"/>
        <v>A</v>
      </c>
      <c r="E250" s="2">
        <f t="shared" si="20"/>
        <v>5</v>
      </c>
      <c r="F250" s="3" t="s">
        <v>810</v>
      </c>
      <c r="G250" s="3" t="s">
        <v>801</v>
      </c>
      <c r="H250" s="4">
        <f>SUMIFS(Tab_01.Jan[SALDO
ATUAL],Tab_01.Jan[CONTA],$F250)</f>
        <v>82.97</v>
      </c>
      <c r="I250" s="4">
        <f>SUMIFS(Tab_02.Fev[SALDO
ATUAL],Tab_02.Fev[CONTA],$F250)</f>
        <v>82.97</v>
      </c>
      <c r="J250" s="4">
        <f>SUMIFS(Tab_03.Mar[SALDO
ATUAL],Tab_03.Mar[CONTA],$F250)</f>
        <v>71.84</v>
      </c>
      <c r="K250" s="4">
        <f>SUMIFS(Tab_04.Abr[SALDO
ATUAL],Tab_04.Abr[CONTA],$F250)</f>
        <v>101.44</v>
      </c>
      <c r="L250" s="4">
        <f>SUMIFS(Tab_05.Mai[SALDO
ATUAL],Tab_05.Mai[CONTA],$F250)</f>
        <v>131.03</v>
      </c>
      <c r="M250" s="4">
        <f>SUMIFS(Tab_06.Jun[SALDO
ATUAL],Tab_06.Jun[CONTA],$F250)</f>
        <v>224.51</v>
      </c>
      <c r="N250" s="4">
        <f>SUMIFS(Tab_07.Jul[SALDO
ATUAL],Tab_07.Jul[CONTA],$F250)</f>
        <v>224.51</v>
      </c>
      <c r="O250" s="4">
        <f>SUMIFS(Tab_08.Ago[SALDO
ATUAL],Tab_08.Ago[CONTA],$F250)</f>
        <v>224.51</v>
      </c>
      <c r="P250" s="4">
        <f>SUMIFS(Tab_09.Set[SALDO
ATUAL],Tab_09.Set[CONTA],$F250)</f>
        <v>272.25</v>
      </c>
      <c r="Q250" s="4">
        <f>SUMIFS(Tab_10.Out[SALDO
ATUAL],Tab_10.Out[CONTA],$F250)</f>
        <v>272.25</v>
      </c>
      <c r="R250" s="4">
        <f>SUMIFS(Tab_11.Nov[SALDO
ATUAL],Tab_11.Nov[CONTA],$F250)</f>
        <v>272.25</v>
      </c>
      <c r="S250" s="4">
        <f>SUMIFS(Tab_12.Dez[SALDO
ATUAL],Tab_12.Dez[CONTA],$F250)</f>
        <v>272.25</v>
      </c>
    </row>
    <row r="251" spans="2:19" x14ac:dyDescent="0.3">
      <c r="B251" s="3" t="s">
        <v>104</v>
      </c>
      <c r="C251" s="2" t="str">
        <f t="shared" si="18"/>
        <v>C</v>
      </c>
      <c r="D251" s="2" t="str">
        <f t="shared" si="19"/>
        <v>A</v>
      </c>
      <c r="E251" s="2">
        <f t="shared" si="20"/>
        <v>5</v>
      </c>
      <c r="F251" s="3" t="s">
        <v>811</v>
      </c>
      <c r="G251" s="3" t="s">
        <v>803</v>
      </c>
      <c r="H251" s="4">
        <f>SUMIFS(Tab_01.Jan[SALDO
ATUAL],Tab_01.Jan[CONTA],$F251)</f>
        <v>1667.78</v>
      </c>
      <c r="I251" s="4">
        <f>SUMIFS(Tab_02.Fev[SALDO
ATUAL],Tab_02.Fev[CONTA],$F251)</f>
        <v>1667.78</v>
      </c>
      <c r="J251" s="4">
        <f>SUMIFS(Tab_03.Mar[SALDO
ATUAL],Tab_03.Mar[CONTA],$F251)</f>
        <v>4203.51</v>
      </c>
      <c r="K251" s="4">
        <f>SUMIFS(Tab_04.Abr[SALDO
ATUAL],Tab_04.Abr[CONTA],$F251)</f>
        <v>5071.3599999999997</v>
      </c>
      <c r="L251" s="4">
        <f>SUMIFS(Tab_05.Mai[SALDO
ATUAL],Tab_05.Mai[CONTA],$F251)</f>
        <v>6010.67</v>
      </c>
      <c r="M251" s="4">
        <f>SUMIFS(Tab_06.Jun[SALDO
ATUAL],Tab_06.Jun[CONTA],$F251)</f>
        <v>7544.94</v>
      </c>
      <c r="N251" s="4">
        <f>SUMIFS(Tab_07.Jul[SALDO
ATUAL],Tab_07.Jul[CONTA],$F251)</f>
        <v>7544.94</v>
      </c>
      <c r="O251" s="4">
        <f>SUMIFS(Tab_08.Ago[SALDO
ATUAL],Tab_08.Ago[CONTA],$F251)</f>
        <v>7544.94</v>
      </c>
      <c r="P251" s="4">
        <f>SUMIFS(Tab_09.Set[SALDO
ATUAL],Tab_09.Set[CONTA],$F251)</f>
        <v>9441.61</v>
      </c>
      <c r="Q251" s="4">
        <f>SUMIFS(Tab_10.Out[SALDO
ATUAL],Tab_10.Out[CONTA],$F251)</f>
        <v>11758.15</v>
      </c>
      <c r="R251" s="4">
        <f>SUMIFS(Tab_11.Nov[SALDO
ATUAL],Tab_11.Nov[CONTA],$F251)</f>
        <v>14074.93</v>
      </c>
      <c r="S251" s="4">
        <f>SUMIFS(Tab_12.Dez[SALDO
ATUAL],Tab_12.Dez[CONTA],$F251)</f>
        <v>15040.6</v>
      </c>
    </row>
    <row r="252" spans="2:19" x14ac:dyDescent="0.3">
      <c r="B252" s="3" t="s">
        <v>104</v>
      </c>
      <c r="C252" s="2" t="str">
        <f t="shared" si="18"/>
        <v>C</v>
      </c>
      <c r="D252" s="2" t="str">
        <f t="shared" si="19"/>
        <v>A</v>
      </c>
      <c r="E252" s="2">
        <f t="shared" si="20"/>
        <v>5</v>
      </c>
      <c r="F252" s="3" t="s">
        <v>812</v>
      </c>
      <c r="G252" s="3" t="s">
        <v>805</v>
      </c>
      <c r="H252" s="4">
        <f>SUMIFS(Tab_01.Jan[SALDO
ATUAL],Tab_01.Jan[CONTA],$F252)</f>
        <v>497.81</v>
      </c>
      <c r="I252" s="4">
        <f>SUMIFS(Tab_02.Fev[SALDO
ATUAL],Tab_02.Fev[CONTA],$F252)</f>
        <v>497.81</v>
      </c>
      <c r="J252" s="4">
        <f>SUMIFS(Tab_03.Mar[SALDO
ATUAL],Tab_03.Mar[CONTA],$F252)</f>
        <v>1254.74</v>
      </c>
      <c r="K252" s="4">
        <f>SUMIFS(Tab_04.Abr[SALDO
ATUAL],Tab_04.Abr[CONTA],$F252)</f>
        <v>1513.8</v>
      </c>
      <c r="L252" s="4">
        <f>SUMIFS(Tab_05.Mai[SALDO
ATUAL],Tab_05.Mai[CONTA],$F252)</f>
        <v>1794.21</v>
      </c>
      <c r="M252" s="4">
        <f>SUMIFS(Tab_06.Jun[SALDO
ATUAL],Tab_06.Jun[CONTA],$F252)</f>
        <v>2252.1799999999998</v>
      </c>
      <c r="N252" s="4">
        <f>SUMIFS(Tab_07.Jul[SALDO
ATUAL],Tab_07.Jul[CONTA],$F252)</f>
        <v>2252.1799999999998</v>
      </c>
      <c r="O252" s="4">
        <f>SUMIFS(Tab_08.Ago[SALDO
ATUAL],Tab_08.Ago[CONTA],$F252)</f>
        <v>2252.1799999999998</v>
      </c>
      <c r="P252" s="4">
        <f>SUMIFS(Tab_09.Set[SALDO
ATUAL],Tab_09.Set[CONTA],$F252)</f>
        <v>2818.32</v>
      </c>
      <c r="Q252" s="4">
        <f>SUMIFS(Tab_10.Out[SALDO
ATUAL],Tab_10.Out[CONTA],$F252)</f>
        <v>3510.46</v>
      </c>
      <c r="R252" s="4">
        <f>SUMIFS(Tab_11.Nov[SALDO
ATUAL],Tab_11.Nov[CONTA],$F252)</f>
        <v>4202.57</v>
      </c>
      <c r="S252" s="4">
        <f>SUMIFS(Tab_12.Dez[SALDO
ATUAL],Tab_12.Dez[CONTA],$F252)</f>
        <v>4490.83</v>
      </c>
    </row>
    <row r="253" spans="2:19" x14ac:dyDescent="0.3">
      <c r="B253" s="3" t="s">
        <v>104</v>
      </c>
      <c r="C253" s="2" t="str">
        <f t="shared" si="18"/>
        <v>C</v>
      </c>
      <c r="D253" s="2" t="str">
        <f t="shared" si="19"/>
        <v>A</v>
      </c>
      <c r="E253" s="2">
        <f t="shared" si="20"/>
        <v>5</v>
      </c>
      <c r="F253" s="3" t="s">
        <v>813</v>
      </c>
      <c r="G253" s="3" t="s">
        <v>807</v>
      </c>
      <c r="H253" s="4">
        <f>SUMIFS(Tab_01.Jan[SALDO
ATUAL],Tab_01.Jan[CONTA],$F253)</f>
        <v>62.22</v>
      </c>
      <c r="I253" s="4">
        <f>SUMIFS(Tab_02.Fev[SALDO
ATUAL],Tab_02.Fev[CONTA],$F253)</f>
        <v>62.22</v>
      </c>
      <c r="J253" s="4">
        <f>SUMIFS(Tab_03.Mar[SALDO
ATUAL],Tab_03.Mar[CONTA],$F253)</f>
        <v>156.84</v>
      </c>
      <c r="K253" s="4">
        <f>SUMIFS(Tab_04.Abr[SALDO
ATUAL],Tab_04.Abr[CONTA],$F253)</f>
        <v>189.22</v>
      </c>
      <c r="L253" s="4">
        <f>SUMIFS(Tab_05.Mai[SALDO
ATUAL],Tab_05.Mai[CONTA],$F253)</f>
        <v>224.28</v>
      </c>
      <c r="M253" s="4">
        <f>SUMIFS(Tab_06.Jun[SALDO
ATUAL],Tab_06.Jun[CONTA],$F253)</f>
        <v>294.36</v>
      </c>
      <c r="N253" s="4">
        <f>SUMIFS(Tab_07.Jul[SALDO
ATUAL],Tab_07.Jul[CONTA],$F253)</f>
        <v>294.36</v>
      </c>
      <c r="O253" s="4">
        <f>SUMIFS(Tab_08.Ago[SALDO
ATUAL],Tab_08.Ago[CONTA],$F253)</f>
        <v>294.36</v>
      </c>
      <c r="P253" s="4">
        <f>SUMIFS(Tab_09.Set[SALDO
ATUAL],Tab_09.Set[CONTA],$F253)</f>
        <v>365.15</v>
      </c>
      <c r="Q253" s="4">
        <f>SUMIFS(Tab_10.Out[SALDO
ATUAL],Tab_10.Out[CONTA],$F253)</f>
        <v>451.6</v>
      </c>
      <c r="R253" s="4">
        <f>SUMIFS(Tab_11.Nov[SALDO
ATUAL],Tab_11.Nov[CONTA],$F253)</f>
        <v>538.04999999999995</v>
      </c>
      <c r="S253" s="4">
        <f>SUMIFS(Tab_12.Dez[SALDO
ATUAL],Tab_12.Dez[CONTA],$F253)</f>
        <v>574.07000000000005</v>
      </c>
    </row>
    <row r="254" spans="2:19" x14ac:dyDescent="0.3">
      <c r="B254" s="3"/>
      <c r="C254" s="2" t="str">
        <f t="shared" si="17"/>
        <v>C</v>
      </c>
      <c r="D254" s="2" t="str">
        <f t="shared" si="12"/>
        <v>S</v>
      </c>
      <c r="E254" s="2">
        <f t="shared" si="13"/>
        <v>5</v>
      </c>
      <c r="F254" s="3" t="s">
        <v>602</v>
      </c>
      <c r="G254" s="3" t="s">
        <v>708</v>
      </c>
      <c r="H254" s="4">
        <f>SUMIFS(Tab_01.Jan[SALDO
ATUAL],Tab_01.Jan[CONTA],$F254)</f>
        <v>1014</v>
      </c>
      <c r="I254" s="4">
        <f>SUMIFS(Tab_02.Fev[SALDO
ATUAL],Tab_02.Fev[CONTA],$F254)</f>
        <v>1014</v>
      </c>
      <c r="J254" s="4">
        <f>SUMIFS(Tab_03.Mar[SALDO
ATUAL],Tab_03.Mar[CONTA],$F254)</f>
        <v>1014</v>
      </c>
      <c r="K254" s="4">
        <f>SUMIFS(Tab_04.Abr[SALDO
ATUAL],Tab_04.Abr[CONTA],$F254)</f>
        <v>1014</v>
      </c>
      <c r="L254" s="4">
        <f>SUMIFS(Tab_05.Mai[SALDO
ATUAL],Tab_05.Mai[CONTA],$F254)</f>
        <v>1014</v>
      </c>
      <c r="M254" s="4">
        <f>SUMIFS(Tab_06.Jun[SALDO
ATUAL],Tab_06.Jun[CONTA],$F254)</f>
        <v>1014</v>
      </c>
      <c r="N254" s="4">
        <f>SUMIFS(Tab_07.Jul[SALDO
ATUAL],Tab_07.Jul[CONTA],$F254)</f>
        <v>1014</v>
      </c>
      <c r="O254" s="4">
        <f>SUMIFS(Tab_08.Ago[SALDO
ATUAL],Tab_08.Ago[CONTA],$F254)</f>
        <v>1014</v>
      </c>
      <c r="P254" s="4">
        <f>SUMIFS(Tab_09.Set[SALDO
ATUAL],Tab_09.Set[CONTA],$F254)</f>
        <v>1014</v>
      </c>
      <c r="Q254" s="4">
        <f>SUMIFS(Tab_10.Out[SALDO
ATUAL],Tab_10.Out[CONTA],$F254)</f>
        <v>1014</v>
      </c>
      <c r="R254" s="4">
        <f>SUMIFS(Tab_11.Nov[SALDO
ATUAL],Tab_11.Nov[CONTA],$F254)</f>
        <v>1014</v>
      </c>
      <c r="S254" s="4">
        <f>SUMIFS(Tab_12.Dez[SALDO
ATUAL],Tab_12.Dez[CONTA],$F254)</f>
        <v>1133.6099999999999</v>
      </c>
    </row>
    <row r="255" spans="2:19" x14ac:dyDescent="0.3">
      <c r="B255" s="3" t="s">
        <v>105</v>
      </c>
      <c r="C255" s="2" t="str">
        <f>IF($F255="","",IF(LEFT($F255,1)*1=1,"A",IF(LEFT($F255,1)*1=2,"P",IF(LEFT($F255,1)*1=3,"R",IF(LEFT($F255,1)*1=4,"C",IF(LEFT($F255,1)*1=5,"C",""))))))</f>
        <v>C</v>
      </c>
      <c r="D255" s="2" t="str">
        <f>IF($F255="","",IF(LEN($F255)=13,"A","S"))</f>
        <v>A</v>
      </c>
      <c r="E255" s="2">
        <f>IF($F255="","",IF(LEN($F255)=1,1,IF(LEN($F255)=3,2,IF(LEN($F255)=5,3,IF(LEN($F255)=8,4,5)))))</f>
        <v>5</v>
      </c>
      <c r="F255" s="3" t="s">
        <v>774</v>
      </c>
      <c r="G255" s="3" t="s">
        <v>435</v>
      </c>
      <c r="H255" s="4">
        <f>SUMIFS(Tab_01.Jan[SALDO
ATUAL],Tab_01.Jan[CONTA],$F255)</f>
        <v>0</v>
      </c>
      <c r="I255" s="4">
        <f>SUMIFS(Tab_02.Fev[SALDO
ATUAL],Tab_02.Fev[CONTA],$F255)</f>
        <v>0</v>
      </c>
      <c r="J255" s="4">
        <f>SUMIFS(Tab_03.Mar[SALDO
ATUAL],Tab_03.Mar[CONTA],$F255)</f>
        <v>0</v>
      </c>
      <c r="K255" s="4">
        <f>SUMIFS(Tab_04.Abr[SALDO
ATUAL],Tab_04.Abr[CONTA],$F255)</f>
        <v>0</v>
      </c>
      <c r="L255" s="4">
        <f>SUMIFS(Tab_05.Mai[SALDO
ATUAL],Tab_05.Mai[CONTA],$F255)</f>
        <v>0</v>
      </c>
      <c r="M255" s="4">
        <f>SUMIFS(Tab_06.Jun[SALDO
ATUAL],Tab_06.Jun[CONTA],$F255)</f>
        <v>0</v>
      </c>
      <c r="N255" s="4">
        <f>SUMIFS(Tab_07.Jul[SALDO
ATUAL],Tab_07.Jul[CONTA],$F255)</f>
        <v>0</v>
      </c>
      <c r="O255" s="4">
        <f>SUMIFS(Tab_08.Ago[SALDO
ATUAL],Tab_08.Ago[CONTA],$F255)</f>
        <v>0</v>
      </c>
      <c r="P255" s="4">
        <f>SUMIFS(Tab_09.Set[SALDO
ATUAL],Tab_09.Set[CONTA],$F255)</f>
        <v>0</v>
      </c>
      <c r="Q255" s="4">
        <f>SUMIFS(Tab_10.Out[SALDO
ATUAL],Tab_10.Out[CONTA],$F255)</f>
        <v>0</v>
      </c>
      <c r="R255" s="4">
        <f>SUMIFS(Tab_11.Nov[SALDO
ATUAL],Tab_11.Nov[CONTA],$F255)</f>
        <v>0</v>
      </c>
      <c r="S255" s="4">
        <f>SUMIFS(Tab_12.Dez[SALDO
ATUAL],Tab_12.Dez[CONTA],$F255)</f>
        <v>0</v>
      </c>
    </row>
    <row r="256" spans="2:19" x14ac:dyDescent="0.3">
      <c r="B256" s="3" t="s">
        <v>105</v>
      </c>
      <c r="C256" s="2" t="str">
        <f>IF($F256="","",IF(LEFT($F256,1)*1=1,"A",IF(LEFT($F256,1)*1=2,"P",IF(LEFT($F256,1)*1=3,"R",IF(LEFT($F256,1)*1=4,"C",IF(LEFT($F256,1)*1=5,"C",""))))))</f>
        <v>C</v>
      </c>
      <c r="D256" s="2" t="str">
        <f>IF($F256="","",IF(LEN($F256)=13,"A","S"))</f>
        <v>A</v>
      </c>
      <c r="E256" s="2">
        <f>IF($F256="","",IF(LEN($F256)=1,1,IF(LEN($F256)=3,2,IF(LEN($F256)=5,3,IF(LEN($F256)=8,4,5)))))</f>
        <v>5</v>
      </c>
      <c r="F256" s="3" t="s">
        <v>775</v>
      </c>
      <c r="G256" s="3" t="s">
        <v>751</v>
      </c>
      <c r="H256" s="4">
        <f>SUMIFS(Tab_01.Jan[SALDO
ATUAL],Tab_01.Jan[CONTA],$F256)</f>
        <v>0</v>
      </c>
      <c r="I256" s="4">
        <f>SUMIFS(Tab_02.Fev[SALDO
ATUAL],Tab_02.Fev[CONTA],$F256)</f>
        <v>0</v>
      </c>
      <c r="J256" s="4">
        <f>SUMIFS(Tab_03.Mar[SALDO
ATUAL],Tab_03.Mar[CONTA],$F256)</f>
        <v>0</v>
      </c>
      <c r="K256" s="4">
        <f>SUMIFS(Tab_04.Abr[SALDO
ATUAL],Tab_04.Abr[CONTA],$F256)</f>
        <v>0</v>
      </c>
      <c r="L256" s="4">
        <f>SUMIFS(Tab_05.Mai[SALDO
ATUAL],Tab_05.Mai[CONTA],$F256)</f>
        <v>0</v>
      </c>
      <c r="M256" s="4">
        <f>SUMIFS(Tab_06.Jun[SALDO
ATUAL],Tab_06.Jun[CONTA],$F256)</f>
        <v>0</v>
      </c>
      <c r="N256" s="4">
        <f>SUMIFS(Tab_07.Jul[SALDO
ATUAL],Tab_07.Jul[CONTA],$F256)</f>
        <v>0</v>
      </c>
      <c r="O256" s="4">
        <f>SUMIFS(Tab_08.Ago[SALDO
ATUAL],Tab_08.Ago[CONTA],$F256)</f>
        <v>0</v>
      </c>
      <c r="P256" s="4">
        <f>SUMIFS(Tab_09.Set[SALDO
ATUAL],Tab_09.Set[CONTA],$F256)</f>
        <v>0</v>
      </c>
      <c r="Q256" s="4">
        <f>SUMIFS(Tab_10.Out[SALDO
ATUAL],Tab_10.Out[CONTA],$F256)</f>
        <v>0</v>
      </c>
      <c r="R256" s="4">
        <f>SUMIFS(Tab_11.Nov[SALDO
ATUAL],Tab_11.Nov[CONTA],$F256)</f>
        <v>0</v>
      </c>
      <c r="S256" s="4">
        <f>SUMIFS(Tab_12.Dez[SALDO
ATUAL],Tab_12.Dez[CONTA],$F256)</f>
        <v>0</v>
      </c>
    </row>
    <row r="257" spans="2:19" x14ac:dyDescent="0.3">
      <c r="B257" s="3" t="s">
        <v>105</v>
      </c>
      <c r="C257" s="2" t="str">
        <f t="shared" si="17"/>
        <v>C</v>
      </c>
      <c r="D257" s="2" t="str">
        <f t="shared" si="12"/>
        <v>A</v>
      </c>
      <c r="E257" s="2">
        <f t="shared" si="13"/>
        <v>5</v>
      </c>
      <c r="F257" s="3" t="s">
        <v>455</v>
      </c>
      <c r="G257" s="3" t="s">
        <v>456</v>
      </c>
      <c r="H257" s="4">
        <f>SUMIFS(Tab_01.Jan[SALDO
ATUAL],Tab_01.Jan[CONTA],$F257)</f>
        <v>1014</v>
      </c>
      <c r="I257" s="4">
        <f>SUMIFS(Tab_02.Fev[SALDO
ATUAL],Tab_02.Fev[CONTA],$F257)</f>
        <v>1014</v>
      </c>
      <c r="J257" s="4">
        <f>SUMIFS(Tab_03.Mar[SALDO
ATUAL],Tab_03.Mar[CONTA],$F257)</f>
        <v>1014</v>
      </c>
      <c r="K257" s="4">
        <f>SUMIFS(Tab_04.Abr[SALDO
ATUAL],Tab_04.Abr[CONTA],$F257)</f>
        <v>1014</v>
      </c>
      <c r="L257" s="4">
        <f>SUMIFS(Tab_05.Mai[SALDO
ATUAL],Tab_05.Mai[CONTA],$F257)</f>
        <v>1014</v>
      </c>
      <c r="M257" s="4">
        <f>SUMIFS(Tab_06.Jun[SALDO
ATUAL],Tab_06.Jun[CONTA],$F257)</f>
        <v>1014</v>
      </c>
      <c r="N257" s="4">
        <f>SUMIFS(Tab_07.Jul[SALDO
ATUAL],Tab_07.Jul[CONTA],$F257)</f>
        <v>1014</v>
      </c>
      <c r="O257" s="4">
        <f>SUMIFS(Tab_08.Ago[SALDO
ATUAL],Tab_08.Ago[CONTA],$F257)</f>
        <v>1014</v>
      </c>
      <c r="P257" s="4">
        <f>SUMIFS(Tab_09.Set[SALDO
ATUAL],Tab_09.Set[CONTA],$F257)</f>
        <v>1014</v>
      </c>
      <c r="Q257" s="4">
        <f>SUMIFS(Tab_10.Out[SALDO
ATUAL],Tab_10.Out[CONTA],$F257)</f>
        <v>1014</v>
      </c>
      <c r="R257" s="4">
        <f>SUMIFS(Tab_11.Nov[SALDO
ATUAL],Tab_11.Nov[CONTA],$F257)</f>
        <v>1014</v>
      </c>
      <c r="S257" s="4">
        <f>SUMIFS(Tab_12.Dez[SALDO
ATUAL],Tab_12.Dez[CONTA],$F257)</f>
        <v>1133.6099999999999</v>
      </c>
    </row>
    <row r="258" spans="2:19" x14ac:dyDescent="0.3">
      <c r="B258" s="3"/>
      <c r="C258" s="2" t="str">
        <f t="shared" si="17"/>
        <v>C</v>
      </c>
      <c r="D258" s="2" t="str">
        <f t="shared" si="12"/>
        <v>S</v>
      </c>
      <c r="E258" s="2">
        <f t="shared" si="13"/>
        <v>5</v>
      </c>
      <c r="F258" s="3" t="s">
        <v>603</v>
      </c>
      <c r="G258" s="3" t="s">
        <v>709</v>
      </c>
      <c r="H258" s="4">
        <f>SUMIFS(Tab_01.Jan[SALDO
ATUAL],Tab_01.Jan[CONTA],$F258)</f>
        <v>24701.439999999999</v>
      </c>
      <c r="I258" s="4">
        <f>SUMIFS(Tab_02.Fev[SALDO
ATUAL],Tab_02.Fev[CONTA],$F258)</f>
        <v>213366.39</v>
      </c>
      <c r="J258" s="4">
        <f>SUMIFS(Tab_03.Mar[SALDO
ATUAL],Tab_03.Mar[CONTA],$F258)</f>
        <v>244054.41</v>
      </c>
      <c r="K258" s="4">
        <f>SUMIFS(Tab_04.Abr[SALDO
ATUAL],Tab_04.Abr[CONTA],$F258)</f>
        <v>255249.67</v>
      </c>
      <c r="L258" s="4">
        <f>SUMIFS(Tab_05.Mai[SALDO
ATUAL],Tab_05.Mai[CONTA],$F258)</f>
        <v>266444.93</v>
      </c>
      <c r="M258" s="4">
        <f>SUMIFS(Tab_06.Jun[SALDO
ATUAL],Tab_06.Jun[CONTA],$F258)</f>
        <v>297189.15999999997</v>
      </c>
      <c r="N258" s="4">
        <f>SUMIFS(Tab_07.Jul[SALDO
ATUAL],Tab_07.Jul[CONTA],$F258)</f>
        <v>297189.15999999997</v>
      </c>
      <c r="O258" s="4">
        <f>SUMIFS(Tab_08.Ago[SALDO
ATUAL],Tab_08.Ago[CONTA],$F258)</f>
        <v>297189.15999999997</v>
      </c>
      <c r="P258" s="4">
        <f>SUMIFS(Tab_09.Set[SALDO
ATUAL],Tab_09.Set[CONTA],$F258)</f>
        <v>323000.17</v>
      </c>
      <c r="Q258" s="4">
        <f>SUMIFS(Tab_10.Out[SALDO
ATUAL],Tab_10.Out[CONTA],$F258)</f>
        <v>338479.74</v>
      </c>
      <c r="R258" s="4">
        <f>SUMIFS(Tab_11.Nov[SALDO
ATUAL],Tab_11.Nov[CONTA],$F258)</f>
        <v>353776.92</v>
      </c>
      <c r="S258" s="4">
        <f>SUMIFS(Tab_12.Dez[SALDO
ATUAL],Tab_12.Dez[CONTA],$F258)</f>
        <v>374499.25</v>
      </c>
    </row>
    <row r="259" spans="2:19" x14ac:dyDescent="0.3">
      <c r="B259" s="3" t="s">
        <v>104</v>
      </c>
      <c r="C259" s="2" t="str">
        <f t="shared" si="17"/>
        <v>C</v>
      </c>
      <c r="D259" s="2" t="str">
        <f t="shared" si="12"/>
        <v>A</v>
      </c>
      <c r="E259" s="2">
        <f t="shared" si="13"/>
        <v>5</v>
      </c>
      <c r="F259" s="3" t="s">
        <v>451</v>
      </c>
      <c r="G259" s="3" t="s">
        <v>437</v>
      </c>
      <c r="H259" s="4">
        <f>SUMIFS(Tab_01.Jan[SALDO
ATUAL],Tab_01.Jan[CONTA],$F259)</f>
        <v>18491.599999999999</v>
      </c>
      <c r="I259" s="4">
        <f>SUMIFS(Tab_02.Fev[SALDO
ATUAL],Tab_02.Fev[CONTA],$F259)</f>
        <v>18491.599999999999</v>
      </c>
      <c r="J259" s="4">
        <f>SUMIFS(Tab_03.Mar[SALDO
ATUAL],Tab_03.Mar[CONTA],$F259)</f>
        <v>43252.27</v>
      </c>
      <c r="K259" s="4">
        <f>SUMIFS(Tab_04.Abr[SALDO
ATUAL],Tab_04.Abr[CONTA],$F259)</f>
        <v>51633.09</v>
      </c>
      <c r="L259" s="4">
        <f>SUMIFS(Tab_05.Mai[SALDO
ATUAL],Tab_05.Mai[CONTA],$F259)</f>
        <v>60013.91</v>
      </c>
      <c r="M259" s="4">
        <f>SUMIFS(Tab_06.Jun[SALDO
ATUAL],Tab_06.Jun[CONTA],$F259)</f>
        <v>84624.5</v>
      </c>
      <c r="N259" s="4">
        <f>SUMIFS(Tab_07.Jul[SALDO
ATUAL],Tab_07.Jul[CONTA],$F259)</f>
        <v>84624.5</v>
      </c>
      <c r="O259" s="4">
        <f>SUMIFS(Tab_08.Ago[SALDO
ATUAL],Tab_08.Ago[CONTA],$F259)</f>
        <v>84624.5</v>
      </c>
      <c r="P259" s="4">
        <f>SUMIFS(Tab_09.Set[SALDO
ATUAL],Tab_09.Set[CONTA],$F259)</f>
        <v>103942.8</v>
      </c>
      <c r="Q259" s="4">
        <f>SUMIFS(Tab_10.Out[SALDO
ATUAL],Tab_10.Out[CONTA],$F259)</f>
        <v>115530.86</v>
      </c>
      <c r="R259" s="4">
        <f>SUMIFS(Tab_11.Nov[SALDO
ATUAL],Tab_11.Nov[CONTA],$F259)</f>
        <v>126982.38</v>
      </c>
      <c r="S259" s="4">
        <f>SUMIFS(Tab_12.Dez[SALDO
ATUAL],Tab_12.Dez[CONTA],$F259)</f>
        <v>143813.20000000001</v>
      </c>
    </row>
    <row r="260" spans="2:19" x14ac:dyDescent="0.3">
      <c r="B260" s="3" t="s">
        <v>104</v>
      </c>
      <c r="C260" s="2" t="str">
        <f t="shared" si="17"/>
        <v>C</v>
      </c>
      <c r="D260" s="2" t="str">
        <f t="shared" si="12"/>
        <v>A</v>
      </c>
      <c r="E260" s="2">
        <f t="shared" si="13"/>
        <v>5</v>
      </c>
      <c r="F260" s="3" t="s">
        <v>452</v>
      </c>
      <c r="G260" s="3" t="s">
        <v>196</v>
      </c>
      <c r="H260" s="4">
        <f>SUMIFS(Tab_01.Jan[SALDO
ATUAL],Tab_01.Jan[CONTA],$F260)</f>
        <v>5519.86</v>
      </c>
      <c r="I260" s="4">
        <f>SUMIFS(Tab_02.Fev[SALDO
ATUAL],Tab_02.Fev[CONTA],$F260)</f>
        <v>194184.81</v>
      </c>
      <c r="J260" s="4">
        <f>SUMIFS(Tab_03.Mar[SALDO
ATUAL],Tab_03.Mar[CONTA],$F260)</f>
        <v>199188.25</v>
      </c>
      <c r="K260" s="4">
        <f>SUMIFS(Tab_04.Abr[SALDO
ATUAL],Tab_04.Abr[CONTA],$F260)</f>
        <v>201689.97</v>
      </c>
      <c r="L260" s="4">
        <f>SUMIFS(Tab_05.Mai[SALDO
ATUAL],Tab_05.Mai[CONTA],$F260)</f>
        <v>204191.69</v>
      </c>
      <c r="M260" s="4">
        <f>SUMIFS(Tab_06.Jun[SALDO
ATUAL],Tab_06.Jun[CONTA],$F260)</f>
        <v>209407.02</v>
      </c>
      <c r="N260" s="4">
        <f>SUMIFS(Tab_07.Jul[SALDO
ATUAL],Tab_07.Jul[CONTA],$F260)</f>
        <v>209407.02</v>
      </c>
      <c r="O260" s="4">
        <f>SUMIFS(Tab_08.Ago[SALDO
ATUAL],Tab_08.Ago[CONTA],$F260)</f>
        <v>209407.02</v>
      </c>
      <c r="P260" s="4">
        <f>SUMIFS(Tab_09.Set[SALDO
ATUAL],Tab_09.Set[CONTA],$F260)</f>
        <v>215178.31</v>
      </c>
      <c r="Q260" s="4">
        <f>SUMIFS(Tab_10.Out[SALDO
ATUAL],Tab_10.Out[CONTA],$F260)</f>
        <v>218637.43</v>
      </c>
      <c r="R260" s="4">
        <f>SUMIFS(Tab_11.Nov[SALDO
ATUAL],Tab_11.Nov[CONTA],$F260)</f>
        <v>222055.79</v>
      </c>
      <c r="S260" s="4">
        <f>SUMIFS(Tab_12.Dez[SALDO
ATUAL],Tab_12.Dez[CONTA],$F260)</f>
        <v>225514.91</v>
      </c>
    </row>
    <row r="261" spans="2:19" x14ac:dyDescent="0.3">
      <c r="B261" s="3" t="s">
        <v>104</v>
      </c>
      <c r="C261" s="2" t="str">
        <f t="shared" si="17"/>
        <v>C</v>
      </c>
      <c r="D261" s="2" t="str">
        <f t="shared" si="12"/>
        <v>A</v>
      </c>
      <c r="E261" s="2">
        <f t="shared" si="13"/>
        <v>5</v>
      </c>
      <c r="F261" s="3" t="s">
        <v>453</v>
      </c>
      <c r="G261" s="3" t="s">
        <v>454</v>
      </c>
      <c r="H261" s="4">
        <f>SUMIFS(Tab_01.Jan[SALDO
ATUAL],Tab_01.Jan[CONTA],$F261)</f>
        <v>689.98</v>
      </c>
      <c r="I261" s="4">
        <f>SUMIFS(Tab_02.Fev[SALDO
ATUAL],Tab_02.Fev[CONTA],$F261)</f>
        <v>689.98</v>
      </c>
      <c r="J261" s="4">
        <f>SUMIFS(Tab_03.Mar[SALDO
ATUAL],Tab_03.Mar[CONTA],$F261)</f>
        <v>1613.89</v>
      </c>
      <c r="K261" s="4">
        <f>SUMIFS(Tab_04.Abr[SALDO
ATUAL],Tab_04.Abr[CONTA],$F261)</f>
        <v>1926.61</v>
      </c>
      <c r="L261" s="4">
        <f>SUMIFS(Tab_05.Mai[SALDO
ATUAL],Tab_05.Mai[CONTA],$F261)</f>
        <v>2239.33</v>
      </c>
      <c r="M261" s="4">
        <f>SUMIFS(Tab_06.Jun[SALDO
ATUAL],Tab_06.Jun[CONTA],$F261)</f>
        <v>3157.64</v>
      </c>
      <c r="N261" s="4">
        <f>SUMIFS(Tab_07.Jul[SALDO
ATUAL],Tab_07.Jul[CONTA],$F261)</f>
        <v>3157.64</v>
      </c>
      <c r="O261" s="4">
        <f>SUMIFS(Tab_08.Ago[SALDO
ATUAL],Tab_08.Ago[CONTA],$F261)</f>
        <v>3157.64</v>
      </c>
      <c r="P261" s="4">
        <f>SUMIFS(Tab_09.Set[SALDO
ATUAL],Tab_09.Set[CONTA],$F261)</f>
        <v>3879.06</v>
      </c>
      <c r="Q261" s="4">
        <f>SUMIFS(Tab_10.Out[SALDO
ATUAL],Tab_10.Out[CONTA],$F261)</f>
        <v>4311.45</v>
      </c>
      <c r="R261" s="4">
        <f>SUMIFS(Tab_11.Nov[SALDO
ATUAL],Tab_11.Nov[CONTA],$F261)</f>
        <v>4738.75</v>
      </c>
      <c r="S261" s="4">
        <f>SUMIFS(Tab_12.Dez[SALDO
ATUAL],Tab_12.Dez[CONTA],$F261)</f>
        <v>5171.1400000000003</v>
      </c>
    </row>
    <row r="262" spans="2:19" x14ac:dyDescent="0.3">
      <c r="B262" s="3"/>
      <c r="C262" s="2" t="str">
        <f t="shared" si="17"/>
        <v>C</v>
      </c>
      <c r="D262" s="2" t="str">
        <f t="shared" si="12"/>
        <v>S</v>
      </c>
      <c r="E262" s="2">
        <f t="shared" si="13"/>
        <v>5</v>
      </c>
      <c r="F262" s="3" t="s">
        <v>604</v>
      </c>
      <c r="G262" s="3" t="s">
        <v>710</v>
      </c>
      <c r="H262" s="4">
        <f>SUMIFS(Tab_01.Jan[SALDO
ATUAL],Tab_01.Jan[CONTA],$F262)</f>
        <v>190</v>
      </c>
      <c r="I262" s="4">
        <f>SUMIFS(Tab_02.Fev[SALDO
ATUAL],Tab_02.Fev[CONTA],$F262)</f>
        <v>425</v>
      </c>
      <c r="J262" s="4">
        <f>SUMIFS(Tab_03.Mar[SALDO
ATUAL],Tab_03.Mar[CONTA],$F262)</f>
        <v>660</v>
      </c>
      <c r="K262" s="4">
        <f>SUMIFS(Tab_04.Abr[SALDO
ATUAL],Tab_04.Abr[CONTA],$F262)</f>
        <v>890</v>
      </c>
      <c r="L262" s="4">
        <f>SUMIFS(Tab_05.Mai[SALDO
ATUAL],Tab_05.Mai[CONTA],$F262)</f>
        <v>1080</v>
      </c>
      <c r="M262" s="4">
        <f>SUMIFS(Tab_06.Jun[SALDO
ATUAL],Tab_06.Jun[CONTA],$F262)</f>
        <v>1545</v>
      </c>
      <c r="N262" s="4">
        <f>SUMIFS(Tab_07.Jul[SALDO
ATUAL],Tab_07.Jul[CONTA],$F262)</f>
        <v>1545</v>
      </c>
      <c r="O262" s="4">
        <f>SUMIFS(Tab_08.Ago[SALDO
ATUAL],Tab_08.Ago[CONTA],$F262)</f>
        <v>1545</v>
      </c>
      <c r="P262" s="4">
        <f>SUMIFS(Tab_09.Set[SALDO
ATUAL],Tab_09.Set[CONTA],$F262)</f>
        <v>2925</v>
      </c>
      <c r="Q262" s="4">
        <f>SUMIFS(Tab_10.Out[SALDO
ATUAL],Tab_10.Out[CONTA],$F262)</f>
        <v>3205</v>
      </c>
      <c r="R262" s="4">
        <f>SUMIFS(Tab_11.Nov[SALDO
ATUAL],Tab_11.Nov[CONTA],$F262)</f>
        <v>3395</v>
      </c>
      <c r="S262" s="4">
        <f>SUMIFS(Tab_12.Dez[SALDO
ATUAL],Tab_12.Dez[CONTA],$F262)</f>
        <v>3625</v>
      </c>
    </row>
    <row r="263" spans="2:19" x14ac:dyDescent="0.3">
      <c r="B263" s="3" t="s">
        <v>105</v>
      </c>
      <c r="C263" s="2" t="str">
        <f t="shared" si="17"/>
        <v>C</v>
      </c>
      <c r="D263" s="2" t="str">
        <f t="shared" si="12"/>
        <v>A</v>
      </c>
      <c r="E263" s="2">
        <f t="shared" si="13"/>
        <v>5</v>
      </c>
      <c r="F263" s="3" t="s">
        <v>457</v>
      </c>
      <c r="G263" s="3" t="s">
        <v>458</v>
      </c>
      <c r="H263" s="4">
        <f>SUMIFS(Tab_01.Jan[SALDO
ATUAL],Tab_01.Jan[CONTA],$F263)</f>
        <v>190</v>
      </c>
      <c r="I263" s="4">
        <f>SUMIFS(Tab_02.Fev[SALDO
ATUAL],Tab_02.Fev[CONTA],$F263)</f>
        <v>425</v>
      </c>
      <c r="J263" s="4">
        <f>SUMIFS(Tab_03.Mar[SALDO
ATUAL],Tab_03.Mar[CONTA],$F263)</f>
        <v>660</v>
      </c>
      <c r="K263" s="4">
        <f>SUMIFS(Tab_04.Abr[SALDO
ATUAL],Tab_04.Abr[CONTA],$F263)</f>
        <v>890</v>
      </c>
      <c r="L263" s="4">
        <f>SUMIFS(Tab_05.Mai[SALDO
ATUAL],Tab_05.Mai[CONTA],$F263)</f>
        <v>1080</v>
      </c>
      <c r="M263" s="4">
        <f>SUMIFS(Tab_06.Jun[SALDO
ATUAL],Tab_06.Jun[CONTA],$F263)</f>
        <v>1545</v>
      </c>
      <c r="N263" s="4">
        <f>SUMIFS(Tab_07.Jul[SALDO
ATUAL],Tab_07.Jul[CONTA],$F263)</f>
        <v>1545</v>
      </c>
      <c r="O263" s="4">
        <f>SUMIFS(Tab_08.Ago[SALDO
ATUAL],Tab_08.Ago[CONTA],$F263)</f>
        <v>1545</v>
      </c>
      <c r="P263" s="4">
        <f>SUMIFS(Tab_09.Set[SALDO
ATUAL],Tab_09.Set[CONTA],$F263)</f>
        <v>2925</v>
      </c>
      <c r="Q263" s="4">
        <f>SUMIFS(Tab_10.Out[SALDO
ATUAL],Tab_10.Out[CONTA],$F263)</f>
        <v>3205</v>
      </c>
      <c r="R263" s="4">
        <f>SUMIFS(Tab_11.Nov[SALDO
ATUAL],Tab_11.Nov[CONTA],$F263)</f>
        <v>3395</v>
      </c>
      <c r="S263" s="4">
        <f>SUMIFS(Tab_12.Dez[SALDO
ATUAL],Tab_12.Dez[CONTA],$F263)</f>
        <v>3625</v>
      </c>
    </row>
    <row r="264" spans="2:19" x14ac:dyDescent="0.3">
      <c r="B264" s="3"/>
      <c r="C264" s="2" t="str">
        <f t="shared" si="17"/>
        <v>C</v>
      </c>
      <c r="D264" s="2" t="str">
        <f t="shared" si="12"/>
        <v>S</v>
      </c>
      <c r="E264" s="2">
        <f t="shared" si="13"/>
        <v>5</v>
      </c>
      <c r="F264" s="3" t="s">
        <v>605</v>
      </c>
      <c r="G264" s="3" t="s">
        <v>711</v>
      </c>
      <c r="H264" s="4">
        <f>SUMIFS(Tab_01.Jan[SALDO
ATUAL],Tab_01.Jan[CONTA],$F264)</f>
        <v>128411.32</v>
      </c>
      <c r="I264" s="4">
        <f>SUMIFS(Tab_02.Fev[SALDO
ATUAL],Tab_02.Fev[CONTA],$F264)</f>
        <v>170274.83</v>
      </c>
      <c r="J264" s="4">
        <f>SUMIFS(Tab_03.Mar[SALDO
ATUAL],Tab_03.Mar[CONTA],$F264)</f>
        <v>378070.5</v>
      </c>
      <c r="K264" s="4">
        <f>SUMIFS(Tab_04.Abr[SALDO
ATUAL],Tab_04.Abr[CONTA],$F264)</f>
        <v>511410.86</v>
      </c>
      <c r="L264" s="4">
        <f>SUMIFS(Tab_05.Mai[SALDO
ATUAL],Tab_05.Mai[CONTA],$F264)</f>
        <v>651135.29</v>
      </c>
      <c r="M264" s="4">
        <f>SUMIFS(Tab_06.Jun[SALDO
ATUAL],Tab_06.Jun[CONTA],$F264)</f>
        <v>1031244.39</v>
      </c>
      <c r="N264" s="4">
        <f>SUMIFS(Tab_07.Jul[SALDO
ATUAL],Tab_07.Jul[CONTA],$F264)</f>
        <v>1031244.39</v>
      </c>
      <c r="O264" s="4">
        <f>SUMIFS(Tab_08.Ago[SALDO
ATUAL],Tab_08.Ago[CONTA],$F264)</f>
        <v>1031244.39</v>
      </c>
      <c r="P264" s="4">
        <f>SUMIFS(Tab_09.Set[SALDO
ATUAL],Tab_09.Set[CONTA],$F264)</f>
        <v>1358889.56</v>
      </c>
      <c r="Q264" s="4">
        <f>SUMIFS(Tab_10.Out[SALDO
ATUAL],Tab_10.Out[CONTA],$F264)</f>
        <v>1520420.77</v>
      </c>
      <c r="R264" s="4">
        <f>SUMIFS(Tab_11.Nov[SALDO
ATUAL],Tab_11.Nov[CONTA],$F264)</f>
        <v>1691374.48</v>
      </c>
      <c r="S264" s="4">
        <f>SUMIFS(Tab_12.Dez[SALDO
ATUAL],Tab_12.Dez[CONTA],$F264)</f>
        <v>1852547.01</v>
      </c>
    </row>
    <row r="265" spans="2:19" x14ac:dyDescent="0.3">
      <c r="B265" s="3"/>
      <c r="C265" s="2" t="str">
        <f t="shared" si="17"/>
        <v>C</v>
      </c>
      <c r="D265" s="2" t="str">
        <f t="shared" si="12"/>
        <v>S</v>
      </c>
      <c r="E265" s="2">
        <f t="shared" si="13"/>
        <v>5</v>
      </c>
      <c r="F265" s="3" t="s">
        <v>606</v>
      </c>
      <c r="G265" s="3" t="s">
        <v>712</v>
      </c>
      <c r="H265" s="4">
        <f>SUMIFS(Tab_01.Jan[SALDO
ATUAL],Tab_01.Jan[CONTA],$F265)</f>
        <v>45445.24</v>
      </c>
      <c r="I265" s="4">
        <f>SUMIFS(Tab_02.Fev[SALDO
ATUAL],Tab_02.Fev[CONTA],$F265)</f>
        <v>87308.75</v>
      </c>
      <c r="J265" s="4">
        <f>SUMIFS(Tab_03.Mar[SALDO
ATUAL],Tab_03.Mar[CONTA],$F265)</f>
        <v>129172.26</v>
      </c>
      <c r="K265" s="4">
        <f>SUMIFS(Tab_04.Abr[SALDO
ATUAL],Tab_04.Abr[CONTA],$F265)</f>
        <v>179546.54</v>
      </c>
      <c r="L265" s="4">
        <f>SUMIFS(Tab_05.Mai[SALDO
ATUAL],Tab_05.Mai[CONTA],$F265)</f>
        <v>236304.89</v>
      </c>
      <c r="M265" s="4">
        <f>SUMIFS(Tab_06.Jun[SALDO
ATUAL],Tab_06.Jun[CONTA],$F265)</f>
        <v>450481.83</v>
      </c>
      <c r="N265" s="4">
        <f>SUMIFS(Tab_07.Jul[SALDO
ATUAL],Tab_07.Jul[CONTA],$F265)</f>
        <v>450481.83</v>
      </c>
      <c r="O265" s="4">
        <f>SUMIFS(Tab_08.Ago[SALDO
ATUAL],Tab_08.Ago[CONTA],$F265)</f>
        <v>450481.83</v>
      </c>
      <c r="P265" s="4">
        <f>SUMIFS(Tab_09.Set[SALDO
ATUAL],Tab_09.Set[CONTA],$F265)</f>
        <v>612194.82999999996</v>
      </c>
      <c r="Q265" s="4">
        <f>SUMIFS(Tab_10.Out[SALDO
ATUAL],Tab_10.Out[CONTA],$F265)</f>
        <v>690759.96</v>
      </c>
      <c r="R265" s="4">
        <f>SUMIFS(Tab_11.Nov[SALDO
ATUAL],Tab_11.Nov[CONTA],$F265)</f>
        <v>778747.59</v>
      </c>
      <c r="S265" s="4">
        <f>SUMIFS(Tab_12.Dez[SALDO
ATUAL],Tab_12.Dez[CONTA],$F265)</f>
        <v>856954.04</v>
      </c>
    </row>
    <row r="266" spans="2:19" x14ac:dyDescent="0.3">
      <c r="B266" s="3" t="s">
        <v>106</v>
      </c>
      <c r="C266" s="2" t="str">
        <f t="shared" si="17"/>
        <v>C</v>
      </c>
      <c r="D266" s="2" t="str">
        <f t="shared" si="12"/>
        <v>A</v>
      </c>
      <c r="E266" s="2">
        <f t="shared" si="13"/>
        <v>5</v>
      </c>
      <c r="F266" s="3" t="s">
        <v>459</v>
      </c>
      <c r="G266" s="3" t="s">
        <v>460</v>
      </c>
      <c r="H266" s="4">
        <f>SUMIFS(Tab_01.Jan[SALDO
ATUAL],Tab_01.Jan[CONTA],$F266)</f>
        <v>7634.62</v>
      </c>
      <c r="I266" s="4">
        <f>SUMIFS(Tab_02.Fev[SALDO
ATUAL],Tab_02.Fev[CONTA],$F266)</f>
        <v>15269.24</v>
      </c>
      <c r="J266" s="4">
        <f>SUMIFS(Tab_03.Mar[SALDO
ATUAL],Tab_03.Mar[CONTA],$F266)</f>
        <v>22903.86</v>
      </c>
      <c r="K266" s="4">
        <f>SUMIFS(Tab_04.Abr[SALDO
ATUAL],Tab_04.Abr[CONTA],$F266)</f>
        <v>30582.58</v>
      </c>
      <c r="L266" s="4">
        <f>SUMIFS(Tab_05.Mai[SALDO
ATUAL],Tab_05.Mai[CONTA],$F266)</f>
        <v>38217.199999999997</v>
      </c>
      <c r="M266" s="4">
        <f>SUMIFS(Tab_06.Jun[SALDO
ATUAL],Tab_06.Jun[CONTA],$F266)</f>
        <v>53486.44</v>
      </c>
      <c r="N266" s="4">
        <f>SUMIFS(Tab_07.Jul[SALDO
ATUAL],Tab_07.Jul[CONTA],$F266)</f>
        <v>53486.44</v>
      </c>
      <c r="O266" s="4">
        <f>SUMIFS(Tab_08.Ago[SALDO
ATUAL],Tab_08.Ago[CONTA],$F266)</f>
        <v>53486.44</v>
      </c>
      <c r="P266" s="4">
        <f>SUMIFS(Tab_09.Set[SALDO
ATUAL],Tab_09.Set[CONTA],$F266)</f>
        <v>70601.56</v>
      </c>
      <c r="Q266" s="4">
        <f>SUMIFS(Tab_10.Out[SALDO
ATUAL],Tab_10.Out[CONTA],$F266)</f>
        <v>79759.12</v>
      </c>
      <c r="R266" s="4">
        <f>SUMIFS(Tab_11.Nov[SALDO
ATUAL],Tab_11.Nov[CONTA],$F266)</f>
        <v>96874.240000000005</v>
      </c>
      <c r="S266" s="4">
        <f>SUMIFS(Tab_12.Dez[SALDO
ATUAL],Tab_12.Dez[CONTA],$F266)</f>
        <v>106031.8</v>
      </c>
    </row>
    <row r="267" spans="2:19" x14ac:dyDescent="0.3">
      <c r="B267" s="3" t="s">
        <v>106</v>
      </c>
      <c r="C267" s="2" t="str">
        <f t="shared" si="17"/>
        <v>C</v>
      </c>
      <c r="D267" s="2" t="str">
        <f t="shared" si="12"/>
        <v>A</v>
      </c>
      <c r="E267" s="2">
        <f t="shared" si="13"/>
        <v>5</v>
      </c>
      <c r="F267" s="3" t="s">
        <v>461</v>
      </c>
      <c r="G267" s="3" t="s">
        <v>462</v>
      </c>
      <c r="H267" s="4">
        <f>SUMIFS(Tab_01.Jan[SALDO
ATUAL],Tab_01.Jan[CONTA],$F267)</f>
        <v>17299.38</v>
      </c>
      <c r="I267" s="4">
        <f>SUMIFS(Tab_02.Fev[SALDO
ATUAL],Tab_02.Fev[CONTA],$F267)</f>
        <v>31107.03</v>
      </c>
      <c r="J267" s="4">
        <f>SUMIFS(Tab_03.Mar[SALDO
ATUAL],Tab_03.Mar[CONTA],$F267)</f>
        <v>44914.68</v>
      </c>
      <c r="K267" s="4">
        <f>SUMIFS(Tab_04.Abr[SALDO
ATUAL],Tab_04.Abr[CONTA],$F267)</f>
        <v>58572.33</v>
      </c>
      <c r="L267" s="4">
        <f>SUMIFS(Tab_05.Mai[SALDO
ATUAL],Tab_05.Mai[CONTA],$F267)</f>
        <v>79526.759999999995</v>
      </c>
      <c r="M267" s="4">
        <f>SUMIFS(Tab_06.Jun[SALDO
ATUAL],Tab_06.Jun[CONTA],$F267)</f>
        <v>105046.48</v>
      </c>
      <c r="N267" s="4">
        <f>SUMIFS(Tab_07.Jul[SALDO
ATUAL],Tab_07.Jul[CONTA],$F267)</f>
        <v>105046.48</v>
      </c>
      <c r="O267" s="4">
        <f>SUMIFS(Tab_08.Ago[SALDO
ATUAL],Tab_08.Ago[CONTA],$F267)</f>
        <v>105046.48</v>
      </c>
      <c r="P267" s="4">
        <f>SUMIFS(Tab_09.Set[SALDO
ATUAL],Tab_09.Set[CONTA],$F267)</f>
        <v>131622.1</v>
      </c>
      <c r="Q267" s="4">
        <f>SUMIFS(Tab_10.Out[SALDO
ATUAL],Tab_10.Out[CONTA],$F267)</f>
        <v>143972.1</v>
      </c>
      <c r="R267" s="4">
        <f>SUMIFS(Tab_11.Nov[SALDO
ATUAL],Tab_11.Nov[CONTA],$F267)</f>
        <v>156172.1</v>
      </c>
      <c r="S267" s="4">
        <f>SUMIFS(Tab_12.Dez[SALDO
ATUAL],Tab_12.Dez[CONTA],$F267)</f>
        <v>168522.1</v>
      </c>
    </row>
    <row r="268" spans="2:19" x14ac:dyDescent="0.3">
      <c r="B268" s="3" t="s">
        <v>106</v>
      </c>
      <c r="C268" s="2" t="str">
        <f t="shared" si="17"/>
        <v>C</v>
      </c>
      <c r="D268" s="2" t="str">
        <f t="shared" ref="D268:D315" si="21">IF($F268="","",IF(LEN($F268)=13,"A","S"))</f>
        <v>A</v>
      </c>
      <c r="E268" s="2">
        <f t="shared" ref="E268:E315" si="22">IF($F268="","",IF(LEN($F268)=1,1,IF(LEN($F268)=3,2,IF(LEN($F268)=5,3,IF(LEN($F268)=8,4,5)))))</f>
        <v>5</v>
      </c>
      <c r="F268" s="3" t="s">
        <v>463</v>
      </c>
      <c r="G268" s="3" t="s">
        <v>464</v>
      </c>
      <c r="H268" s="4">
        <f>SUMIFS(Tab_01.Jan[SALDO
ATUAL],Tab_01.Jan[CONTA],$F268)</f>
        <v>0</v>
      </c>
      <c r="I268" s="4">
        <f>SUMIFS(Tab_02.Fev[SALDO
ATUAL],Tab_02.Fev[CONTA],$F268)</f>
        <v>0</v>
      </c>
      <c r="J268" s="4">
        <f>SUMIFS(Tab_03.Mar[SALDO
ATUAL],Tab_03.Mar[CONTA],$F268)</f>
        <v>0</v>
      </c>
      <c r="K268" s="4">
        <f>SUMIFS(Tab_04.Abr[SALDO
ATUAL],Tab_04.Abr[CONTA],$F268)</f>
        <v>7166.67</v>
      </c>
      <c r="L268" s="4">
        <f>SUMIFS(Tab_05.Mai[SALDO
ATUAL],Tab_05.Mai[CONTA],$F268)</f>
        <v>14333.34</v>
      </c>
      <c r="M268" s="4">
        <f>SUMIFS(Tab_06.Jun[SALDO
ATUAL],Tab_06.Jun[CONTA],$F268)</f>
        <v>21500.01</v>
      </c>
      <c r="N268" s="4">
        <f>SUMIFS(Tab_07.Jul[SALDO
ATUAL],Tab_07.Jul[CONTA],$F268)</f>
        <v>21500.01</v>
      </c>
      <c r="O268" s="4">
        <f>SUMIFS(Tab_08.Ago[SALDO
ATUAL],Tab_08.Ago[CONTA],$F268)</f>
        <v>21500.01</v>
      </c>
      <c r="P268" s="4">
        <f>SUMIFS(Tab_09.Set[SALDO
ATUAL],Tab_09.Set[CONTA],$F268)</f>
        <v>21500.01</v>
      </c>
      <c r="Q268" s="4">
        <f>SUMIFS(Tab_10.Out[SALDO
ATUAL],Tab_10.Out[CONTA],$F268)</f>
        <v>21500.01</v>
      </c>
      <c r="R268" s="4">
        <f>SUMIFS(Tab_11.Nov[SALDO
ATUAL],Tab_11.Nov[CONTA],$F268)</f>
        <v>21500.01</v>
      </c>
      <c r="S268" s="4">
        <f>SUMIFS(Tab_12.Dez[SALDO
ATUAL],Tab_12.Dez[CONTA],$F268)</f>
        <v>21500.01</v>
      </c>
    </row>
    <row r="269" spans="2:19" x14ac:dyDescent="0.3">
      <c r="B269" s="3" t="s">
        <v>106</v>
      </c>
      <c r="C269" s="2" t="str">
        <f t="shared" si="17"/>
        <v>C</v>
      </c>
      <c r="D269" s="2" t="str">
        <f t="shared" si="21"/>
        <v>A</v>
      </c>
      <c r="E269" s="2">
        <f t="shared" si="22"/>
        <v>5</v>
      </c>
      <c r="F269" s="3" t="s">
        <v>465</v>
      </c>
      <c r="G269" s="3" t="s">
        <v>466</v>
      </c>
      <c r="H269" s="4">
        <f>SUMIFS(Tab_01.Jan[SALDO
ATUAL],Tab_01.Jan[CONTA],$F269)</f>
        <v>4524.45</v>
      </c>
      <c r="I269" s="4">
        <f>SUMIFS(Tab_02.Fev[SALDO
ATUAL],Tab_02.Fev[CONTA],$F269)</f>
        <v>8958.9</v>
      </c>
      <c r="J269" s="4">
        <f>SUMIFS(Tab_03.Mar[SALDO
ATUAL],Tab_03.Mar[CONTA],$F269)</f>
        <v>13393.35</v>
      </c>
      <c r="K269" s="4">
        <f>SUMIFS(Tab_04.Abr[SALDO
ATUAL],Tab_04.Abr[CONTA],$F269)</f>
        <v>19277.8</v>
      </c>
      <c r="L269" s="4">
        <f>SUMIFS(Tab_05.Mai[SALDO
ATUAL],Tab_05.Mai[CONTA],$F269)</f>
        <v>24293.64</v>
      </c>
      <c r="M269" s="4">
        <f>SUMIFS(Tab_06.Jun[SALDO
ATUAL],Tab_06.Jun[CONTA],$F269)</f>
        <v>157895.04000000001</v>
      </c>
      <c r="N269" s="4">
        <f>SUMIFS(Tab_07.Jul[SALDO
ATUAL],Tab_07.Jul[CONTA],$F269)</f>
        <v>157895.04000000001</v>
      </c>
      <c r="O269" s="4">
        <f>SUMIFS(Tab_08.Ago[SALDO
ATUAL],Tab_08.Ago[CONTA],$F269)</f>
        <v>157895.04000000001</v>
      </c>
      <c r="P269" s="4">
        <f>SUMIFS(Tab_09.Set[SALDO
ATUAL],Tab_09.Set[CONTA],$F269)</f>
        <v>246320.03</v>
      </c>
      <c r="Q269" s="4">
        <f>SUMIFS(Tab_10.Out[SALDO
ATUAL],Tab_10.Out[CONTA],$F269)</f>
        <v>288394.3</v>
      </c>
      <c r="R269" s="4">
        <f>SUMIFS(Tab_11.Nov[SALDO
ATUAL],Tab_11.Nov[CONTA],$F269)</f>
        <v>332452.84000000003</v>
      </c>
      <c r="S269" s="4">
        <f>SUMIFS(Tab_12.Dez[SALDO
ATUAL],Tab_12.Dez[CONTA],$F269)</f>
        <v>374527.11</v>
      </c>
    </row>
    <row r="270" spans="2:19" x14ac:dyDescent="0.3">
      <c r="B270" s="3" t="s">
        <v>105</v>
      </c>
      <c r="C270" s="2" t="str">
        <f t="shared" si="17"/>
        <v>C</v>
      </c>
      <c r="D270" s="2" t="str">
        <f t="shared" si="21"/>
        <v>A</v>
      </c>
      <c r="E270" s="2">
        <f t="shared" si="22"/>
        <v>5</v>
      </c>
      <c r="F270" s="3" t="s">
        <v>473</v>
      </c>
      <c r="G270" s="3" t="s">
        <v>474</v>
      </c>
      <c r="H270" s="4">
        <f>SUMIFS(Tab_01.Jan[SALDO
ATUAL],Tab_01.Jan[CONTA],$F270)</f>
        <v>4500</v>
      </c>
      <c r="I270" s="4">
        <f>SUMIFS(Tab_02.Fev[SALDO
ATUAL],Tab_02.Fev[CONTA],$F270)</f>
        <v>9000</v>
      </c>
      <c r="J270" s="4">
        <f>SUMIFS(Tab_03.Mar[SALDO
ATUAL],Tab_03.Mar[CONTA],$F270)</f>
        <v>13500</v>
      </c>
      <c r="K270" s="4">
        <f>SUMIFS(Tab_04.Abr[SALDO
ATUAL],Tab_04.Abr[CONTA],$F270)</f>
        <v>18000</v>
      </c>
      <c r="L270" s="4">
        <f>SUMIFS(Tab_05.Mai[SALDO
ATUAL],Tab_05.Mai[CONTA],$F270)</f>
        <v>22500</v>
      </c>
      <c r="M270" s="4">
        <f>SUMIFS(Tab_06.Jun[SALDO
ATUAL],Tab_06.Jun[CONTA],$F270)</f>
        <v>31500</v>
      </c>
      <c r="N270" s="4">
        <f>SUMIFS(Tab_07.Jul[SALDO
ATUAL],Tab_07.Jul[CONTA],$F270)</f>
        <v>31500</v>
      </c>
      <c r="O270" s="4">
        <f>SUMIFS(Tab_08.Ago[SALDO
ATUAL],Tab_08.Ago[CONTA],$F270)</f>
        <v>31500</v>
      </c>
      <c r="P270" s="4">
        <f>SUMIFS(Tab_09.Set[SALDO
ATUAL],Tab_09.Set[CONTA],$F270)</f>
        <v>40500</v>
      </c>
      <c r="Q270" s="4">
        <f>SUMIFS(Tab_10.Out[SALDO
ATUAL],Tab_10.Out[CONTA],$F270)</f>
        <v>45000</v>
      </c>
      <c r="R270" s="4">
        <f>SUMIFS(Tab_11.Nov[SALDO
ATUAL],Tab_11.Nov[CONTA],$F270)</f>
        <v>49500</v>
      </c>
      <c r="S270" s="4">
        <f>SUMIFS(Tab_12.Dez[SALDO
ATUAL],Tab_12.Dez[CONTA],$F270)</f>
        <v>54000</v>
      </c>
    </row>
    <row r="271" spans="2:19" x14ac:dyDescent="0.3">
      <c r="B271" s="3" t="s">
        <v>106</v>
      </c>
      <c r="C271" s="2" t="str">
        <f t="shared" si="17"/>
        <v>C</v>
      </c>
      <c r="D271" s="2" t="str">
        <f t="shared" si="21"/>
        <v>A</v>
      </c>
      <c r="E271" s="2">
        <f t="shared" si="22"/>
        <v>5</v>
      </c>
      <c r="F271" s="3" t="s">
        <v>467</v>
      </c>
      <c r="G271" s="3" t="s">
        <v>468</v>
      </c>
      <c r="H271" s="4">
        <f>SUMIFS(Tab_01.Jan[SALDO
ATUAL],Tab_01.Jan[CONTA],$F271)</f>
        <v>223.56</v>
      </c>
      <c r="I271" s="4">
        <f>SUMIFS(Tab_02.Fev[SALDO
ATUAL],Tab_02.Fev[CONTA],$F271)</f>
        <v>447.12</v>
      </c>
      <c r="J271" s="4">
        <f>SUMIFS(Tab_03.Mar[SALDO
ATUAL],Tab_03.Mar[CONTA],$F271)</f>
        <v>670.68</v>
      </c>
      <c r="K271" s="4">
        <f>SUMIFS(Tab_04.Abr[SALDO
ATUAL],Tab_04.Abr[CONTA],$F271)</f>
        <v>894.24</v>
      </c>
      <c r="L271" s="4">
        <f>SUMIFS(Tab_05.Mai[SALDO
ATUAL],Tab_05.Mai[CONTA],$F271)</f>
        <v>1117.8</v>
      </c>
      <c r="M271" s="4">
        <f>SUMIFS(Tab_06.Jun[SALDO
ATUAL],Tab_06.Jun[CONTA],$F271)</f>
        <v>1564.92</v>
      </c>
      <c r="N271" s="4">
        <f>SUMIFS(Tab_07.Jul[SALDO
ATUAL],Tab_07.Jul[CONTA],$F271)</f>
        <v>1564.92</v>
      </c>
      <c r="O271" s="4">
        <f>SUMIFS(Tab_08.Ago[SALDO
ATUAL],Tab_08.Ago[CONTA],$F271)</f>
        <v>1564.92</v>
      </c>
      <c r="P271" s="4">
        <f>SUMIFS(Tab_09.Set[SALDO
ATUAL],Tab_09.Set[CONTA],$F271)</f>
        <v>2012.04</v>
      </c>
      <c r="Q271" s="4">
        <f>SUMIFS(Tab_10.Out[SALDO
ATUAL],Tab_10.Out[CONTA],$F271)</f>
        <v>2235.6</v>
      </c>
      <c r="R271" s="4">
        <f>SUMIFS(Tab_11.Nov[SALDO
ATUAL],Tab_11.Nov[CONTA],$F271)</f>
        <v>2459.16</v>
      </c>
      <c r="S271" s="4">
        <f>SUMIFS(Tab_12.Dez[SALDO
ATUAL],Tab_12.Dez[CONTA],$F271)</f>
        <v>2693.37</v>
      </c>
    </row>
    <row r="272" spans="2:19" x14ac:dyDescent="0.3">
      <c r="B272" s="3" t="s">
        <v>105</v>
      </c>
      <c r="C272" s="2" t="str">
        <f t="shared" si="17"/>
        <v>C</v>
      </c>
      <c r="D272" s="2" t="str">
        <f t="shared" si="21"/>
        <v>A</v>
      </c>
      <c r="E272" s="2">
        <f t="shared" si="22"/>
        <v>5</v>
      </c>
      <c r="F272" s="3" t="s">
        <v>475</v>
      </c>
      <c r="G272" s="3" t="s">
        <v>476</v>
      </c>
      <c r="H272" s="4">
        <f>SUMIFS(Tab_01.Jan[SALDO
ATUAL],Tab_01.Jan[CONTA],$F272)</f>
        <v>0</v>
      </c>
      <c r="I272" s="4">
        <f>SUMIFS(Tab_02.Fev[SALDO
ATUAL],Tab_02.Fev[CONTA],$F272)</f>
        <v>0</v>
      </c>
      <c r="J272" s="4">
        <f>SUMIFS(Tab_03.Mar[SALDO
ATUAL],Tab_03.Mar[CONTA],$F272)</f>
        <v>0</v>
      </c>
      <c r="K272" s="4">
        <f>SUMIFS(Tab_04.Abr[SALDO
ATUAL],Tab_04.Abr[CONTA],$F272)</f>
        <v>0</v>
      </c>
      <c r="L272" s="4">
        <f>SUMIFS(Tab_05.Mai[SALDO
ATUAL],Tab_05.Mai[CONTA],$F272)</f>
        <v>0</v>
      </c>
      <c r="M272" s="4">
        <f>SUMIFS(Tab_06.Jun[SALDO
ATUAL],Tab_06.Jun[CONTA],$F272)</f>
        <v>0</v>
      </c>
      <c r="N272" s="4">
        <f>SUMIFS(Tab_07.Jul[SALDO
ATUAL],Tab_07.Jul[CONTA],$F272)</f>
        <v>0</v>
      </c>
      <c r="O272" s="4">
        <f>SUMIFS(Tab_08.Ago[SALDO
ATUAL],Tab_08.Ago[CONTA],$F272)</f>
        <v>0</v>
      </c>
      <c r="P272" s="4">
        <f>SUMIFS(Tab_09.Set[SALDO
ATUAL],Tab_09.Set[CONTA],$F272)</f>
        <v>0</v>
      </c>
      <c r="Q272" s="4">
        <f>SUMIFS(Tab_10.Out[SALDO
ATUAL],Tab_10.Out[CONTA],$F272)</f>
        <v>0</v>
      </c>
      <c r="R272" s="4">
        <f>SUMIFS(Tab_11.Nov[SALDO
ATUAL],Tab_11.Nov[CONTA],$F272)</f>
        <v>0</v>
      </c>
      <c r="S272" s="4">
        <f>SUMIFS(Tab_12.Dez[SALDO
ATUAL],Tab_12.Dez[CONTA],$F272)</f>
        <v>0</v>
      </c>
    </row>
    <row r="273" spans="2:19" x14ac:dyDescent="0.3">
      <c r="B273" s="3" t="s">
        <v>106</v>
      </c>
      <c r="C273" s="2" t="str">
        <f t="shared" si="17"/>
        <v>C</v>
      </c>
      <c r="D273" s="2" t="str">
        <f t="shared" si="21"/>
        <v>A</v>
      </c>
      <c r="E273" s="2">
        <f t="shared" si="22"/>
        <v>5</v>
      </c>
      <c r="F273" s="3" t="s">
        <v>469</v>
      </c>
      <c r="G273" s="3" t="s">
        <v>470</v>
      </c>
      <c r="H273" s="4">
        <f>SUMIFS(Tab_01.Jan[SALDO
ATUAL],Tab_01.Jan[CONTA],$F273)</f>
        <v>6599.82</v>
      </c>
      <c r="I273" s="4">
        <f>SUMIFS(Tab_02.Fev[SALDO
ATUAL],Tab_02.Fev[CONTA],$F273)</f>
        <v>13199.64</v>
      </c>
      <c r="J273" s="4">
        <f>SUMIFS(Tab_03.Mar[SALDO
ATUAL],Tab_03.Mar[CONTA],$F273)</f>
        <v>19799.46</v>
      </c>
      <c r="K273" s="4">
        <f>SUMIFS(Tab_04.Abr[SALDO
ATUAL],Tab_04.Abr[CONTA],$F273)</f>
        <v>26399.279999999999</v>
      </c>
      <c r="L273" s="4">
        <f>SUMIFS(Tab_05.Mai[SALDO
ATUAL],Tab_05.Mai[CONTA],$F273)</f>
        <v>32999.1</v>
      </c>
      <c r="M273" s="4">
        <f>SUMIFS(Tab_06.Jun[SALDO
ATUAL],Tab_06.Jun[CONTA],$F273)</f>
        <v>46198.74</v>
      </c>
      <c r="N273" s="4">
        <f>SUMIFS(Tab_07.Jul[SALDO
ATUAL],Tab_07.Jul[CONTA],$F273)</f>
        <v>46198.74</v>
      </c>
      <c r="O273" s="4">
        <f>SUMIFS(Tab_08.Ago[SALDO
ATUAL],Tab_08.Ago[CONTA],$F273)</f>
        <v>46198.74</v>
      </c>
      <c r="P273" s="4">
        <f>SUMIFS(Tab_09.Set[SALDO
ATUAL],Tab_09.Set[CONTA],$F273)</f>
        <v>56098.74</v>
      </c>
      <c r="Q273" s="4">
        <f>SUMIFS(Tab_10.Out[SALDO
ATUAL],Tab_10.Out[CONTA],$F273)</f>
        <v>61048.74</v>
      </c>
      <c r="R273" s="4">
        <f>SUMIFS(Tab_11.Nov[SALDO
ATUAL],Tab_11.Nov[CONTA],$F273)</f>
        <v>65998.740000000005</v>
      </c>
      <c r="S273" s="4">
        <f>SUMIFS(Tab_12.Dez[SALDO
ATUAL],Tab_12.Dez[CONTA],$F273)</f>
        <v>70948.740000000005</v>
      </c>
    </row>
    <row r="274" spans="2:19" x14ac:dyDescent="0.3">
      <c r="B274" s="3" t="s">
        <v>106</v>
      </c>
      <c r="C274" s="2" t="str">
        <f t="shared" si="17"/>
        <v>C</v>
      </c>
      <c r="D274" s="2" t="str">
        <f t="shared" si="21"/>
        <v>A</v>
      </c>
      <c r="E274" s="2">
        <f t="shared" si="22"/>
        <v>5</v>
      </c>
      <c r="F274" s="3" t="s">
        <v>471</v>
      </c>
      <c r="G274" s="3" t="s">
        <v>472</v>
      </c>
      <c r="H274" s="4">
        <f>SUMIFS(Tab_01.Jan[SALDO
ATUAL],Tab_01.Jan[CONTA],$F274)</f>
        <v>4663.41</v>
      </c>
      <c r="I274" s="4">
        <f>SUMIFS(Tab_02.Fev[SALDO
ATUAL],Tab_02.Fev[CONTA],$F274)</f>
        <v>9326.82</v>
      </c>
      <c r="J274" s="4">
        <f>SUMIFS(Tab_03.Mar[SALDO
ATUAL],Tab_03.Mar[CONTA],$F274)</f>
        <v>13990.23</v>
      </c>
      <c r="K274" s="4">
        <f>SUMIFS(Tab_04.Abr[SALDO
ATUAL],Tab_04.Abr[CONTA],$F274)</f>
        <v>18653.64</v>
      </c>
      <c r="L274" s="4">
        <f>SUMIFS(Tab_05.Mai[SALDO
ATUAL],Tab_05.Mai[CONTA],$F274)</f>
        <v>23317.05</v>
      </c>
      <c r="M274" s="4">
        <f>SUMIFS(Tab_06.Jun[SALDO
ATUAL],Tab_06.Jun[CONTA],$F274)</f>
        <v>33290.199999999997</v>
      </c>
      <c r="N274" s="4">
        <f>SUMIFS(Tab_07.Jul[SALDO
ATUAL],Tab_07.Jul[CONTA],$F274)</f>
        <v>33290.199999999997</v>
      </c>
      <c r="O274" s="4">
        <f>SUMIFS(Tab_08.Ago[SALDO
ATUAL],Tab_08.Ago[CONTA],$F274)</f>
        <v>33290.199999999997</v>
      </c>
      <c r="P274" s="4">
        <f>SUMIFS(Tab_09.Set[SALDO
ATUAL],Tab_09.Set[CONTA],$F274)</f>
        <v>43540.35</v>
      </c>
      <c r="Q274" s="4">
        <f>SUMIFS(Tab_10.Out[SALDO
ATUAL],Tab_10.Out[CONTA],$F274)</f>
        <v>48850.09</v>
      </c>
      <c r="R274" s="4">
        <f>SUMIFS(Tab_11.Nov[SALDO
ATUAL],Tab_11.Nov[CONTA],$F274)</f>
        <v>53790.5</v>
      </c>
      <c r="S274" s="4">
        <f>SUMIFS(Tab_12.Dez[SALDO
ATUAL],Tab_12.Dez[CONTA],$F274)</f>
        <v>58730.91</v>
      </c>
    </row>
    <row r="275" spans="2:19" x14ac:dyDescent="0.3">
      <c r="B275" s="3" t="s">
        <v>105</v>
      </c>
      <c r="C275" s="2" t="str">
        <f t="shared" si="17"/>
        <v>C</v>
      </c>
      <c r="D275" s="2" t="str">
        <f>IF($F275="","",IF(LEN($F275)=13,"A","S"))</f>
        <v>A</v>
      </c>
      <c r="E275" s="2">
        <f>IF($F275="","",IF(LEN($F275)=1,1,IF(LEN($F275)=3,2,IF(LEN($F275)=5,3,IF(LEN($F275)=8,4,5)))))</f>
        <v>5</v>
      </c>
      <c r="F275" s="3" t="s">
        <v>477</v>
      </c>
      <c r="G275" s="3" t="s">
        <v>478</v>
      </c>
      <c r="H275" s="4">
        <f>SUMIFS(Tab_01.Jan[SALDO
ATUAL],Tab_01.Jan[CONTA],$F275)</f>
        <v>0</v>
      </c>
      <c r="I275" s="4">
        <f>SUMIFS(Tab_02.Fev[SALDO
ATUAL],Tab_02.Fev[CONTA],$F275)</f>
        <v>0</v>
      </c>
      <c r="J275" s="4">
        <f>SUMIFS(Tab_03.Mar[SALDO
ATUAL],Tab_03.Mar[CONTA],$F275)</f>
        <v>0</v>
      </c>
      <c r="K275" s="4">
        <f>SUMIFS(Tab_04.Abr[SALDO
ATUAL],Tab_04.Abr[CONTA],$F275)</f>
        <v>0</v>
      </c>
      <c r="L275" s="4">
        <f>SUMIFS(Tab_05.Mai[SALDO
ATUAL],Tab_05.Mai[CONTA],$F275)</f>
        <v>0</v>
      </c>
      <c r="M275" s="4">
        <f>SUMIFS(Tab_06.Jun[SALDO
ATUAL],Tab_06.Jun[CONTA],$F275)</f>
        <v>0</v>
      </c>
      <c r="N275" s="4">
        <f>SUMIFS(Tab_07.Jul[SALDO
ATUAL],Tab_07.Jul[CONTA],$F275)</f>
        <v>0</v>
      </c>
      <c r="O275" s="4">
        <f>SUMIFS(Tab_08.Ago[SALDO
ATUAL],Tab_08.Ago[CONTA],$F275)</f>
        <v>0</v>
      </c>
      <c r="P275" s="4">
        <f>SUMIFS(Tab_09.Set[SALDO
ATUAL],Tab_09.Set[CONTA],$F275)</f>
        <v>0</v>
      </c>
      <c r="Q275" s="4">
        <f>SUMIFS(Tab_10.Out[SALDO
ATUAL],Tab_10.Out[CONTA],$F275)</f>
        <v>0</v>
      </c>
      <c r="R275" s="4">
        <f>SUMIFS(Tab_11.Nov[SALDO
ATUAL],Tab_11.Nov[CONTA],$F275)</f>
        <v>0</v>
      </c>
      <c r="S275" s="4">
        <f>SUMIFS(Tab_12.Dez[SALDO
ATUAL],Tab_12.Dez[CONTA],$F275)</f>
        <v>0</v>
      </c>
    </row>
    <row r="276" spans="2:19" x14ac:dyDescent="0.3">
      <c r="B276" s="3"/>
      <c r="C276" s="2" t="str">
        <f t="shared" si="17"/>
        <v>C</v>
      </c>
      <c r="D276" s="2" t="str">
        <f t="shared" si="21"/>
        <v>S</v>
      </c>
      <c r="E276" s="2">
        <f t="shared" si="22"/>
        <v>5</v>
      </c>
      <c r="F276" s="3" t="s">
        <v>607</v>
      </c>
      <c r="G276" s="3" t="s">
        <v>408</v>
      </c>
      <c r="H276" s="4">
        <f>SUMIFS(Tab_01.Jan[SALDO
ATUAL],Tab_01.Jan[CONTA],$F276)</f>
        <v>0</v>
      </c>
      <c r="I276" s="4">
        <f>SUMIFS(Tab_02.Fev[SALDO
ATUAL],Tab_02.Fev[CONTA],$F276)</f>
        <v>0</v>
      </c>
      <c r="J276" s="4">
        <f>SUMIFS(Tab_03.Mar[SALDO
ATUAL],Tab_03.Mar[CONTA],$F276)</f>
        <v>0</v>
      </c>
      <c r="K276" s="4">
        <f>SUMIFS(Tab_04.Abr[SALDO
ATUAL],Tab_04.Abr[CONTA],$F276)</f>
        <v>0</v>
      </c>
      <c r="L276" s="4">
        <f>SUMIFS(Tab_05.Mai[SALDO
ATUAL],Tab_05.Mai[CONTA],$F276)</f>
        <v>0</v>
      </c>
      <c r="M276" s="4">
        <f>SUMIFS(Tab_06.Jun[SALDO
ATUAL],Tab_06.Jun[CONTA],$F276)</f>
        <v>0</v>
      </c>
      <c r="N276" s="4">
        <f>SUMIFS(Tab_07.Jul[SALDO
ATUAL],Tab_07.Jul[CONTA],$F276)</f>
        <v>0</v>
      </c>
      <c r="O276" s="4">
        <f>SUMIFS(Tab_08.Ago[SALDO
ATUAL],Tab_08.Ago[CONTA],$F276)</f>
        <v>0</v>
      </c>
      <c r="P276" s="4">
        <f>SUMIFS(Tab_09.Set[SALDO
ATUAL],Tab_09.Set[CONTA],$F276)</f>
        <v>0</v>
      </c>
      <c r="Q276" s="4">
        <f>SUMIFS(Tab_10.Out[SALDO
ATUAL],Tab_10.Out[CONTA],$F276)</f>
        <v>0</v>
      </c>
      <c r="R276" s="4">
        <f>SUMIFS(Tab_11.Nov[SALDO
ATUAL],Tab_11.Nov[CONTA],$F276)</f>
        <v>0</v>
      </c>
      <c r="S276" s="4">
        <f>SUMIFS(Tab_12.Dez[SALDO
ATUAL],Tab_12.Dez[CONTA],$F276)</f>
        <v>0</v>
      </c>
    </row>
    <row r="277" spans="2:19" x14ac:dyDescent="0.3">
      <c r="B277" s="3" t="s">
        <v>106</v>
      </c>
      <c r="C277" s="2" t="str">
        <f t="shared" si="17"/>
        <v>C</v>
      </c>
      <c r="D277" s="2" t="str">
        <f t="shared" si="21"/>
        <v>A</v>
      </c>
      <c r="E277" s="2">
        <f t="shared" si="22"/>
        <v>5</v>
      </c>
      <c r="F277" s="3" t="s">
        <v>479</v>
      </c>
      <c r="G277" s="3" t="s">
        <v>408</v>
      </c>
      <c r="H277" s="4">
        <f>SUMIFS(Tab_01.Jan[SALDO
ATUAL],Tab_01.Jan[CONTA],$F277)</f>
        <v>0</v>
      </c>
      <c r="I277" s="4">
        <f>SUMIFS(Tab_02.Fev[SALDO
ATUAL],Tab_02.Fev[CONTA],$F277)</f>
        <v>0</v>
      </c>
      <c r="J277" s="4">
        <f>SUMIFS(Tab_03.Mar[SALDO
ATUAL],Tab_03.Mar[CONTA],$F277)</f>
        <v>0</v>
      </c>
      <c r="K277" s="4">
        <f>SUMIFS(Tab_04.Abr[SALDO
ATUAL],Tab_04.Abr[CONTA],$F277)</f>
        <v>0</v>
      </c>
      <c r="L277" s="4">
        <f>SUMIFS(Tab_05.Mai[SALDO
ATUAL],Tab_05.Mai[CONTA],$F277)</f>
        <v>0</v>
      </c>
      <c r="M277" s="4">
        <f>SUMIFS(Tab_06.Jun[SALDO
ATUAL],Tab_06.Jun[CONTA],$F277)</f>
        <v>0</v>
      </c>
      <c r="N277" s="4">
        <f>SUMIFS(Tab_07.Jul[SALDO
ATUAL],Tab_07.Jul[CONTA],$F277)</f>
        <v>0</v>
      </c>
      <c r="O277" s="4">
        <f>SUMIFS(Tab_08.Ago[SALDO
ATUAL],Tab_08.Ago[CONTA],$F277)</f>
        <v>0</v>
      </c>
      <c r="P277" s="4">
        <f>SUMIFS(Tab_09.Set[SALDO
ATUAL],Tab_09.Set[CONTA],$F277)</f>
        <v>0</v>
      </c>
      <c r="Q277" s="4">
        <f>SUMIFS(Tab_10.Out[SALDO
ATUAL],Tab_10.Out[CONTA],$F277)</f>
        <v>0</v>
      </c>
      <c r="R277" s="4">
        <f>SUMIFS(Tab_11.Nov[SALDO
ATUAL],Tab_11.Nov[CONTA],$F277)</f>
        <v>0</v>
      </c>
      <c r="S277" s="4">
        <f>SUMIFS(Tab_12.Dez[SALDO
ATUAL],Tab_12.Dez[CONTA],$F277)</f>
        <v>0</v>
      </c>
    </row>
    <row r="278" spans="2:19" x14ac:dyDescent="0.3">
      <c r="B278" s="3"/>
      <c r="C278" s="2" t="str">
        <f t="shared" si="17"/>
        <v>C</v>
      </c>
      <c r="D278" s="2" t="str">
        <f t="shared" si="21"/>
        <v>S</v>
      </c>
      <c r="E278" s="2">
        <f t="shared" si="22"/>
        <v>5</v>
      </c>
      <c r="F278" s="3" t="s">
        <v>608</v>
      </c>
      <c r="G278" s="3" t="s">
        <v>713</v>
      </c>
      <c r="H278" s="4">
        <f>SUMIFS(Tab_01.Jan[SALDO
ATUAL],Tab_01.Jan[CONTA],$F278)</f>
        <v>82966.080000000002</v>
      </c>
      <c r="I278" s="4">
        <f>SUMIFS(Tab_02.Fev[SALDO
ATUAL],Tab_02.Fev[CONTA],$F278)</f>
        <v>82966.080000000002</v>
      </c>
      <c r="J278" s="4">
        <f>SUMIFS(Tab_03.Mar[SALDO
ATUAL],Tab_03.Mar[CONTA],$F278)</f>
        <v>248898.24</v>
      </c>
      <c r="K278" s="4">
        <f>SUMIFS(Tab_04.Abr[SALDO
ATUAL],Tab_04.Abr[CONTA],$F278)</f>
        <v>331864.32000000001</v>
      </c>
      <c r="L278" s="4">
        <f>SUMIFS(Tab_05.Mai[SALDO
ATUAL],Tab_05.Mai[CONTA],$F278)</f>
        <v>414830.4</v>
      </c>
      <c r="M278" s="4">
        <f>SUMIFS(Tab_06.Jun[SALDO
ATUAL],Tab_06.Jun[CONTA],$F278)</f>
        <v>580762.56000000006</v>
      </c>
      <c r="N278" s="4">
        <f>SUMIFS(Tab_07.Jul[SALDO
ATUAL],Tab_07.Jul[CONTA],$F278)</f>
        <v>580762.56000000006</v>
      </c>
      <c r="O278" s="4">
        <f>SUMIFS(Tab_08.Ago[SALDO
ATUAL],Tab_08.Ago[CONTA],$F278)</f>
        <v>580762.56000000006</v>
      </c>
      <c r="P278" s="4">
        <f>SUMIFS(Tab_09.Set[SALDO
ATUAL],Tab_09.Set[CONTA],$F278)</f>
        <v>746694.73</v>
      </c>
      <c r="Q278" s="4">
        <f>SUMIFS(Tab_10.Out[SALDO
ATUAL],Tab_10.Out[CONTA],$F278)</f>
        <v>829660.81</v>
      </c>
      <c r="R278" s="4">
        <f>SUMIFS(Tab_11.Nov[SALDO
ATUAL],Tab_11.Nov[CONTA],$F278)</f>
        <v>912626.89</v>
      </c>
      <c r="S278" s="4">
        <f>SUMIFS(Tab_12.Dez[SALDO
ATUAL],Tab_12.Dez[CONTA],$F278)</f>
        <v>995592.97</v>
      </c>
    </row>
    <row r="279" spans="2:19" x14ac:dyDescent="0.3">
      <c r="B279" s="3" t="s">
        <v>105</v>
      </c>
      <c r="C279" s="2" t="str">
        <f t="shared" si="17"/>
        <v>C</v>
      </c>
      <c r="D279" s="2" t="str">
        <f t="shared" si="21"/>
        <v>A</v>
      </c>
      <c r="E279" s="2">
        <f t="shared" si="22"/>
        <v>5</v>
      </c>
      <c r="F279" s="3" t="s">
        <v>480</v>
      </c>
      <c r="G279" s="3" t="s">
        <v>481</v>
      </c>
      <c r="H279" s="4">
        <f>SUMIFS(Tab_01.Jan[SALDO
ATUAL],Tab_01.Jan[CONTA],$F279)</f>
        <v>57486</v>
      </c>
      <c r="I279" s="4">
        <f>SUMIFS(Tab_02.Fev[SALDO
ATUAL],Tab_02.Fev[CONTA],$F279)</f>
        <v>57486</v>
      </c>
      <c r="J279" s="4">
        <f>SUMIFS(Tab_03.Mar[SALDO
ATUAL],Tab_03.Mar[CONTA],$F279)</f>
        <v>172458</v>
      </c>
      <c r="K279" s="4">
        <f>SUMIFS(Tab_04.Abr[SALDO
ATUAL],Tab_04.Abr[CONTA],$F279)</f>
        <v>229944</v>
      </c>
      <c r="L279" s="4">
        <f>SUMIFS(Tab_05.Mai[SALDO
ATUAL],Tab_05.Mai[CONTA],$F279)</f>
        <v>287430</v>
      </c>
      <c r="M279" s="4">
        <f>SUMIFS(Tab_06.Jun[SALDO
ATUAL],Tab_06.Jun[CONTA],$F279)</f>
        <v>402402</v>
      </c>
      <c r="N279" s="4">
        <f>SUMIFS(Tab_07.Jul[SALDO
ATUAL],Tab_07.Jul[CONTA],$F279)</f>
        <v>402402</v>
      </c>
      <c r="O279" s="4">
        <f>SUMIFS(Tab_08.Ago[SALDO
ATUAL],Tab_08.Ago[CONTA],$F279)</f>
        <v>402402</v>
      </c>
      <c r="P279" s="4">
        <f>SUMIFS(Tab_09.Set[SALDO
ATUAL],Tab_09.Set[CONTA],$F279)</f>
        <v>517374</v>
      </c>
      <c r="Q279" s="4">
        <f>SUMIFS(Tab_10.Out[SALDO
ATUAL],Tab_10.Out[CONTA],$F279)</f>
        <v>574860</v>
      </c>
      <c r="R279" s="4">
        <f>SUMIFS(Tab_11.Nov[SALDO
ATUAL],Tab_11.Nov[CONTA],$F279)</f>
        <v>632346</v>
      </c>
      <c r="S279" s="4">
        <f>SUMIFS(Tab_12.Dez[SALDO
ATUAL],Tab_12.Dez[CONTA],$F279)</f>
        <v>689832</v>
      </c>
    </row>
    <row r="280" spans="2:19" x14ac:dyDescent="0.3">
      <c r="B280" s="3" t="s">
        <v>105</v>
      </c>
      <c r="C280" s="2" t="str">
        <f>IF($F280="","",IF(LEFT($F280,1)*1=1,"A",IF(LEFT($F280,1)*1=2,"P",IF(LEFT($F280,1)*1=3,"R",IF(LEFT($F280,1)*1=4,"C",IF(LEFT($F280,1)*1=5,"C",""))))))</f>
        <v>C</v>
      </c>
      <c r="D280" s="2" t="str">
        <f>IF($F280="","",IF(LEN($F280)=13,"A","S"))</f>
        <v>A</v>
      </c>
      <c r="E280" s="2">
        <f>IF($F280="","",IF(LEN($F280)=1,1,IF(LEN($F280)=3,2,IF(LEN($F280)=5,3,IF(LEN($F280)=8,4,5)))))</f>
        <v>5</v>
      </c>
      <c r="F280" s="3" t="s">
        <v>741</v>
      </c>
      <c r="G280" s="3" t="s">
        <v>742</v>
      </c>
      <c r="H280" s="4">
        <f>SUMIFS(Tab_01.Jan[SALDO
ATUAL],Tab_01.Jan[CONTA],$F280)</f>
        <v>17980.080000000002</v>
      </c>
      <c r="I280" s="4">
        <f>SUMIFS(Tab_02.Fev[SALDO
ATUAL],Tab_02.Fev[CONTA],$F280)</f>
        <v>17980.080000000002</v>
      </c>
      <c r="J280" s="4">
        <f>SUMIFS(Tab_03.Mar[SALDO
ATUAL],Tab_03.Mar[CONTA],$F280)</f>
        <v>53940.24</v>
      </c>
      <c r="K280" s="4">
        <f>SUMIFS(Tab_04.Abr[SALDO
ATUAL],Tab_04.Abr[CONTA],$F280)</f>
        <v>71920.320000000007</v>
      </c>
      <c r="L280" s="4">
        <f>SUMIFS(Tab_05.Mai[SALDO
ATUAL],Tab_05.Mai[CONTA],$F280)</f>
        <v>89900.4</v>
      </c>
      <c r="M280" s="4">
        <f>SUMIFS(Tab_06.Jun[SALDO
ATUAL],Tab_06.Jun[CONTA],$F280)</f>
        <v>125860.56</v>
      </c>
      <c r="N280" s="4">
        <f>SUMIFS(Tab_07.Jul[SALDO
ATUAL],Tab_07.Jul[CONTA],$F280)</f>
        <v>125860.56</v>
      </c>
      <c r="O280" s="4">
        <f>SUMIFS(Tab_08.Ago[SALDO
ATUAL],Tab_08.Ago[CONTA],$F280)</f>
        <v>125860.56</v>
      </c>
      <c r="P280" s="4">
        <f>SUMIFS(Tab_09.Set[SALDO
ATUAL],Tab_09.Set[CONTA],$F280)</f>
        <v>161820.73000000001</v>
      </c>
      <c r="Q280" s="4">
        <f>SUMIFS(Tab_10.Out[SALDO
ATUAL],Tab_10.Out[CONTA],$F280)</f>
        <v>179800.81</v>
      </c>
      <c r="R280" s="4">
        <f>SUMIFS(Tab_11.Nov[SALDO
ATUAL],Tab_11.Nov[CONTA],$F280)</f>
        <v>197780.89</v>
      </c>
      <c r="S280" s="4">
        <f>SUMIFS(Tab_12.Dez[SALDO
ATUAL],Tab_12.Dez[CONTA],$F280)</f>
        <v>215760.97</v>
      </c>
    </row>
    <row r="281" spans="2:19" x14ac:dyDescent="0.3">
      <c r="B281" s="3" t="s">
        <v>105</v>
      </c>
      <c r="C281" s="2" t="str">
        <f>IF($F281="","",IF(LEFT($F281,1)*1=1,"A",IF(LEFT($F281,1)*1=2,"P",IF(LEFT($F281,1)*1=3,"R",IF(LEFT($F281,1)*1=4,"C",IF(LEFT($F281,1)*1=5,"C",""))))))</f>
        <v>C</v>
      </c>
      <c r="D281" s="2" t="str">
        <f>IF($F281="","",IF(LEN($F281)=13,"A","S"))</f>
        <v>A</v>
      </c>
      <c r="E281" s="2">
        <f>IF($F281="","",IF(LEN($F281)=1,1,IF(LEN($F281)=3,2,IF(LEN($F281)=5,3,IF(LEN($F281)=8,4,5)))))</f>
        <v>5</v>
      </c>
      <c r="F281" s="3" t="s">
        <v>839</v>
      </c>
      <c r="G281" s="3" t="s">
        <v>840</v>
      </c>
      <c r="H281" s="4">
        <f>SUMIFS(Tab_01.Jan[SALDO
ATUAL],Tab_01.Jan[CONTA],$F281)</f>
        <v>7500</v>
      </c>
      <c r="I281" s="4">
        <f>SUMIFS(Tab_02.Fev[SALDO
ATUAL],Tab_02.Fev[CONTA],$F281)</f>
        <v>7500</v>
      </c>
      <c r="J281" s="4">
        <f>SUMIFS(Tab_03.Mar[SALDO
ATUAL],Tab_03.Mar[CONTA],$F281)</f>
        <v>22500</v>
      </c>
      <c r="K281" s="4">
        <f>SUMIFS(Tab_04.Abr[SALDO
ATUAL],Tab_04.Abr[CONTA],$F281)</f>
        <v>30000</v>
      </c>
      <c r="L281" s="4">
        <f>SUMIFS(Tab_05.Mai[SALDO
ATUAL],Tab_05.Mai[CONTA],$F281)</f>
        <v>37500</v>
      </c>
      <c r="M281" s="4">
        <f>SUMIFS(Tab_06.Jun[SALDO
ATUAL],Tab_06.Jun[CONTA],$F281)</f>
        <v>52500</v>
      </c>
      <c r="N281" s="4">
        <f>SUMIFS(Tab_07.Jul[SALDO
ATUAL],Tab_07.Jul[CONTA],$F281)</f>
        <v>52500</v>
      </c>
      <c r="O281" s="4">
        <f>SUMIFS(Tab_08.Ago[SALDO
ATUAL],Tab_08.Ago[CONTA],$F281)</f>
        <v>52500</v>
      </c>
      <c r="P281" s="4">
        <f>SUMIFS(Tab_09.Set[SALDO
ATUAL],Tab_09.Set[CONTA],$F281)</f>
        <v>67500</v>
      </c>
      <c r="Q281" s="4">
        <f>SUMIFS(Tab_10.Out[SALDO
ATUAL],Tab_10.Out[CONTA],$F281)</f>
        <v>75000</v>
      </c>
      <c r="R281" s="4">
        <f>SUMIFS(Tab_11.Nov[SALDO
ATUAL],Tab_11.Nov[CONTA],$F281)</f>
        <v>82500</v>
      </c>
      <c r="S281" s="4">
        <f>SUMIFS(Tab_12.Dez[SALDO
ATUAL],Tab_12.Dez[CONTA],$F281)</f>
        <v>90000</v>
      </c>
    </row>
    <row r="282" spans="2:19" x14ac:dyDescent="0.3">
      <c r="B282" s="3"/>
      <c r="C282" s="2" t="str">
        <f t="shared" si="17"/>
        <v>C</v>
      </c>
      <c r="D282" s="2" t="str">
        <f t="shared" si="21"/>
        <v>S</v>
      </c>
      <c r="E282" s="2">
        <f t="shared" si="22"/>
        <v>5</v>
      </c>
      <c r="F282" s="3" t="s">
        <v>609</v>
      </c>
      <c r="G282" s="3" t="s">
        <v>714</v>
      </c>
      <c r="H282" s="4">
        <f>SUMIFS(Tab_01.Jan[SALDO
ATUAL],Tab_01.Jan[CONTA],$F282)</f>
        <v>1438.95</v>
      </c>
      <c r="I282" s="4">
        <f>SUMIFS(Tab_02.Fev[SALDO
ATUAL],Tab_02.Fev[CONTA],$F282)</f>
        <v>2250.62</v>
      </c>
      <c r="J282" s="4">
        <f>SUMIFS(Tab_03.Mar[SALDO
ATUAL],Tab_03.Mar[CONTA],$F282)</f>
        <v>4891.75</v>
      </c>
      <c r="K282" s="4">
        <f>SUMIFS(Tab_04.Abr[SALDO
ATUAL],Tab_04.Abr[CONTA],$F282)</f>
        <v>11409.78</v>
      </c>
      <c r="L282" s="4">
        <f>SUMIFS(Tab_05.Mai[SALDO
ATUAL],Tab_05.Mai[CONTA],$F282)</f>
        <v>11927.28</v>
      </c>
      <c r="M282" s="4">
        <f>SUMIFS(Tab_06.Jun[SALDO
ATUAL],Tab_06.Jun[CONTA],$F282)</f>
        <v>15305.65</v>
      </c>
      <c r="N282" s="4">
        <f>SUMIFS(Tab_07.Jul[SALDO
ATUAL],Tab_07.Jul[CONTA],$F282)</f>
        <v>15305.65</v>
      </c>
      <c r="O282" s="4">
        <f>SUMIFS(Tab_08.Ago[SALDO
ATUAL],Tab_08.Ago[CONTA],$F282)</f>
        <v>15305.65</v>
      </c>
      <c r="P282" s="4">
        <f>SUMIFS(Tab_09.Set[SALDO
ATUAL],Tab_09.Set[CONTA],$F282)</f>
        <v>17796.89</v>
      </c>
      <c r="Q282" s="4">
        <f>SUMIFS(Tab_10.Out[SALDO
ATUAL],Tab_10.Out[CONTA],$F282)</f>
        <v>19097.22</v>
      </c>
      <c r="R282" s="4">
        <f>SUMIFS(Tab_11.Nov[SALDO
ATUAL],Tab_11.Nov[CONTA],$F282)</f>
        <v>22023.58</v>
      </c>
      <c r="S282" s="4">
        <f>SUMIFS(Tab_12.Dez[SALDO
ATUAL],Tab_12.Dez[CONTA],$F282)</f>
        <v>22191.58</v>
      </c>
    </row>
    <row r="283" spans="2:19" x14ac:dyDescent="0.3">
      <c r="B283" s="3"/>
      <c r="C283" s="2" t="str">
        <f t="shared" si="17"/>
        <v>C</v>
      </c>
      <c r="D283" s="2" t="str">
        <f>IF($F283="","",IF(LEN($F283)=13,"A","S"))</f>
        <v>S</v>
      </c>
      <c r="E283" s="2">
        <f>IF($F283="","",IF(LEN($F283)=1,1,IF(LEN($F283)=3,2,IF(LEN($F283)=5,3,IF(LEN($F283)=8,4,5)))))</f>
        <v>5</v>
      </c>
      <c r="F283" s="3" t="s">
        <v>610</v>
      </c>
      <c r="G283" s="3" t="s">
        <v>714</v>
      </c>
      <c r="H283" s="4">
        <f>SUMIFS(Tab_01.Jan[SALDO
ATUAL],Tab_01.Jan[CONTA],$F283)</f>
        <v>1438.95</v>
      </c>
      <c r="I283" s="4">
        <f>SUMIFS(Tab_02.Fev[SALDO
ATUAL],Tab_02.Fev[CONTA],$F283)</f>
        <v>2250.62</v>
      </c>
      <c r="J283" s="4">
        <f>SUMIFS(Tab_03.Mar[SALDO
ATUAL],Tab_03.Mar[CONTA],$F283)</f>
        <v>4891.75</v>
      </c>
      <c r="K283" s="4">
        <f>SUMIFS(Tab_04.Abr[SALDO
ATUAL],Tab_04.Abr[CONTA],$F283)</f>
        <v>11409.78</v>
      </c>
      <c r="L283" s="4">
        <f>SUMIFS(Tab_05.Mai[SALDO
ATUAL],Tab_05.Mai[CONTA],$F283)</f>
        <v>11927.28</v>
      </c>
      <c r="M283" s="4">
        <f>SUMIFS(Tab_06.Jun[SALDO
ATUAL],Tab_06.Jun[CONTA],$F283)</f>
        <v>15305.65</v>
      </c>
      <c r="N283" s="4">
        <f>SUMIFS(Tab_07.Jul[SALDO
ATUAL],Tab_07.Jul[CONTA],$F283)</f>
        <v>15305.65</v>
      </c>
      <c r="O283" s="4">
        <f>SUMIFS(Tab_08.Ago[SALDO
ATUAL],Tab_08.Ago[CONTA],$F283)</f>
        <v>15305.65</v>
      </c>
      <c r="P283" s="4">
        <f>SUMIFS(Tab_09.Set[SALDO
ATUAL],Tab_09.Set[CONTA],$F283)</f>
        <v>17568.89</v>
      </c>
      <c r="Q283" s="4">
        <f>SUMIFS(Tab_10.Out[SALDO
ATUAL],Tab_10.Out[CONTA],$F283)</f>
        <v>18869.22</v>
      </c>
      <c r="R283" s="4">
        <f>SUMIFS(Tab_11.Nov[SALDO
ATUAL],Tab_11.Nov[CONTA],$F283)</f>
        <v>21795.58</v>
      </c>
      <c r="S283" s="4">
        <f>SUMIFS(Tab_12.Dez[SALDO
ATUAL],Tab_12.Dez[CONTA],$F283)</f>
        <v>21963.58</v>
      </c>
    </row>
    <row r="284" spans="2:19" x14ac:dyDescent="0.3">
      <c r="B284" s="3" t="s">
        <v>105</v>
      </c>
      <c r="C284" s="2" t="str">
        <f t="shared" si="17"/>
        <v>C</v>
      </c>
      <c r="D284" s="2" t="str">
        <f t="shared" si="21"/>
        <v>A</v>
      </c>
      <c r="E284" s="2">
        <f t="shared" si="22"/>
        <v>5</v>
      </c>
      <c r="F284" s="3" t="s">
        <v>482</v>
      </c>
      <c r="G284" s="3" t="s">
        <v>483</v>
      </c>
      <c r="H284" s="4">
        <f>SUMIFS(Tab_01.Jan[SALDO
ATUAL],Tab_01.Jan[CONTA],$F284)</f>
        <v>236.9</v>
      </c>
      <c r="I284" s="4">
        <f>SUMIFS(Tab_02.Fev[SALDO
ATUAL],Tab_02.Fev[CONTA],$F284)</f>
        <v>1048.57</v>
      </c>
      <c r="J284" s="4">
        <f>SUMIFS(Tab_03.Mar[SALDO
ATUAL],Tab_03.Mar[CONTA],$F284)</f>
        <v>2236.27</v>
      </c>
      <c r="K284" s="4">
        <f>SUMIFS(Tab_04.Abr[SALDO
ATUAL],Tab_04.Abr[CONTA],$F284)</f>
        <v>2974.3</v>
      </c>
      <c r="L284" s="4">
        <f>SUMIFS(Tab_05.Mai[SALDO
ATUAL],Tab_05.Mai[CONTA],$F284)</f>
        <v>3438.24</v>
      </c>
      <c r="M284" s="4">
        <f>SUMIFS(Tab_06.Jun[SALDO
ATUAL],Tab_06.Jun[CONTA],$F284)</f>
        <v>5005.3100000000004</v>
      </c>
      <c r="N284" s="4">
        <f>SUMIFS(Tab_07.Jul[SALDO
ATUAL],Tab_07.Jul[CONTA],$F284)</f>
        <v>5005.3100000000004</v>
      </c>
      <c r="O284" s="4">
        <f>SUMIFS(Tab_08.Ago[SALDO
ATUAL],Tab_08.Ago[CONTA],$F284)</f>
        <v>5005.3100000000004</v>
      </c>
      <c r="P284" s="4">
        <f>SUMIFS(Tab_09.Set[SALDO
ATUAL],Tab_09.Set[CONTA],$F284)</f>
        <v>5436.61</v>
      </c>
      <c r="Q284" s="4">
        <f>SUMIFS(Tab_10.Out[SALDO
ATUAL],Tab_10.Out[CONTA],$F284)</f>
        <v>5892.61</v>
      </c>
      <c r="R284" s="4">
        <f>SUMIFS(Tab_11.Nov[SALDO
ATUAL],Tab_11.Nov[CONTA],$F284)</f>
        <v>7636.23</v>
      </c>
      <c r="S284" s="4">
        <f>SUMIFS(Tab_12.Dez[SALDO
ATUAL],Tab_12.Dez[CONTA],$F284)</f>
        <v>7804.23</v>
      </c>
    </row>
    <row r="285" spans="2:19" x14ac:dyDescent="0.3">
      <c r="B285" s="3" t="s">
        <v>105</v>
      </c>
      <c r="C285" s="2" t="str">
        <f>IF($F285="","",IF(LEFT($F285,1)*1=1,"A",IF(LEFT($F285,1)*1=2,"P",IF(LEFT($F285,1)*1=3,"R",IF(LEFT($F285,1)*1=4,"C",IF(LEFT($F285,1)*1=5,"C",""))))))</f>
        <v>C</v>
      </c>
      <c r="D285" s="2" t="str">
        <f>IF($F285="","",IF(LEN($F285)=13,"A","S"))</f>
        <v>A</v>
      </c>
      <c r="E285" s="2">
        <f>IF($F285="","",IF(LEN($F285)=1,1,IF(LEN($F285)=3,2,IF(LEN($F285)=5,3,IF(LEN($F285)=8,4,5)))))</f>
        <v>5</v>
      </c>
      <c r="F285" s="3" t="s">
        <v>752</v>
      </c>
      <c r="G285" s="3" t="s">
        <v>753</v>
      </c>
      <c r="H285" s="4">
        <f>SUMIFS(Tab_01.Jan[SALDO
ATUAL],Tab_01.Jan[CONTA],$F285)</f>
        <v>0</v>
      </c>
      <c r="I285" s="4">
        <f>SUMIFS(Tab_02.Fev[SALDO
ATUAL],Tab_02.Fev[CONTA],$F285)</f>
        <v>0</v>
      </c>
      <c r="J285" s="4">
        <f>SUMIFS(Tab_03.Mar[SALDO
ATUAL],Tab_03.Mar[CONTA],$F285)</f>
        <v>0</v>
      </c>
      <c r="K285" s="4">
        <f>SUMIFS(Tab_04.Abr[SALDO
ATUAL],Tab_04.Abr[CONTA],$F285)</f>
        <v>5000</v>
      </c>
      <c r="L285" s="4">
        <f>SUMIFS(Tab_05.Mai[SALDO
ATUAL],Tab_05.Mai[CONTA],$F285)</f>
        <v>5000</v>
      </c>
      <c r="M285" s="4">
        <f>SUMIFS(Tab_06.Jun[SALDO
ATUAL],Tab_06.Jun[CONTA],$F285)</f>
        <v>5000</v>
      </c>
      <c r="N285" s="4">
        <f>SUMIFS(Tab_07.Jul[SALDO
ATUAL],Tab_07.Jul[CONTA],$F285)</f>
        <v>5000</v>
      </c>
      <c r="O285" s="4">
        <f>SUMIFS(Tab_08.Ago[SALDO
ATUAL],Tab_08.Ago[CONTA],$F285)</f>
        <v>5000</v>
      </c>
      <c r="P285" s="4">
        <f>SUMIFS(Tab_09.Set[SALDO
ATUAL],Tab_09.Set[CONTA],$F285)</f>
        <v>5000</v>
      </c>
      <c r="Q285" s="4">
        <f>SUMIFS(Tab_10.Out[SALDO
ATUAL],Tab_10.Out[CONTA],$F285)</f>
        <v>5000</v>
      </c>
      <c r="R285" s="4">
        <f>SUMIFS(Tab_11.Nov[SALDO
ATUAL],Tab_11.Nov[CONTA],$F285)</f>
        <v>5000</v>
      </c>
      <c r="S285" s="4">
        <f>SUMIFS(Tab_12.Dez[SALDO
ATUAL],Tab_12.Dez[CONTA],$F285)</f>
        <v>5000</v>
      </c>
    </row>
    <row r="286" spans="2:19" x14ac:dyDescent="0.3">
      <c r="B286" s="3" t="s">
        <v>105</v>
      </c>
      <c r="C286" s="2" t="str">
        <f t="shared" si="17"/>
        <v>C</v>
      </c>
      <c r="D286" s="2" t="str">
        <f t="shared" si="21"/>
        <v>A</v>
      </c>
      <c r="E286" s="2">
        <f t="shared" si="22"/>
        <v>5</v>
      </c>
      <c r="F286" s="3" t="s">
        <v>484</v>
      </c>
      <c r="G286" s="3" t="s">
        <v>485</v>
      </c>
      <c r="H286" s="4">
        <f>SUMIFS(Tab_01.Jan[SALDO
ATUAL],Tab_01.Jan[CONTA],$F286)</f>
        <v>1202.05</v>
      </c>
      <c r="I286" s="4">
        <f>SUMIFS(Tab_02.Fev[SALDO
ATUAL],Tab_02.Fev[CONTA],$F286)</f>
        <v>1202.05</v>
      </c>
      <c r="J286" s="4">
        <f>SUMIFS(Tab_03.Mar[SALDO
ATUAL],Tab_03.Mar[CONTA],$F286)</f>
        <v>2655.48</v>
      </c>
      <c r="K286" s="4">
        <f>SUMIFS(Tab_04.Abr[SALDO
ATUAL],Tab_04.Abr[CONTA],$F286)</f>
        <v>3435.48</v>
      </c>
      <c r="L286" s="4">
        <f>SUMIFS(Tab_05.Mai[SALDO
ATUAL],Tab_05.Mai[CONTA],$F286)</f>
        <v>3489.04</v>
      </c>
      <c r="M286" s="4">
        <f>SUMIFS(Tab_06.Jun[SALDO
ATUAL],Tab_06.Jun[CONTA],$F286)</f>
        <v>5300.34</v>
      </c>
      <c r="N286" s="4">
        <f>SUMIFS(Tab_07.Jul[SALDO
ATUAL],Tab_07.Jul[CONTA],$F286)</f>
        <v>5300.34</v>
      </c>
      <c r="O286" s="4">
        <f>SUMIFS(Tab_08.Ago[SALDO
ATUAL],Tab_08.Ago[CONTA],$F286)</f>
        <v>5300.34</v>
      </c>
      <c r="P286" s="4">
        <f>SUMIFS(Tab_09.Set[SALDO
ATUAL],Tab_09.Set[CONTA],$F286)</f>
        <v>7132.28</v>
      </c>
      <c r="Q286" s="4">
        <f>SUMIFS(Tab_10.Out[SALDO
ATUAL],Tab_10.Out[CONTA],$F286)</f>
        <v>7976.61</v>
      </c>
      <c r="R286" s="4">
        <f>SUMIFS(Tab_11.Nov[SALDO
ATUAL],Tab_11.Nov[CONTA],$F286)</f>
        <v>9159.35</v>
      </c>
      <c r="S286" s="4">
        <f>SUMIFS(Tab_12.Dez[SALDO
ATUAL],Tab_12.Dez[CONTA],$F286)</f>
        <v>9159.35</v>
      </c>
    </row>
    <row r="287" spans="2:19" x14ac:dyDescent="0.3">
      <c r="B287" s="3" t="s">
        <v>105</v>
      </c>
      <c r="C287" s="2" t="str">
        <f t="shared" si="17"/>
        <v>C</v>
      </c>
      <c r="D287" s="2" t="str">
        <f t="shared" si="21"/>
        <v>A</v>
      </c>
      <c r="E287" s="2">
        <f t="shared" si="22"/>
        <v>5</v>
      </c>
      <c r="F287" s="3" t="s">
        <v>486</v>
      </c>
      <c r="G287" s="3" t="s">
        <v>487</v>
      </c>
      <c r="H287" s="4">
        <f>SUMIFS(Tab_01.Jan[SALDO
ATUAL],Tab_01.Jan[CONTA],$F287)</f>
        <v>0</v>
      </c>
      <c r="I287" s="4">
        <f>SUMIFS(Tab_02.Fev[SALDO
ATUAL],Tab_02.Fev[CONTA],$F287)</f>
        <v>0</v>
      </c>
      <c r="J287" s="4">
        <f>SUMIFS(Tab_03.Mar[SALDO
ATUAL],Tab_03.Mar[CONTA],$F287)</f>
        <v>0</v>
      </c>
      <c r="K287" s="4">
        <f>SUMIFS(Tab_04.Abr[SALDO
ATUAL],Tab_04.Abr[CONTA],$F287)</f>
        <v>0</v>
      </c>
      <c r="L287" s="4">
        <f>SUMIFS(Tab_05.Mai[SALDO
ATUAL],Tab_05.Mai[CONTA],$F287)</f>
        <v>0</v>
      </c>
      <c r="M287" s="4">
        <f>SUMIFS(Tab_06.Jun[SALDO
ATUAL],Tab_06.Jun[CONTA],$F287)</f>
        <v>0</v>
      </c>
      <c r="N287" s="4">
        <f>SUMIFS(Tab_07.Jul[SALDO
ATUAL],Tab_07.Jul[CONTA],$F287)</f>
        <v>0</v>
      </c>
      <c r="O287" s="4">
        <f>SUMIFS(Tab_08.Ago[SALDO
ATUAL],Tab_08.Ago[CONTA],$F287)</f>
        <v>0</v>
      </c>
      <c r="P287" s="4">
        <f>SUMIFS(Tab_09.Set[SALDO
ATUAL],Tab_09.Set[CONTA],$F287)</f>
        <v>0</v>
      </c>
      <c r="Q287" s="4">
        <f>SUMIFS(Tab_10.Out[SALDO
ATUAL],Tab_10.Out[CONTA],$F287)</f>
        <v>0</v>
      </c>
      <c r="R287" s="4">
        <f>SUMIFS(Tab_11.Nov[SALDO
ATUAL],Tab_11.Nov[CONTA],$F287)</f>
        <v>0</v>
      </c>
      <c r="S287" s="4">
        <f>SUMIFS(Tab_12.Dez[SALDO
ATUAL],Tab_12.Dez[CONTA],$F287)</f>
        <v>0</v>
      </c>
    </row>
    <row r="288" spans="2:19" x14ac:dyDescent="0.3">
      <c r="B288" s="3" t="s">
        <v>105</v>
      </c>
      <c r="C288" s="2" t="str">
        <f t="shared" si="17"/>
        <v>C</v>
      </c>
      <c r="D288" s="2" t="str">
        <f t="shared" si="21"/>
        <v>A</v>
      </c>
      <c r="E288" s="2">
        <f t="shared" si="22"/>
        <v>5</v>
      </c>
      <c r="F288" s="3" t="s">
        <v>488</v>
      </c>
      <c r="G288" s="3" t="s">
        <v>414</v>
      </c>
      <c r="H288" s="4">
        <f>SUMIFS(Tab_01.Jan[SALDO
ATUAL],Tab_01.Jan[CONTA],$F288)</f>
        <v>0</v>
      </c>
      <c r="I288" s="4">
        <f>SUMIFS(Tab_02.Fev[SALDO
ATUAL],Tab_02.Fev[CONTA],$F288)</f>
        <v>0</v>
      </c>
      <c r="J288" s="4">
        <f>SUMIFS(Tab_03.Mar[SALDO
ATUAL],Tab_03.Mar[CONTA],$F288)</f>
        <v>0</v>
      </c>
      <c r="K288" s="4">
        <f>SUMIFS(Tab_04.Abr[SALDO
ATUAL],Tab_04.Abr[CONTA],$F288)</f>
        <v>0</v>
      </c>
      <c r="L288" s="4">
        <f>SUMIFS(Tab_05.Mai[SALDO
ATUAL],Tab_05.Mai[CONTA],$F288)</f>
        <v>0</v>
      </c>
      <c r="M288" s="4">
        <f>SUMIFS(Tab_06.Jun[SALDO
ATUAL],Tab_06.Jun[CONTA],$F288)</f>
        <v>0</v>
      </c>
      <c r="N288" s="4">
        <f>SUMIFS(Tab_07.Jul[SALDO
ATUAL],Tab_07.Jul[CONTA],$F288)</f>
        <v>0</v>
      </c>
      <c r="O288" s="4">
        <f>SUMIFS(Tab_08.Ago[SALDO
ATUAL],Tab_08.Ago[CONTA],$F288)</f>
        <v>0</v>
      </c>
      <c r="P288" s="4">
        <f>SUMIFS(Tab_09.Set[SALDO
ATUAL],Tab_09.Set[CONTA],$F288)</f>
        <v>0</v>
      </c>
      <c r="Q288" s="4">
        <f>SUMIFS(Tab_10.Out[SALDO
ATUAL],Tab_10.Out[CONTA],$F288)</f>
        <v>0</v>
      </c>
      <c r="R288" s="4">
        <f>SUMIFS(Tab_11.Nov[SALDO
ATUAL],Tab_11.Nov[CONTA],$F288)</f>
        <v>0</v>
      </c>
      <c r="S288" s="4">
        <f>SUMIFS(Tab_12.Dez[SALDO
ATUAL],Tab_12.Dez[CONTA],$F288)</f>
        <v>0</v>
      </c>
    </row>
    <row r="289" spans="2:19" x14ac:dyDescent="0.3">
      <c r="B289" s="3"/>
      <c r="C289" s="2" t="str">
        <f>IF($F289="","",IF(LEFT($F289,1)*1=1,"A",IF(LEFT($F289,1)*1=2,"P",IF(LEFT($F289,1)*1=3,"R",IF(LEFT($F289,1)*1=4,"C",IF(LEFT($F289,1)*1=5,"C",""))))))</f>
        <v/>
      </c>
      <c r="D289" s="2" t="str">
        <f>IF($F289="","",IF(LEN($F289)=13,"A","S"))</f>
        <v/>
      </c>
      <c r="E289" s="2" t="str">
        <f>IF($F289="","",IF(LEN($F289)=1,1,IF(LEN($F289)=3,2,IF(LEN($F289)=5,3,IF(LEN($F289)=8,4,5)))))</f>
        <v/>
      </c>
      <c r="F289" s="3"/>
      <c r="G289" s="3"/>
      <c r="H289" s="4">
        <f>SUMIFS(Tab_01.Jan[SALDO
ATUAL],Tab_01.Jan[CONTA],$F289)</f>
        <v>0</v>
      </c>
      <c r="I289" s="4">
        <f>SUMIFS(Tab_02.Fev[SALDO
ATUAL],Tab_02.Fev[CONTA],$F289)</f>
        <v>0</v>
      </c>
      <c r="J289" s="4">
        <f>SUMIFS(Tab_03.Mar[SALDO
ATUAL],Tab_03.Mar[CONTA],$F289)</f>
        <v>0</v>
      </c>
      <c r="K289" s="4">
        <f>SUMIFS(Tab_04.Abr[SALDO
ATUAL],Tab_04.Abr[CONTA],$F289)</f>
        <v>0</v>
      </c>
      <c r="L289" s="4">
        <f>SUMIFS(Tab_05.Mai[SALDO
ATUAL],Tab_05.Mai[CONTA],$F289)</f>
        <v>0</v>
      </c>
      <c r="M289" s="4">
        <f>SUMIFS(Tab_06.Jun[SALDO
ATUAL],Tab_06.Jun[CONTA],$F289)</f>
        <v>0</v>
      </c>
      <c r="N289" s="4">
        <f>SUMIFS(Tab_07.Jul[SALDO
ATUAL],Tab_07.Jul[CONTA],$F289)</f>
        <v>0</v>
      </c>
      <c r="O289" s="4">
        <f>SUMIFS(Tab_08.Ago[SALDO
ATUAL],Tab_08.Ago[CONTA],$F289)</f>
        <v>0</v>
      </c>
      <c r="P289" s="4">
        <f>SUMIFS(Tab_09.Set[SALDO
ATUAL],Tab_09.Set[CONTA],$F289)</f>
        <v>0</v>
      </c>
      <c r="Q289" s="4">
        <f>SUMIFS(Tab_10.Out[SALDO
ATUAL],Tab_10.Out[CONTA],$F289)</f>
        <v>0</v>
      </c>
      <c r="R289" s="4">
        <f>SUMIFS(Tab_11.Nov[SALDO
ATUAL],Tab_11.Nov[CONTA],$F289)</f>
        <v>0</v>
      </c>
      <c r="S289" s="4">
        <f>SUMIFS(Tab_12.Dez[SALDO
ATUAL],Tab_12.Dez[CONTA],$F289)</f>
        <v>0</v>
      </c>
    </row>
    <row r="290" spans="2:19" x14ac:dyDescent="0.3">
      <c r="B290" s="3"/>
      <c r="C290" s="2" t="str">
        <f t="shared" si="17"/>
        <v>C</v>
      </c>
      <c r="D290" s="2" t="str">
        <f t="shared" si="21"/>
        <v>S</v>
      </c>
      <c r="E290" s="2">
        <f t="shared" si="22"/>
        <v>5</v>
      </c>
      <c r="F290" s="3" t="s">
        <v>611</v>
      </c>
      <c r="G290" s="3" t="s">
        <v>715</v>
      </c>
      <c r="H290" s="4">
        <f>SUMIFS(Tab_01.Jan[SALDO
ATUAL],Tab_01.Jan[CONTA],$F290)</f>
        <v>0</v>
      </c>
      <c r="I290" s="4">
        <f>SUMIFS(Tab_02.Fev[SALDO
ATUAL],Tab_02.Fev[CONTA],$F290)</f>
        <v>0</v>
      </c>
      <c r="J290" s="4">
        <f>SUMIFS(Tab_03.Mar[SALDO
ATUAL],Tab_03.Mar[CONTA],$F290)</f>
        <v>0</v>
      </c>
      <c r="K290" s="4">
        <f>SUMIFS(Tab_04.Abr[SALDO
ATUAL],Tab_04.Abr[CONTA],$F290)</f>
        <v>0</v>
      </c>
      <c r="L290" s="4">
        <f>SUMIFS(Tab_05.Mai[SALDO
ATUAL],Tab_05.Mai[CONTA],$F290)</f>
        <v>0</v>
      </c>
      <c r="M290" s="4">
        <f>SUMIFS(Tab_06.Jun[SALDO
ATUAL],Tab_06.Jun[CONTA],$F290)</f>
        <v>0</v>
      </c>
      <c r="N290" s="4">
        <f>SUMIFS(Tab_07.Jul[SALDO
ATUAL],Tab_07.Jul[CONTA],$F290)</f>
        <v>0</v>
      </c>
      <c r="O290" s="4">
        <f>SUMIFS(Tab_08.Ago[SALDO
ATUAL],Tab_08.Ago[CONTA],$F290)</f>
        <v>0</v>
      </c>
      <c r="P290" s="4">
        <f>SUMIFS(Tab_09.Set[SALDO
ATUAL],Tab_09.Set[CONTA],$F290)</f>
        <v>228</v>
      </c>
      <c r="Q290" s="4">
        <f>SUMIFS(Tab_10.Out[SALDO
ATUAL],Tab_10.Out[CONTA],$F290)</f>
        <v>228</v>
      </c>
      <c r="R290" s="4">
        <f>SUMIFS(Tab_11.Nov[SALDO
ATUAL],Tab_11.Nov[CONTA],$F290)</f>
        <v>228</v>
      </c>
      <c r="S290" s="4">
        <f>SUMIFS(Tab_12.Dez[SALDO
ATUAL],Tab_12.Dez[CONTA],$F290)</f>
        <v>228</v>
      </c>
    </row>
    <row r="291" spans="2:19" x14ac:dyDescent="0.3">
      <c r="B291" s="3" t="s">
        <v>105</v>
      </c>
      <c r="C291" s="2" t="str">
        <f t="shared" si="17"/>
        <v>C</v>
      </c>
      <c r="D291" s="2" t="str">
        <f t="shared" si="21"/>
        <v>A</v>
      </c>
      <c r="E291" s="2">
        <f t="shared" si="22"/>
        <v>5</v>
      </c>
      <c r="F291" s="3" t="s">
        <v>489</v>
      </c>
      <c r="G291" s="3" t="s">
        <v>490</v>
      </c>
      <c r="H291" s="4">
        <f>SUMIFS(Tab_01.Jan[SALDO
ATUAL],Tab_01.Jan[CONTA],$F291)</f>
        <v>0</v>
      </c>
      <c r="I291" s="4">
        <f>SUMIFS(Tab_02.Fev[SALDO
ATUAL],Tab_02.Fev[CONTA],$F291)</f>
        <v>0</v>
      </c>
      <c r="J291" s="4">
        <f>SUMIFS(Tab_03.Mar[SALDO
ATUAL],Tab_03.Mar[CONTA],$F291)</f>
        <v>0</v>
      </c>
      <c r="K291" s="4">
        <f>SUMIFS(Tab_04.Abr[SALDO
ATUAL],Tab_04.Abr[CONTA],$F291)</f>
        <v>0</v>
      </c>
      <c r="L291" s="4">
        <f>SUMIFS(Tab_05.Mai[SALDO
ATUAL],Tab_05.Mai[CONTA],$F291)</f>
        <v>0</v>
      </c>
      <c r="M291" s="4">
        <f>SUMIFS(Tab_06.Jun[SALDO
ATUAL],Tab_06.Jun[CONTA],$F291)</f>
        <v>0</v>
      </c>
      <c r="N291" s="4">
        <f>SUMIFS(Tab_07.Jul[SALDO
ATUAL],Tab_07.Jul[CONTA],$F291)</f>
        <v>0</v>
      </c>
      <c r="O291" s="4">
        <f>SUMIFS(Tab_08.Ago[SALDO
ATUAL],Tab_08.Ago[CONTA],$F291)</f>
        <v>0</v>
      </c>
      <c r="P291" s="4">
        <f>SUMIFS(Tab_09.Set[SALDO
ATUAL],Tab_09.Set[CONTA],$F291)</f>
        <v>228</v>
      </c>
      <c r="Q291" s="4">
        <f>SUMIFS(Tab_10.Out[SALDO
ATUAL],Tab_10.Out[CONTA],$F291)</f>
        <v>228</v>
      </c>
      <c r="R291" s="4">
        <f>SUMIFS(Tab_11.Nov[SALDO
ATUAL],Tab_11.Nov[CONTA],$F291)</f>
        <v>228</v>
      </c>
      <c r="S291" s="4">
        <f>SUMIFS(Tab_12.Dez[SALDO
ATUAL],Tab_12.Dez[CONTA],$F291)</f>
        <v>228</v>
      </c>
    </row>
    <row r="292" spans="2:19" x14ac:dyDescent="0.3">
      <c r="B292" s="3"/>
      <c r="C292" s="2" t="str">
        <f t="shared" si="17"/>
        <v>C</v>
      </c>
      <c r="D292" s="2" t="str">
        <f t="shared" si="21"/>
        <v>S</v>
      </c>
      <c r="E292" s="2">
        <f t="shared" si="22"/>
        <v>5</v>
      </c>
      <c r="F292" s="3" t="s">
        <v>612</v>
      </c>
      <c r="G292" s="3" t="s">
        <v>716</v>
      </c>
      <c r="H292" s="4">
        <f>SUMIFS(Tab_01.Jan[SALDO
ATUAL],Tab_01.Jan[CONTA],$F292)</f>
        <v>11083.2</v>
      </c>
      <c r="I292" s="4">
        <f>SUMIFS(Tab_02.Fev[SALDO
ATUAL],Tab_02.Fev[CONTA],$F292)</f>
        <v>17333.830000000002</v>
      </c>
      <c r="J292" s="4">
        <f>SUMIFS(Tab_03.Mar[SALDO
ATUAL],Tab_03.Mar[CONTA],$F292)</f>
        <v>25641.82</v>
      </c>
      <c r="K292" s="4">
        <f>SUMIFS(Tab_04.Abr[SALDO
ATUAL],Tab_04.Abr[CONTA],$F292)</f>
        <v>39930.559999999998</v>
      </c>
      <c r="L292" s="4">
        <f>SUMIFS(Tab_05.Mai[SALDO
ATUAL],Tab_05.Mai[CONTA],$F292)</f>
        <v>48784.93</v>
      </c>
      <c r="M292" s="4">
        <f>SUMIFS(Tab_06.Jun[SALDO
ATUAL],Tab_06.Jun[CONTA],$F292)</f>
        <v>65659.31</v>
      </c>
      <c r="N292" s="4">
        <f>SUMIFS(Tab_07.Jul[SALDO
ATUAL],Tab_07.Jul[CONTA],$F292)</f>
        <v>65659.31</v>
      </c>
      <c r="O292" s="4">
        <f>SUMIFS(Tab_08.Ago[SALDO
ATUAL],Tab_08.Ago[CONTA],$F292)</f>
        <v>65659.31</v>
      </c>
      <c r="P292" s="4">
        <f>SUMIFS(Tab_09.Set[SALDO
ATUAL],Tab_09.Set[CONTA],$F292)</f>
        <v>95404.99</v>
      </c>
      <c r="Q292" s="4">
        <f>SUMIFS(Tab_10.Out[SALDO
ATUAL],Tab_10.Out[CONTA],$F292)</f>
        <v>102490.08</v>
      </c>
      <c r="R292" s="4">
        <f>SUMIFS(Tab_11.Nov[SALDO
ATUAL],Tab_11.Nov[CONTA],$F292)</f>
        <v>115066.41</v>
      </c>
      <c r="S292" s="4">
        <f>SUMIFS(Tab_12.Dez[SALDO
ATUAL],Tab_12.Dez[CONTA],$F292)</f>
        <v>145040.60999999999</v>
      </c>
    </row>
    <row r="293" spans="2:19" x14ac:dyDescent="0.3">
      <c r="B293" s="3"/>
      <c r="C293" s="2" t="str">
        <f t="shared" si="17"/>
        <v>C</v>
      </c>
      <c r="D293" s="2" t="str">
        <f t="shared" si="21"/>
        <v>S</v>
      </c>
      <c r="E293" s="2">
        <f t="shared" si="22"/>
        <v>5</v>
      </c>
      <c r="F293" s="3" t="s">
        <v>613</v>
      </c>
      <c r="G293" s="3" t="s">
        <v>717</v>
      </c>
      <c r="H293" s="4">
        <f>SUMIFS(Tab_01.Jan[SALDO
ATUAL],Tab_01.Jan[CONTA],$F293)</f>
        <v>8031.73</v>
      </c>
      <c r="I293" s="4">
        <f>SUMIFS(Tab_02.Fev[SALDO
ATUAL],Tab_02.Fev[CONTA],$F293)</f>
        <v>13602.36</v>
      </c>
      <c r="J293" s="4">
        <f>SUMIFS(Tab_03.Mar[SALDO
ATUAL],Tab_03.Mar[CONTA],$F293)</f>
        <v>19862.189999999999</v>
      </c>
      <c r="K293" s="4">
        <f>SUMIFS(Tab_04.Abr[SALDO
ATUAL],Tab_04.Abr[CONTA],$F293)</f>
        <v>26356.639999999999</v>
      </c>
      <c r="L293" s="4">
        <f>SUMIFS(Tab_05.Mai[SALDO
ATUAL],Tab_05.Mai[CONTA],$F293)</f>
        <v>32558.9</v>
      </c>
      <c r="M293" s="4">
        <f>SUMIFS(Tab_06.Jun[SALDO
ATUAL],Tab_06.Jun[CONTA],$F293)</f>
        <v>42421.55</v>
      </c>
      <c r="N293" s="4">
        <f>SUMIFS(Tab_07.Jul[SALDO
ATUAL],Tab_07.Jul[CONTA],$F293)</f>
        <v>42421.55</v>
      </c>
      <c r="O293" s="4">
        <f>SUMIFS(Tab_08.Ago[SALDO
ATUAL],Tab_08.Ago[CONTA],$F293)</f>
        <v>42421.55</v>
      </c>
      <c r="P293" s="4">
        <f>SUMIFS(Tab_09.Set[SALDO
ATUAL],Tab_09.Set[CONTA],$F293)</f>
        <v>49954.59</v>
      </c>
      <c r="Q293" s="4">
        <f>SUMIFS(Tab_10.Out[SALDO
ATUAL],Tab_10.Out[CONTA],$F293)</f>
        <v>53522.2</v>
      </c>
      <c r="R293" s="4">
        <f>SUMIFS(Tab_11.Nov[SALDO
ATUAL],Tab_11.Nov[CONTA],$F293)</f>
        <v>61714.9</v>
      </c>
      <c r="S293" s="4">
        <f>SUMIFS(Tab_12.Dez[SALDO
ATUAL],Tab_12.Dez[CONTA],$F293)</f>
        <v>64548.83</v>
      </c>
    </row>
    <row r="294" spans="2:19" x14ac:dyDescent="0.3">
      <c r="B294" s="3" t="s">
        <v>105</v>
      </c>
      <c r="C294" s="2" t="str">
        <f t="shared" si="17"/>
        <v>C</v>
      </c>
      <c r="D294" s="2" t="str">
        <f t="shared" si="21"/>
        <v>A</v>
      </c>
      <c r="E294" s="2">
        <f t="shared" si="22"/>
        <v>5</v>
      </c>
      <c r="F294" s="3" t="s">
        <v>491</v>
      </c>
      <c r="G294" s="3" t="s">
        <v>492</v>
      </c>
      <c r="H294" s="4">
        <f>SUMIFS(Tab_01.Jan[SALDO
ATUAL],Tab_01.Jan[CONTA],$F294)</f>
        <v>3476.84</v>
      </c>
      <c r="I294" s="4">
        <f>SUMIFS(Tab_02.Fev[SALDO
ATUAL],Tab_02.Fev[CONTA],$F294)</f>
        <v>6791.87</v>
      </c>
      <c r="J294" s="4">
        <f>SUMIFS(Tab_03.Mar[SALDO
ATUAL],Tab_03.Mar[CONTA],$F294)</f>
        <v>10495.8</v>
      </c>
      <c r="K294" s="4">
        <f>SUMIFS(Tab_04.Abr[SALDO
ATUAL],Tab_04.Abr[CONTA],$F294)</f>
        <v>13160.23</v>
      </c>
      <c r="L294" s="4">
        <f>SUMIFS(Tab_05.Mai[SALDO
ATUAL],Tab_05.Mai[CONTA],$F294)</f>
        <v>16473.64</v>
      </c>
      <c r="M294" s="4">
        <f>SUMIFS(Tab_06.Jun[SALDO
ATUAL],Tab_06.Jun[CONTA],$F294)</f>
        <v>20558.62</v>
      </c>
      <c r="N294" s="4">
        <f>SUMIFS(Tab_07.Jul[SALDO
ATUAL],Tab_07.Jul[CONTA],$F294)</f>
        <v>20558.62</v>
      </c>
      <c r="O294" s="4">
        <f>SUMIFS(Tab_08.Ago[SALDO
ATUAL],Tab_08.Ago[CONTA],$F294)</f>
        <v>20558.62</v>
      </c>
      <c r="P294" s="4">
        <f>SUMIFS(Tab_09.Set[SALDO
ATUAL],Tab_09.Set[CONTA],$F294)</f>
        <v>22375.78</v>
      </c>
      <c r="Q294" s="4">
        <f>SUMIFS(Tab_10.Out[SALDO
ATUAL],Tab_10.Out[CONTA],$F294)</f>
        <v>24346.33</v>
      </c>
      <c r="R294" s="4">
        <f>SUMIFS(Tab_11.Nov[SALDO
ATUAL],Tab_11.Nov[CONTA],$F294)</f>
        <v>29400.48</v>
      </c>
      <c r="S294" s="4">
        <f>SUMIFS(Tab_12.Dez[SALDO
ATUAL],Tab_12.Dez[CONTA],$F294)</f>
        <v>29400.48</v>
      </c>
    </row>
    <row r="295" spans="2:19" x14ac:dyDescent="0.3">
      <c r="B295" s="3" t="s">
        <v>105</v>
      </c>
      <c r="C295" s="2" t="str">
        <f t="shared" si="17"/>
        <v>C</v>
      </c>
      <c r="D295" s="2" t="str">
        <f t="shared" si="21"/>
        <v>A</v>
      </c>
      <c r="E295" s="2">
        <f t="shared" si="22"/>
        <v>5</v>
      </c>
      <c r="F295" s="3" t="s">
        <v>493</v>
      </c>
      <c r="G295" s="3" t="s">
        <v>494</v>
      </c>
      <c r="H295" s="4">
        <f>SUMIFS(Tab_01.Jan[SALDO
ATUAL],Tab_01.Jan[CONTA],$F295)</f>
        <v>3157.37</v>
      </c>
      <c r="I295" s="4">
        <f>SUMIFS(Tab_02.Fev[SALDO
ATUAL],Tab_02.Fev[CONTA],$F295)</f>
        <v>4004.32</v>
      </c>
      <c r="J295" s="4">
        <f>SUMIFS(Tab_03.Mar[SALDO
ATUAL],Tab_03.Mar[CONTA],$F295)</f>
        <v>5149.7</v>
      </c>
      <c r="K295" s="4">
        <f>SUMIFS(Tab_04.Abr[SALDO
ATUAL],Tab_04.Abr[CONTA],$F295)</f>
        <v>7539.83</v>
      </c>
      <c r="L295" s="4">
        <f>SUMIFS(Tab_05.Mai[SALDO
ATUAL],Tab_05.Mai[CONTA],$F295)</f>
        <v>8988.7900000000009</v>
      </c>
      <c r="M295" s="4">
        <f>SUMIFS(Tab_06.Jun[SALDO
ATUAL],Tab_06.Jun[CONTA],$F295)</f>
        <v>11886.68</v>
      </c>
      <c r="N295" s="4">
        <f>SUMIFS(Tab_07.Jul[SALDO
ATUAL],Tab_07.Jul[CONTA],$F295)</f>
        <v>11886.68</v>
      </c>
      <c r="O295" s="4">
        <f>SUMIFS(Tab_08.Ago[SALDO
ATUAL],Tab_08.Ago[CONTA],$F295)</f>
        <v>11886.68</v>
      </c>
      <c r="P295" s="4">
        <f>SUMIFS(Tab_09.Set[SALDO
ATUAL],Tab_09.Set[CONTA],$F295)</f>
        <v>14859.44</v>
      </c>
      <c r="Q295" s="4">
        <f>SUMIFS(Tab_10.Out[SALDO
ATUAL],Tab_10.Out[CONTA],$F295)</f>
        <v>14859.44</v>
      </c>
      <c r="R295" s="4">
        <f>SUMIFS(Tab_11.Nov[SALDO
ATUAL],Tab_11.Nov[CONTA],$F295)</f>
        <v>16538.13</v>
      </c>
      <c r="S295" s="4">
        <f>SUMIFS(Tab_12.Dez[SALDO
ATUAL],Tab_12.Dez[CONTA],$F295)</f>
        <v>17912.2</v>
      </c>
    </row>
    <row r="296" spans="2:19" x14ac:dyDescent="0.3">
      <c r="B296" s="3" t="s">
        <v>105</v>
      </c>
      <c r="C296" s="2" t="str">
        <f t="shared" si="17"/>
        <v>C</v>
      </c>
      <c r="D296" s="2" t="str">
        <f t="shared" si="21"/>
        <v>A</v>
      </c>
      <c r="E296" s="2">
        <f t="shared" si="22"/>
        <v>5</v>
      </c>
      <c r="F296" s="3" t="s">
        <v>495</v>
      </c>
      <c r="G296" s="3" t="s">
        <v>496</v>
      </c>
      <c r="H296" s="4">
        <f>SUMIFS(Tab_01.Jan[SALDO
ATUAL],Tab_01.Jan[CONTA],$F296)</f>
        <v>1397.52</v>
      </c>
      <c r="I296" s="4">
        <f>SUMIFS(Tab_02.Fev[SALDO
ATUAL],Tab_02.Fev[CONTA],$F296)</f>
        <v>2806.17</v>
      </c>
      <c r="J296" s="4">
        <f>SUMIFS(Tab_03.Mar[SALDO
ATUAL],Tab_03.Mar[CONTA],$F296)</f>
        <v>4216.6899999999996</v>
      </c>
      <c r="K296" s="4">
        <f>SUMIFS(Tab_04.Abr[SALDO
ATUAL],Tab_04.Abr[CONTA],$F296)</f>
        <v>5656.58</v>
      </c>
      <c r="L296" s="4">
        <f>SUMIFS(Tab_05.Mai[SALDO
ATUAL],Tab_05.Mai[CONTA],$F296)</f>
        <v>7096.47</v>
      </c>
      <c r="M296" s="4">
        <f>SUMIFS(Tab_06.Jun[SALDO
ATUAL],Tab_06.Jun[CONTA],$F296)</f>
        <v>9976.25</v>
      </c>
      <c r="N296" s="4">
        <f>SUMIFS(Tab_07.Jul[SALDO
ATUAL],Tab_07.Jul[CONTA],$F296)</f>
        <v>9976.25</v>
      </c>
      <c r="O296" s="4">
        <f>SUMIFS(Tab_08.Ago[SALDO
ATUAL],Tab_08.Ago[CONTA],$F296)</f>
        <v>9976.25</v>
      </c>
      <c r="P296" s="4">
        <f>SUMIFS(Tab_09.Set[SALDO
ATUAL],Tab_09.Set[CONTA],$F296)</f>
        <v>12719.37</v>
      </c>
      <c r="Q296" s="4">
        <f>SUMIFS(Tab_10.Out[SALDO
ATUAL],Tab_10.Out[CONTA],$F296)</f>
        <v>14316.43</v>
      </c>
      <c r="R296" s="4">
        <f>SUMIFS(Tab_11.Nov[SALDO
ATUAL],Tab_11.Nov[CONTA],$F296)</f>
        <v>15776.29</v>
      </c>
      <c r="S296" s="4">
        <f>SUMIFS(Tab_12.Dez[SALDO
ATUAL],Tab_12.Dez[CONTA],$F296)</f>
        <v>17236.150000000001</v>
      </c>
    </row>
    <row r="297" spans="2:19" x14ac:dyDescent="0.3">
      <c r="B297" s="3"/>
      <c r="C297" s="2" t="str">
        <f t="shared" si="17"/>
        <v>C</v>
      </c>
      <c r="D297" s="2" t="str">
        <f>IF($F297="","",IF(LEN($F297)=13,"A","S"))</f>
        <v>S</v>
      </c>
      <c r="E297" s="2">
        <f>IF($F297="","",IF(LEN($F297)=1,1,IF(LEN($F297)=3,2,IF(LEN($F297)=5,3,IF(LEN($F297)=8,4,5)))))</f>
        <v>5</v>
      </c>
      <c r="F297" s="3" t="s">
        <v>614</v>
      </c>
      <c r="G297" s="3" t="s">
        <v>718</v>
      </c>
      <c r="H297" s="4">
        <f>SUMIFS(Tab_01.Jan[SALDO
ATUAL],Tab_01.Jan[CONTA],$F297)</f>
        <v>3051.47</v>
      </c>
      <c r="I297" s="4">
        <f>SUMIFS(Tab_02.Fev[SALDO
ATUAL],Tab_02.Fev[CONTA],$F297)</f>
        <v>3731.47</v>
      </c>
      <c r="J297" s="4">
        <f>SUMIFS(Tab_03.Mar[SALDO
ATUAL],Tab_03.Mar[CONTA],$F297)</f>
        <v>5779.63</v>
      </c>
      <c r="K297" s="4">
        <f>SUMIFS(Tab_04.Abr[SALDO
ATUAL],Tab_04.Abr[CONTA],$F297)</f>
        <v>13573.92</v>
      </c>
      <c r="L297" s="4">
        <f>SUMIFS(Tab_05.Mai[SALDO
ATUAL],Tab_05.Mai[CONTA],$F297)</f>
        <v>16226.03</v>
      </c>
      <c r="M297" s="4">
        <f>SUMIFS(Tab_06.Jun[SALDO
ATUAL],Tab_06.Jun[CONTA],$F297)</f>
        <v>23237.759999999998</v>
      </c>
      <c r="N297" s="4">
        <f>SUMIFS(Tab_07.Jul[SALDO
ATUAL],Tab_07.Jul[CONTA],$F297)</f>
        <v>23237.759999999998</v>
      </c>
      <c r="O297" s="4">
        <f>SUMIFS(Tab_08.Ago[SALDO
ATUAL],Tab_08.Ago[CONTA],$F297)</f>
        <v>23237.759999999998</v>
      </c>
      <c r="P297" s="4">
        <f>SUMIFS(Tab_09.Set[SALDO
ATUAL],Tab_09.Set[CONTA],$F297)</f>
        <v>45450.400000000001</v>
      </c>
      <c r="Q297" s="4">
        <f>SUMIFS(Tab_10.Out[SALDO
ATUAL],Tab_10.Out[CONTA],$F297)</f>
        <v>48967.88</v>
      </c>
      <c r="R297" s="4">
        <f>SUMIFS(Tab_11.Nov[SALDO
ATUAL],Tab_11.Nov[CONTA],$F297)</f>
        <v>53351.51</v>
      </c>
      <c r="S297" s="4">
        <f>SUMIFS(Tab_12.Dez[SALDO
ATUAL],Tab_12.Dez[CONTA],$F297)</f>
        <v>80491.78</v>
      </c>
    </row>
    <row r="298" spans="2:19" x14ac:dyDescent="0.3">
      <c r="B298" s="3" t="s">
        <v>105</v>
      </c>
      <c r="C298" s="2" t="str">
        <f t="shared" si="17"/>
        <v>C</v>
      </c>
      <c r="D298" s="2" t="str">
        <f t="shared" si="21"/>
        <v>A</v>
      </c>
      <c r="E298" s="2">
        <f t="shared" si="22"/>
        <v>5</v>
      </c>
      <c r="F298" s="3" t="s">
        <v>497</v>
      </c>
      <c r="G298" s="3" t="s">
        <v>498</v>
      </c>
      <c r="H298" s="4">
        <f>SUMIFS(Tab_01.Jan[SALDO
ATUAL],Tab_01.Jan[CONTA],$F298)</f>
        <v>0</v>
      </c>
      <c r="I298" s="4">
        <f>SUMIFS(Tab_02.Fev[SALDO
ATUAL],Tab_02.Fev[CONTA],$F298)</f>
        <v>0</v>
      </c>
      <c r="J298" s="4">
        <f>SUMIFS(Tab_03.Mar[SALDO
ATUAL],Tab_03.Mar[CONTA],$F298)</f>
        <v>0</v>
      </c>
      <c r="K298" s="4">
        <f>SUMIFS(Tab_04.Abr[SALDO
ATUAL],Tab_04.Abr[CONTA],$F298)</f>
        <v>95</v>
      </c>
      <c r="L298" s="4">
        <f>SUMIFS(Tab_05.Mai[SALDO
ATUAL],Tab_05.Mai[CONTA],$F298)</f>
        <v>95</v>
      </c>
      <c r="M298" s="4">
        <f>SUMIFS(Tab_06.Jun[SALDO
ATUAL],Tab_06.Jun[CONTA],$F298)</f>
        <v>95</v>
      </c>
      <c r="N298" s="4">
        <f>SUMIFS(Tab_07.Jul[SALDO
ATUAL],Tab_07.Jul[CONTA],$F298)</f>
        <v>95</v>
      </c>
      <c r="O298" s="4">
        <f>SUMIFS(Tab_08.Ago[SALDO
ATUAL],Tab_08.Ago[CONTA],$F298)</f>
        <v>95</v>
      </c>
      <c r="P298" s="4">
        <f>SUMIFS(Tab_09.Set[SALDO
ATUAL],Tab_09.Set[CONTA],$F298)</f>
        <v>95</v>
      </c>
      <c r="Q298" s="4">
        <f>SUMIFS(Tab_10.Out[SALDO
ATUAL],Tab_10.Out[CONTA],$F298)</f>
        <v>95</v>
      </c>
      <c r="R298" s="4">
        <f>SUMIFS(Tab_11.Nov[SALDO
ATUAL],Tab_11.Nov[CONTA],$F298)</f>
        <v>95</v>
      </c>
      <c r="S298" s="4">
        <f>SUMIFS(Tab_12.Dez[SALDO
ATUAL],Tab_12.Dez[CONTA],$F298)</f>
        <v>95</v>
      </c>
    </row>
    <row r="299" spans="2:19" x14ac:dyDescent="0.3">
      <c r="B299" s="3" t="s">
        <v>105</v>
      </c>
      <c r="C299" s="2" t="str">
        <f t="shared" si="17"/>
        <v>C</v>
      </c>
      <c r="D299" s="2" t="str">
        <f t="shared" si="21"/>
        <v>A</v>
      </c>
      <c r="E299" s="2">
        <f t="shared" si="22"/>
        <v>5</v>
      </c>
      <c r="F299" s="3" t="s">
        <v>499</v>
      </c>
      <c r="G299" s="3" t="s">
        <v>500</v>
      </c>
      <c r="H299" s="4">
        <f>SUMIFS(Tab_01.Jan[SALDO
ATUAL],Tab_01.Jan[CONTA],$F299)</f>
        <v>146.94</v>
      </c>
      <c r="I299" s="4">
        <f>SUMIFS(Tab_02.Fev[SALDO
ATUAL],Tab_02.Fev[CONTA],$F299)</f>
        <v>146.94</v>
      </c>
      <c r="J299" s="4">
        <f>SUMIFS(Tab_03.Mar[SALDO
ATUAL],Tab_03.Mar[CONTA],$F299)</f>
        <v>1361.94</v>
      </c>
      <c r="K299" s="4">
        <f>SUMIFS(Tab_04.Abr[SALDO
ATUAL],Tab_04.Abr[CONTA],$F299)</f>
        <v>3609.34</v>
      </c>
      <c r="L299" s="4">
        <f>SUMIFS(Tab_05.Mai[SALDO
ATUAL],Tab_05.Mai[CONTA],$F299)</f>
        <v>5689.34</v>
      </c>
      <c r="M299" s="4">
        <f>SUMIFS(Tab_06.Jun[SALDO
ATUAL],Tab_06.Jun[CONTA],$F299)</f>
        <v>9794.14</v>
      </c>
      <c r="N299" s="4">
        <f>SUMIFS(Tab_07.Jul[SALDO
ATUAL],Tab_07.Jul[CONTA],$F299)</f>
        <v>9794.14</v>
      </c>
      <c r="O299" s="4">
        <f>SUMIFS(Tab_08.Ago[SALDO
ATUAL],Tab_08.Ago[CONTA],$F299)</f>
        <v>9794.14</v>
      </c>
      <c r="P299" s="4">
        <f>SUMIFS(Tab_09.Set[SALDO
ATUAL],Tab_09.Set[CONTA],$F299)</f>
        <v>21409.439999999999</v>
      </c>
      <c r="Q299" s="4">
        <f>SUMIFS(Tab_10.Out[SALDO
ATUAL],Tab_10.Out[CONTA],$F299)</f>
        <v>21744.240000000002</v>
      </c>
      <c r="R299" s="4">
        <f>SUMIFS(Tab_11.Nov[SALDO
ATUAL],Tab_11.Nov[CONTA],$F299)</f>
        <v>22772.240000000002</v>
      </c>
      <c r="S299" s="4">
        <f>SUMIFS(Tab_12.Dez[SALDO
ATUAL],Tab_12.Dez[CONTA],$F299)</f>
        <v>22822.240000000002</v>
      </c>
    </row>
    <row r="300" spans="2:19" x14ac:dyDescent="0.3">
      <c r="B300" s="3" t="s">
        <v>105</v>
      </c>
      <c r="C300" s="2" t="str">
        <f t="shared" si="17"/>
        <v>C</v>
      </c>
      <c r="D300" s="2" t="str">
        <f t="shared" si="21"/>
        <v>A</v>
      </c>
      <c r="E300" s="2">
        <f t="shared" si="22"/>
        <v>5</v>
      </c>
      <c r="F300" s="3" t="s">
        <v>501</v>
      </c>
      <c r="G300" s="3" t="s">
        <v>502</v>
      </c>
      <c r="H300" s="4">
        <f>SUMIFS(Tab_01.Jan[SALDO
ATUAL],Tab_01.Jan[CONTA],$F300)</f>
        <v>2241.66</v>
      </c>
      <c r="I300" s="4">
        <f>SUMIFS(Tab_02.Fev[SALDO
ATUAL],Tab_02.Fev[CONTA],$F300)</f>
        <v>2317.38</v>
      </c>
      <c r="J300" s="4">
        <f>SUMIFS(Tab_03.Mar[SALDO
ATUAL],Tab_03.Mar[CONTA],$F300)</f>
        <v>2551.17</v>
      </c>
      <c r="K300" s="4">
        <f>SUMIFS(Tab_04.Abr[SALDO
ATUAL],Tab_04.Abr[CONTA],$F300)</f>
        <v>7361.95</v>
      </c>
      <c r="L300" s="4">
        <f>SUMIFS(Tab_05.Mai[SALDO
ATUAL],Tab_05.Mai[CONTA],$F300)</f>
        <v>7477.45</v>
      </c>
      <c r="M300" s="4">
        <f>SUMIFS(Tab_06.Jun[SALDO
ATUAL],Tab_06.Jun[CONTA],$F300)</f>
        <v>9664.69</v>
      </c>
      <c r="N300" s="4">
        <f>SUMIFS(Tab_07.Jul[SALDO
ATUAL],Tab_07.Jul[CONTA],$F300)</f>
        <v>9664.69</v>
      </c>
      <c r="O300" s="4">
        <f>SUMIFS(Tab_08.Ago[SALDO
ATUAL],Tab_08.Ago[CONTA],$F300)</f>
        <v>9664.69</v>
      </c>
      <c r="P300" s="4">
        <f>SUMIFS(Tab_09.Set[SALDO
ATUAL],Tab_09.Set[CONTA],$F300)</f>
        <v>14396.02</v>
      </c>
      <c r="Q300" s="4">
        <f>SUMIFS(Tab_10.Out[SALDO
ATUAL],Tab_10.Out[CONTA],$F300)</f>
        <v>14562.02</v>
      </c>
      <c r="R300" s="4">
        <f>SUMIFS(Tab_11.Nov[SALDO
ATUAL],Tab_11.Nov[CONTA],$F300)</f>
        <v>15011.2</v>
      </c>
      <c r="S300" s="4">
        <f>SUMIFS(Tab_12.Dez[SALDO
ATUAL],Tab_12.Dez[CONTA],$F300)</f>
        <v>39309.199999999997</v>
      </c>
    </row>
    <row r="301" spans="2:19" x14ac:dyDescent="0.3">
      <c r="B301" s="3" t="s">
        <v>67</v>
      </c>
      <c r="C301" s="2" t="str">
        <f t="shared" si="17"/>
        <v>C</v>
      </c>
      <c r="D301" s="2" t="str">
        <f t="shared" si="21"/>
        <v>A</v>
      </c>
      <c r="E301" s="2">
        <f t="shared" si="22"/>
        <v>5</v>
      </c>
      <c r="F301" s="3" t="s">
        <v>503</v>
      </c>
      <c r="G301" s="3" t="s">
        <v>504</v>
      </c>
      <c r="H301" s="4">
        <f>SUMIFS(Tab_01.Jan[SALDO
ATUAL],Tab_01.Jan[CONTA],$F301)</f>
        <v>662.87</v>
      </c>
      <c r="I301" s="4">
        <f>SUMIFS(Tab_02.Fev[SALDO
ATUAL],Tab_02.Fev[CONTA],$F301)</f>
        <v>1267.1500000000001</v>
      </c>
      <c r="J301" s="4">
        <f>SUMIFS(Tab_03.Mar[SALDO
ATUAL],Tab_03.Mar[CONTA],$F301)</f>
        <v>1866.52</v>
      </c>
      <c r="K301" s="4">
        <f>SUMIFS(Tab_04.Abr[SALDO
ATUAL],Tab_04.Abr[CONTA],$F301)</f>
        <v>2507.63</v>
      </c>
      <c r="L301" s="4">
        <f>SUMIFS(Tab_05.Mai[SALDO
ATUAL],Tab_05.Mai[CONTA],$F301)</f>
        <v>2964.24</v>
      </c>
      <c r="M301" s="4">
        <f>SUMIFS(Tab_06.Jun[SALDO
ATUAL],Tab_06.Jun[CONTA],$F301)</f>
        <v>3683.93</v>
      </c>
      <c r="N301" s="4">
        <f>SUMIFS(Tab_07.Jul[SALDO
ATUAL],Tab_07.Jul[CONTA],$F301)</f>
        <v>3683.93</v>
      </c>
      <c r="O301" s="4">
        <f>SUMIFS(Tab_08.Ago[SALDO
ATUAL],Tab_08.Ago[CONTA],$F301)</f>
        <v>3683.93</v>
      </c>
      <c r="P301" s="4">
        <f>SUMIFS(Tab_09.Set[SALDO
ATUAL],Tab_09.Set[CONTA],$F301)</f>
        <v>9529.7800000000007</v>
      </c>
      <c r="Q301" s="4">
        <f>SUMIFS(Tab_10.Out[SALDO
ATUAL],Tab_10.Out[CONTA],$F301)</f>
        <v>12546.46</v>
      </c>
      <c r="R301" s="4">
        <f>SUMIFS(Tab_11.Nov[SALDO
ATUAL],Tab_11.Nov[CONTA],$F301)</f>
        <v>15313.37</v>
      </c>
      <c r="S301" s="4">
        <f>SUMIFS(Tab_12.Dez[SALDO
ATUAL],Tab_12.Dez[CONTA],$F301)</f>
        <v>18105.64</v>
      </c>
    </row>
    <row r="302" spans="2:19" x14ac:dyDescent="0.3">
      <c r="B302" s="3" t="s">
        <v>67</v>
      </c>
      <c r="C302" s="2" t="str">
        <f t="shared" si="17"/>
        <v>C</v>
      </c>
      <c r="D302" s="2" t="str">
        <f t="shared" si="21"/>
        <v>A</v>
      </c>
      <c r="E302" s="2">
        <f t="shared" si="22"/>
        <v>5</v>
      </c>
      <c r="F302" s="3" t="s">
        <v>505</v>
      </c>
      <c r="G302" s="3" t="s">
        <v>506</v>
      </c>
      <c r="H302" s="4">
        <f>SUMIFS(Tab_01.Jan[SALDO
ATUAL],Tab_01.Jan[CONTA],$F302)</f>
        <v>0</v>
      </c>
      <c r="I302" s="4">
        <f>SUMIFS(Tab_02.Fev[SALDO
ATUAL],Tab_02.Fev[CONTA],$F302)</f>
        <v>0</v>
      </c>
      <c r="J302" s="4">
        <f>SUMIFS(Tab_03.Mar[SALDO
ATUAL],Tab_03.Mar[CONTA],$F302)</f>
        <v>0</v>
      </c>
      <c r="K302" s="4">
        <f>SUMIFS(Tab_04.Abr[SALDO
ATUAL],Tab_04.Abr[CONTA],$F302)</f>
        <v>0</v>
      </c>
      <c r="L302" s="4">
        <f>SUMIFS(Tab_05.Mai[SALDO
ATUAL],Tab_05.Mai[CONTA],$F302)</f>
        <v>0</v>
      </c>
      <c r="M302" s="4">
        <f>SUMIFS(Tab_06.Jun[SALDO
ATUAL],Tab_06.Jun[CONTA],$F302)</f>
        <v>0</v>
      </c>
      <c r="N302" s="4">
        <f>SUMIFS(Tab_07.Jul[SALDO
ATUAL],Tab_07.Jul[CONTA],$F302)</f>
        <v>0</v>
      </c>
      <c r="O302" s="4">
        <f>SUMIFS(Tab_08.Ago[SALDO
ATUAL],Tab_08.Ago[CONTA],$F302)</f>
        <v>0</v>
      </c>
      <c r="P302" s="4">
        <f>SUMIFS(Tab_09.Set[SALDO
ATUAL],Tab_09.Set[CONTA],$F302)</f>
        <v>20.16</v>
      </c>
      <c r="Q302" s="4">
        <f>SUMIFS(Tab_10.Out[SALDO
ATUAL],Tab_10.Out[CONTA],$F302)</f>
        <v>20.16</v>
      </c>
      <c r="R302" s="4">
        <f>SUMIFS(Tab_11.Nov[SALDO
ATUAL],Tab_11.Nov[CONTA],$F302)</f>
        <v>159.69999999999999</v>
      </c>
      <c r="S302" s="4">
        <f>SUMIFS(Tab_12.Dez[SALDO
ATUAL],Tab_12.Dez[CONTA],$F302)</f>
        <v>159.69999999999999</v>
      </c>
    </row>
    <row r="303" spans="2:19" x14ac:dyDescent="0.3">
      <c r="B303" s="3"/>
      <c r="C303" s="2" t="str">
        <f t="shared" si="17"/>
        <v>C</v>
      </c>
      <c r="D303" s="2" t="str">
        <f t="shared" si="21"/>
        <v>S</v>
      </c>
      <c r="E303" s="2">
        <f t="shared" si="22"/>
        <v>5</v>
      </c>
      <c r="F303" s="3" t="s">
        <v>615</v>
      </c>
      <c r="G303" s="3" t="s">
        <v>719</v>
      </c>
      <c r="H303" s="4">
        <f>SUMIFS(Tab_01.Jan[SALDO
ATUAL],Tab_01.Jan[CONTA],$F303)</f>
        <v>4265.3900000000003</v>
      </c>
      <c r="I303" s="4">
        <f>SUMIFS(Tab_02.Fev[SALDO
ATUAL],Tab_02.Fev[CONTA],$F303)</f>
        <v>8663.7999999999993</v>
      </c>
      <c r="J303" s="4">
        <f>SUMIFS(Tab_03.Mar[SALDO
ATUAL],Tab_03.Mar[CONTA],$F303)</f>
        <v>13360.81</v>
      </c>
      <c r="K303" s="4">
        <f>SUMIFS(Tab_04.Abr[SALDO
ATUAL],Tab_04.Abr[CONTA],$F303)</f>
        <v>29250</v>
      </c>
      <c r="L303" s="4">
        <f>SUMIFS(Tab_05.Mai[SALDO
ATUAL],Tab_05.Mai[CONTA],$F303)</f>
        <v>33754.120000000003</v>
      </c>
      <c r="M303" s="4">
        <f>SUMIFS(Tab_06.Jun[SALDO
ATUAL],Tab_06.Jun[CONTA],$F303)</f>
        <v>42759.32</v>
      </c>
      <c r="N303" s="4">
        <f>SUMIFS(Tab_07.Jul[SALDO
ATUAL],Tab_07.Jul[CONTA],$F303)</f>
        <v>42759.32</v>
      </c>
      <c r="O303" s="4">
        <f>SUMIFS(Tab_08.Ago[SALDO
ATUAL],Tab_08.Ago[CONTA],$F303)</f>
        <v>42759.32</v>
      </c>
      <c r="P303" s="4">
        <f>SUMIFS(Tab_09.Set[SALDO
ATUAL],Tab_09.Set[CONTA],$F303)</f>
        <v>52287.86</v>
      </c>
      <c r="Q303" s="4">
        <f>SUMIFS(Tab_10.Out[SALDO
ATUAL],Tab_10.Out[CONTA],$F303)</f>
        <v>58929.15</v>
      </c>
      <c r="R303" s="4">
        <f>SUMIFS(Tab_11.Nov[SALDO
ATUAL],Tab_11.Nov[CONTA],$F303)</f>
        <v>63380.91</v>
      </c>
      <c r="S303" s="4">
        <f>SUMIFS(Tab_12.Dez[SALDO
ATUAL],Tab_12.Dez[CONTA],$F303)</f>
        <v>68756.05</v>
      </c>
    </row>
    <row r="304" spans="2:19" x14ac:dyDescent="0.3">
      <c r="B304" s="3"/>
      <c r="C304" s="2" t="str">
        <f t="shared" si="17"/>
        <v>C</v>
      </c>
      <c r="D304" s="2" t="str">
        <f t="shared" si="21"/>
        <v>S</v>
      </c>
      <c r="E304" s="2">
        <f t="shared" si="22"/>
        <v>5</v>
      </c>
      <c r="F304" s="3" t="s">
        <v>616</v>
      </c>
      <c r="G304" s="3" t="s">
        <v>720</v>
      </c>
      <c r="H304" s="4">
        <f>SUMIFS(Tab_01.Jan[SALDO
ATUAL],Tab_01.Jan[CONTA],$F304)</f>
        <v>0</v>
      </c>
      <c r="I304" s="4">
        <f>SUMIFS(Tab_02.Fev[SALDO
ATUAL],Tab_02.Fev[CONTA],$F304)</f>
        <v>0</v>
      </c>
      <c r="J304" s="4">
        <f>SUMIFS(Tab_03.Mar[SALDO
ATUAL],Tab_03.Mar[CONTA],$F304)</f>
        <v>0</v>
      </c>
      <c r="K304" s="4">
        <f>SUMIFS(Tab_04.Abr[SALDO
ATUAL],Tab_04.Abr[CONTA],$F304)</f>
        <v>0</v>
      </c>
      <c r="L304" s="4">
        <f>SUMIFS(Tab_05.Mai[SALDO
ATUAL],Tab_05.Mai[CONTA],$F304)</f>
        <v>0</v>
      </c>
      <c r="M304" s="4">
        <f>SUMIFS(Tab_06.Jun[SALDO
ATUAL],Tab_06.Jun[CONTA],$F304)</f>
        <v>0</v>
      </c>
      <c r="N304" s="4">
        <f>SUMIFS(Tab_07.Jul[SALDO
ATUAL],Tab_07.Jul[CONTA],$F304)</f>
        <v>0</v>
      </c>
      <c r="O304" s="4">
        <f>SUMIFS(Tab_08.Ago[SALDO
ATUAL],Tab_08.Ago[CONTA],$F304)</f>
        <v>0</v>
      </c>
      <c r="P304" s="4">
        <f>SUMIFS(Tab_09.Set[SALDO
ATUAL],Tab_09.Set[CONTA],$F304)</f>
        <v>0</v>
      </c>
      <c r="Q304" s="4">
        <f>SUMIFS(Tab_10.Out[SALDO
ATUAL],Tab_10.Out[CONTA],$F304)</f>
        <v>0</v>
      </c>
      <c r="R304" s="4">
        <f>SUMIFS(Tab_11.Nov[SALDO
ATUAL],Tab_11.Nov[CONTA],$F304)</f>
        <v>0</v>
      </c>
      <c r="S304" s="4">
        <f>SUMIFS(Tab_12.Dez[SALDO
ATUAL],Tab_12.Dez[CONTA],$F304)</f>
        <v>0</v>
      </c>
    </row>
    <row r="305" spans="2:19" x14ac:dyDescent="0.3">
      <c r="B305" s="3" t="s">
        <v>105</v>
      </c>
      <c r="C305" s="2" t="str">
        <f t="shared" si="17"/>
        <v>C</v>
      </c>
      <c r="D305" s="2" t="str">
        <f t="shared" si="21"/>
        <v>A</v>
      </c>
      <c r="E305" s="2">
        <f t="shared" si="22"/>
        <v>5</v>
      </c>
      <c r="F305" s="3" t="s">
        <v>507</v>
      </c>
      <c r="G305" s="3" t="s">
        <v>508</v>
      </c>
      <c r="H305" s="4">
        <f>SUMIFS(Tab_01.Jan[SALDO
ATUAL],Tab_01.Jan[CONTA],$F305)</f>
        <v>0</v>
      </c>
      <c r="I305" s="4">
        <f>SUMIFS(Tab_02.Fev[SALDO
ATUAL],Tab_02.Fev[CONTA],$F305)</f>
        <v>0</v>
      </c>
      <c r="J305" s="4">
        <f>SUMIFS(Tab_03.Mar[SALDO
ATUAL],Tab_03.Mar[CONTA],$F305)</f>
        <v>0</v>
      </c>
      <c r="K305" s="4">
        <f>SUMIFS(Tab_04.Abr[SALDO
ATUAL],Tab_04.Abr[CONTA],$F305)</f>
        <v>0</v>
      </c>
      <c r="L305" s="4">
        <f>SUMIFS(Tab_05.Mai[SALDO
ATUAL],Tab_05.Mai[CONTA],$F305)</f>
        <v>0</v>
      </c>
      <c r="M305" s="4">
        <f>SUMIFS(Tab_06.Jun[SALDO
ATUAL],Tab_06.Jun[CONTA],$F305)</f>
        <v>0</v>
      </c>
      <c r="N305" s="4">
        <f>SUMIFS(Tab_07.Jul[SALDO
ATUAL],Tab_07.Jul[CONTA],$F305)</f>
        <v>0</v>
      </c>
      <c r="O305" s="4">
        <f>SUMIFS(Tab_08.Ago[SALDO
ATUAL],Tab_08.Ago[CONTA],$F305)</f>
        <v>0</v>
      </c>
      <c r="P305" s="4">
        <f>SUMIFS(Tab_09.Set[SALDO
ATUAL],Tab_09.Set[CONTA],$F305)</f>
        <v>0</v>
      </c>
      <c r="Q305" s="4">
        <f>SUMIFS(Tab_10.Out[SALDO
ATUAL],Tab_10.Out[CONTA],$F305)</f>
        <v>0</v>
      </c>
      <c r="R305" s="4">
        <f>SUMIFS(Tab_11.Nov[SALDO
ATUAL],Tab_11.Nov[CONTA],$F305)</f>
        <v>0</v>
      </c>
      <c r="S305" s="4">
        <f>SUMIFS(Tab_12.Dez[SALDO
ATUAL],Tab_12.Dez[CONTA],$F305)</f>
        <v>0</v>
      </c>
    </row>
    <row r="306" spans="2:19" x14ac:dyDescent="0.3">
      <c r="B306" s="3"/>
      <c r="C306" s="2" t="str">
        <f t="shared" si="17"/>
        <v>C</v>
      </c>
      <c r="D306" s="2" t="str">
        <f t="shared" si="21"/>
        <v>S</v>
      </c>
      <c r="E306" s="2">
        <f t="shared" si="22"/>
        <v>5</v>
      </c>
      <c r="F306" s="3" t="s">
        <v>617</v>
      </c>
      <c r="G306" s="3" t="s">
        <v>721</v>
      </c>
      <c r="H306" s="4">
        <f>SUMIFS(Tab_01.Jan[SALDO
ATUAL],Tab_01.Jan[CONTA],$F306)</f>
        <v>287.74</v>
      </c>
      <c r="I306" s="4">
        <f>SUMIFS(Tab_02.Fev[SALDO
ATUAL],Tab_02.Fev[CONTA],$F306)</f>
        <v>287.74</v>
      </c>
      <c r="J306" s="4">
        <f>SUMIFS(Tab_03.Mar[SALDO
ATUAL],Tab_03.Mar[CONTA],$F306)</f>
        <v>863.22</v>
      </c>
      <c r="K306" s="4">
        <f>SUMIFS(Tab_04.Abr[SALDO
ATUAL],Tab_04.Abr[CONTA],$F306)</f>
        <v>1150.96</v>
      </c>
      <c r="L306" s="4">
        <f>SUMIFS(Tab_05.Mai[SALDO
ATUAL],Tab_05.Mai[CONTA],$F306)</f>
        <v>1438.7</v>
      </c>
      <c r="M306" s="4">
        <f>SUMIFS(Tab_06.Jun[SALDO
ATUAL],Tab_06.Jun[CONTA],$F306)</f>
        <v>2014.18</v>
      </c>
      <c r="N306" s="4">
        <f>SUMIFS(Tab_07.Jul[SALDO
ATUAL],Tab_07.Jul[CONTA],$F306)</f>
        <v>2014.18</v>
      </c>
      <c r="O306" s="4">
        <f>SUMIFS(Tab_08.Ago[SALDO
ATUAL],Tab_08.Ago[CONTA],$F306)</f>
        <v>2014.18</v>
      </c>
      <c r="P306" s="4">
        <f>SUMIFS(Tab_09.Set[SALDO
ATUAL],Tab_09.Set[CONTA],$F306)</f>
        <v>2577.0700000000002</v>
      </c>
      <c r="Q306" s="4">
        <f>SUMIFS(Tab_10.Out[SALDO
ATUAL],Tab_10.Out[CONTA],$F306)</f>
        <v>2868.83</v>
      </c>
      <c r="R306" s="4">
        <f>SUMIFS(Tab_11.Nov[SALDO
ATUAL],Tab_11.Nov[CONTA],$F306)</f>
        <v>3160.59</v>
      </c>
      <c r="S306" s="4">
        <f>SUMIFS(Tab_12.Dez[SALDO
ATUAL],Tab_12.Dez[CONTA],$F306)</f>
        <v>3452.35</v>
      </c>
    </row>
    <row r="307" spans="2:19" x14ac:dyDescent="0.3">
      <c r="B307" s="3" t="s">
        <v>105</v>
      </c>
      <c r="C307" s="2" t="str">
        <f t="shared" si="17"/>
        <v>C</v>
      </c>
      <c r="D307" s="2" t="str">
        <f t="shared" si="21"/>
        <v>A</v>
      </c>
      <c r="E307" s="2">
        <f t="shared" si="22"/>
        <v>5</v>
      </c>
      <c r="F307" s="3" t="s">
        <v>509</v>
      </c>
      <c r="G307" s="3" t="s">
        <v>510</v>
      </c>
      <c r="H307" s="4">
        <f>SUMIFS(Tab_01.Jan[SALDO
ATUAL],Tab_01.Jan[CONTA],$F307)</f>
        <v>0</v>
      </c>
      <c r="I307" s="4">
        <f>SUMIFS(Tab_02.Fev[SALDO
ATUAL],Tab_02.Fev[CONTA],$F307)</f>
        <v>0</v>
      </c>
      <c r="J307" s="4">
        <f>SUMIFS(Tab_03.Mar[SALDO
ATUAL],Tab_03.Mar[CONTA],$F307)</f>
        <v>0</v>
      </c>
      <c r="K307" s="4">
        <f>SUMIFS(Tab_04.Abr[SALDO
ATUAL],Tab_04.Abr[CONTA],$F307)</f>
        <v>0</v>
      </c>
      <c r="L307" s="4">
        <f>SUMIFS(Tab_05.Mai[SALDO
ATUAL],Tab_05.Mai[CONTA],$F307)</f>
        <v>0</v>
      </c>
      <c r="M307" s="4">
        <f>SUMIFS(Tab_06.Jun[SALDO
ATUAL],Tab_06.Jun[CONTA],$F307)</f>
        <v>0</v>
      </c>
      <c r="N307" s="4">
        <f>SUMIFS(Tab_07.Jul[SALDO
ATUAL],Tab_07.Jul[CONTA],$F307)</f>
        <v>0</v>
      </c>
      <c r="O307" s="4">
        <f>SUMIFS(Tab_08.Ago[SALDO
ATUAL],Tab_08.Ago[CONTA],$F307)</f>
        <v>0</v>
      </c>
      <c r="P307" s="4">
        <f>SUMIFS(Tab_09.Set[SALDO
ATUAL],Tab_09.Set[CONTA],$F307)</f>
        <v>0</v>
      </c>
      <c r="Q307" s="4">
        <f>SUMIFS(Tab_10.Out[SALDO
ATUAL],Tab_10.Out[CONTA],$F307)</f>
        <v>0</v>
      </c>
      <c r="R307" s="4">
        <f>SUMIFS(Tab_11.Nov[SALDO
ATUAL],Tab_11.Nov[CONTA],$F307)</f>
        <v>0</v>
      </c>
      <c r="S307" s="4">
        <f>SUMIFS(Tab_12.Dez[SALDO
ATUAL],Tab_12.Dez[CONTA],$F307)</f>
        <v>0</v>
      </c>
    </row>
    <row r="308" spans="2:19" x14ac:dyDescent="0.3">
      <c r="B308" s="3" t="s">
        <v>105</v>
      </c>
      <c r="C308" s="2" t="str">
        <f>IF($F308="","",IF(LEFT($F308,1)*1=1,"A",IF(LEFT($F308,1)*1=2,"P",IF(LEFT($F308,1)*1=3,"R",IF(LEFT($F308,1)*1=4,"C",IF(LEFT($F308,1)*1=5,"C",""))))))</f>
        <v>C</v>
      </c>
      <c r="D308" s="2" t="str">
        <f>IF($F308="","",IF(LEN($F308)=13,"A","S"))</f>
        <v>A</v>
      </c>
      <c r="E308" s="2">
        <f>IF($F308="","",IF(LEN($F308)=1,1,IF(LEN($F308)=3,2,IF(LEN($F308)=5,3,IF(LEN($F308)=8,4,5)))))</f>
        <v>5</v>
      </c>
      <c r="F308" s="3" t="s">
        <v>739</v>
      </c>
      <c r="G308" s="3" t="s">
        <v>740</v>
      </c>
      <c r="H308" s="4">
        <f>SUMIFS(Tab_01.Jan[SALDO
ATUAL],Tab_01.Jan[CONTA],$F308)</f>
        <v>287.74</v>
      </c>
      <c r="I308" s="4">
        <f>SUMIFS(Tab_02.Fev[SALDO
ATUAL],Tab_02.Fev[CONTA],$F308)</f>
        <v>287.74</v>
      </c>
      <c r="J308" s="4">
        <f>SUMIFS(Tab_03.Mar[SALDO
ATUAL],Tab_03.Mar[CONTA],$F308)</f>
        <v>863.22</v>
      </c>
      <c r="K308" s="4">
        <f>SUMIFS(Tab_04.Abr[SALDO
ATUAL],Tab_04.Abr[CONTA],$F308)</f>
        <v>1150.96</v>
      </c>
      <c r="L308" s="4">
        <f>SUMIFS(Tab_05.Mai[SALDO
ATUAL],Tab_05.Mai[CONTA],$F308)</f>
        <v>1438.7</v>
      </c>
      <c r="M308" s="4">
        <f>SUMIFS(Tab_06.Jun[SALDO
ATUAL],Tab_06.Jun[CONTA],$F308)</f>
        <v>2014.18</v>
      </c>
      <c r="N308" s="4">
        <f>SUMIFS(Tab_07.Jul[SALDO
ATUAL],Tab_07.Jul[CONTA],$F308)</f>
        <v>2014.18</v>
      </c>
      <c r="O308" s="4">
        <f>SUMIFS(Tab_08.Ago[SALDO
ATUAL],Tab_08.Ago[CONTA],$F308)</f>
        <v>2014.18</v>
      </c>
      <c r="P308" s="4">
        <f>SUMIFS(Tab_09.Set[SALDO
ATUAL],Tab_09.Set[CONTA],$F308)</f>
        <v>2577.0700000000002</v>
      </c>
      <c r="Q308" s="4">
        <f>SUMIFS(Tab_10.Out[SALDO
ATUAL],Tab_10.Out[CONTA],$F308)</f>
        <v>2868.83</v>
      </c>
      <c r="R308" s="4">
        <f>SUMIFS(Tab_11.Nov[SALDO
ATUAL],Tab_11.Nov[CONTA],$F308)</f>
        <v>3160.59</v>
      </c>
      <c r="S308" s="4">
        <f>SUMIFS(Tab_12.Dez[SALDO
ATUAL],Tab_12.Dez[CONTA],$F308)</f>
        <v>3452.35</v>
      </c>
    </row>
    <row r="309" spans="2:19" x14ac:dyDescent="0.3">
      <c r="B309" s="3"/>
      <c r="C309" s="2" t="str">
        <f t="shared" si="17"/>
        <v>C</v>
      </c>
      <c r="D309" s="2" t="str">
        <f t="shared" si="21"/>
        <v>S</v>
      </c>
      <c r="E309" s="2">
        <f t="shared" si="22"/>
        <v>5</v>
      </c>
      <c r="F309" s="3" t="s">
        <v>618</v>
      </c>
      <c r="G309" s="3" t="s">
        <v>722</v>
      </c>
      <c r="H309" s="4">
        <f>SUMIFS(Tab_01.Jan[SALDO
ATUAL],Tab_01.Jan[CONTA],$F309)</f>
        <v>2260.8200000000002</v>
      </c>
      <c r="I309" s="4">
        <f>SUMIFS(Tab_02.Fev[SALDO
ATUAL],Tab_02.Fev[CONTA],$F309)</f>
        <v>5016.62</v>
      </c>
      <c r="J309" s="4">
        <f>SUMIFS(Tab_03.Mar[SALDO
ATUAL],Tab_03.Mar[CONTA],$F309)</f>
        <v>7514.12</v>
      </c>
      <c r="K309" s="4">
        <f>SUMIFS(Tab_04.Abr[SALDO
ATUAL],Tab_04.Abr[CONTA],$F309)</f>
        <v>10230.26</v>
      </c>
      <c r="L309" s="4">
        <f>SUMIFS(Tab_05.Mai[SALDO
ATUAL],Tab_05.Mai[CONTA],$F309)</f>
        <v>12812.29</v>
      </c>
      <c r="M309" s="4">
        <f>SUMIFS(Tab_06.Jun[SALDO
ATUAL],Tab_06.Jun[CONTA],$F309)</f>
        <v>18055.939999999999</v>
      </c>
      <c r="N309" s="4">
        <f>SUMIFS(Tab_07.Jul[SALDO
ATUAL],Tab_07.Jul[CONTA],$F309)</f>
        <v>18055.939999999999</v>
      </c>
      <c r="O309" s="4">
        <f>SUMIFS(Tab_08.Ago[SALDO
ATUAL],Tab_08.Ago[CONTA],$F309)</f>
        <v>18055.939999999999</v>
      </c>
      <c r="P309" s="4">
        <f>SUMIFS(Tab_09.Set[SALDO
ATUAL],Tab_09.Set[CONTA],$F309)</f>
        <v>23714.41</v>
      </c>
      <c r="Q309" s="4">
        <f>SUMIFS(Tab_10.Out[SALDO
ATUAL],Tab_10.Out[CONTA],$F309)</f>
        <v>26950.21</v>
      </c>
      <c r="R309" s="4">
        <f>SUMIFS(Tab_11.Nov[SALDO
ATUAL],Tab_11.Nov[CONTA],$F309)</f>
        <v>29211.68</v>
      </c>
      <c r="S309" s="4">
        <f>SUMIFS(Tab_12.Dez[SALDO
ATUAL],Tab_12.Dez[CONTA],$F309)</f>
        <v>31920.35</v>
      </c>
    </row>
    <row r="310" spans="2:19" x14ac:dyDescent="0.3">
      <c r="B310" s="3" t="s">
        <v>105</v>
      </c>
      <c r="C310" s="2" t="str">
        <f t="shared" si="17"/>
        <v>C</v>
      </c>
      <c r="D310" s="2" t="str">
        <f t="shared" si="21"/>
        <v>A</v>
      </c>
      <c r="E310" s="2">
        <f t="shared" si="22"/>
        <v>5</v>
      </c>
      <c r="F310" s="3" t="s">
        <v>511</v>
      </c>
      <c r="G310" s="3" t="s">
        <v>512</v>
      </c>
      <c r="H310" s="4">
        <f>SUMIFS(Tab_01.Jan[SALDO
ATUAL],Tab_01.Jan[CONTA],$F310)</f>
        <v>2260.8200000000002</v>
      </c>
      <c r="I310" s="4">
        <f>SUMIFS(Tab_02.Fev[SALDO
ATUAL],Tab_02.Fev[CONTA],$F310)</f>
        <v>5016.62</v>
      </c>
      <c r="J310" s="4">
        <f>SUMIFS(Tab_03.Mar[SALDO
ATUAL],Tab_03.Mar[CONTA],$F310)</f>
        <v>7514.12</v>
      </c>
      <c r="K310" s="4">
        <f>SUMIFS(Tab_04.Abr[SALDO
ATUAL],Tab_04.Abr[CONTA],$F310)</f>
        <v>10230.26</v>
      </c>
      <c r="L310" s="4">
        <f>SUMIFS(Tab_05.Mai[SALDO
ATUAL],Tab_05.Mai[CONTA],$F310)</f>
        <v>12812.29</v>
      </c>
      <c r="M310" s="4">
        <f>SUMIFS(Tab_06.Jun[SALDO
ATUAL],Tab_06.Jun[CONTA],$F310)</f>
        <v>18055.939999999999</v>
      </c>
      <c r="N310" s="4">
        <f>SUMIFS(Tab_07.Jul[SALDO
ATUAL],Tab_07.Jul[CONTA],$F310)</f>
        <v>18055.939999999999</v>
      </c>
      <c r="O310" s="4">
        <f>SUMIFS(Tab_08.Ago[SALDO
ATUAL],Tab_08.Ago[CONTA],$F310)</f>
        <v>18055.939999999999</v>
      </c>
      <c r="P310" s="4">
        <f>SUMIFS(Tab_09.Set[SALDO
ATUAL],Tab_09.Set[CONTA],$F310)</f>
        <v>23714.41</v>
      </c>
      <c r="Q310" s="4">
        <f>SUMIFS(Tab_10.Out[SALDO
ATUAL],Tab_10.Out[CONTA],$F310)</f>
        <v>26950.21</v>
      </c>
      <c r="R310" s="4">
        <f>SUMIFS(Tab_11.Nov[SALDO
ATUAL],Tab_11.Nov[CONTA],$F310)</f>
        <v>29211.68</v>
      </c>
      <c r="S310" s="4">
        <f>SUMIFS(Tab_12.Dez[SALDO
ATUAL],Tab_12.Dez[CONTA],$F310)</f>
        <v>31920.35</v>
      </c>
    </row>
    <row r="311" spans="2:19" x14ac:dyDescent="0.3">
      <c r="B311" s="3" t="s">
        <v>105</v>
      </c>
      <c r="C311" s="2" t="str">
        <f t="shared" si="17"/>
        <v>C</v>
      </c>
      <c r="D311" s="2" t="str">
        <f t="shared" si="21"/>
        <v>A</v>
      </c>
      <c r="E311" s="2">
        <f t="shared" si="22"/>
        <v>5</v>
      </c>
      <c r="F311" s="3" t="s">
        <v>513</v>
      </c>
      <c r="G311" s="3" t="s">
        <v>514</v>
      </c>
      <c r="H311" s="4">
        <f>SUMIFS(Tab_01.Jan[SALDO
ATUAL],Tab_01.Jan[CONTA],$F311)</f>
        <v>0</v>
      </c>
      <c r="I311" s="4">
        <f>SUMIFS(Tab_02.Fev[SALDO
ATUAL],Tab_02.Fev[CONTA],$F311)</f>
        <v>0</v>
      </c>
      <c r="J311" s="4">
        <f>SUMIFS(Tab_03.Mar[SALDO
ATUAL],Tab_03.Mar[CONTA],$F311)</f>
        <v>0</v>
      </c>
      <c r="K311" s="4">
        <f>SUMIFS(Tab_04.Abr[SALDO
ATUAL],Tab_04.Abr[CONTA],$F311)</f>
        <v>0</v>
      </c>
      <c r="L311" s="4">
        <f>SUMIFS(Tab_05.Mai[SALDO
ATUAL],Tab_05.Mai[CONTA],$F311)</f>
        <v>0</v>
      </c>
      <c r="M311" s="4">
        <f>SUMIFS(Tab_06.Jun[SALDO
ATUAL],Tab_06.Jun[CONTA],$F311)</f>
        <v>0</v>
      </c>
      <c r="N311" s="4">
        <f>SUMIFS(Tab_07.Jul[SALDO
ATUAL],Tab_07.Jul[CONTA],$F311)</f>
        <v>0</v>
      </c>
      <c r="O311" s="4">
        <f>SUMIFS(Tab_08.Ago[SALDO
ATUAL],Tab_08.Ago[CONTA],$F311)</f>
        <v>0</v>
      </c>
      <c r="P311" s="4">
        <f>SUMIFS(Tab_09.Set[SALDO
ATUAL],Tab_09.Set[CONTA],$F311)</f>
        <v>0</v>
      </c>
      <c r="Q311" s="4">
        <f>SUMIFS(Tab_10.Out[SALDO
ATUAL],Tab_10.Out[CONTA],$F311)</f>
        <v>0</v>
      </c>
      <c r="R311" s="4">
        <f>SUMIFS(Tab_11.Nov[SALDO
ATUAL],Tab_11.Nov[CONTA],$F311)</f>
        <v>0</v>
      </c>
      <c r="S311" s="4">
        <f>SUMIFS(Tab_12.Dez[SALDO
ATUAL],Tab_12.Dez[CONTA],$F311)</f>
        <v>0</v>
      </c>
    </row>
    <row r="312" spans="2:19" x14ac:dyDescent="0.3">
      <c r="B312" s="3"/>
      <c r="C312" s="2" t="str">
        <f t="shared" si="17"/>
        <v>C</v>
      </c>
      <c r="D312" s="2" t="str">
        <f t="shared" si="21"/>
        <v>S</v>
      </c>
      <c r="E312" s="2">
        <f t="shared" si="22"/>
        <v>5</v>
      </c>
      <c r="F312" s="3" t="s">
        <v>619</v>
      </c>
      <c r="G312" s="3" t="s">
        <v>420</v>
      </c>
      <c r="H312" s="4">
        <f>SUMIFS(Tab_01.Jan[SALDO
ATUAL],Tab_01.Jan[CONTA],$F312)</f>
        <v>1716.83</v>
      </c>
      <c r="I312" s="4">
        <f>SUMIFS(Tab_02.Fev[SALDO
ATUAL],Tab_02.Fev[CONTA],$F312)</f>
        <v>3359.44</v>
      </c>
      <c r="J312" s="4">
        <f>SUMIFS(Tab_03.Mar[SALDO
ATUAL],Tab_03.Mar[CONTA],$F312)</f>
        <v>4983.47</v>
      </c>
      <c r="K312" s="4">
        <f>SUMIFS(Tab_04.Abr[SALDO
ATUAL],Tab_04.Abr[CONTA],$F312)</f>
        <v>17868.78</v>
      </c>
      <c r="L312" s="4">
        <f>SUMIFS(Tab_05.Mai[SALDO
ATUAL],Tab_05.Mai[CONTA],$F312)</f>
        <v>19503.13</v>
      </c>
      <c r="M312" s="4">
        <f>SUMIFS(Tab_06.Jun[SALDO
ATUAL],Tab_06.Jun[CONTA],$F312)</f>
        <v>22689.200000000001</v>
      </c>
      <c r="N312" s="4">
        <f>SUMIFS(Tab_07.Jul[SALDO
ATUAL],Tab_07.Jul[CONTA],$F312)</f>
        <v>22689.200000000001</v>
      </c>
      <c r="O312" s="4">
        <f>SUMIFS(Tab_08.Ago[SALDO
ATUAL],Tab_08.Ago[CONTA],$F312)</f>
        <v>22689.200000000001</v>
      </c>
      <c r="P312" s="4">
        <f>SUMIFS(Tab_09.Set[SALDO
ATUAL],Tab_09.Set[CONTA],$F312)</f>
        <v>25996.38</v>
      </c>
      <c r="Q312" s="4">
        <f>SUMIFS(Tab_10.Out[SALDO
ATUAL],Tab_10.Out[CONTA],$F312)</f>
        <v>29110.11</v>
      </c>
      <c r="R312" s="4">
        <f>SUMIFS(Tab_11.Nov[SALDO
ATUAL],Tab_11.Nov[CONTA],$F312)</f>
        <v>31008.639999999999</v>
      </c>
      <c r="S312" s="4">
        <f>SUMIFS(Tab_12.Dez[SALDO
ATUAL],Tab_12.Dez[CONTA],$F312)</f>
        <v>33383.35</v>
      </c>
    </row>
    <row r="313" spans="2:19" x14ac:dyDescent="0.3">
      <c r="B313" s="3" t="s">
        <v>105</v>
      </c>
      <c r="C313" s="2" t="str">
        <f t="shared" si="17"/>
        <v>C</v>
      </c>
      <c r="D313" s="2" t="str">
        <f t="shared" si="21"/>
        <v>A</v>
      </c>
      <c r="E313" s="2">
        <f t="shared" si="22"/>
        <v>5</v>
      </c>
      <c r="F313" s="3" t="s">
        <v>515</v>
      </c>
      <c r="G313" s="3" t="s">
        <v>420</v>
      </c>
      <c r="H313" s="4">
        <f>SUMIFS(Tab_01.Jan[SALDO
ATUAL],Tab_01.Jan[CONTA],$F313)</f>
        <v>1716.83</v>
      </c>
      <c r="I313" s="4">
        <f>SUMIFS(Tab_02.Fev[SALDO
ATUAL],Tab_02.Fev[CONTA],$F313)</f>
        <v>3359.44</v>
      </c>
      <c r="J313" s="4">
        <f>SUMIFS(Tab_03.Mar[SALDO
ATUAL],Tab_03.Mar[CONTA],$F313)</f>
        <v>4983.47</v>
      </c>
      <c r="K313" s="4">
        <f>SUMIFS(Tab_04.Abr[SALDO
ATUAL],Tab_04.Abr[CONTA],$F313)</f>
        <v>17868.78</v>
      </c>
      <c r="L313" s="4">
        <f>SUMIFS(Tab_05.Mai[SALDO
ATUAL],Tab_05.Mai[CONTA],$F313)</f>
        <v>19503.13</v>
      </c>
      <c r="M313" s="4">
        <f>SUMIFS(Tab_06.Jun[SALDO
ATUAL],Tab_06.Jun[CONTA],$F313)</f>
        <v>22689.200000000001</v>
      </c>
      <c r="N313" s="4">
        <f>SUMIFS(Tab_07.Jul[SALDO
ATUAL],Tab_07.Jul[CONTA],$F313)</f>
        <v>22689.200000000001</v>
      </c>
      <c r="O313" s="4">
        <f>SUMIFS(Tab_08.Ago[SALDO
ATUAL],Tab_08.Ago[CONTA],$F313)</f>
        <v>22689.200000000001</v>
      </c>
      <c r="P313" s="4">
        <f>SUMIFS(Tab_09.Set[SALDO
ATUAL],Tab_09.Set[CONTA],$F313)</f>
        <v>25996.38</v>
      </c>
      <c r="Q313" s="4">
        <f>SUMIFS(Tab_10.Out[SALDO
ATUAL],Tab_10.Out[CONTA],$F313)</f>
        <v>29110.11</v>
      </c>
      <c r="R313" s="4">
        <f>SUMIFS(Tab_11.Nov[SALDO
ATUAL],Tab_11.Nov[CONTA],$F313)</f>
        <v>31008.639999999999</v>
      </c>
      <c r="S313" s="4">
        <f>SUMIFS(Tab_12.Dez[SALDO
ATUAL],Tab_12.Dez[CONTA],$F313)</f>
        <v>33383.35</v>
      </c>
    </row>
    <row r="314" spans="2:19" x14ac:dyDescent="0.3">
      <c r="B314" s="3"/>
      <c r="C314" s="2" t="str">
        <f t="shared" si="17"/>
        <v>C</v>
      </c>
      <c r="D314" s="2" t="str">
        <f t="shared" si="21"/>
        <v>S</v>
      </c>
      <c r="E314" s="2">
        <f t="shared" si="22"/>
        <v>5</v>
      </c>
      <c r="F314" s="3" t="s">
        <v>620</v>
      </c>
      <c r="G314" s="3" t="s">
        <v>517</v>
      </c>
      <c r="H314" s="4">
        <f>SUMIFS(Tab_01.Jan[SALDO
ATUAL],Tab_01.Jan[CONTA],$F314)</f>
        <v>0</v>
      </c>
      <c r="I314" s="4">
        <f>SUMIFS(Tab_02.Fev[SALDO
ATUAL],Tab_02.Fev[CONTA],$F314)</f>
        <v>0</v>
      </c>
      <c r="J314" s="4">
        <f>SUMIFS(Tab_03.Mar[SALDO
ATUAL],Tab_03.Mar[CONTA],$F314)</f>
        <v>0</v>
      </c>
      <c r="K314" s="4">
        <f>SUMIFS(Tab_04.Abr[SALDO
ATUAL],Tab_04.Abr[CONTA],$F314)</f>
        <v>0</v>
      </c>
      <c r="L314" s="4">
        <f>SUMIFS(Tab_05.Mai[SALDO
ATUAL],Tab_05.Mai[CONTA],$F314)</f>
        <v>0</v>
      </c>
      <c r="M314" s="4">
        <f>SUMIFS(Tab_06.Jun[SALDO
ATUAL],Tab_06.Jun[CONTA],$F314)</f>
        <v>0</v>
      </c>
      <c r="N314" s="4">
        <f>SUMIFS(Tab_07.Jul[SALDO
ATUAL],Tab_07.Jul[CONTA],$F314)</f>
        <v>0</v>
      </c>
      <c r="O314" s="4">
        <f>SUMIFS(Tab_08.Ago[SALDO
ATUAL],Tab_08.Ago[CONTA],$F314)</f>
        <v>0</v>
      </c>
      <c r="P314" s="4">
        <f>SUMIFS(Tab_09.Set[SALDO
ATUAL],Tab_09.Set[CONTA],$F314)</f>
        <v>0</v>
      </c>
      <c r="Q314" s="4">
        <f>SUMIFS(Tab_10.Out[SALDO
ATUAL],Tab_10.Out[CONTA],$F314)</f>
        <v>0</v>
      </c>
      <c r="R314" s="4">
        <f>SUMIFS(Tab_11.Nov[SALDO
ATUAL],Tab_11.Nov[CONTA],$F314)</f>
        <v>0</v>
      </c>
      <c r="S314" s="4">
        <f>SUMIFS(Tab_12.Dez[SALDO
ATUAL],Tab_12.Dez[CONTA],$F314)</f>
        <v>0</v>
      </c>
    </row>
    <row r="315" spans="2:19" x14ac:dyDescent="0.3">
      <c r="B315" s="3" t="s">
        <v>105</v>
      </c>
      <c r="C315" s="2" t="str">
        <f t="shared" si="17"/>
        <v>C</v>
      </c>
      <c r="D315" s="2" t="str">
        <f t="shared" si="21"/>
        <v>A</v>
      </c>
      <c r="E315" s="2">
        <f t="shared" si="22"/>
        <v>5</v>
      </c>
      <c r="F315" s="3" t="s">
        <v>516</v>
      </c>
      <c r="G315" s="3" t="s">
        <v>517</v>
      </c>
      <c r="H315" s="4">
        <f>SUMIFS(Tab_01.Jan[SALDO
ATUAL],Tab_01.Jan[CONTA],$F315)</f>
        <v>0</v>
      </c>
      <c r="I315" s="4">
        <f>SUMIFS(Tab_02.Fev[SALDO
ATUAL],Tab_02.Fev[CONTA],$F315)</f>
        <v>0</v>
      </c>
      <c r="J315" s="4">
        <f>SUMIFS(Tab_03.Mar[SALDO
ATUAL],Tab_03.Mar[CONTA],$F315)</f>
        <v>0</v>
      </c>
      <c r="K315" s="4">
        <f>SUMIFS(Tab_04.Abr[SALDO
ATUAL],Tab_04.Abr[CONTA],$F315)</f>
        <v>0</v>
      </c>
      <c r="L315" s="4">
        <f>SUMIFS(Tab_05.Mai[SALDO
ATUAL],Tab_05.Mai[CONTA],$F315)</f>
        <v>0</v>
      </c>
      <c r="M315" s="4">
        <f>SUMIFS(Tab_06.Jun[SALDO
ATUAL],Tab_06.Jun[CONTA],$F315)</f>
        <v>0</v>
      </c>
      <c r="N315" s="4">
        <f>SUMIFS(Tab_07.Jul[SALDO
ATUAL],Tab_07.Jul[CONTA],$F315)</f>
        <v>0</v>
      </c>
      <c r="O315" s="4">
        <f>SUMIFS(Tab_08.Ago[SALDO
ATUAL],Tab_08.Ago[CONTA],$F315)</f>
        <v>0</v>
      </c>
      <c r="P315" s="4">
        <f>SUMIFS(Tab_09.Set[SALDO
ATUAL],Tab_09.Set[CONTA],$F315)</f>
        <v>0</v>
      </c>
      <c r="Q315" s="4">
        <f>SUMIFS(Tab_10.Out[SALDO
ATUAL],Tab_10.Out[CONTA],$F315)</f>
        <v>0</v>
      </c>
      <c r="R315" s="4">
        <f>SUMIFS(Tab_11.Nov[SALDO
ATUAL],Tab_11.Nov[CONTA],$F315)</f>
        <v>0</v>
      </c>
      <c r="S315" s="4">
        <f>SUMIFS(Tab_12.Dez[SALDO
ATUAL],Tab_12.Dez[CONTA],$F315)</f>
        <v>0</v>
      </c>
    </row>
    <row r="316" spans="2:19" x14ac:dyDescent="0.3">
      <c r="B316" s="3"/>
      <c r="C316" s="2" t="str">
        <f t="shared" si="17"/>
        <v>C</v>
      </c>
      <c r="D316" s="2" t="str">
        <f t="shared" ref="D316:D350" si="23">IF($F316="","",IF(LEN($F316)=13,"A","S"))</f>
        <v>S</v>
      </c>
      <c r="E316" s="2">
        <f t="shared" ref="E316:E350" si="24">IF($F316="","",IF(LEN($F316)=1,1,IF(LEN($F316)=3,2,IF(LEN($F316)=5,3,IF(LEN($F316)=8,4,5)))))</f>
        <v>5</v>
      </c>
      <c r="F316" s="3" t="s">
        <v>621</v>
      </c>
      <c r="G316" s="3" t="s">
        <v>723</v>
      </c>
      <c r="H316" s="4">
        <f>SUMIFS(Tab_01.Jan[SALDO
ATUAL],Tab_01.Jan[CONTA],$F316)</f>
        <v>1467.2</v>
      </c>
      <c r="I316" s="4">
        <f>SUMIFS(Tab_02.Fev[SALDO
ATUAL],Tab_02.Fev[CONTA],$F316)</f>
        <v>3368.58</v>
      </c>
      <c r="J316" s="4">
        <f>SUMIFS(Tab_03.Mar[SALDO
ATUAL],Tab_03.Mar[CONTA],$F316)</f>
        <v>4660.51</v>
      </c>
      <c r="K316" s="4">
        <f>SUMIFS(Tab_04.Abr[SALDO
ATUAL],Tab_04.Abr[CONTA],$F316)</f>
        <v>7137.43</v>
      </c>
      <c r="L316" s="4">
        <f>SUMIFS(Tab_05.Mai[SALDO
ATUAL],Tab_05.Mai[CONTA],$F316)</f>
        <v>8588.81</v>
      </c>
      <c r="M316" s="4">
        <f>SUMIFS(Tab_06.Jun[SALDO
ATUAL],Tab_06.Jun[CONTA],$F316)</f>
        <v>11741.31</v>
      </c>
      <c r="N316" s="4">
        <f>SUMIFS(Tab_07.Jul[SALDO
ATUAL],Tab_07.Jul[CONTA],$F316)</f>
        <v>11741.31</v>
      </c>
      <c r="O316" s="4">
        <f>SUMIFS(Tab_08.Ago[SALDO
ATUAL],Tab_08.Ago[CONTA],$F316)</f>
        <v>11741.31</v>
      </c>
      <c r="P316" s="4">
        <f>SUMIFS(Tab_09.Set[SALDO
ATUAL],Tab_09.Set[CONTA],$F316)</f>
        <v>14314</v>
      </c>
      <c r="Q316" s="4">
        <f>SUMIFS(Tab_10.Out[SALDO
ATUAL],Tab_10.Out[CONTA],$F316)</f>
        <v>26456.14</v>
      </c>
      <c r="R316" s="4">
        <f>SUMIFS(Tab_11.Nov[SALDO
ATUAL],Tab_11.Nov[CONTA],$F316)</f>
        <v>27620.18</v>
      </c>
      <c r="S316" s="4">
        <f>SUMIFS(Tab_12.Dez[SALDO
ATUAL],Tab_12.Dez[CONTA],$F316)</f>
        <v>28499.52</v>
      </c>
    </row>
    <row r="317" spans="2:19" x14ac:dyDescent="0.3">
      <c r="B317" s="3"/>
      <c r="C317" s="2" t="str">
        <f t="shared" si="17"/>
        <v>C</v>
      </c>
      <c r="D317" s="2" t="str">
        <f t="shared" si="23"/>
        <v>S</v>
      </c>
      <c r="E317" s="2">
        <f t="shared" si="24"/>
        <v>5</v>
      </c>
      <c r="F317" s="3" t="s">
        <v>622</v>
      </c>
      <c r="G317" s="3" t="s">
        <v>723</v>
      </c>
      <c r="H317" s="4">
        <f>SUMIFS(Tab_01.Jan[SALDO
ATUAL],Tab_01.Jan[CONTA],$F317)</f>
        <v>1467.2</v>
      </c>
      <c r="I317" s="4">
        <f>SUMIFS(Tab_02.Fev[SALDO
ATUAL],Tab_02.Fev[CONTA],$F317)</f>
        <v>3368.58</v>
      </c>
      <c r="J317" s="4">
        <f>SUMIFS(Tab_03.Mar[SALDO
ATUAL],Tab_03.Mar[CONTA],$F317)</f>
        <v>4660.51</v>
      </c>
      <c r="K317" s="4">
        <f>SUMIFS(Tab_04.Abr[SALDO
ATUAL],Tab_04.Abr[CONTA],$F317)</f>
        <v>7137.43</v>
      </c>
      <c r="L317" s="4">
        <f>SUMIFS(Tab_05.Mai[SALDO
ATUAL],Tab_05.Mai[CONTA],$F317)</f>
        <v>8588.81</v>
      </c>
      <c r="M317" s="4">
        <f>SUMIFS(Tab_06.Jun[SALDO
ATUAL],Tab_06.Jun[CONTA],$F317)</f>
        <v>11741.31</v>
      </c>
      <c r="N317" s="4">
        <f>SUMIFS(Tab_07.Jul[SALDO
ATUAL],Tab_07.Jul[CONTA],$F317)</f>
        <v>11741.31</v>
      </c>
      <c r="O317" s="4">
        <f>SUMIFS(Tab_08.Ago[SALDO
ATUAL],Tab_08.Ago[CONTA],$F317)</f>
        <v>11741.31</v>
      </c>
      <c r="P317" s="4">
        <f>SUMIFS(Tab_09.Set[SALDO
ATUAL],Tab_09.Set[CONTA],$F317)</f>
        <v>14314</v>
      </c>
      <c r="Q317" s="4">
        <f>SUMIFS(Tab_10.Out[SALDO
ATUAL],Tab_10.Out[CONTA],$F317)</f>
        <v>26456.14</v>
      </c>
      <c r="R317" s="4">
        <f>SUMIFS(Tab_11.Nov[SALDO
ATUAL],Tab_11.Nov[CONTA],$F317)</f>
        <v>27620.18</v>
      </c>
      <c r="S317" s="4">
        <f>SUMIFS(Tab_12.Dez[SALDO
ATUAL],Tab_12.Dez[CONTA],$F317)</f>
        <v>28499.52</v>
      </c>
    </row>
    <row r="318" spans="2:19" x14ac:dyDescent="0.3">
      <c r="B318" s="3" t="s">
        <v>105</v>
      </c>
      <c r="C318" s="2" t="str">
        <f t="shared" ref="C318:C350" si="25">IF($F318="","",IF(LEFT($F318,1)*1=1,"A",IF(LEFT($F318,1)*1=2,"P",IF(LEFT($F318,1)*1=3,"R",IF(LEFT($F318,1)*1=4,"C",IF(LEFT($F318,1)*1=5,"C",""))))))</f>
        <v>C</v>
      </c>
      <c r="D318" s="2" t="str">
        <f t="shared" si="23"/>
        <v>A</v>
      </c>
      <c r="E318" s="2">
        <f t="shared" si="24"/>
        <v>5</v>
      </c>
      <c r="F318" s="3" t="s">
        <v>518</v>
      </c>
      <c r="G318" s="3" t="s">
        <v>519</v>
      </c>
      <c r="H318" s="4">
        <f>SUMIFS(Tab_01.Jan[SALDO
ATUAL],Tab_01.Jan[CONTA],$F318)</f>
        <v>1467.2</v>
      </c>
      <c r="I318" s="4">
        <f>SUMIFS(Tab_02.Fev[SALDO
ATUAL],Tab_02.Fev[CONTA],$F318)</f>
        <v>3368.58</v>
      </c>
      <c r="J318" s="4">
        <f>SUMIFS(Tab_03.Mar[SALDO
ATUAL],Tab_03.Mar[CONTA],$F318)</f>
        <v>4660.51</v>
      </c>
      <c r="K318" s="4">
        <f>SUMIFS(Tab_04.Abr[SALDO
ATUAL],Tab_04.Abr[CONTA],$F318)</f>
        <v>7137.43</v>
      </c>
      <c r="L318" s="4">
        <f>SUMIFS(Tab_05.Mai[SALDO
ATUAL],Tab_05.Mai[CONTA],$F318)</f>
        <v>8588.81</v>
      </c>
      <c r="M318" s="4">
        <f>SUMIFS(Tab_06.Jun[SALDO
ATUAL],Tab_06.Jun[CONTA],$F318)</f>
        <v>11741.31</v>
      </c>
      <c r="N318" s="4">
        <f>SUMIFS(Tab_07.Jul[SALDO
ATUAL],Tab_07.Jul[CONTA],$F318)</f>
        <v>11741.31</v>
      </c>
      <c r="O318" s="4">
        <f>SUMIFS(Tab_08.Ago[SALDO
ATUAL],Tab_08.Ago[CONTA],$F318)</f>
        <v>11741.31</v>
      </c>
      <c r="P318" s="4">
        <f>SUMIFS(Tab_09.Set[SALDO
ATUAL],Tab_09.Set[CONTA],$F318)</f>
        <v>14314</v>
      </c>
      <c r="Q318" s="4">
        <f>SUMIFS(Tab_10.Out[SALDO
ATUAL],Tab_10.Out[CONTA],$F318)</f>
        <v>26456.14</v>
      </c>
      <c r="R318" s="4">
        <f>SUMIFS(Tab_11.Nov[SALDO
ATUAL],Tab_11.Nov[CONTA],$F318)</f>
        <v>27620.18</v>
      </c>
      <c r="S318" s="4">
        <f>SUMIFS(Tab_12.Dez[SALDO
ATUAL],Tab_12.Dez[CONTA],$F318)</f>
        <v>28499.52</v>
      </c>
    </row>
    <row r="319" spans="2:19" x14ac:dyDescent="0.3">
      <c r="B319" s="3"/>
      <c r="C319" s="2" t="str">
        <f t="shared" si="25"/>
        <v>C</v>
      </c>
      <c r="D319" s="2" t="str">
        <f t="shared" si="23"/>
        <v>S</v>
      </c>
      <c r="E319" s="2">
        <f t="shared" si="24"/>
        <v>5</v>
      </c>
      <c r="F319" s="3" t="s">
        <v>623</v>
      </c>
      <c r="G319" s="3" t="s">
        <v>724</v>
      </c>
      <c r="H319" s="4">
        <f>SUMIFS(Tab_01.Jan[SALDO
ATUAL],Tab_01.Jan[CONTA],$F319)</f>
        <v>5364.1</v>
      </c>
      <c r="I319" s="4">
        <f>SUMIFS(Tab_02.Fev[SALDO
ATUAL],Tab_02.Fev[CONTA],$F319)</f>
        <v>5364.1</v>
      </c>
      <c r="J319" s="4">
        <f>SUMIFS(Tab_03.Mar[SALDO
ATUAL],Tab_03.Mar[CONTA],$F319)</f>
        <v>14280.89</v>
      </c>
      <c r="K319" s="4">
        <f>SUMIFS(Tab_04.Abr[SALDO
ATUAL],Tab_04.Abr[CONTA],$F319)</f>
        <v>17947.939999999999</v>
      </c>
      <c r="L319" s="4">
        <f>SUMIFS(Tab_05.Mai[SALDO
ATUAL],Tab_05.Mai[CONTA],$F319)</f>
        <v>21614.99</v>
      </c>
      <c r="M319" s="4">
        <f>SUMIFS(Tab_06.Jun[SALDO
ATUAL],Tab_06.Jun[CONTA],$F319)</f>
        <v>28948.49</v>
      </c>
      <c r="N319" s="4">
        <f>SUMIFS(Tab_07.Jul[SALDO
ATUAL],Tab_07.Jul[CONTA],$F319)</f>
        <v>28948.49</v>
      </c>
      <c r="O319" s="4">
        <f>SUMIFS(Tab_08.Ago[SALDO
ATUAL],Tab_08.Ago[CONTA],$F319)</f>
        <v>28948.49</v>
      </c>
      <c r="P319" s="4">
        <f>SUMIFS(Tab_09.Set[SALDO
ATUAL],Tab_09.Set[CONTA],$F319)</f>
        <v>36281.99</v>
      </c>
      <c r="Q319" s="4">
        <f>SUMIFS(Tab_10.Out[SALDO
ATUAL],Tab_10.Out[CONTA],$F319)</f>
        <v>39948.74</v>
      </c>
      <c r="R319" s="4">
        <f>SUMIFS(Tab_11.Nov[SALDO
ATUAL],Tab_11.Nov[CONTA],$F319)</f>
        <v>43615.49</v>
      </c>
      <c r="S319" s="4">
        <f>SUMIFS(Tab_12.Dez[SALDO
ATUAL],Tab_12.Dez[CONTA],$F319)</f>
        <v>47282.239999999998</v>
      </c>
    </row>
    <row r="320" spans="2:19" x14ac:dyDescent="0.3">
      <c r="B320" s="3"/>
      <c r="C320" s="2" t="str">
        <f t="shared" si="25"/>
        <v>C</v>
      </c>
      <c r="D320" s="2" t="str">
        <f t="shared" si="23"/>
        <v>S</v>
      </c>
      <c r="E320" s="2">
        <f t="shared" si="24"/>
        <v>5</v>
      </c>
      <c r="F320" s="3" t="s">
        <v>624</v>
      </c>
      <c r="G320" s="3" t="s">
        <v>724</v>
      </c>
      <c r="H320" s="4">
        <f>SUMIFS(Tab_01.Jan[SALDO
ATUAL],Tab_01.Jan[CONTA],$F320)</f>
        <v>5364.1</v>
      </c>
      <c r="I320" s="4">
        <f>SUMIFS(Tab_02.Fev[SALDO
ATUAL],Tab_02.Fev[CONTA],$F320)</f>
        <v>5364.1</v>
      </c>
      <c r="J320" s="4">
        <f>SUMIFS(Tab_03.Mar[SALDO
ATUAL],Tab_03.Mar[CONTA],$F320)</f>
        <v>14280.89</v>
      </c>
      <c r="K320" s="4">
        <f>SUMIFS(Tab_04.Abr[SALDO
ATUAL],Tab_04.Abr[CONTA],$F320)</f>
        <v>17947.939999999999</v>
      </c>
      <c r="L320" s="4">
        <f>SUMIFS(Tab_05.Mai[SALDO
ATUAL],Tab_05.Mai[CONTA],$F320)</f>
        <v>21614.99</v>
      </c>
      <c r="M320" s="4">
        <f>SUMIFS(Tab_06.Jun[SALDO
ATUAL],Tab_06.Jun[CONTA],$F320)</f>
        <v>28948.49</v>
      </c>
      <c r="N320" s="4">
        <f>SUMIFS(Tab_07.Jul[SALDO
ATUAL],Tab_07.Jul[CONTA],$F320)</f>
        <v>28948.49</v>
      </c>
      <c r="O320" s="4">
        <f>SUMIFS(Tab_08.Ago[SALDO
ATUAL],Tab_08.Ago[CONTA],$F320)</f>
        <v>28948.49</v>
      </c>
      <c r="P320" s="4">
        <f>SUMIFS(Tab_09.Set[SALDO
ATUAL],Tab_09.Set[CONTA],$F320)</f>
        <v>36281.99</v>
      </c>
      <c r="Q320" s="4">
        <f>SUMIFS(Tab_10.Out[SALDO
ATUAL],Tab_10.Out[CONTA],$F320)</f>
        <v>39948.74</v>
      </c>
      <c r="R320" s="4">
        <f>SUMIFS(Tab_11.Nov[SALDO
ATUAL],Tab_11.Nov[CONTA],$F320)</f>
        <v>43615.49</v>
      </c>
      <c r="S320" s="4">
        <f>SUMIFS(Tab_12.Dez[SALDO
ATUAL],Tab_12.Dez[CONTA],$F320)</f>
        <v>47282.239999999998</v>
      </c>
    </row>
    <row r="321" spans="2:19" x14ac:dyDescent="0.3">
      <c r="B321" s="3" t="s">
        <v>109</v>
      </c>
      <c r="C321" s="2" t="str">
        <f t="shared" si="25"/>
        <v>C</v>
      </c>
      <c r="D321" s="2" t="str">
        <f t="shared" si="23"/>
        <v>A</v>
      </c>
      <c r="E321" s="2">
        <f t="shared" si="24"/>
        <v>5</v>
      </c>
      <c r="F321" s="3" t="s">
        <v>520</v>
      </c>
      <c r="G321" s="3" t="s">
        <v>521</v>
      </c>
      <c r="H321" s="4">
        <f>SUMIFS(Tab_01.Jan[SALDO
ATUAL],Tab_01.Jan[CONTA],$F321)</f>
        <v>5364.1</v>
      </c>
      <c r="I321" s="4">
        <f>SUMIFS(Tab_02.Fev[SALDO
ATUAL],Tab_02.Fev[CONTA],$F321)</f>
        <v>5364.1</v>
      </c>
      <c r="J321" s="4">
        <f>SUMIFS(Tab_03.Mar[SALDO
ATUAL],Tab_03.Mar[CONTA],$F321)</f>
        <v>14280.89</v>
      </c>
      <c r="K321" s="4">
        <f>SUMIFS(Tab_04.Abr[SALDO
ATUAL],Tab_04.Abr[CONTA],$F321)</f>
        <v>17947.939999999999</v>
      </c>
      <c r="L321" s="4">
        <f>SUMIFS(Tab_05.Mai[SALDO
ATUAL],Tab_05.Mai[CONTA],$F321)</f>
        <v>21614.99</v>
      </c>
      <c r="M321" s="4">
        <f>SUMIFS(Tab_06.Jun[SALDO
ATUAL],Tab_06.Jun[CONTA],$F321)</f>
        <v>28948.49</v>
      </c>
      <c r="N321" s="4">
        <f>SUMIFS(Tab_07.Jul[SALDO
ATUAL],Tab_07.Jul[CONTA],$F321)</f>
        <v>28948.49</v>
      </c>
      <c r="O321" s="4">
        <f>SUMIFS(Tab_08.Ago[SALDO
ATUAL],Tab_08.Ago[CONTA],$F321)</f>
        <v>28948.49</v>
      </c>
      <c r="P321" s="4">
        <f>SUMIFS(Tab_09.Set[SALDO
ATUAL],Tab_09.Set[CONTA],$F321)</f>
        <v>36281.99</v>
      </c>
      <c r="Q321" s="4">
        <f>SUMIFS(Tab_10.Out[SALDO
ATUAL],Tab_10.Out[CONTA],$F321)</f>
        <v>39948.74</v>
      </c>
      <c r="R321" s="4">
        <f>SUMIFS(Tab_11.Nov[SALDO
ATUAL],Tab_11.Nov[CONTA],$F321)</f>
        <v>43615.49</v>
      </c>
      <c r="S321" s="4">
        <f>SUMIFS(Tab_12.Dez[SALDO
ATUAL],Tab_12.Dez[CONTA],$F321)</f>
        <v>47282.239999999998</v>
      </c>
    </row>
    <row r="322" spans="2:19" x14ac:dyDescent="0.3">
      <c r="B322" s="3"/>
      <c r="C322" s="2" t="str">
        <f t="shared" si="25"/>
        <v>C</v>
      </c>
      <c r="D322" s="2" t="str">
        <f t="shared" si="23"/>
        <v>S</v>
      </c>
      <c r="E322" s="2">
        <f t="shared" si="24"/>
        <v>5</v>
      </c>
      <c r="F322" s="3" t="s">
        <v>625</v>
      </c>
      <c r="G322" s="3" t="s">
        <v>542</v>
      </c>
      <c r="H322" s="4">
        <f>SUMIFS(Tab_01.Jan[SALDO
ATUAL],Tab_01.Jan[CONTA],$F322)</f>
        <v>3062.08</v>
      </c>
      <c r="I322" s="4">
        <f>SUMIFS(Tab_02.Fev[SALDO
ATUAL],Tab_02.Fev[CONTA],$F322)</f>
        <v>6953.75</v>
      </c>
      <c r="J322" s="4">
        <f>SUMIFS(Tab_03.Mar[SALDO
ATUAL],Tab_03.Mar[CONTA],$F322)</f>
        <v>25831.68</v>
      </c>
      <c r="K322" s="4">
        <f>SUMIFS(Tab_04.Abr[SALDO
ATUAL],Tab_04.Abr[CONTA],$F322)</f>
        <v>27813.96</v>
      </c>
      <c r="L322" s="4">
        <f>SUMIFS(Tab_05.Mai[SALDO
ATUAL],Tab_05.Mai[CONTA],$F322)</f>
        <v>31526.46</v>
      </c>
      <c r="M322" s="4">
        <f>SUMIFS(Tab_06.Jun[SALDO
ATUAL],Tab_06.Jun[CONTA],$F322)</f>
        <v>37696.74</v>
      </c>
      <c r="N322" s="4">
        <f>SUMIFS(Tab_07.Jul[SALDO
ATUAL],Tab_07.Jul[CONTA],$F322)</f>
        <v>37696.74</v>
      </c>
      <c r="O322" s="4">
        <f>SUMIFS(Tab_08.Ago[SALDO
ATUAL],Tab_08.Ago[CONTA],$F322)</f>
        <v>37696.74</v>
      </c>
      <c r="P322" s="4">
        <f>SUMIFS(Tab_09.Set[SALDO
ATUAL],Tab_09.Set[CONTA],$F322)</f>
        <v>44494.89</v>
      </c>
      <c r="Q322" s="4">
        <f>SUMIFS(Tab_10.Out[SALDO
ATUAL],Tab_10.Out[CONTA],$F322)</f>
        <v>49651.39</v>
      </c>
      <c r="R322" s="4">
        <f>SUMIFS(Tab_11.Nov[SALDO
ATUAL],Tab_11.Nov[CONTA],$F322)</f>
        <v>54858.26</v>
      </c>
      <c r="S322" s="4">
        <f>SUMIFS(Tab_12.Dez[SALDO
ATUAL],Tab_12.Dez[CONTA],$F322)</f>
        <v>64292.98</v>
      </c>
    </row>
    <row r="323" spans="2:19" x14ac:dyDescent="0.3">
      <c r="B323" s="3"/>
      <c r="C323" s="2" t="str">
        <f t="shared" si="25"/>
        <v>C</v>
      </c>
      <c r="D323" s="2" t="str">
        <f t="shared" si="23"/>
        <v>S</v>
      </c>
      <c r="E323" s="2">
        <f t="shared" si="24"/>
        <v>5</v>
      </c>
      <c r="F323" s="3" t="s">
        <v>626</v>
      </c>
      <c r="G323" s="3" t="s">
        <v>725</v>
      </c>
      <c r="H323" s="4">
        <f>SUMIFS(Tab_01.Jan[SALDO
ATUAL],Tab_01.Jan[CONTA],$F323)</f>
        <v>1075.6099999999999</v>
      </c>
      <c r="I323" s="4">
        <f>SUMIFS(Tab_02.Fev[SALDO
ATUAL],Tab_02.Fev[CONTA],$F323)</f>
        <v>2419.91</v>
      </c>
      <c r="J323" s="4">
        <f>SUMIFS(Tab_03.Mar[SALDO
ATUAL],Tab_03.Mar[CONTA],$F323)</f>
        <v>15442.9</v>
      </c>
      <c r="K323" s="4">
        <f>SUMIFS(Tab_04.Abr[SALDO
ATUAL],Tab_04.Abr[CONTA],$F323)</f>
        <v>15868.35</v>
      </c>
      <c r="L323" s="4">
        <f>SUMIFS(Tab_05.Mai[SALDO
ATUAL],Tab_05.Mai[CONTA],$F323)</f>
        <v>15983.85</v>
      </c>
      <c r="M323" s="4">
        <f>SUMIFS(Tab_06.Jun[SALDO
ATUAL],Tab_06.Jun[CONTA],$F323)</f>
        <v>16096.81</v>
      </c>
      <c r="N323" s="4">
        <f>SUMIFS(Tab_07.Jul[SALDO
ATUAL],Tab_07.Jul[CONTA],$F323)</f>
        <v>16096.81</v>
      </c>
      <c r="O323" s="4">
        <f>SUMIFS(Tab_08.Ago[SALDO
ATUAL],Tab_08.Ago[CONTA],$F323)</f>
        <v>16096.81</v>
      </c>
      <c r="P323" s="4">
        <f>SUMIFS(Tab_09.Set[SALDO
ATUAL],Tab_09.Set[CONTA],$F323)</f>
        <v>16197.91</v>
      </c>
      <c r="Q323" s="4">
        <f>SUMIFS(Tab_10.Out[SALDO
ATUAL],Tab_10.Out[CONTA],$F323)</f>
        <v>16197.91</v>
      </c>
      <c r="R323" s="4">
        <f>SUMIFS(Tab_11.Nov[SALDO
ATUAL],Tab_11.Nov[CONTA],$F323)</f>
        <v>17541.150000000001</v>
      </c>
      <c r="S323" s="4">
        <f>SUMIFS(Tab_12.Dez[SALDO
ATUAL],Tab_12.Dez[CONTA],$F323)</f>
        <v>17565.77</v>
      </c>
    </row>
    <row r="324" spans="2:19" x14ac:dyDescent="0.3">
      <c r="B324" s="3" t="s">
        <v>108</v>
      </c>
      <c r="C324" s="2" t="str">
        <f t="shared" si="25"/>
        <v>C</v>
      </c>
      <c r="D324" s="2" t="str">
        <f t="shared" si="23"/>
        <v>A</v>
      </c>
      <c r="E324" s="2">
        <f t="shared" si="24"/>
        <v>5</v>
      </c>
      <c r="F324" s="3" t="s">
        <v>522</v>
      </c>
      <c r="G324" s="3" t="s">
        <v>523</v>
      </c>
      <c r="H324" s="4">
        <f>SUMIFS(Tab_01.Jan[SALDO
ATUAL],Tab_01.Jan[CONTA],$F324)</f>
        <v>1075.6099999999999</v>
      </c>
      <c r="I324" s="4">
        <f>SUMIFS(Tab_02.Fev[SALDO
ATUAL],Tab_02.Fev[CONTA],$F324)</f>
        <v>2404.58</v>
      </c>
      <c r="J324" s="4">
        <f>SUMIFS(Tab_03.Mar[SALDO
ATUAL],Tab_03.Mar[CONTA],$F324)</f>
        <v>15412.24</v>
      </c>
      <c r="K324" s="4">
        <f>SUMIFS(Tab_04.Abr[SALDO
ATUAL],Tab_04.Abr[CONTA],$F324)</f>
        <v>15412.24</v>
      </c>
      <c r="L324" s="4">
        <f>SUMIFS(Tab_05.Mai[SALDO
ATUAL],Tab_05.Mai[CONTA],$F324)</f>
        <v>15527.74</v>
      </c>
      <c r="M324" s="4">
        <f>SUMIFS(Tab_06.Jun[SALDO
ATUAL],Tab_06.Jun[CONTA],$F324)</f>
        <v>15527.74</v>
      </c>
      <c r="N324" s="4">
        <f>SUMIFS(Tab_07.Jul[SALDO
ATUAL],Tab_07.Jul[CONTA],$F324)</f>
        <v>15527.74</v>
      </c>
      <c r="O324" s="4">
        <f>SUMIFS(Tab_08.Ago[SALDO
ATUAL],Tab_08.Ago[CONTA],$F324)</f>
        <v>15527.74</v>
      </c>
      <c r="P324" s="4">
        <f>SUMIFS(Tab_09.Set[SALDO
ATUAL],Tab_09.Set[CONTA],$F324)</f>
        <v>15527.74</v>
      </c>
      <c r="Q324" s="4">
        <f>SUMIFS(Tab_10.Out[SALDO
ATUAL],Tab_10.Out[CONTA],$F324)</f>
        <v>15527.74</v>
      </c>
      <c r="R324" s="4">
        <f>SUMIFS(Tab_11.Nov[SALDO
ATUAL],Tab_11.Nov[CONTA],$F324)</f>
        <v>16854.34</v>
      </c>
      <c r="S324" s="4">
        <f>SUMIFS(Tab_12.Dez[SALDO
ATUAL],Tab_12.Dez[CONTA],$F324)</f>
        <v>16854.34</v>
      </c>
    </row>
    <row r="325" spans="2:19" x14ac:dyDescent="0.3">
      <c r="B325" s="3" t="s">
        <v>67</v>
      </c>
      <c r="C325" s="2" t="str">
        <f t="shared" si="25"/>
        <v>C</v>
      </c>
      <c r="D325" s="2" t="str">
        <f t="shared" si="23"/>
        <v>A</v>
      </c>
      <c r="E325" s="2">
        <f t="shared" si="24"/>
        <v>5</v>
      </c>
      <c r="F325" s="3" t="s">
        <v>524</v>
      </c>
      <c r="G325" s="3" t="s">
        <v>525</v>
      </c>
      <c r="H325" s="4">
        <f>SUMIFS(Tab_01.Jan[SALDO
ATUAL],Tab_01.Jan[CONTA],$F325)</f>
        <v>0</v>
      </c>
      <c r="I325" s="4">
        <f>SUMIFS(Tab_02.Fev[SALDO
ATUAL],Tab_02.Fev[CONTA],$F325)</f>
        <v>15.33</v>
      </c>
      <c r="J325" s="4">
        <f>SUMIFS(Tab_03.Mar[SALDO
ATUAL],Tab_03.Mar[CONTA],$F325)</f>
        <v>30.66</v>
      </c>
      <c r="K325" s="4">
        <f>SUMIFS(Tab_04.Abr[SALDO
ATUAL],Tab_04.Abr[CONTA],$F325)</f>
        <v>456.11</v>
      </c>
      <c r="L325" s="4">
        <f>SUMIFS(Tab_05.Mai[SALDO
ATUAL],Tab_05.Mai[CONTA],$F325)</f>
        <v>456.11</v>
      </c>
      <c r="M325" s="4">
        <f>SUMIFS(Tab_06.Jun[SALDO
ATUAL],Tab_06.Jun[CONTA],$F325)</f>
        <v>569.07000000000005</v>
      </c>
      <c r="N325" s="4">
        <f>SUMIFS(Tab_07.Jul[SALDO
ATUAL],Tab_07.Jul[CONTA],$F325)</f>
        <v>569.07000000000005</v>
      </c>
      <c r="O325" s="4">
        <f>SUMIFS(Tab_08.Ago[SALDO
ATUAL],Tab_08.Ago[CONTA],$F325)</f>
        <v>569.07000000000005</v>
      </c>
      <c r="P325" s="4">
        <f>SUMIFS(Tab_09.Set[SALDO
ATUAL],Tab_09.Set[CONTA],$F325)</f>
        <v>670.17</v>
      </c>
      <c r="Q325" s="4">
        <f>SUMIFS(Tab_10.Out[SALDO
ATUAL],Tab_10.Out[CONTA],$F325)</f>
        <v>670.17</v>
      </c>
      <c r="R325" s="4">
        <f>SUMIFS(Tab_11.Nov[SALDO
ATUAL],Tab_11.Nov[CONTA],$F325)</f>
        <v>686.81</v>
      </c>
      <c r="S325" s="4">
        <f>SUMIFS(Tab_12.Dez[SALDO
ATUAL],Tab_12.Dez[CONTA],$F325)</f>
        <v>711.43</v>
      </c>
    </row>
    <row r="326" spans="2:19" x14ac:dyDescent="0.3">
      <c r="B326" s="3" t="s">
        <v>108</v>
      </c>
      <c r="C326" s="2" t="str">
        <f t="shared" si="25"/>
        <v>C</v>
      </c>
      <c r="D326" s="2" t="str">
        <f t="shared" si="23"/>
        <v>A</v>
      </c>
      <c r="E326" s="2">
        <f t="shared" si="24"/>
        <v>5</v>
      </c>
      <c r="F326" s="3" t="s">
        <v>526</v>
      </c>
      <c r="G326" s="3" t="s">
        <v>527</v>
      </c>
      <c r="H326" s="4">
        <f>SUMIFS(Tab_01.Jan[SALDO
ATUAL],Tab_01.Jan[CONTA],$F326)</f>
        <v>0</v>
      </c>
      <c r="I326" s="4">
        <f>SUMIFS(Tab_02.Fev[SALDO
ATUAL],Tab_02.Fev[CONTA],$F326)</f>
        <v>0</v>
      </c>
      <c r="J326" s="4">
        <f>SUMIFS(Tab_03.Mar[SALDO
ATUAL],Tab_03.Mar[CONTA],$F326)</f>
        <v>0</v>
      </c>
      <c r="K326" s="4">
        <f>SUMIFS(Tab_04.Abr[SALDO
ATUAL],Tab_04.Abr[CONTA],$F326)</f>
        <v>0</v>
      </c>
      <c r="L326" s="4">
        <f>SUMIFS(Tab_05.Mai[SALDO
ATUAL],Tab_05.Mai[CONTA],$F326)</f>
        <v>0</v>
      </c>
      <c r="M326" s="4">
        <f>SUMIFS(Tab_06.Jun[SALDO
ATUAL],Tab_06.Jun[CONTA],$F326)</f>
        <v>0</v>
      </c>
      <c r="N326" s="4">
        <f>SUMIFS(Tab_07.Jul[SALDO
ATUAL],Tab_07.Jul[CONTA],$F326)</f>
        <v>0</v>
      </c>
      <c r="O326" s="4">
        <f>SUMIFS(Tab_08.Ago[SALDO
ATUAL],Tab_08.Ago[CONTA],$F326)</f>
        <v>0</v>
      </c>
      <c r="P326" s="4">
        <f>SUMIFS(Tab_09.Set[SALDO
ATUAL],Tab_09.Set[CONTA],$F326)</f>
        <v>0</v>
      </c>
      <c r="Q326" s="4">
        <f>SUMIFS(Tab_10.Out[SALDO
ATUAL],Tab_10.Out[CONTA],$F326)</f>
        <v>0</v>
      </c>
      <c r="R326" s="4">
        <f>SUMIFS(Tab_11.Nov[SALDO
ATUAL],Tab_11.Nov[CONTA],$F326)</f>
        <v>0</v>
      </c>
      <c r="S326" s="4">
        <f>SUMIFS(Tab_12.Dez[SALDO
ATUAL],Tab_12.Dez[CONTA],$F326)</f>
        <v>0</v>
      </c>
    </row>
    <row r="327" spans="2:19" x14ac:dyDescent="0.3">
      <c r="B327" s="3"/>
      <c r="C327" s="2" t="str">
        <f t="shared" si="25"/>
        <v>C</v>
      </c>
      <c r="D327" s="2" t="str">
        <f t="shared" si="23"/>
        <v>S</v>
      </c>
      <c r="E327" s="2">
        <f t="shared" si="24"/>
        <v>5</v>
      </c>
      <c r="F327" s="3" t="s">
        <v>627</v>
      </c>
      <c r="G327" s="3" t="s">
        <v>542</v>
      </c>
      <c r="H327" s="4">
        <f>SUMIFS(Tab_01.Jan[SALDO
ATUAL],Tab_01.Jan[CONTA],$F327)</f>
        <v>1986.47</v>
      </c>
      <c r="I327" s="4">
        <f>SUMIFS(Tab_02.Fev[SALDO
ATUAL],Tab_02.Fev[CONTA],$F327)</f>
        <v>4533.84</v>
      </c>
      <c r="J327" s="4">
        <f>SUMIFS(Tab_03.Mar[SALDO
ATUAL],Tab_03.Mar[CONTA],$F327)</f>
        <v>10388.780000000001</v>
      </c>
      <c r="K327" s="4">
        <f>SUMIFS(Tab_04.Abr[SALDO
ATUAL],Tab_04.Abr[CONTA],$F327)</f>
        <v>11945.61</v>
      </c>
      <c r="L327" s="4">
        <f>SUMIFS(Tab_05.Mai[SALDO
ATUAL],Tab_05.Mai[CONTA],$F327)</f>
        <v>15542.61</v>
      </c>
      <c r="M327" s="4">
        <f>SUMIFS(Tab_06.Jun[SALDO
ATUAL],Tab_06.Jun[CONTA],$F327)</f>
        <v>21599.93</v>
      </c>
      <c r="N327" s="4">
        <f>SUMIFS(Tab_07.Jul[SALDO
ATUAL],Tab_07.Jul[CONTA],$F327)</f>
        <v>21599.93</v>
      </c>
      <c r="O327" s="4">
        <f>SUMIFS(Tab_08.Ago[SALDO
ATUAL],Tab_08.Ago[CONTA],$F327)</f>
        <v>21599.93</v>
      </c>
      <c r="P327" s="4">
        <f>SUMIFS(Tab_09.Set[SALDO
ATUAL],Tab_09.Set[CONTA],$F327)</f>
        <v>28296.98</v>
      </c>
      <c r="Q327" s="4">
        <f>SUMIFS(Tab_10.Out[SALDO
ATUAL],Tab_10.Out[CONTA],$F327)</f>
        <v>33453.480000000003</v>
      </c>
      <c r="R327" s="4">
        <f>SUMIFS(Tab_11.Nov[SALDO
ATUAL],Tab_11.Nov[CONTA],$F327)</f>
        <v>37317.11</v>
      </c>
      <c r="S327" s="4">
        <f>SUMIFS(Tab_12.Dez[SALDO
ATUAL],Tab_12.Dez[CONTA],$F327)</f>
        <v>46727.21</v>
      </c>
    </row>
    <row r="328" spans="2:19" x14ac:dyDescent="0.3">
      <c r="B328" s="3" t="s">
        <v>105</v>
      </c>
      <c r="C328" s="2" t="str">
        <f t="shared" si="25"/>
        <v>C</v>
      </c>
      <c r="D328" s="2" t="str">
        <f t="shared" si="23"/>
        <v>A</v>
      </c>
      <c r="E328" s="2">
        <f t="shared" si="24"/>
        <v>5</v>
      </c>
      <c r="F328" s="3" t="s">
        <v>528</v>
      </c>
      <c r="G328" s="3" t="s">
        <v>416</v>
      </c>
      <c r="H328" s="4">
        <f>SUMIFS(Tab_01.Jan[SALDO
ATUAL],Tab_01.Jan[CONTA],$F328)</f>
        <v>100.59</v>
      </c>
      <c r="I328" s="4">
        <f>SUMIFS(Tab_02.Fev[SALDO
ATUAL],Tab_02.Fev[CONTA],$F328)</f>
        <v>100.59</v>
      </c>
      <c r="J328" s="4">
        <f>SUMIFS(Tab_03.Mar[SALDO
ATUAL],Tab_03.Mar[CONTA],$F328)</f>
        <v>349.64</v>
      </c>
      <c r="K328" s="4">
        <f>SUMIFS(Tab_04.Abr[SALDO
ATUAL],Tab_04.Abr[CONTA],$F328)</f>
        <v>399.64</v>
      </c>
      <c r="L328" s="4">
        <f>SUMIFS(Tab_05.Mai[SALDO
ATUAL],Tab_05.Mai[CONTA],$F328)</f>
        <v>494.45</v>
      </c>
      <c r="M328" s="4">
        <f>SUMIFS(Tab_06.Jun[SALDO
ATUAL],Tab_06.Jun[CONTA],$F328)</f>
        <v>750.01</v>
      </c>
      <c r="N328" s="4">
        <f>SUMIFS(Tab_07.Jul[SALDO
ATUAL],Tab_07.Jul[CONTA],$F328)</f>
        <v>750.01</v>
      </c>
      <c r="O328" s="4">
        <f>SUMIFS(Tab_08.Ago[SALDO
ATUAL],Tab_08.Ago[CONTA],$F328)</f>
        <v>750.01</v>
      </c>
      <c r="P328" s="4">
        <f>SUMIFS(Tab_09.Set[SALDO
ATUAL],Tab_09.Set[CONTA],$F328)</f>
        <v>1677.42</v>
      </c>
      <c r="Q328" s="4">
        <f>SUMIFS(Tab_10.Out[SALDO
ATUAL],Tab_10.Out[CONTA],$F328)</f>
        <v>2464.7399999999998</v>
      </c>
      <c r="R328" s="4">
        <f>SUMIFS(Tab_11.Nov[SALDO
ATUAL],Tab_11.Nov[CONTA],$F328)</f>
        <v>2464.7399999999998</v>
      </c>
      <c r="S328" s="4">
        <f>SUMIFS(Tab_12.Dez[SALDO
ATUAL],Tab_12.Dez[CONTA],$F328)</f>
        <v>2464.7399999999998</v>
      </c>
    </row>
    <row r="329" spans="2:19" x14ac:dyDescent="0.3">
      <c r="B329" s="3" t="s">
        <v>105</v>
      </c>
      <c r="C329" s="2" t="str">
        <f t="shared" si="25"/>
        <v>C</v>
      </c>
      <c r="D329" s="2" t="str">
        <f t="shared" si="23"/>
        <v>A</v>
      </c>
      <c r="E329" s="2">
        <f t="shared" si="24"/>
        <v>5</v>
      </c>
      <c r="F329" s="3" t="s">
        <v>529</v>
      </c>
      <c r="G329" s="3" t="s">
        <v>530</v>
      </c>
      <c r="H329" s="4">
        <f>SUMIFS(Tab_01.Jan[SALDO
ATUAL],Tab_01.Jan[CONTA],$F329)</f>
        <v>0</v>
      </c>
      <c r="I329" s="4">
        <f>SUMIFS(Tab_02.Fev[SALDO
ATUAL],Tab_02.Fev[CONTA],$F329)</f>
        <v>0</v>
      </c>
      <c r="J329" s="4">
        <f>SUMIFS(Tab_03.Mar[SALDO
ATUAL],Tab_03.Mar[CONTA],$F329)</f>
        <v>0</v>
      </c>
      <c r="K329" s="4">
        <f>SUMIFS(Tab_04.Abr[SALDO
ATUAL],Tab_04.Abr[CONTA],$F329)</f>
        <v>0</v>
      </c>
      <c r="L329" s="4">
        <f>SUMIFS(Tab_05.Mai[SALDO
ATUAL],Tab_05.Mai[CONTA],$F329)</f>
        <v>0</v>
      </c>
      <c r="M329" s="4">
        <f>SUMIFS(Tab_06.Jun[SALDO
ATUAL],Tab_06.Jun[CONTA],$F329)</f>
        <v>258</v>
      </c>
      <c r="N329" s="4">
        <f>SUMIFS(Tab_07.Jul[SALDO
ATUAL],Tab_07.Jul[CONTA],$F329)</f>
        <v>258</v>
      </c>
      <c r="O329" s="4">
        <f>SUMIFS(Tab_08.Ago[SALDO
ATUAL],Tab_08.Ago[CONTA],$F329)</f>
        <v>258</v>
      </c>
      <c r="P329" s="4">
        <f>SUMIFS(Tab_09.Set[SALDO
ATUAL],Tab_09.Set[CONTA],$F329)</f>
        <v>349.32</v>
      </c>
      <c r="Q329" s="4">
        <f>SUMIFS(Tab_10.Out[SALDO
ATUAL],Tab_10.Out[CONTA],$F329)</f>
        <v>849.32</v>
      </c>
      <c r="R329" s="4">
        <f>SUMIFS(Tab_11.Nov[SALDO
ATUAL],Tab_11.Nov[CONTA],$F329)</f>
        <v>849.32</v>
      </c>
      <c r="S329" s="4">
        <f>SUMIFS(Tab_12.Dez[SALDO
ATUAL],Tab_12.Dez[CONTA],$F329)</f>
        <v>849.32</v>
      </c>
    </row>
    <row r="330" spans="2:19" x14ac:dyDescent="0.3">
      <c r="B330" s="3" t="s">
        <v>105</v>
      </c>
      <c r="C330" s="2" t="str">
        <f t="shared" si="25"/>
        <v>C</v>
      </c>
      <c r="D330" s="2" t="str">
        <f t="shared" si="23"/>
        <v>A</v>
      </c>
      <c r="E330" s="2">
        <f t="shared" si="24"/>
        <v>5</v>
      </c>
      <c r="F330" s="3" t="s">
        <v>531</v>
      </c>
      <c r="G330" s="3" t="s">
        <v>532</v>
      </c>
      <c r="H330" s="4">
        <f>SUMIFS(Tab_01.Jan[SALDO
ATUAL],Tab_01.Jan[CONTA],$F330)</f>
        <v>114</v>
      </c>
      <c r="I330" s="4">
        <f>SUMIFS(Tab_02.Fev[SALDO
ATUAL],Tab_02.Fev[CONTA],$F330)</f>
        <v>176.97</v>
      </c>
      <c r="J330" s="4">
        <f>SUMIFS(Tab_03.Mar[SALDO
ATUAL],Tab_03.Mar[CONTA],$F330)</f>
        <v>176.97</v>
      </c>
      <c r="K330" s="4">
        <f>SUMIFS(Tab_04.Abr[SALDO
ATUAL],Tab_04.Abr[CONTA],$F330)</f>
        <v>270.23</v>
      </c>
      <c r="L330" s="4">
        <f>SUMIFS(Tab_05.Mai[SALDO
ATUAL],Tab_05.Mai[CONTA],$F330)</f>
        <v>424.04</v>
      </c>
      <c r="M330" s="4">
        <f>SUMIFS(Tab_06.Jun[SALDO
ATUAL],Tab_06.Jun[CONTA],$F330)</f>
        <v>1090.6300000000001</v>
      </c>
      <c r="N330" s="4">
        <f>SUMIFS(Tab_07.Jul[SALDO
ATUAL],Tab_07.Jul[CONTA],$F330)</f>
        <v>1090.6300000000001</v>
      </c>
      <c r="O330" s="4">
        <f>SUMIFS(Tab_08.Ago[SALDO
ATUAL],Tab_08.Ago[CONTA],$F330)</f>
        <v>1090.6300000000001</v>
      </c>
      <c r="P330" s="4">
        <f>SUMIFS(Tab_09.Set[SALDO
ATUAL],Tab_09.Set[CONTA],$F330)</f>
        <v>1437.92</v>
      </c>
      <c r="Q330" s="4">
        <f>SUMIFS(Tab_10.Out[SALDO
ATUAL],Tab_10.Out[CONTA],$F330)</f>
        <v>1607.42</v>
      </c>
      <c r="R330" s="4">
        <f>SUMIFS(Tab_11.Nov[SALDO
ATUAL],Tab_11.Nov[CONTA],$F330)</f>
        <v>1664.1</v>
      </c>
      <c r="S330" s="4">
        <f>SUMIFS(Tab_12.Dez[SALDO
ATUAL],Tab_12.Dez[CONTA],$F330)</f>
        <v>1708.38</v>
      </c>
    </row>
    <row r="331" spans="2:19" x14ac:dyDescent="0.3">
      <c r="B331" s="3" t="s">
        <v>105</v>
      </c>
      <c r="C331" s="2" t="str">
        <f t="shared" si="25"/>
        <v>C</v>
      </c>
      <c r="D331" s="2" t="str">
        <f t="shared" si="23"/>
        <v>A</v>
      </c>
      <c r="E331" s="2">
        <f t="shared" si="24"/>
        <v>5</v>
      </c>
      <c r="F331" s="3" t="s">
        <v>533</v>
      </c>
      <c r="G331" s="3" t="s">
        <v>534</v>
      </c>
      <c r="H331" s="4">
        <f>SUMIFS(Tab_01.Jan[SALDO
ATUAL],Tab_01.Jan[CONTA],$F331)</f>
        <v>350</v>
      </c>
      <c r="I331" s="4">
        <f>SUMIFS(Tab_02.Fev[SALDO
ATUAL],Tab_02.Fev[CONTA],$F331)</f>
        <v>350</v>
      </c>
      <c r="J331" s="4">
        <f>SUMIFS(Tab_03.Mar[SALDO
ATUAL],Tab_03.Mar[CONTA],$F331)</f>
        <v>350</v>
      </c>
      <c r="K331" s="4">
        <f>SUMIFS(Tab_04.Abr[SALDO
ATUAL],Tab_04.Abr[CONTA],$F331)</f>
        <v>350</v>
      </c>
      <c r="L331" s="4">
        <f>SUMIFS(Tab_05.Mai[SALDO
ATUAL],Tab_05.Mai[CONTA],$F331)</f>
        <v>1750</v>
      </c>
      <c r="M331" s="4">
        <f>SUMIFS(Tab_06.Jun[SALDO
ATUAL],Tab_06.Jun[CONTA],$F331)</f>
        <v>2100</v>
      </c>
      <c r="N331" s="4">
        <f>SUMIFS(Tab_07.Jul[SALDO
ATUAL],Tab_07.Jul[CONTA],$F331)</f>
        <v>2100</v>
      </c>
      <c r="O331" s="4">
        <f>SUMIFS(Tab_08.Ago[SALDO
ATUAL],Tab_08.Ago[CONTA],$F331)</f>
        <v>2100</v>
      </c>
      <c r="P331" s="4">
        <f>SUMIFS(Tab_09.Set[SALDO
ATUAL],Tab_09.Set[CONTA],$F331)</f>
        <v>3798.91</v>
      </c>
      <c r="Q331" s="4">
        <f>SUMIFS(Tab_10.Out[SALDO
ATUAL],Tab_10.Out[CONTA],$F331)</f>
        <v>4988.91</v>
      </c>
      <c r="R331" s="4">
        <f>SUMIFS(Tab_11.Nov[SALDO
ATUAL],Tab_11.Nov[CONTA],$F331)</f>
        <v>7060.19</v>
      </c>
      <c r="S331" s="4">
        <f>SUMIFS(Tab_12.Dez[SALDO
ATUAL],Tab_12.Dez[CONTA],$F331)</f>
        <v>14070.19</v>
      </c>
    </row>
    <row r="332" spans="2:19" x14ac:dyDescent="0.3">
      <c r="B332" s="3" t="s">
        <v>105</v>
      </c>
      <c r="C332" s="2" t="str">
        <f t="shared" si="25"/>
        <v>C</v>
      </c>
      <c r="D332" s="2" t="str">
        <f t="shared" si="23"/>
        <v>A</v>
      </c>
      <c r="E332" s="2">
        <f t="shared" si="24"/>
        <v>5</v>
      </c>
      <c r="F332" s="3" t="s">
        <v>535</v>
      </c>
      <c r="G332" s="3" t="s">
        <v>536</v>
      </c>
      <c r="H332" s="4">
        <f>SUMIFS(Tab_01.Jan[SALDO
ATUAL],Tab_01.Jan[CONTA],$F332)</f>
        <v>0</v>
      </c>
      <c r="I332" s="4">
        <f>SUMIFS(Tab_02.Fev[SALDO
ATUAL],Tab_02.Fev[CONTA],$F332)</f>
        <v>0</v>
      </c>
      <c r="J332" s="4">
        <f>SUMIFS(Tab_03.Mar[SALDO
ATUAL],Tab_03.Mar[CONTA],$F332)</f>
        <v>0</v>
      </c>
      <c r="K332" s="4">
        <f>SUMIFS(Tab_04.Abr[SALDO
ATUAL],Tab_04.Abr[CONTA],$F332)</f>
        <v>0</v>
      </c>
      <c r="L332" s="4">
        <f>SUMIFS(Tab_05.Mai[SALDO
ATUAL],Tab_05.Mai[CONTA],$F332)</f>
        <v>0</v>
      </c>
      <c r="M332" s="4">
        <f>SUMIFS(Tab_06.Jun[SALDO
ATUAL],Tab_06.Jun[CONTA],$F332)</f>
        <v>0</v>
      </c>
      <c r="N332" s="4">
        <f>SUMIFS(Tab_07.Jul[SALDO
ATUAL],Tab_07.Jul[CONTA],$F332)</f>
        <v>0</v>
      </c>
      <c r="O332" s="4">
        <f>SUMIFS(Tab_08.Ago[SALDO
ATUAL],Tab_08.Ago[CONTA],$F332)</f>
        <v>0</v>
      </c>
      <c r="P332" s="4">
        <f>SUMIFS(Tab_09.Set[SALDO
ATUAL],Tab_09.Set[CONTA],$F332)</f>
        <v>0</v>
      </c>
      <c r="Q332" s="4">
        <f>SUMIFS(Tab_10.Out[SALDO
ATUAL],Tab_10.Out[CONTA],$F332)</f>
        <v>0</v>
      </c>
      <c r="R332" s="4">
        <f>SUMIFS(Tab_11.Nov[SALDO
ATUAL],Tab_11.Nov[CONTA],$F332)</f>
        <v>0</v>
      </c>
      <c r="S332" s="4">
        <f>SUMIFS(Tab_12.Dez[SALDO
ATUAL],Tab_12.Dez[CONTA],$F332)</f>
        <v>0</v>
      </c>
    </row>
    <row r="333" spans="2:19" x14ac:dyDescent="0.3">
      <c r="B333" s="3" t="s">
        <v>105</v>
      </c>
      <c r="C333" s="2" t="str">
        <f t="shared" si="25"/>
        <v>C</v>
      </c>
      <c r="D333" s="2" t="str">
        <f t="shared" si="23"/>
        <v>A</v>
      </c>
      <c r="E333" s="2">
        <f t="shared" si="24"/>
        <v>5</v>
      </c>
      <c r="F333" s="3" t="s">
        <v>537</v>
      </c>
      <c r="G333" s="3" t="s">
        <v>538</v>
      </c>
      <c r="H333" s="4">
        <f>SUMIFS(Tab_01.Jan[SALDO
ATUAL],Tab_01.Jan[CONTA],$F333)</f>
        <v>1059.06</v>
      </c>
      <c r="I333" s="4">
        <f>SUMIFS(Tab_02.Fev[SALDO
ATUAL],Tab_02.Fev[CONTA],$F333)</f>
        <v>1059.06</v>
      </c>
      <c r="J333" s="4">
        <f>SUMIFS(Tab_03.Mar[SALDO
ATUAL],Tab_03.Mar[CONTA],$F333)</f>
        <v>4744.78</v>
      </c>
      <c r="K333" s="4">
        <f>SUMIFS(Tab_04.Abr[SALDO
ATUAL],Tab_04.Abr[CONTA],$F333)</f>
        <v>4744.78</v>
      </c>
      <c r="L333" s="4">
        <f>SUMIFS(Tab_05.Mai[SALDO
ATUAL],Tab_05.Mai[CONTA],$F333)</f>
        <v>4744.78</v>
      </c>
      <c r="M333" s="4">
        <f>SUMIFS(Tab_06.Jun[SALDO
ATUAL],Tab_06.Jun[CONTA],$F333)</f>
        <v>4749.8900000000003</v>
      </c>
      <c r="N333" s="4">
        <f>SUMIFS(Tab_07.Jul[SALDO
ATUAL],Tab_07.Jul[CONTA],$F333)</f>
        <v>4749.8900000000003</v>
      </c>
      <c r="O333" s="4">
        <f>SUMIFS(Tab_08.Ago[SALDO
ATUAL],Tab_08.Ago[CONTA],$F333)</f>
        <v>4749.8900000000003</v>
      </c>
      <c r="P333" s="4">
        <f>SUMIFS(Tab_09.Set[SALDO
ATUAL],Tab_09.Set[CONTA],$F333)</f>
        <v>4749.8900000000003</v>
      </c>
      <c r="Q333" s="4">
        <f>SUMIFS(Tab_10.Out[SALDO
ATUAL],Tab_10.Out[CONTA],$F333)</f>
        <v>4749.8900000000003</v>
      </c>
      <c r="R333" s="4">
        <f>SUMIFS(Tab_11.Nov[SALDO
ATUAL],Tab_11.Nov[CONTA],$F333)</f>
        <v>4749.8900000000003</v>
      </c>
      <c r="S333" s="4">
        <f>SUMIFS(Tab_12.Dez[SALDO
ATUAL],Tab_12.Dez[CONTA],$F333)</f>
        <v>4756.09</v>
      </c>
    </row>
    <row r="334" spans="2:19" x14ac:dyDescent="0.3">
      <c r="B334" s="3" t="s">
        <v>105</v>
      </c>
      <c r="C334" s="2" t="str">
        <f t="shared" si="25"/>
        <v>C</v>
      </c>
      <c r="D334" s="2" t="str">
        <f t="shared" si="23"/>
        <v>A</v>
      </c>
      <c r="E334" s="2">
        <f t="shared" si="24"/>
        <v>5</v>
      </c>
      <c r="F334" s="3" t="s">
        <v>539</v>
      </c>
      <c r="G334" s="3" t="s">
        <v>540</v>
      </c>
      <c r="H334" s="4">
        <f>SUMIFS(Tab_01.Jan[SALDO
ATUAL],Tab_01.Jan[CONTA],$F334)</f>
        <v>0</v>
      </c>
      <c r="I334" s="4">
        <f>SUMIFS(Tab_02.Fev[SALDO
ATUAL],Tab_02.Fev[CONTA],$F334)</f>
        <v>2484.4</v>
      </c>
      <c r="J334" s="4">
        <f>SUMIFS(Tab_03.Mar[SALDO
ATUAL],Tab_03.Mar[CONTA],$F334)</f>
        <v>4226.5200000000004</v>
      </c>
      <c r="K334" s="4">
        <f>SUMIFS(Tab_04.Abr[SALDO
ATUAL],Tab_04.Abr[CONTA],$F334)</f>
        <v>5480.09</v>
      </c>
      <c r="L334" s="4">
        <f>SUMIFS(Tab_05.Mai[SALDO
ATUAL],Tab_05.Mai[CONTA],$F334)</f>
        <v>7128.57</v>
      </c>
      <c r="M334" s="4">
        <f>SUMIFS(Tab_06.Jun[SALDO
ATUAL],Tab_06.Jun[CONTA],$F334)</f>
        <v>10965.13</v>
      </c>
      <c r="N334" s="4">
        <f>SUMIFS(Tab_07.Jul[SALDO
ATUAL],Tab_07.Jul[CONTA],$F334)</f>
        <v>10965.13</v>
      </c>
      <c r="O334" s="4">
        <f>SUMIFS(Tab_08.Ago[SALDO
ATUAL],Tab_08.Ago[CONTA],$F334)</f>
        <v>10965.13</v>
      </c>
      <c r="P334" s="4">
        <f>SUMIFS(Tab_09.Set[SALDO
ATUAL],Tab_09.Set[CONTA],$F334)</f>
        <v>13596.8</v>
      </c>
      <c r="Q334" s="4">
        <f>SUMIFS(Tab_10.Out[SALDO
ATUAL],Tab_10.Out[CONTA],$F334)</f>
        <v>14901.6</v>
      </c>
      <c r="R334" s="4">
        <f>SUMIFS(Tab_11.Nov[SALDO
ATUAL],Tab_11.Nov[CONTA],$F334)</f>
        <v>16302.77</v>
      </c>
      <c r="S334" s="4">
        <f>SUMIFS(Tab_12.Dez[SALDO
ATUAL],Tab_12.Dez[CONTA],$F334)</f>
        <v>17650.84</v>
      </c>
    </row>
    <row r="335" spans="2:19" x14ac:dyDescent="0.3">
      <c r="B335" s="3" t="s">
        <v>105</v>
      </c>
      <c r="C335" s="2" t="str">
        <f t="shared" si="25"/>
        <v>C</v>
      </c>
      <c r="D335" s="2" t="str">
        <f t="shared" si="23"/>
        <v>A</v>
      </c>
      <c r="E335" s="2">
        <f t="shared" si="24"/>
        <v>5</v>
      </c>
      <c r="F335" s="3" t="s">
        <v>541</v>
      </c>
      <c r="G335" s="3" t="s">
        <v>542</v>
      </c>
      <c r="H335" s="4">
        <f>SUMIFS(Tab_01.Jan[SALDO
ATUAL],Tab_01.Jan[CONTA],$F335)</f>
        <v>362.82</v>
      </c>
      <c r="I335" s="4">
        <f>SUMIFS(Tab_02.Fev[SALDO
ATUAL],Tab_02.Fev[CONTA],$F335)</f>
        <v>362.82</v>
      </c>
      <c r="J335" s="4">
        <f>SUMIFS(Tab_03.Mar[SALDO
ATUAL],Tab_03.Mar[CONTA],$F335)</f>
        <v>540.87</v>
      </c>
      <c r="K335" s="4">
        <f>SUMIFS(Tab_04.Abr[SALDO
ATUAL],Tab_04.Abr[CONTA],$F335)</f>
        <v>700.87</v>
      </c>
      <c r="L335" s="4">
        <f>SUMIFS(Tab_05.Mai[SALDO
ATUAL],Tab_05.Mai[CONTA],$F335)</f>
        <v>1000.77</v>
      </c>
      <c r="M335" s="4">
        <f>SUMIFS(Tab_06.Jun[SALDO
ATUAL],Tab_06.Jun[CONTA],$F335)</f>
        <v>1686.27</v>
      </c>
      <c r="N335" s="4">
        <f>SUMIFS(Tab_07.Jul[SALDO
ATUAL],Tab_07.Jul[CONTA],$F335)</f>
        <v>1686.27</v>
      </c>
      <c r="O335" s="4">
        <f>SUMIFS(Tab_08.Ago[SALDO
ATUAL],Tab_08.Ago[CONTA],$F335)</f>
        <v>1686.27</v>
      </c>
      <c r="P335" s="4">
        <f>SUMIFS(Tab_09.Set[SALDO
ATUAL],Tab_09.Set[CONTA],$F335)</f>
        <v>2686.72</v>
      </c>
      <c r="Q335" s="4">
        <f>SUMIFS(Tab_10.Out[SALDO
ATUAL],Tab_10.Out[CONTA],$F335)</f>
        <v>3891.6</v>
      </c>
      <c r="R335" s="4">
        <f>SUMIFS(Tab_11.Nov[SALDO
ATUAL],Tab_11.Nov[CONTA],$F335)</f>
        <v>4226.1000000000004</v>
      </c>
      <c r="S335" s="4">
        <f>SUMIFS(Tab_12.Dez[SALDO
ATUAL],Tab_12.Dez[CONTA],$F335)</f>
        <v>5227.6499999999996</v>
      </c>
    </row>
    <row r="336" spans="2:19" x14ac:dyDescent="0.3">
      <c r="B336" s="3"/>
      <c r="C336" s="2" t="str">
        <f t="shared" si="25"/>
        <v>C</v>
      </c>
      <c r="D336" s="2" t="str">
        <f t="shared" si="23"/>
        <v>S</v>
      </c>
      <c r="E336" s="2">
        <f t="shared" si="24"/>
        <v>5</v>
      </c>
      <c r="F336" s="3" t="s">
        <v>628</v>
      </c>
      <c r="G336" s="3" t="s">
        <v>726</v>
      </c>
      <c r="H336" s="4">
        <f>SUMIFS(Tab_01.Jan[SALDO
ATUAL],Tab_01.Jan[CONTA],$F336)</f>
        <v>0</v>
      </c>
      <c r="I336" s="4">
        <f>SUMIFS(Tab_02.Fev[SALDO
ATUAL],Tab_02.Fev[CONTA],$F336)</f>
        <v>0</v>
      </c>
      <c r="J336" s="4">
        <f>SUMIFS(Tab_03.Mar[SALDO
ATUAL],Tab_03.Mar[CONTA],$F336)</f>
        <v>0</v>
      </c>
      <c r="K336" s="4">
        <f>SUMIFS(Tab_04.Abr[SALDO
ATUAL],Tab_04.Abr[CONTA],$F336)</f>
        <v>0</v>
      </c>
      <c r="L336" s="4">
        <f>SUMIFS(Tab_05.Mai[SALDO
ATUAL],Tab_05.Mai[CONTA],$F336)</f>
        <v>0</v>
      </c>
      <c r="M336" s="4">
        <f>SUMIFS(Tab_06.Jun[SALDO
ATUAL],Tab_06.Jun[CONTA],$F336)</f>
        <v>0</v>
      </c>
      <c r="N336" s="4">
        <f>SUMIFS(Tab_07.Jul[SALDO
ATUAL],Tab_07.Jul[CONTA],$F336)</f>
        <v>0</v>
      </c>
      <c r="O336" s="4">
        <f>SUMIFS(Tab_08.Ago[SALDO
ATUAL],Tab_08.Ago[CONTA],$F336)</f>
        <v>0</v>
      </c>
      <c r="P336" s="4">
        <f>SUMIFS(Tab_09.Set[SALDO
ATUAL],Tab_09.Set[CONTA],$F336)</f>
        <v>0</v>
      </c>
      <c r="Q336" s="4">
        <f>SUMIFS(Tab_10.Out[SALDO
ATUAL],Tab_10.Out[CONTA],$F336)</f>
        <v>0</v>
      </c>
      <c r="R336" s="4">
        <f>SUMIFS(Tab_11.Nov[SALDO
ATUAL],Tab_11.Nov[CONTA],$F336)</f>
        <v>0</v>
      </c>
      <c r="S336" s="4">
        <f>SUMIFS(Tab_12.Dez[SALDO
ATUAL],Tab_12.Dez[CONTA],$F336)</f>
        <v>0</v>
      </c>
    </row>
    <row r="337" spans="2:19" x14ac:dyDescent="0.3">
      <c r="B337" s="3"/>
      <c r="C337" s="2" t="str">
        <f t="shared" si="25"/>
        <v>C</v>
      </c>
      <c r="D337" s="2" t="str">
        <f t="shared" si="23"/>
        <v>S</v>
      </c>
      <c r="E337" s="2">
        <f t="shared" si="24"/>
        <v>5</v>
      </c>
      <c r="F337" s="3" t="s">
        <v>629</v>
      </c>
      <c r="G337" s="3" t="s">
        <v>727</v>
      </c>
      <c r="H337" s="4">
        <f>SUMIFS(Tab_01.Jan[SALDO
ATUAL],Tab_01.Jan[CONTA],$F337)</f>
        <v>0</v>
      </c>
      <c r="I337" s="4">
        <f>SUMIFS(Tab_02.Fev[SALDO
ATUAL],Tab_02.Fev[CONTA],$F337)</f>
        <v>0</v>
      </c>
      <c r="J337" s="4">
        <f>SUMIFS(Tab_03.Mar[SALDO
ATUAL],Tab_03.Mar[CONTA],$F337)</f>
        <v>0</v>
      </c>
      <c r="K337" s="4">
        <f>SUMIFS(Tab_04.Abr[SALDO
ATUAL],Tab_04.Abr[CONTA],$F337)</f>
        <v>0</v>
      </c>
      <c r="L337" s="4">
        <f>SUMIFS(Tab_05.Mai[SALDO
ATUAL],Tab_05.Mai[CONTA],$F337)</f>
        <v>0</v>
      </c>
      <c r="M337" s="4">
        <f>SUMIFS(Tab_06.Jun[SALDO
ATUAL],Tab_06.Jun[CONTA],$F337)</f>
        <v>0</v>
      </c>
      <c r="N337" s="4">
        <f>SUMIFS(Tab_07.Jul[SALDO
ATUAL],Tab_07.Jul[CONTA],$F337)</f>
        <v>0</v>
      </c>
      <c r="O337" s="4">
        <f>SUMIFS(Tab_08.Ago[SALDO
ATUAL],Tab_08.Ago[CONTA],$F337)</f>
        <v>0</v>
      </c>
      <c r="P337" s="4">
        <f>SUMIFS(Tab_09.Set[SALDO
ATUAL],Tab_09.Set[CONTA],$F337)</f>
        <v>0</v>
      </c>
      <c r="Q337" s="4">
        <f>SUMIFS(Tab_10.Out[SALDO
ATUAL],Tab_10.Out[CONTA],$F337)</f>
        <v>0</v>
      </c>
      <c r="R337" s="4">
        <f>SUMIFS(Tab_11.Nov[SALDO
ATUAL],Tab_11.Nov[CONTA],$F337)</f>
        <v>0</v>
      </c>
      <c r="S337" s="4">
        <f>SUMIFS(Tab_12.Dez[SALDO
ATUAL],Tab_12.Dez[CONTA],$F337)</f>
        <v>0</v>
      </c>
    </row>
    <row r="338" spans="2:19" x14ac:dyDescent="0.3">
      <c r="B338" s="3" t="s">
        <v>66</v>
      </c>
      <c r="C338" s="2" t="str">
        <f t="shared" si="25"/>
        <v>C</v>
      </c>
      <c r="D338" s="2" t="str">
        <f t="shared" si="23"/>
        <v>A</v>
      </c>
      <c r="E338" s="2">
        <f t="shared" si="24"/>
        <v>5</v>
      </c>
      <c r="F338" s="3" t="s">
        <v>543</v>
      </c>
      <c r="G338" s="3" t="s">
        <v>544</v>
      </c>
      <c r="H338" s="4">
        <f>SUMIFS(Tab_01.Jan[SALDO
ATUAL],Tab_01.Jan[CONTA],$F338)</f>
        <v>0</v>
      </c>
      <c r="I338" s="4">
        <f>SUMIFS(Tab_02.Fev[SALDO
ATUAL],Tab_02.Fev[CONTA],$F338)</f>
        <v>0</v>
      </c>
      <c r="J338" s="4">
        <f>SUMIFS(Tab_03.Mar[SALDO
ATUAL],Tab_03.Mar[CONTA],$F338)</f>
        <v>0</v>
      </c>
      <c r="K338" s="4">
        <f>SUMIFS(Tab_04.Abr[SALDO
ATUAL],Tab_04.Abr[CONTA],$F338)</f>
        <v>0</v>
      </c>
      <c r="L338" s="4">
        <f>SUMIFS(Tab_05.Mai[SALDO
ATUAL],Tab_05.Mai[CONTA],$F338)</f>
        <v>0</v>
      </c>
      <c r="M338" s="4">
        <f>SUMIFS(Tab_06.Jun[SALDO
ATUAL],Tab_06.Jun[CONTA],$F338)</f>
        <v>0</v>
      </c>
      <c r="N338" s="4">
        <f>SUMIFS(Tab_07.Jul[SALDO
ATUAL],Tab_07.Jul[CONTA],$F338)</f>
        <v>0</v>
      </c>
      <c r="O338" s="4">
        <f>SUMIFS(Tab_08.Ago[SALDO
ATUAL],Tab_08.Ago[CONTA],$F338)</f>
        <v>0</v>
      </c>
      <c r="P338" s="4">
        <f>SUMIFS(Tab_09.Set[SALDO
ATUAL],Tab_09.Set[CONTA],$F338)</f>
        <v>0</v>
      </c>
      <c r="Q338" s="4">
        <f>SUMIFS(Tab_10.Out[SALDO
ATUAL],Tab_10.Out[CONTA],$F338)</f>
        <v>0</v>
      </c>
      <c r="R338" s="4">
        <f>SUMIFS(Tab_11.Nov[SALDO
ATUAL],Tab_11.Nov[CONTA],$F338)</f>
        <v>0</v>
      </c>
      <c r="S338" s="4">
        <f>SUMIFS(Tab_12.Dez[SALDO
ATUAL],Tab_12.Dez[CONTA],$F338)</f>
        <v>0</v>
      </c>
    </row>
    <row r="339" spans="2:19" x14ac:dyDescent="0.3">
      <c r="B339" s="3"/>
      <c r="C339" s="2" t="str">
        <f t="shared" si="25"/>
        <v>C</v>
      </c>
      <c r="D339" s="2" t="str">
        <f t="shared" si="23"/>
        <v>S</v>
      </c>
      <c r="E339" s="2">
        <f t="shared" si="24"/>
        <v>2</v>
      </c>
      <c r="F339" s="3" t="s">
        <v>630</v>
      </c>
      <c r="G339" s="3" t="s">
        <v>728</v>
      </c>
      <c r="H339" s="4">
        <f>SUMIFS(Tab_01.Jan[SALDO
ATUAL],Tab_01.Jan[CONTA],$F339)</f>
        <v>0</v>
      </c>
      <c r="I339" s="4">
        <f>SUMIFS(Tab_02.Fev[SALDO
ATUAL],Tab_02.Fev[CONTA],$F339)</f>
        <v>270</v>
      </c>
      <c r="J339" s="4">
        <f>SUMIFS(Tab_03.Mar[SALDO
ATUAL],Tab_03.Mar[CONTA],$F339)</f>
        <v>270</v>
      </c>
      <c r="K339" s="4">
        <f>SUMIFS(Tab_04.Abr[SALDO
ATUAL],Tab_04.Abr[CONTA],$F339)</f>
        <v>270</v>
      </c>
      <c r="L339" s="4">
        <f>SUMIFS(Tab_05.Mai[SALDO
ATUAL],Tab_05.Mai[CONTA],$F339)</f>
        <v>270</v>
      </c>
      <c r="M339" s="4">
        <f>SUMIFS(Tab_06.Jun[SALDO
ATUAL],Tab_06.Jun[CONTA],$F339)</f>
        <v>405</v>
      </c>
      <c r="N339" s="4">
        <f>SUMIFS(Tab_07.Jul[SALDO
ATUAL],Tab_07.Jul[CONTA],$F339)</f>
        <v>405</v>
      </c>
      <c r="O339" s="4">
        <f>SUMIFS(Tab_08.Ago[SALDO
ATUAL],Tab_08.Ago[CONTA],$F339)</f>
        <v>405</v>
      </c>
      <c r="P339" s="4">
        <f>SUMIFS(Tab_09.Set[SALDO
ATUAL],Tab_09.Set[CONTA],$F339)</f>
        <v>405</v>
      </c>
      <c r="Q339" s="4">
        <f>SUMIFS(Tab_10.Out[SALDO
ATUAL],Tab_10.Out[CONTA],$F339)</f>
        <v>405</v>
      </c>
      <c r="R339" s="4">
        <f>SUMIFS(Tab_11.Nov[SALDO
ATUAL],Tab_11.Nov[CONTA],$F339)</f>
        <v>405</v>
      </c>
      <c r="S339" s="4">
        <f>SUMIFS(Tab_12.Dez[SALDO
ATUAL],Tab_12.Dez[CONTA],$F339)</f>
        <v>405</v>
      </c>
    </row>
    <row r="340" spans="2:19" x14ac:dyDescent="0.3">
      <c r="B340" s="3"/>
      <c r="C340" s="2" t="str">
        <f t="shared" si="25"/>
        <v>C</v>
      </c>
      <c r="D340" s="2" t="str">
        <f t="shared" si="23"/>
        <v>S</v>
      </c>
      <c r="E340" s="2">
        <f t="shared" si="24"/>
        <v>5</v>
      </c>
      <c r="F340" s="3" t="s">
        <v>631</v>
      </c>
      <c r="G340" s="3" t="s">
        <v>728</v>
      </c>
      <c r="H340" s="4">
        <f>SUMIFS(Tab_01.Jan[SALDO
ATUAL],Tab_01.Jan[CONTA],$F340)</f>
        <v>0</v>
      </c>
      <c r="I340" s="4">
        <f>SUMIFS(Tab_02.Fev[SALDO
ATUAL],Tab_02.Fev[CONTA],$F340)</f>
        <v>270</v>
      </c>
      <c r="J340" s="4">
        <f>SUMIFS(Tab_03.Mar[SALDO
ATUAL],Tab_03.Mar[CONTA],$F340)</f>
        <v>270</v>
      </c>
      <c r="K340" s="4">
        <f>SUMIFS(Tab_04.Abr[SALDO
ATUAL],Tab_04.Abr[CONTA],$F340)</f>
        <v>270</v>
      </c>
      <c r="L340" s="4">
        <f>SUMIFS(Tab_05.Mai[SALDO
ATUAL],Tab_05.Mai[CONTA],$F340)</f>
        <v>270</v>
      </c>
      <c r="M340" s="4">
        <f>SUMIFS(Tab_06.Jun[SALDO
ATUAL],Tab_06.Jun[CONTA],$F340)</f>
        <v>405</v>
      </c>
      <c r="N340" s="4">
        <f>SUMIFS(Tab_07.Jul[SALDO
ATUAL],Tab_07.Jul[CONTA],$F340)</f>
        <v>405</v>
      </c>
      <c r="O340" s="4">
        <f>SUMIFS(Tab_08.Ago[SALDO
ATUAL],Tab_08.Ago[CONTA],$F340)</f>
        <v>405</v>
      </c>
      <c r="P340" s="4">
        <f>SUMIFS(Tab_09.Set[SALDO
ATUAL],Tab_09.Set[CONTA],$F340)</f>
        <v>405</v>
      </c>
      <c r="Q340" s="4">
        <f>SUMIFS(Tab_10.Out[SALDO
ATUAL],Tab_10.Out[CONTA],$F340)</f>
        <v>405</v>
      </c>
      <c r="R340" s="4">
        <f>SUMIFS(Tab_11.Nov[SALDO
ATUAL],Tab_11.Nov[CONTA],$F340)</f>
        <v>405</v>
      </c>
      <c r="S340" s="4">
        <f>SUMIFS(Tab_12.Dez[SALDO
ATUAL],Tab_12.Dez[CONTA],$F340)</f>
        <v>405</v>
      </c>
    </row>
    <row r="341" spans="2:19" x14ac:dyDescent="0.3">
      <c r="B341" s="3"/>
      <c r="C341" s="2" t="str">
        <f t="shared" si="25"/>
        <v>C</v>
      </c>
      <c r="D341" s="2" t="str">
        <f t="shared" si="23"/>
        <v>S</v>
      </c>
      <c r="E341" s="2">
        <f t="shared" si="24"/>
        <v>5</v>
      </c>
      <c r="F341" s="3" t="s">
        <v>632</v>
      </c>
      <c r="G341" s="3" t="s">
        <v>729</v>
      </c>
      <c r="H341" s="4">
        <f>SUMIFS(Tab_01.Jan[SALDO
ATUAL],Tab_01.Jan[CONTA],$F341)</f>
        <v>0</v>
      </c>
      <c r="I341" s="4">
        <f>SUMIFS(Tab_02.Fev[SALDO
ATUAL],Tab_02.Fev[CONTA],$F341)</f>
        <v>0</v>
      </c>
      <c r="J341" s="4">
        <f>SUMIFS(Tab_03.Mar[SALDO
ATUAL],Tab_03.Mar[CONTA],$F341)</f>
        <v>0</v>
      </c>
      <c r="K341" s="4">
        <f>SUMIFS(Tab_04.Abr[SALDO
ATUAL],Tab_04.Abr[CONTA],$F341)</f>
        <v>0</v>
      </c>
      <c r="L341" s="4">
        <f>SUMIFS(Tab_05.Mai[SALDO
ATUAL],Tab_05.Mai[CONTA],$F341)</f>
        <v>0</v>
      </c>
      <c r="M341" s="4">
        <f>SUMIFS(Tab_06.Jun[SALDO
ATUAL],Tab_06.Jun[CONTA],$F341)</f>
        <v>0</v>
      </c>
      <c r="N341" s="4">
        <f>SUMIFS(Tab_07.Jul[SALDO
ATUAL],Tab_07.Jul[CONTA],$F341)</f>
        <v>0</v>
      </c>
      <c r="O341" s="4">
        <f>SUMIFS(Tab_08.Ago[SALDO
ATUAL],Tab_08.Ago[CONTA],$F341)</f>
        <v>0</v>
      </c>
      <c r="P341" s="4">
        <f>SUMIFS(Tab_09.Set[SALDO
ATUAL],Tab_09.Set[CONTA],$F341)</f>
        <v>0</v>
      </c>
      <c r="Q341" s="4">
        <f>SUMIFS(Tab_10.Out[SALDO
ATUAL],Tab_10.Out[CONTA],$F341)</f>
        <v>0</v>
      </c>
      <c r="R341" s="4">
        <f>SUMIFS(Tab_11.Nov[SALDO
ATUAL],Tab_11.Nov[CONTA],$F341)</f>
        <v>0</v>
      </c>
      <c r="S341" s="4">
        <f>SUMIFS(Tab_12.Dez[SALDO
ATUAL],Tab_12.Dez[CONTA],$F341)</f>
        <v>0</v>
      </c>
    </row>
    <row r="342" spans="2:19" x14ac:dyDescent="0.3">
      <c r="B342" s="3" t="s">
        <v>67</v>
      </c>
      <c r="C342" s="2" t="str">
        <f t="shared" si="25"/>
        <v>C</v>
      </c>
      <c r="D342" s="2" t="str">
        <f t="shared" si="23"/>
        <v>A</v>
      </c>
      <c r="E342" s="2">
        <f t="shared" si="24"/>
        <v>5</v>
      </c>
      <c r="F342" s="3" t="s">
        <v>545</v>
      </c>
      <c r="G342" s="3" t="s">
        <v>546</v>
      </c>
      <c r="H342" s="4">
        <f>SUMIFS(Tab_01.Jan[SALDO
ATUAL],Tab_01.Jan[CONTA],$F342)</f>
        <v>0</v>
      </c>
      <c r="I342" s="4">
        <f>SUMIFS(Tab_02.Fev[SALDO
ATUAL],Tab_02.Fev[CONTA],$F342)</f>
        <v>0</v>
      </c>
      <c r="J342" s="4">
        <f>SUMIFS(Tab_03.Mar[SALDO
ATUAL],Tab_03.Mar[CONTA],$F342)</f>
        <v>0</v>
      </c>
      <c r="K342" s="4">
        <f>SUMIFS(Tab_04.Abr[SALDO
ATUAL],Tab_04.Abr[CONTA],$F342)</f>
        <v>0</v>
      </c>
      <c r="L342" s="4">
        <f>SUMIFS(Tab_05.Mai[SALDO
ATUAL],Tab_05.Mai[CONTA],$F342)</f>
        <v>0</v>
      </c>
      <c r="M342" s="4">
        <f>SUMIFS(Tab_06.Jun[SALDO
ATUAL],Tab_06.Jun[CONTA],$F342)</f>
        <v>0</v>
      </c>
      <c r="N342" s="4">
        <f>SUMIFS(Tab_07.Jul[SALDO
ATUAL],Tab_07.Jul[CONTA],$F342)</f>
        <v>0</v>
      </c>
      <c r="O342" s="4">
        <f>SUMIFS(Tab_08.Ago[SALDO
ATUAL],Tab_08.Ago[CONTA],$F342)</f>
        <v>0</v>
      </c>
      <c r="P342" s="4">
        <f>SUMIFS(Tab_09.Set[SALDO
ATUAL],Tab_09.Set[CONTA],$F342)</f>
        <v>0</v>
      </c>
      <c r="Q342" s="4">
        <f>SUMIFS(Tab_10.Out[SALDO
ATUAL],Tab_10.Out[CONTA],$F342)</f>
        <v>0</v>
      </c>
      <c r="R342" s="4">
        <f>SUMIFS(Tab_11.Nov[SALDO
ATUAL],Tab_11.Nov[CONTA],$F342)</f>
        <v>0</v>
      </c>
      <c r="S342" s="4">
        <f>SUMIFS(Tab_12.Dez[SALDO
ATUAL],Tab_12.Dez[CONTA],$F342)</f>
        <v>0</v>
      </c>
    </row>
    <row r="343" spans="2:19" x14ac:dyDescent="0.3">
      <c r="B343" s="3"/>
      <c r="C343" s="2" t="str">
        <f t="shared" si="25"/>
        <v>C</v>
      </c>
      <c r="D343" s="2" t="str">
        <f t="shared" si="23"/>
        <v>S</v>
      </c>
      <c r="E343" s="2">
        <f t="shared" si="24"/>
        <v>5</v>
      </c>
      <c r="F343" s="3" t="s">
        <v>633</v>
      </c>
      <c r="G343" s="3" t="s">
        <v>548</v>
      </c>
      <c r="H343" s="4">
        <f>SUMIFS(Tab_01.Jan[SALDO
ATUAL],Tab_01.Jan[CONTA],$F343)</f>
        <v>0</v>
      </c>
      <c r="I343" s="4">
        <f>SUMIFS(Tab_02.Fev[SALDO
ATUAL],Tab_02.Fev[CONTA],$F343)</f>
        <v>270</v>
      </c>
      <c r="J343" s="4">
        <f>SUMIFS(Tab_03.Mar[SALDO
ATUAL],Tab_03.Mar[CONTA],$F343)</f>
        <v>270</v>
      </c>
      <c r="K343" s="4">
        <f>SUMIFS(Tab_04.Abr[SALDO
ATUAL],Tab_04.Abr[CONTA],$F343)</f>
        <v>270</v>
      </c>
      <c r="L343" s="4">
        <f>SUMIFS(Tab_05.Mai[SALDO
ATUAL],Tab_05.Mai[CONTA],$F343)</f>
        <v>270</v>
      </c>
      <c r="M343" s="4">
        <f>SUMIFS(Tab_06.Jun[SALDO
ATUAL],Tab_06.Jun[CONTA],$F343)</f>
        <v>405</v>
      </c>
      <c r="N343" s="4">
        <f>SUMIFS(Tab_07.Jul[SALDO
ATUAL],Tab_07.Jul[CONTA],$F343)</f>
        <v>405</v>
      </c>
      <c r="O343" s="4">
        <f>SUMIFS(Tab_08.Ago[SALDO
ATUAL],Tab_08.Ago[CONTA],$F343)</f>
        <v>405</v>
      </c>
      <c r="P343" s="4">
        <f>SUMIFS(Tab_09.Set[SALDO
ATUAL],Tab_09.Set[CONTA],$F343)</f>
        <v>405</v>
      </c>
      <c r="Q343" s="4">
        <f>SUMIFS(Tab_10.Out[SALDO
ATUAL],Tab_10.Out[CONTA],$F343)</f>
        <v>405</v>
      </c>
      <c r="R343" s="4">
        <f>SUMIFS(Tab_11.Nov[SALDO
ATUAL],Tab_11.Nov[CONTA],$F343)</f>
        <v>405</v>
      </c>
      <c r="S343" s="4">
        <f>SUMIFS(Tab_12.Dez[SALDO
ATUAL],Tab_12.Dez[CONTA],$F343)</f>
        <v>405</v>
      </c>
    </row>
    <row r="344" spans="2:19" x14ac:dyDescent="0.3">
      <c r="B344" s="3" t="s">
        <v>66</v>
      </c>
      <c r="C344" s="2" t="str">
        <f t="shared" si="25"/>
        <v>C</v>
      </c>
      <c r="D344" s="2" t="str">
        <f t="shared" si="23"/>
        <v>A</v>
      </c>
      <c r="E344" s="2">
        <f t="shared" si="24"/>
        <v>5</v>
      </c>
      <c r="F344" s="3" t="s">
        <v>547</v>
      </c>
      <c r="G344" s="3" t="s">
        <v>548</v>
      </c>
      <c r="H344" s="4">
        <f>SUMIFS(Tab_01.Jan[SALDO
ATUAL],Tab_01.Jan[CONTA],$F344)</f>
        <v>0</v>
      </c>
      <c r="I344" s="4">
        <f>SUMIFS(Tab_02.Fev[SALDO
ATUAL],Tab_02.Fev[CONTA],$F344)</f>
        <v>270</v>
      </c>
      <c r="J344" s="4">
        <f>SUMIFS(Tab_03.Mar[SALDO
ATUAL],Tab_03.Mar[CONTA],$F344)</f>
        <v>270</v>
      </c>
      <c r="K344" s="4">
        <f>SUMIFS(Tab_04.Abr[SALDO
ATUAL],Tab_04.Abr[CONTA],$F344)</f>
        <v>270</v>
      </c>
      <c r="L344" s="4">
        <f>SUMIFS(Tab_05.Mai[SALDO
ATUAL],Tab_05.Mai[CONTA],$F344)</f>
        <v>270</v>
      </c>
      <c r="M344" s="4">
        <f>SUMIFS(Tab_06.Jun[SALDO
ATUAL],Tab_06.Jun[CONTA],$F344)</f>
        <v>405</v>
      </c>
      <c r="N344" s="4">
        <f>SUMIFS(Tab_07.Jul[SALDO
ATUAL],Tab_07.Jul[CONTA],$F344)</f>
        <v>405</v>
      </c>
      <c r="O344" s="4">
        <f>SUMIFS(Tab_08.Ago[SALDO
ATUAL],Tab_08.Ago[CONTA],$F344)</f>
        <v>405</v>
      </c>
      <c r="P344" s="4">
        <f>SUMIFS(Tab_09.Set[SALDO
ATUAL],Tab_09.Set[CONTA],$F344)</f>
        <v>405</v>
      </c>
      <c r="Q344" s="4">
        <f>SUMIFS(Tab_10.Out[SALDO
ATUAL],Tab_10.Out[CONTA],$F344)</f>
        <v>405</v>
      </c>
      <c r="R344" s="4">
        <f>SUMIFS(Tab_11.Nov[SALDO
ATUAL],Tab_11.Nov[CONTA],$F344)</f>
        <v>405</v>
      </c>
      <c r="S344" s="4">
        <f>SUMIFS(Tab_12.Dez[SALDO
ATUAL],Tab_12.Dez[CONTA],$F344)</f>
        <v>405</v>
      </c>
    </row>
    <row r="345" spans="2:19" x14ac:dyDescent="0.3">
      <c r="B345" s="3"/>
      <c r="C345" s="2" t="str">
        <f t="shared" si="25"/>
        <v>C</v>
      </c>
      <c r="D345" s="2" t="str">
        <f t="shared" si="23"/>
        <v>S</v>
      </c>
      <c r="E345" s="2">
        <f t="shared" si="24"/>
        <v>2</v>
      </c>
      <c r="F345" s="3" t="s">
        <v>634</v>
      </c>
      <c r="G345" s="3" t="s">
        <v>730</v>
      </c>
      <c r="H345" s="4">
        <f>SUMIFS(Tab_01.Jan[SALDO
ATUAL],Tab_01.Jan[CONTA],$F345)</f>
        <v>-189</v>
      </c>
      <c r="I345" s="4">
        <f>SUMIFS(Tab_02.Fev[SALDO
ATUAL],Tab_02.Fev[CONTA],$F345)</f>
        <v>-189</v>
      </c>
      <c r="J345" s="4">
        <f>SUMIFS(Tab_03.Mar[SALDO
ATUAL],Tab_03.Mar[CONTA],$F345)</f>
        <v>-189</v>
      </c>
      <c r="K345" s="4">
        <f>SUMIFS(Tab_04.Abr[SALDO
ATUAL],Tab_04.Abr[CONTA],$F345)</f>
        <v>-189</v>
      </c>
      <c r="L345" s="4">
        <f>SUMIFS(Tab_05.Mai[SALDO
ATUAL],Tab_05.Mai[CONTA],$F345)</f>
        <v>-189</v>
      </c>
      <c r="M345" s="4">
        <f>SUMIFS(Tab_06.Jun[SALDO
ATUAL],Tab_06.Jun[CONTA],$F345)</f>
        <v>-189</v>
      </c>
      <c r="N345" s="4">
        <f>SUMIFS(Tab_07.Jul[SALDO
ATUAL],Tab_07.Jul[CONTA],$F345)</f>
        <v>-189</v>
      </c>
      <c r="O345" s="4">
        <f>SUMIFS(Tab_08.Ago[SALDO
ATUAL],Tab_08.Ago[CONTA],$F345)</f>
        <v>-189</v>
      </c>
      <c r="P345" s="4">
        <f>SUMIFS(Tab_09.Set[SALDO
ATUAL],Tab_09.Set[CONTA],$F345)</f>
        <v>-189</v>
      </c>
      <c r="Q345" s="4">
        <f>SUMIFS(Tab_10.Out[SALDO
ATUAL],Tab_10.Out[CONTA],$F345)</f>
        <v>-189</v>
      </c>
      <c r="R345" s="4">
        <f>SUMIFS(Tab_11.Nov[SALDO
ATUAL],Tab_11.Nov[CONTA],$F345)</f>
        <v>-189</v>
      </c>
      <c r="S345" s="4">
        <f>SUMIFS(Tab_12.Dez[SALDO
ATUAL],Tab_12.Dez[CONTA],$F345)</f>
        <v>-189</v>
      </c>
    </row>
    <row r="346" spans="2:19" x14ac:dyDescent="0.3">
      <c r="B346" s="3"/>
      <c r="C346" s="2" t="str">
        <f t="shared" si="25"/>
        <v>C</v>
      </c>
      <c r="D346" s="2" t="str">
        <f t="shared" si="23"/>
        <v>S</v>
      </c>
      <c r="E346" s="2">
        <f t="shared" si="24"/>
        <v>5</v>
      </c>
      <c r="F346" s="3" t="s">
        <v>635</v>
      </c>
      <c r="G346" s="3" t="s">
        <v>731</v>
      </c>
      <c r="H346" s="4">
        <f>SUMIFS(Tab_01.Jan[SALDO
ATUAL],Tab_01.Jan[CONTA],$F346)</f>
        <v>0</v>
      </c>
      <c r="I346" s="4">
        <f>SUMIFS(Tab_02.Fev[SALDO
ATUAL],Tab_02.Fev[CONTA],$F346)</f>
        <v>0</v>
      </c>
      <c r="J346" s="4">
        <f>SUMIFS(Tab_03.Mar[SALDO
ATUAL],Tab_03.Mar[CONTA],$F346)</f>
        <v>0</v>
      </c>
      <c r="K346" s="4">
        <f>SUMIFS(Tab_04.Abr[SALDO
ATUAL],Tab_04.Abr[CONTA],$F346)</f>
        <v>0</v>
      </c>
      <c r="L346" s="4">
        <f>SUMIFS(Tab_05.Mai[SALDO
ATUAL],Tab_05.Mai[CONTA],$F346)</f>
        <v>0</v>
      </c>
      <c r="M346" s="4">
        <f>SUMIFS(Tab_06.Jun[SALDO
ATUAL],Tab_06.Jun[CONTA],$F346)</f>
        <v>0</v>
      </c>
      <c r="N346" s="4">
        <f>SUMIFS(Tab_07.Jul[SALDO
ATUAL],Tab_07.Jul[CONTA],$F346)</f>
        <v>0</v>
      </c>
      <c r="O346" s="4">
        <f>SUMIFS(Tab_08.Ago[SALDO
ATUAL],Tab_08.Ago[CONTA],$F346)</f>
        <v>0</v>
      </c>
      <c r="P346" s="4">
        <f>SUMIFS(Tab_09.Set[SALDO
ATUAL],Tab_09.Set[CONTA],$F346)</f>
        <v>0</v>
      </c>
      <c r="Q346" s="4">
        <f>SUMIFS(Tab_10.Out[SALDO
ATUAL],Tab_10.Out[CONTA],$F346)</f>
        <v>0</v>
      </c>
      <c r="R346" s="4">
        <f>SUMIFS(Tab_11.Nov[SALDO
ATUAL],Tab_11.Nov[CONTA],$F346)</f>
        <v>0</v>
      </c>
      <c r="S346" s="4">
        <f>SUMIFS(Tab_12.Dez[SALDO
ATUAL],Tab_12.Dez[CONTA],$F346)</f>
        <v>0</v>
      </c>
    </row>
    <row r="347" spans="2:19" x14ac:dyDescent="0.3">
      <c r="B347" s="3"/>
      <c r="C347" s="2" t="str">
        <f>IF($F347="","",IF(LEFT($F347,1)*1=1,"A",IF(LEFT($F347,1)*1=2,"P",IF(LEFT($F347,1)*1=3,"R",IF(LEFT($F347,1)*1=4,"C",IF(LEFT($F347,1)*1=5,"C",""))))))</f>
        <v>C</v>
      </c>
      <c r="D347" s="2" t="str">
        <f>IF($F347="","",IF(LEN($F347)=13,"A","S"))</f>
        <v>S</v>
      </c>
      <c r="E347" s="2">
        <f>IF($F347="","",IF(LEN($F347)=1,1,IF(LEN($F347)=3,2,IF(LEN($F347)=5,3,IF(LEN($F347)=8,4,5)))))</f>
        <v>5</v>
      </c>
      <c r="F347" s="3" t="s">
        <v>828</v>
      </c>
      <c r="G347" s="3" t="s">
        <v>829</v>
      </c>
      <c r="H347" s="4">
        <f>SUMIFS(Tab_01.Jan[SALDO
ATUAL],Tab_01.Jan[CONTA],$F347)</f>
        <v>0</v>
      </c>
      <c r="I347" s="4">
        <f>SUMIFS(Tab_02.Fev[SALDO
ATUAL],Tab_02.Fev[CONTA],$F347)</f>
        <v>0</v>
      </c>
      <c r="J347" s="4">
        <f>SUMIFS(Tab_03.Mar[SALDO
ATUAL],Tab_03.Mar[CONTA],$F347)</f>
        <v>0</v>
      </c>
      <c r="K347" s="4">
        <f>SUMIFS(Tab_04.Abr[SALDO
ATUAL],Tab_04.Abr[CONTA],$F347)</f>
        <v>0</v>
      </c>
      <c r="L347" s="4">
        <f>SUMIFS(Tab_05.Mai[SALDO
ATUAL],Tab_05.Mai[CONTA],$F347)</f>
        <v>0</v>
      </c>
      <c r="M347" s="4">
        <f>SUMIFS(Tab_06.Jun[SALDO
ATUAL],Tab_06.Jun[CONTA],$F347)</f>
        <v>0</v>
      </c>
      <c r="N347" s="4">
        <f>SUMIFS(Tab_07.Jul[SALDO
ATUAL],Tab_07.Jul[CONTA],$F347)</f>
        <v>0</v>
      </c>
      <c r="O347" s="4">
        <f>SUMIFS(Tab_08.Ago[SALDO
ATUAL],Tab_08.Ago[CONTA],$F347)</f>
        <v>0</v>
      </c>
      <c r="P347" s="4">
        <f>SUMIFS(Tab_09.Set[SALDO
ATUAL],Tab_09.Set[CONTA],$F347)</f>
        <v>0</v>
      </c>
      <c r="Q347" s="4">
        <f>SUMIFS(Tab_10.Out[SALDO
ATUAL],Tab_10.Out[CONTA],$F347)</f>
        <v>0</v>
      </c>
      <c r="R347" s="4">
        <f>SUMIFS(Tab_11.Nov[SALDO
ATUAL],Tab_11.Nov[CONTA],$F347)</f>
        <v>0</v>
      </c>
      <c r="S347" s="4">
        <f>SUMIFS(Tab_12.Dez[SALDO
ATUAL],Tab_12.Dez[CONTA],$F347)</f>
        <v>0</v>
      </c>
    </row>
    <row r="348" spans="2:19" x14ac:dyDescent="0.3">
      <c r="B348" s="3" t="s">
        <v>66</v>
      </c>
      <c r="C348" s="2" t="str">
        <f>IF($F348="","",IF(LEFT($F348,1)*1=1,"A",IF(LEFT($F348,1)*1=2,"P",IF(LEFT($F348,1)*1=3,"R",IF(LEFT($F348,1)*1=4,"C",IF(LEFT($F348,1)*1=5,"C",""))))))</f>
        <v>C</v>
      </c>
      <c r="D348" s="2" t="str">
        <f>IF($F348="","",IF(LEN($F348)=13,"A","S"))</f>
        <v>A</v>
      </c>
      <c r="E348" s="2">
        <f>IF($F348="","",IF(LEN($F348)=1,1,IF(LEN($F348)=3,2,IF(LEN($F348)=5,3,IF(LEN($F348)=8,4,5)))))</f>
        <v>5</v>
      </c>
      <c r="F348" s="3" t="s">
        <v>830</v>
      </c>
      <c r="G348" s="3" t="s">
        <v>829</v>
      </c>
      <c r="H348" s="4">
        <f>SUMIFS(Tab_01.Jan[SALDO
ATUAL],Tab_01.Jan[CONTA],$F348)</f>
        <v>0</v>
      </c>
      <c r="I348" s="4">
        <f>SUMIFS(Tab_02.Fev[SALDO
ATUAL],Tab_02.Fev[CONTA],$F348)</f>
        <v>0</v>
      </c>
      <c r="J348" s="4">
        <f>SUMIFS(Tab_03.Mar[SALDO
ATUAL],Tab_03.Mar[CONTA],$F348)</f>
        <v>0</v>
      </c>
      <c r="K348" s="4">
        <f>SUMIFS(Tab_04.Abr[SALDO
ATUAL],Tab_04.Abr[CONTA],$F348)</f>
        <v>0</v>
      </c>
      <c r="L348" s="4">
        <f>SUMIFS(Tab_05.Mai[SALDO
ATUAL],Tab_05.Mai[CONTA],$F348)</f>
        <v>0</v>
      </c>
      <c r="M348" s="4">
        <f>SUMIFS(Tab_06.Jun[SALDO
ATUAL],Tab_06.Jun[CONTA],$F348)</f>
        <v>0</v>
      </c>
      <c r="N348" s="4">
        <f>SUMIFS(Tab_07.Jul[SALDO
ATUAL],Tab_07.Jul[CONTA],$F348)</f>
        <v>0</v>
      </c>
      <c r="O348" s="4">
        <f>SUMIFS(Tab_08.Ago[SALDO
ATUAL],Tab_08.Ago[CONTA],$F348)</f>
        <v>0</v>
      </c>
      <c r="P348" s="4">
        <f>SUMIFS(Tab_09.Set[SALDO
ATUAL],Tab_09.Set[CONTA],$F348)</f>
        <v>0</v>
      </c>
      <c r="Q348" s="4">
        <f>SUMIFS(Tab_10.Out[SALDO
ATUAL],Tab_10.Out[CONTA],$F348)</f>
        <v>0</v>
      </c>
      <c r="R348" s="4">
        <f>SUMIFS(Tab_11.Nov[SALDO
ATUAL],Tab_11.Nov[CONTA],$F348)</f>
        <v>0</v>
      </c>
      <c r="S348" s="4">
        <f>SUMIFS(Tab_12.Dez[SALDO
ATUAL],Tab_12.Dez[CONTA],$F348)</f>
        <v>0</v>
      </c>
    </row>
    <row r="349" spans="2:19" x14ac:dyDescent="0.3">
      <c r="B349" s="3"/>
      <c r="C349" s="2" t="str">
        <f t="shared" si="25"/>
        <v>C</v>
      </c>
      <c r="D349" s="2" t="str">
        <f t="shared" si="23"/>
        <v>S</v>
      </c>
      <c r="E349" s="2">
        <f t="shared" si="24"/>
        <v>5</v>
      </c>
      <c r="F349" s="3" t="s">
        <v>636</v>
      </c>
      <c r="G349" s="3" t="s">
        <v>732</v>
      </c>
      <c r="H349" s="4">
        <f>SUMIFS(Tab_01.Jan[SALDO
ATUAL],Tab_01.Jan[CONTA],$F349)</f>
        <v>0</v>
      </c>
      <c r="I349" s="4">
        <f>SUMIFS(Tab_02.Fev[SALDO
ATUAL],Tab_02.Fev[CONTA],$F349)</f>
        <v>0</v>
      </c>
      <c r="J349" s="4">
        <f>SUMIFS(Tab_03.Mar[SALDO
ATUAL],Tab_03.Mar[CONTA],$F349)</f>
        <v>0</v>
      </c>
      <c r="K349" s="4">
        <f>SUMIFS(Tab_04.Abr[SALDO
ATUAL],Tab_04.Abr[CONTA],$F349)</f>
        <v>0</v>
      </c>
      <c r="L349" s="4">
        <f>SUMIFS(Tab_05.Mai[SALDO
ATUAL],Tab_05.Mai[CONTA],$F349)</f>
        <v>0</v>
      </c>
      <c r="M349" s="4">
        <f>SUMIFS(Tab_06.Jun[SALDO
ATUAL],Tab_06.Jun[CONTA],$F349)</f>
        <v>0</v>
      </c>
      <c r="N349" s="4">
        <f>SUMIFS(Tab_07.Jul[SALDO
ATUAL],Tab_07.Jul[CONTA],$F349)</f>
        <v>0</v>
      </c>
      <c r="O349" s="4">
        <f>SUMIFS(Tab_08.Ago[SALDO
ATUAL],Tab_08.Ago[CONTA],$F349)</f>
        <v>0</v>
      </c>
      <c r="P349" s="4">
        <f>SUMIFS(Tab_09.Set[SALDO
ATUAL],Tab_09.Set[CONTA],$F349)</f>
        <v>0</v>
      </c>
      <c r="Q349" s="4">
        <f>SUMIFS(Tab_10.Out[SALDO
ATUAL],Tab_10.Out[CONTA],$F349)</f>
        <v>0</v>
      </c>
      <c r="R349" s="4">
        <f>SUMIFS(Tab_11.Nov[SALDO
ATUAL],Tab_11.Nov[CONTA],$F349)</f>
        <v>0</v>
      </c>
      <c r="S349" s="4">
        <f>SUMIFS(Tab_12.Dez[SALDO
ATUAL],Tab_12.Dez[CONTA],$F349)</f>
        <v>0</v>
      </c>
    </row>
    <row r="350" spans="2:19" x14ac:dyDescent="0.3">
      <c r="B350" s="3" t="s">
        <v>66</v>
      </c>
      <c r="C350" s="2" t="str">
        <f t="shared" si="25"/>
        <v>C</v>
      </c>
      <c r="D350" s="2" t="str">
        <f t="shared" si="23"/>
        <v>A</v>
      </c>
      <c r="E350" s="2">
        <f t="shared" si="24"/>
        <v>5</v>
      </c>
      <c r="F350" s="3" t="s">
        <v>549</v>
      </c>
      <c r="G350" s="3" t="s">
        <v>550</v>
      </c>
      <c r="H350" s="4">
        <f>SUMIFS(Tab_01.Jan[SALDO
ATUAL],Tab_01.Jan[CONTA],$F350)</f>
        <v>0</v>
      </c>
      <c r="I350" s="4">
        <f>SUMIFS(Tab_02.Fev[SALDO
ATUAL],Tab_02.Fev[CONTA],$F350)</f>
        <v>0</v>
      </c>
      <c r="J350" s="4">
        <f>SUMIFS(Tab_03.Mar[SALDO
ATUAL],Tab_03.Mar[CONTA],$F350)</f>
        <v>0</v>
      </c>
      <c r="K350" s="4">
        <f>SUMIFS(Tab_04.Abr[SALDO
ATUAL],Tab_04.Abr[CONTA],$F350)</f>
        <v>0</v>
      </c>
      <c r="L350" s="4">
        <f>SUMIFS(Tab_05.Mai[SALDO
ATUAL],Tab_05.Mai[CONTA],$F350)</f>
        <v>0</v>
      </c>
      <c r="M350" s="4">
        <f>SUMIFS(Tab_06.Jun[SALDO
ATUAL],Tab_06.Jun[CONTA],$F350)</f>
        <v>0</v>
      </c>
      <c r="N350" s="4">
        <f>SUMIFS(Tab_07.Jul[SALDO
ATUAL],Tab_07.Jul[CONTA],$F350)</f>
        <v>0</v>
      </c>
      <c r="O350" s="4">
        <f>SUMIFS(Tab_08.Ago[SALDO
ATUAL],Tab_08.Ago[CONTA],$F350)</f>
        <v>0</v>
      </c>
      <c r="P350" s="4">
        <f>SUMIFS(Tab_09.Set[SALDO
ATUAL],Tab_09.Set[CONTA],$F350)</f>
        <v>0</v>
      </c>
      <c r="Q350" s="4">
        <f>SUMIFS(Tab_10.Out[SALDO
ATUAL],Tab_10.Out[CONTA],$F350)</f>
        <v>0</v>
      </c>
      <c r="R350" s="4">
        <f>SUMIFS(Tab_11.Nov[SALDO
ATUAL],Tab_11.Nov[CONTA],$F350)</f>
        <v>0</v>
      </c>
      <c r="S350" s="4">
        <f>SUMIFS(Tab_12.Dez[SALDO
ATUAL],Tab_12.Dez[CONTA],$F350)</f>
        <v>0</v>
      </c>
    </row>
    <row r="351" spans="2:19" x14ac:dyDescent="0.3">
      <c r="B351" s="3"/>
      <c r="C351" s="2" t="str">
        <f t="shared" ref="C351:C353" si="26">IF($F351="","",IF(LEFT($F351,1)*1=1,"A",IF(LEFT($F351,1)*1=2,"P",IF(LEFT($F351,1)*1=3,"R",IF(LEFT($F351,1)*1=4,"C",IF(LEFT($F351,1)*1=5,"C",""))))))</f>
        <v>C</v>
      </c>
      <c r="D351" s="2" t="str">
        <f t="shared" ref="D351:D353" si="27">IF($F351="","",IF(LEN($F351)=13,"A","S"))</f>
        <v>S</v>
      </c>
      <c r="E351" s="2">
        <f t="shared" ref="E351:E353" si="28">IF($F351="","",IF(LEN($F351)=1,1,IF(LEN($F351)=3,2,IF(LEN($F351)=5,3,IF(LEN($F351)=8,4,5)))))</f>
        <v>5</v>
      </c>
      <c r="F351" s="3" t="s">
        <v>831</v>
      </c>
      <c r="G351" s="3" t="s">
        <v>832</v>
      </c>
      <c r="H351" s="4">
        <f>SUMIFS(Tab_01.Jan[SALDO
ATUAL],Tab_01.Jan[CONTA],$F351)</f>
        <v>-189</v>
      </c>
      <c r="I351" s="4">
        <f>SUMIFS(Tab_02.Fev[SALDO
ATUAL],Tab_02.Fev[CONTA],$F351)</f>
        <v>-189</v>
      </c>
      <c r="J351" s="4">
        <f>SUMIFS(Tab_03.Mar[SALDO
ATUAL],Tab_03.Mar[CONTA],$F351)</f>
        <v>-189</v>
      </c>
      <c r="K351" s="4">
        <f>SUMIFS(Tab_04.Abr[SALDO
ATUAL],Tab_04.Abr[CONTA],$F351)</f>
        <v>-189</v>
      </c>
      <c r="L351" s="4">
        <f>SUMIFS(Tab_05.Mai[SALDO
ATUAL],Tab_05.Mai[CONTA],$F351)</f>
        <v>-189</v>
      </c>
      <c r="M351" s="4">
        <f>SUMIFS(Tab_06.Jun[SALDO
ATUAL],Tab_06.Jun[CONTA],$F351)</f>
        <v>-189</v>
      </c>
      <c r="N351" s="4">
        <f>SUMIFS(Tab_07.Jul[SALDO
ATUAL],Tab_07.Jul[CONTA],$F351)</f>
        <v>-189</v>
      </c>
      <c r="O351" s="4">
        <f>SUMIFS(Tab_08.Ago[SALDO
ATUAL],Tab_08.Ago[CONTA],$F351)</f>
        <v>-189</v>
      </c>
      <c r="P351" s="4">
        <f>SUMIFS(Tab_09.Set[SALDO
ATUAL],Tab_09.Set[CONTA],$F351)</f>
        <v>-189</v>
      </c>
      <c r="Q351" s="4">
        <f>SUMIFS(Tab_10.Out[SALDO
ATUAL],Tab_10.Out[CONTA],$F351)</f>
        <v>-189</v>
      </c>
      <c r="R351" s="4">
        <f>SUMIFS(Tab_11.Nov[SALDO
ATUAL],Tab_11.Nov[CONTA],$F351)</f>
        <v>-189</v>
      </c>
      <c r="S351" s="4">
        <f>SUMIFS(Tab_12.Dez[SALDO
ATUAL],Tab_12.Dez[CONTA],$F351)</f>
        <v>-189</v>
      </c>
    </row>
    <row r="352" spans="2:19" x14ac:dyDescent="0.3">
      <c r="B352" s="3"/>
      <c r="C352" s="2" t="str">
        <f t="shared" si="26"/>
        <v>C</v>
      </c>
      <c r="D352" s="2" t="str">
        <f t="shared" si="27"/>
        <v>S</v>
      </c>
      <c r="E352" s="2">
        <f t="shared" si="28"/>
        <v>5</v>
      </c>
      <c r="F352" s="3" t="s">
        <v>833</v>
      </c>
      <c r="G352" s="3" t="s">
        <v>832</v>
      </c>
      <c r="H352" s="4">
        <f>SUMIFS(Tab_01.Jan[SALDO
ATUAL],Tab_01.Jan[CONTA],$F352)</f>
        <v>-189</v>
      </c>
      <c r="I352" s="4">
        <f>SUMIFS(Tab_02.Fev[SALDO
ATUAL],Tab_02.Fev[CONTA],$F352)</f>
        <v>-189</v>
      </c>
      <c r="J352" s="4">
        <f>SUMIFS(Tab_03.Mar[SALDO
ATUAL],Tab_03.Mar[CONTA],$F352)</f>
        <v>-189</v>
      </c>
      <c r="K352" s="4">
        <f>SUMIFS(Tab_04.Abr[SALDO
ATUAL],Tab_04.Abr[CONTA],$F352)</f>
        <v>-189</v>
      </c>
      <c r="L352" s="4">
        <f>SUMIFS(Tab_05.Mai[SALDO
ATUAL],Tab_05.Mai[CONTA],$F352)</f>
        <v>-189</v>
      </c>
      <c r="M352" s="4">
        <f>SUMIFS(Tab_06.Jun[SALDO
ATUAL],Tab_06.Jun[CONTA],$F352)</f>
        <v>-189</v>
      </c>
      <c r="N352" s="4">
        <f>SUMIFS(Tab_07.Jul[SALDO
ATUAL],Tab_07.Jul[CONTA],$F352)</f>
        <v>-189</v>
      </c>
      <c r="O352" s="4">
        <f>SUMIFS(Tab_08.Ago[SALDO
ATUAL],Tab_08.Ago[CONTA],$F352)</f>
        <v>-189</v>
      </c>
      <c r="P352" s="4">
        <f>SUMIFS(Tab_09.Set[SALDO
ATUAL],Tab_09.Set[CONTA],$F352)</f>
        <v>-189</v>
      </c>
      <c r="Q352" s="4">
        <f>SUMIFS(Tab_10.Out[SALDO
ATUAL],Tab_10.Out[CONTA],$F352)</f>
        <v>-189</v>
      </c>
      <c r="R352" s="4">
        <f>SUMIFS(Tab_11.Nov[SALDO
ATUAL],Tab_11.Nov[CONTA],$F352)</f>
        <v>-189</v>
      </c>
      <c r="S352" s="4">
        <f>SUMIFS(Tab_12.Dez[SALDO
ATUAL],Tab_12.Dez[CONTA],$F352)</f>
        <v>-189</v>
      </c>
    </row>
    <row r="353" spans="2:19" x14ac:dyDescent="0.3">
      <c r="B353" s="3" t="s">
        <v>66</v>
      </c>
      <c r="C353" s="2" t="str">
        <f t="shared" si="26"/>
        <v>C</v>
      </c>
      <c r="D353" s="2" t="str">
        <f t="shared" si="27"/>
        <v>A</v>
      </c>
      <c r="E353" s="2">
        <f t="shared" si="28"/>
        <v>5</v>
      </c>
      <c r="F353" s="3" t="s">
        <v>834</v>
      </c>
      <c r="G353" s="3" t="s">
        <v>835</v>
      </c>
      <c r="H353" s="4">
        <f>SUMIFS(Tab_01.Jan[SALDO
ATUAL],Tab_01.Jan[CONTA],$F353)</f>
        <v>-189</v>
      </c>
      <c r="I353" s="4">
        <f>SUMIFS(Tab_02.Fev[SALDO
ATUAL],Tab_02.Fev[CONTA],$F353)</f>
        <v>-189</v>
      </c>
      <c r="J353" s="4">
        <f>SUMIFS(Tab_03.Mar[SALDO
ATUAL],Tab_03.Mar[CONTA],$F353)</f>
        <v>-189</v>
      </c>
      <c r="K353" s="4">
        <f>SUMIFS(Tab_04.Abr[SALDO
ATUAL],Tab_04.Abr[CONTA],$F353)</f>
        <v>-189</v>
      </c>
      <c r="L353" s="4">
        <f>SUMIFS(Tab_05.Mai[SALDO
ATUAL],Tab_05.Mai[CONTA],$F353)</f>
        <v>-189</v>
      </c>
      <c r="M353" s="4">
        <f>SUMIFS(Tab_06.Jun[SALDO
ATUAL],Tab_06.Jun[CONTA],$F353)</f>
        <v>-189</v>
      </c>
      <c r="N353" s="4">
        <f>SUMIFS(Tab_07.Jul[SALDO
ATUAL],Tab_07.Jul[CONTA],$F353)</f>
        <v>-189</v>
      </c>
      <c r="O353" s="4">
        <f>SUMIFS(Tab_08.Ago[SALDO
ATUAL],Tab_08.Ago[CONTA],$F353)</f>
        <v>-189</v>
      </c>
      <c r="P353" s="4">
        <f>SUMIFS(Tab_09.Set[SALDO
ATUAL],Tab_09.Set[CONTA],$F353)</f>
        <v>-189</v>
      </c>
      <c r="Q353" s="4">
        <f>SUMIFS(Tab_10.Out[SALDO
ATUAL],Tab_10.Out[CONTA],$F353)</f>
        <v>-189</v>
      </c>
      <c r="R353" s="4">
        <f>SUMIFS(Tab_11.Nov[SALDO
ATUAL],Tab_11.Nov[CONTA],$F353)</f>
        <v>-189</v>
      </c>
      <c r="S353" s="4">
        <f>SUMIFS(Tab_12.Dez[SALDO
ATUAL],Tab_12.Dez[CONTA],$F353)</f>
        <v>-189</v>
      </c>
    </row>
  </sheetData>
  <sheetProtection autoFilter="0"/>
  <phoneticPr fontId="9" type="noConversion"/>
  <conditionalFormatting sqref="B12">
    <cfRule type="cellIs" dxfId="1" priority="1" operator="notEqual">
      <formula>0</formula>
    </cfRule>
  </conditionalFormatting>
  <conditionalFormatting sqref="F10">
    <cfRule type="cellIs" dxfId="0" priority="2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d008400-53af-4007-9422-12dce54ae827" xsi:nil="true"/>
    <lcf76f155ced4ddcb4097134ff3c332f xmlns="19874eb4-de1c-4a40-bab5-4e4819d296d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542791C729774E8242B3C9FC9BFEF0" ma:contentTypeVersion="18" ma:contentTypeDescription="Crie um novo documento." ma:contentTypeScope="" ma:versionID="5a8885934d25657b329b886aa958a8e9">
  <xsd:schema xmlns:xsd="http://www.w3.org/2001/XMLSchema" xmlns:xs="http://www.w3.org/2001/XMLSchema" xmlns:p="http://schemas.microsoft.com/office/2006/metadata/properties" xmlns:ns2="3d008400-53af-4007-9422-12dce54ae827" xmlns:ns3="19874eb4-de1c-4a40-bab5-4e4819d296dd" targetNamespace="http://schemas.microsoft.com/office/2006/metadata/properties" ma:root="true" ma:fieldsID="0a4a9753b7018933229f1da2a20e4b5a" ns2:_="" ns3:_="">
    <xsd:import namespace="3d008400-53af-4007-9422-12dce54ae827"/>
    <xsd:import namespace="19874eb4-de1c-4a40-bab5-4e4819d296d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008400-53af-4007-9422-12dce54ae82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f764c78-e65c-4d54-96e8-0dc83218ab2e}" ma:internalName="TaxCatchAll" ma:showField="CatchAllData" ma:web="3d008400-53af-4007-9422-12dce54ae82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874eb4-de1c-4a40-bab5-4e4819d296d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b4972624-3654-41f0-a905-e6d1f0fe82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06CC0B-2112-4FF7-9D73-4358194BACAB}">
  <ds:schemaRefs>
    <ds:schemaRef ds:uri="http://schemas.microsoft.com/office/2006/metadata/properties"/>
    <ds:schemaRef ds:uri="http://schemas.microsoft.com/office/infopath/2007/PartnerControls"/>
    <ds:schemaRef ds:uri="3d008400-53af-4007-9422-12dce54ae827"/>
    <ds:schemaRef ds:uri="19874eb4-de1c-4a40-bab5-4e4819d296dd"/>
  </ds:schemaRefs>
</ds:datastoreItem>
</file>

<file path=customXml/itemProps2.xml><?xml version="1.0" encoding="utf-8"?>
<ds:datastoreItem xmlns:ds="http://schemas.openxmlformats.org/officeDocument/2006/customXml" ds:itemID="{9506DC9D-57EF-49F8-A5FF-8C0D1328340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900E43-8148-4628-B4C0-44CE0D8593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008400-53af-4007-9422-12dce54ae827"/>
    <ds:schemaRef ds:uri="19874eb4-de1c-4a40-bab5-4e4819d296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17</vt:i4>
      </vt:variant>
    </vt:vector>
  </HeadingPairs>
  <TitlesOfParts>
    <vt:vector size="40" baseType="lpstr">
      <vt:lpstr>INDICADORES</vt:lpstr>
      <vt:lpstr>BALANÇO</vt:lpstr>
      <vt:lpstr>EBITDA</vt:lpstr>
      <vt:lpstr>ATIVO</vt:lpstr>
      <vt:lpstr>PASSIVO</vt:lpstr>
      <vt:lpstr>DRE</vt:lpstr>
      <vt:lpstr>DRE - MOVTO</vt:lpstr>
      <vt:lpstr>2023</vt:lpstr>
      <vt:lpstr>2024</vt:lpstr>
      <vt:lpstr>MOVTO</vt:lpstr>
      <vt:lpstr>Indices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BALANÇO!Area_de_impressao</vt:lpstr>
      <vt:lpstr>DRE!int_Data</vt:lpstr>
      <vt:lpstr>int_Data</vt:lpstr>
      <vt:lpstr>par_01.LL</vt:lpstr>
      <vt:lpstr>par_02.LL</vt:lpstr>
      <vt:lpstr>par_03.LL</vt:lpstr>
      <vt:lpstr>par_04.LL</vt:lpstr>
      <vt:lpstr>par_05.LL</vt:lpstr>
      <vt:lpstr>par_06.LL</vt:lpstr>
      <vt:lpstr>par_07.LL</vt:lpstr>
      <vt:lpstr>par_08.LL</vt:lpstr>
      <vt:lpstr>par_09.LL</vt:lpstr>
      <vt:lpstr>par_10.LL</vt:lpstr>
      <vt:lpstr>par_11.LL</vt:lpstr>
      <vt:lpstr>par_12.LL</vt:lpstr>
      <vt:lpstr>par_99.LL</vt:lpstr>
      <vt:lpstr>par_Ajuste.Trial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Fabiano Gonçalves</dc:creator>
  <cp:lastModifiedBy>Paulo Ferreira</cp:lastModifiedBy>
  <cp:lastPrinted>2023-12-12T21:00:54Z</cp:lastPrinted>
  <dcterms:created xsi:type="dcterms:W3CDTF">2018-11-12T11:34:20Z</dcterms:created>
  <dcterms:modified xsi:type="dcterms:W3CDTF">2025-04-08T21:14:43Z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0x0101006F542791C729774E8242B3C9FC9BFEF0</vt:lpwstr>
  </property>
  <property fmtid="{D5CDD505-2E9C-101B-9397-08002B2CF9AE}" pid="3" name="MediaServiceImageTags">
    <vt:lpwstr/>
  </property>
</Properties>
</file>